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8830" windowHeight="6405" tabRatio="904"/>
  </bookViews>
  <sheets>
    <sheet name="BK-1-Retail TRR" sheetId="62" r:id="rId1"/>
    <sheet name="BK-2 ISO TRR" sheetId="102" r:id="rId2"/>
    <sheet name="Cost Statements" sheetId="3" r:id="rId3"/>
    <sheet name="Statement AD-WP" sheetId="64" r:id="rId4"/>
    <sheet name="Statement AE-WP" sheetId="65" r:id="rId5"/>
    <sheet name="Statement AF-WP" sheetId="66" r:id="rId6"/>
    <sheet name="Statement AG-WP" sheetId="89" r:id="rId7"/>
    <sheet name="Statement AH-WP" sheetId="67" r:id="rId8"/>
    <sheet name="Statement AI-WP" sheetId="68" r:id="rId9"/>
    <sheet name="Statement AJ-WP" sheetId="69" r:id="rId10"/>
    <sheet name="2015 Transmission Depn Rates" sheetId="113" r:id="rId11"/>
    <sheet name="2015 Intangible Amort Period" sheetId="114" r:id="rId12"/>
    <sheet name="2015 Gen Depn Rates" sheetId="115" r:id="rId13"/>
    <sheet name="2015 Common Depn Rates" sheetId="117" r:id="rId14"/>
    <sheet name="Statement AK-WP" sheetId="70" r:id="rId15"/>
    <sheet name="Statement AL-WP" sheetId="71" r:id="rId16"/>
    <sheet name="Statement AM-WP" sheetId="103" r:id="rId17"/>
    <sheet name="Statement AQ-WP" sheetId="83" r:id="rId18"/>
    <sheet name="Statement AR-WP" sheetId="82" r:id="rId19"/>
    <sheet name="Statement AU-WP" sheetId="72" r:id="rId20"/>
    <sheet name="Statement AV-WP" sheetId="73" r:id="rId21"/>
    <sheet name="Forecast Plant Adds HV-LV Split" sheetId="77" r:id="rId22"/>
    <sheet name="Retail TU Adj" sheetId="106" r:id="rId23"/>
    <sheet name="Retail Int TU-1" sheetId="107" r:id="rId24"/>
    <sheet name="Retail Int TU-2" sheetId="108" r:id="rId25"/>
    <sheet name="Wholesale TU Adj" sheetId="110" r:id="rId26"/>
    <sheet name="Wholesale Int TU-1" sheetId="111" r:id="rId27"/>
    <sheet name="Wholesale Int TU-2" sheetId="112" r:id="rId28"/>
  </sheets>
  <definedNames>
    <definedName name="_xlnm.Print_Area" localSheetId="13">'2015 Common Depn Rates'!$A$1:$G$34</definedName>
    <definedName name="_xlnm.Print_Area" localSheetId="12">'2015 Gen Depn Rates'!$A$1:$G$33</definedName>
    <definedName name="_xlnm.Print_Area" localSheetId="11">'2015 Intangible Amort Period'!$A$1:$E$23</definedName>
    <definedName name="_xlnm.Print_Area" localSheetId="10">'2015 Transmission Depn Rates'!$A$1:$G$58</definedName>
    <definedName name="_xlnm.Print_Area" localSheetId="0">'BK-1-Retail TRR'!$A$1:$J$299</definedName>
    <definedName name="_xlnm.Print_Area" localSheetId="1">'BK-2 ISO TRR'!$A$1:$J$102</definedName>
    <definedName name="_xlnm.Print_Area" localSheetId="2">'Cost Statements'!$A$1:$K$603</definedName>
    <definedName name="_xlnm.Print_Area" localSheetId="23">'Retail Int TU-1'!$C$4:$Q$44</definedName>
    <definedName name="_xlnm.Print_Area" localSheetId="24">'Retail Int TU-2'!$A$4:$Q$47</definedName>
    <definedName name="_xlnm.Print_Area" localSheetId="22">'Retail TU Adj'!$A$1:$Q$50</definedName>
    <definedName name="_xlnm.Print_Area" localSheetId="3">'Statement AD-WP'!$A$1:$M$63</definedName>
    <definedName name="_xlnm.Print_Area" localSheetId="4">'Statement AE-WP'!$A$1:$N$41</definedName>
    <definedName name="_xlnm.Print_Area" localSheetId="8">'Statement AI-WP'!$A$1:$J$29</definedName>
    <definedName name="_xlnm.Print_Area" localSheetId="20">'Statement AV-WP'!$A$1:$L$156</definedName>
    <definedName name="_xlnm.Print_Area" localSheetId="26">'Wholesale Int TU-1'!$A$4:$Q$46</definedName>
    <definedName name="_xlnm.Print_Area" localSheetId="27">'Wholesale Int TU-2'!$A$4:$Q$48</definedName>
    <definedName name="_xlnm.Print_Area" localSheetId="25">'Wholesale TU Adj'!$A$1:$Q$50</definedName>
    <definedName name="_xlnm.Print_Titles" localSheetId="23">'Retail Int TU-1'!$A:$B</definedName>
    <definedName name="_xlnm.Print_Titles" localSheetId="24">'Retail Int TU-2'!$A:$B</definedName>
    <definedName name="_xlnm.Print_Titles" localSheetId="22">'Retail TU Adj'!$A:$B</definedName>
    <definedName name="_xlnm.Print_Titles" localSheetId="26">'Wholesale Int TU-1'!$A:$B</definedName>
    <definedName name="_xlnm.Print_Titles" localSheetId="27">'Wholesale Int TU-2'!$A:$B</definedName>
    <definedName name="_xlnm.Print_Titles" localSheetId="25">'Wholesale TU Adj'!$A:$B</definedName>
  </definedNames>
  <calcPr calcId="145621"/>
</workbook>
</file>

<file path=xl/calcChain.xml><?xml version="1.0" encoding="utf-8"?>
<calcChain xmlns="http://schemas.openxmlformats.org/spreadsheetml/2006/main">
  <c r="M34" i="108" l="1"/>
  <c r="M23" i="108"/>
  <c r="G81" i="102" l="1"/>
  <c r="G67" i="102"/>
  <c r="G66" i="102"/>
  <c r="H77" i="102" l="1"/>
  <c r="O23" i="110" l="1"/>
  <c r="M15" i="108" l="1"/>
  <c r="O11" i="108" l="1"/>
  <c r="C21" i="107"/>
  <c r="N29" i="112" l="1"/>
  <c r="M29" i="112"/>
  <c r="K29" i="112"/>
  <c r="J29" i="112"/>
  <c r="N29" i="108"/>
  <c r="M29" i="108"/>
  <c r="K29" i="108"/>
  <c r="J29" i="108"/>
  <c r="C15" i="112"/>
  <c r="O15" i="112" s="1"/>
  <c r="D15" i="112"/>
  <c r="D17" i="112"/>
  <c r="E15" i="112"/>
  <c r="E17" i="112" s="1"/>
  <c r="F15" i="112"/>
  <c r="F17" i="112" s="1"/>
  <c r="G15" i="112"/>
  <c r="G17" i="112" s="1"/>
  <c r="H15" i="112"/>
  <c r="H17" i="112" s="1"/>
  <c r="I15" i="112"/>
  <c r="I17" i="112" s="1"/>
  <c r="I24" i="112"/>
  <c r="J15" i="112"/>
  <c r="J17" i="112"/>
  <c r="J24" i="112"/>
  <c r="K15" i="112"/>
  <c r="K17" i="112" s="1"/>
  <c r="K24" i="112"/>
  <c r="L15" i="112"/>
  <c r="L17" i="112"/>
  <c r="L22" i="112" s="1"/>
  <c r="L24" i="112"/>
  <c r="M15" i="112"/>
  <c r="M17" i="112" s="1"/>
  <c r="M24" i="112"/>
  <c r="N17" i="112"/>
  <c r="N24" i="112"/>
  <c r="F15" i="108"/>
  <c r="F17" i="108" s="1"/>
  <c r="F22" i="108" s="1"/>
  <c r="C15" i="108"/>
  <c r="C17" i="108" s="1"/>
  <c r="D15" i="108"/>
  <c r="D17" i="108" s="1"/>
  <c r="E15" i="108"/>
  <c r="E17" i="108" s="1"/>
  <c r="G15" i="108"/>
  <c r="G17" i="108" s="1"/>
  <c r="H15" i="108"/>
  <c r="H17" i="108" s="1"/>
  <c r="I15" i="108"/>
  <c r="I17" i="108" s="1"/>
  <c r="I22" i="108" s="1"/>
  <c r="I24" i="108"/>
  <c r="J15" i="108"/>
  <c r="J17" i="108" s="1"/>
  <c r="J24" i="108"/>
  <c r="K15" i="108"/>
  <c r="K17" i="108" s="1"/>
  <c r="K24" i="108"/>
  <c r="L15" i="108"/>
  <c r="L17" i="108" s="1"/>
  <c r="L24" i="108"/>
  <c r="M17" i="108"/>
  <c r="M24" i="108"/>
  <c r="N17" i="108"/>
  <c r="N24" i="108"/>
  <c r="N28" i="108"/>
  <c r="M28" i="108"/>
  <c r="L28" i="108"/>
  <c r="K28" i="108"/>
  <c r="J28" i="108"/>
  <c r="I28" i="108"/>
  <c r="H28" i="108"/>
  <c r="G28" i="108"/>
  <c r="F28" i="108"/>
  <c r="E28" i="108"/>
  <c r="D28" i="108"/>
  <c r="C28" i="108"/>
  <c r="F14" i="117"/>
  <c r="Q9" i="108"/>
  <c r="Q10" i="108"/>
  <c r="Q11" i="108"/>
  <c r="Q12" i="108"/>
  <c r="Q13" i="108"/>
  <c r="Q14" i="108"/>
  <c r="Q15" i="108"/>
  <c r="Q16" i="108"/>
  <c r="Q17" i="108"/>
  <c r="Q18" i="108"/>
  <c r="Q19" i="108"/>
  <c r="Q20" i="108"/>
  <c r="Q21" i="108"/>
  <c r="Q22" i="108"/>
  <c r="Q23" i="108"/>
  <c r="Q24" i="108"/>
  <c r="Q25" i="108"/>
  <c r="Q26" i="108"/>
  <c r="Q27" i="108"/>
  <c r="Q28" i="108"/>
  <c r="A9" i="108"/>
  <c r="A10" i="108"/>
  <c r="A11" i="108"/>
  <c r="A12" i="108"/>
  <c r="A13" i="108"/>
  <c r="A14" i="108"/>
  <c r="A15" i="108"/>
  <c r="A16" i="108"/>
  <c r="A17" i="108"/>
  <c r="A18" i="108"/>
  <c r="A19" i="108"/>
  <c r="A20" i="108"/>
  <c r="A21" i="108"/>
  <c r="A22" i="108"/>
  <c r="A23" i="108"/>
  <c r="A24" i="108"/>
  <c r="A25" i="108"/>
  <c r="A26" i="108"/>
  <c r="A27" i="108"/>
  <c r="A28" i="108"/>
  <c r="N25" i="107"/>
  <c r="M15" i="107"/>
  <c r="E8" i="107"/>
  <c r="Q10" i="107"/>
  <c r="Q11" i="107"/>
  <c r="Q12" i="107"/>
  <c r="Q13" i="107"/>
  <c r="Q14" i="107"/>
  <c r="Q15" i="107"/>
  <c r="Q16" i="107"/>
  <c r="Q17" i="107"/>
  <c r="Q18" i="107"/>
  <c r="Q19" i="107"/>
  <c r="Q20" i="107"/>
  <c r="Q21" i="107"/>
  <c r="Q22" i="107"/>
  <c r="Q23" i="107"/>
  <c r="Q24" i="107"/>
  <c r="Q25" i="107"/>
  <c r="Q26" i="107"/>
  <c r="Q27" i="107"/>
  <c r="Q9" i="107"/>
  <c r="A9" i="107"/>
  <c r="A10" i="107"/>
  <c r="A11" i="107"/>
  <c r="A12" i="107"/>
  <c r="A13" i="107"/>
  <c r="A14" i="107"/>
  <c r="A15" i="107"/>
  <c r="A16" i="107"/>
  <c r="A17" i="107"/>
  <c r="A18" i="107"/>
  <c r="A19" i="107"/>
  <c r="A20" i="107"/>
  <c r="A21" i="107"/>
  <c r="A22" i="107"/>
  <c r="A23" i="107"/>
  <c r="A24" i="107"/>
  <c r="A25" i="107"/>
  <c r="A26" i="107"/>
  <c r="A27" i="107"/>
  <c r="A28" i="107"/>
  <c r="C30" i="112"/>
  <c r="D30" i="112"/>
  <c r="E30" i="112"/>
  <c r="F30" i="112"/>
  <c r="G30" i="112"/>
  <c r="H30" i="112"/>
  <c r="I30" i="112"/>
  <c r="J30" i="112"/>
  <c r="K30" i="112"/>
  <c r="L30" i="112"/>
  <c r="M30" i="112"/>
  <c r="N30" i="112"/>
  <c r="Q34" i="112"/>
  <c r="Q33" i="112"/>
  <c r="Q32" i="112"/>
  <c r="Q31" i="112"/>
  <c r="Q30" i="112"/>
  <c r="Q29" i="112"/>
  <c r="Q28" i="112"/>
  <c r="Q27" i="112"/>
  <c r="Q26" i="112"/>
  <c r="Q25" i="112"/>
  <c r="Q24" i="112"/>
  <c r="Q23" i="112"/>
  <c r="Q22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A9" i="112"/>
  <c r="A10" i="112"/>
  <c r="A11" i="112"/>
  <c r="A12" i="112"/>
  <c r="A13" i="112"/>
  <c r="A14" i="112"/>
  <c r="A15" i="112"/>
  <c r="A16" i="112"/>
  <c r="A17" i="112"/>
  <c r="A18" i="112"/>
  <c r="A19" i="112"/>
  <c r="A20" i="112"/>
  <c r="A21" i="112"/>
  <c r="A22" i="112"/>
  <c r="A23" i="112"/>
  <c r="A24" i="112"/>
  <c r="A25" i="112"/>
  <c r="A26" i="112"/>
  <c r="A27" i="112"/>
  <c r="A28" i="112"/>
  <c r="A29" i="112"/>
  <c r="A30" i="112"/>
  <c r="A31" i="112"/>
  <c r="A32" i="112"/>
  <c r="A33" i="112"/>
  <c r="A34" i="112"/>
  <c r="Q34" i="111"/>
  <c r="Q33" i="111"/>
  <c r="Q32" i="111"/>
  <c r="Q31" i="111"/>
  <c r="Q30" i="111"/>
  <c r="Q29" i="111"/>
  <c r="Q28" i="111"/>
  <c r="Q27" i="111"/>
  <c r="Q26" i="111"/>
  <c r="Q25" i="111"/>
  <c r="Q24" i="111"/>
  <c r="Q23" i="111"/>
  <c r="Q22" i="111"/>
  <c r="Q21" i="111"/>
  <c r="Q20" i="111"/>
  <c r="Q19" i="111"/>
  <c r="Q18" i="111"/>
  <c r="Q17" i="111"/>
  <c r="Q16" i="111"/>
  <c r="Q15" i="111"/>
  <c r="Q14" i="111"/>
  <c r="Q13" i="111"/>
  <c r="Q12" i="111"/>
  <c r="Q11" i="111"/>
  <c r="Q10" i="111"/>
  <c r="Q9" i="111"/>
  <c r="Q8" i="111"/>
  <c r="A9" i="111"/>
  <c r="A10" i="111"/>
  <c r="A11" i="111"/>
  <c r="A12" i="111"/>
  <c r="A13" i="111"/>
  <c r="A14" i="111"/>
  <c r="A15" i="111"/>
  <c r="A16" i="111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A30" i="111"/>
  <c r="A31" i="111"/>
  <c r="A32" i="111"/>
  <c r="A33" i="111"/>
  <c r="A34" i="111"/>
  <c r="O16" i="110"/>
  <c r="O31" i="108"/>
  <c r="O16" i="106"/>
  <c r="O15" i="106"/>
  <c r="C19" i="106"/>
  <c r="K15" i="66"/>
  <c r="K13" i="66"/>
  <c r="G13" i="66"/>
  <c r="H58" i="67"/>
  <c r="G21" i="62"/>
  <c r="H260" i="3"/>
  <c r="K260" i="3"/>
  <c r="K261" i="3"/>
  <c r="K262" i="3"/>
  <c r="K263" i="3"/>
  <c r="K264" i="3"/>
  <c r="K265" i="3"/>
  <c r="K266" i="3"/>
  <c r="A260" i="3"/>
  <c r="A261" i="3"/>
  <c r="A262" i="3"/>
  <c r="A263" i="3"/>
  <c r="A264" i="3"/>
  <c r="A265" i="3"/>
  <c r="A266" i="3"/>
  <c r="L28" i="69"/>
  <c r="L29" i="69"/>
  <c r="L30" i="69"/>
  <c r="L31" i="69"/>
  <c r="L32" i="69"/>
  <c r="L33" i="69"/>
  <c r="L34" i="69"/>
  <c r="L35" i="69"/>
  <c r="A29" i="69"/>
  <c r="A30" i="69"/>
  <c r="A31" i="69"/>
  <c r="A32" i="69"/>
  <c r="A33" i="69"/>
  <c r="A34" i="69"/>
  <c r="A35" i="69"/>
  <c r="N3" i="110"/>
  <c r="M3" i="110"/>
  <c r="L3" i="110"/>
  <c r="K3" i="110"/>
  <c r="J3" i="110"/>
  <c r="I3" i="110"/>
  <c r="H3" i="110"/>
  <c r="G3" i="110"/>
  <c r="F3" i="110"/>
  <c r="E3" i="110"/>
  <c r="D3" i="110"/>
  <c r="N3" i="106"/>
  <c r="M3" i="106"/>
  <c r="L3" i="106"/>
  <c r="K3" i="106"/>
  <c r="J3" i="106"/>
  <c r="I3" i="106"/>
  <c r="H3" i="106"/>
  <c r="G3" i="106"/>
  <c r="F3" i="106"/>
  <c r="E3" i="106"/>
  <c r="D3" i="106"/>
  <c r="O30" i="108"/>
  <c r="N30" i="108"/>
  <c r="N32" i="108"/>
  <c r="N34" i="108"/>
  <c r="M30" i="108"/>
  <c r="M32" i="108"/>
  <c r="L30" i="108"/>
  <c r="L32" i="108"/>
  <c r="L34" i="108"/>
  <c r="K30" i="108"/>
  <c r="K32" i="108"/>
  <c r="K34" i="108"/>
  <c r="J30" i="108"/>
  <c r="J32" i="108"/>
  <c r="J34" i="108"/>
  <c r="I30" i="108"/>
  <c r="I32" i="108"/>
  <c r="I34" i="108"/>
  <c r="H30" i="108"/>
  <c r="H32" i="108"/>
  <c r="H34" i="108"/>
  <c r="G30" i="108"/>
  <c r="G32" i="108"/>
  <c r="G34" i="108"/>
  <c r="F30" i="108"/>
  <c r="F32" i="108"/>
  <c r="F34" i="108"/>
  <c r="E30" i="108"/>
  <c r="E32" i="108"/>
  <c r="E34" i="108"/>
  <c r="D30" i="108"/>
  <c r="D32" i="108"/>
  <c r="D34" i="108"/>
  <c r="C30" i="108"/>
  <c r="C32" i="108"/>
  <c r="H24" i="108"/>
  <c r="G24" i="108"/>
  <c r="F24" i="108"/>
  <c r="E24" i="108"/>
  <c r="D24" i="108"/>
  <c r="C24" i="108"/>
  <c r="O32" i="108"/>
  <c r="C34" i="108"/>
  <c r="O34" i="108"/>
  <c r="A14" i="113"/>
  <c r="A15" i="113"/>
  <c r="A16" i="113"/>
  <c r="A17" i="113"/>
  <c r="A18" i="113"/>
  <c r="A19" i="113"/>
  <c r="A20" i="113"/>
  <c r="A21" i="113"/>
  <c r="A22" i="113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A36" i="113"/>
  <c r="A37" i="113"/>
  <c r="A38" i="113"/>
  <c r="A39" i="113"/>
  <c r="A40" i="113"/>
  <c r="A41" i="113"/>
  <c r="A42" i="113"/>
  <c r="A43" i="113"/>
  <c r="A13" i="113"/>
  <c r="G12" i="113"/>
  <c r="G13" i="113"/>
  <c r="G14" i="113"/>
  <c r="G15" i="113"/>
  <c r="G16" i="113"/>
  <c r="G17" i="113"/>
  <c r="G18" i="113"/>
  <c r="G19" i="113"/>
  <c r="G20" i="113"/>
  <c r="G21" i="113"/>
  <c r="G22" i="113"/>
  <c r="G23" i="113"/>
  <c r="G24" i="113"/>
  <c r="G25" i="113"/>
  <c r="G26" i="113"/>
  <c r="G27" i="113"/>
  <c r="G28" i="113"/>
  <c r="G29" i="113"/>
  <c r="G30" i="113"/>
  <c r="G31" i="113"/>
  <c r="G32" i="113"/>
  <c r="G33" i="113"/>
  <c r="G34" i="113"/>
  <c r="G35" i="113"/>
  <c r="G36" i="113"/>
  <c r="G37" i="113"/>
  <c r="G38" i="113"/>
  <c r="G39" i="113"/>
  <c r="G40" i="113"/>
  <c r="G41" i="113"/>
  <c r="G42" i="113"/>
  <c r="G43" i="113"/>
  <c r="A12" i="113"/>
  <c r="O33" i="112"/>
  <c r="O31" i="112"/>
  <c r="M32" i="112"/>
  <c r="M34" i="112"/>
  <c r="N32" i="112"/>
  <c r="N34" i="112"/>
  <c r="L32" i="112"/>
  <c r="L34" i="112"/>
  <c r="H32" i="112"/>
  <c r="H34" i="112"/>
  <c r="F32" i="112"/>
  <c r="F34" i="112"/>
  <c r="D32" i="112"/>
  <c r="D34" i="112"/>
  <c r="N28" i="112"/>
  <c r="M28" i="112"/>
  <c r="L28" i="112"/>
  <c r="K28" i="112"/>
  <c r="J28" i="112"/>
  <c r="I28" i="112"/>
  <c r="H28" i="112"/>
  <c r="G28" i="112"/>
  <c r="F28" i="112"/>
  <c r="E28" i="112"/>
  <c r="D28" i="112"/>
  <c r="C28" i="112"/>
  <c r="H24" i="112"/>
  <c r="G24" i="112"/>
  <c r="F24" i="112"/>
  <c r="E24" i="112"/>
  <c r="D24" i="112"/>
  <c r="C24" i="112"/>
  <c r="O11" i="112"/>
  <c r="O33" i="111"/>
  <c r="O31" i="111"/>
  <c r="O30" i="111"/>
  <c r="N30" i="111"/>
  <c r="N32" i="111"/>
  <c r="N34" i="111"/>
  <c r="M30" i="111"/>
  <c r="M32" i="111"/>
  <c r="M34" i="111"/>
  <c r="L30" i="111"/>
  <c r="L32" i="111"/>
  <c r="L34" i="111"/>
  <c r="K30" i="111"/>
  <c r="K32" i="111"/>
  <c r="K34" i="111"/>
  <c r="J30" i="111"/>
  <c r="J32" i="111"/>
  <c r="J34" i="111"/>
  <c r="I30" i="111"/>
  <c r="I32" i="111"/>
  <c r="I34" i="111"/>
  <c r="H30" i="111"/>
  <c r="H32" i="111"/>
  <c r="H34" i="111"/>
  <c r="G30" i="111"/>
  <c r="G32" i="111"/>
  <c r="G34" i="111"/>
  <c r="F30" i="111"/>
  <c r="F32" i="111"/>
  <c r="F34" i="111"/>
  <c r="E30" i="111"/>
  <c r="E32" i="111"/>
  <c r="E34" i="111"/>
  <c r="D30" i="111"/>
  <c r="D32" i="111"/>
  <c r="D34" i="111"/>
  <c r="C30" i="111"/>
  <c r="C32" i="11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E21" i="111"/>
  <c r="D21" i="111"/>
  <c r="C21" i="111"/>
  <c r="N17" i="111"/>
  <c r="J17" i="111"/>
  <c r="F17" i="111"/>
  <c r="N15" i="111"/>
  <c r="M15" i="111"/>
  <c r="M17" i="111"/>
  <c r="L15" i="111"/>
  <c r="L17" i="111"/>
  <c r="K15" i="111"/>
  <c r="K17" i="111"/>
  <c r="J15" i="111"/>
  <c r="I15" i="111"/>
  <c r="I17" i="111"/>
  <c r="H15" i="111"/>
  <c r="H17" i="111"/>
  <c r="G15" i="111"/>
  <c r="G17" i="111"/>
  <c r="F15" i="111"/>
  <c r="E15" i="111"/>
  <c r="E17" i="111"/>
  <c r="D15" i="111"/>
  <c r="D17" i="111"/>
  <c r="C15" i="111"/>
  <c r="O15" i="111"/>
  <c r="O11" i="111"/>
  <c r="Q7" i="110"/>
  <c r="Q8" i="110"/>
  <c r="Q9" i="110"/>
  <c r="Q10" i="110"/>
  <c r="Q11" i="110"/>
  <c r="Q12" i="110"/>
  <c r="Q13" i="110"/>
  <c r="Q14" i="110"/>
  <c r="Q15" i="110"/>
  <c r="Q16" i="110"/>
  <c r="Q17" i="110"/>
  <c r="Q18" i="110"/>
  <c r="Q19" i="110"/>
  <c r="Q20" i="110"/>
  <c r="Q21" i="110"/>
  <c r="Q22" i="110"/>
  <c r="Q23" i="110"/>
  <c r="Q24" i="110"/>
  <c r="Q25" i="110"/>
  <c r="Q26" i="110"/>
  <c r="Q27" i="110"/>
  <c r="Q28" i="110"/>
  <c r="Q29" i="110"/>
  <c r="Q30" i="110"/>
  <c r="Q31" i="110"/>
  <c r="Q32" i="110"/>
  <c r="Q33" i="110"/>
  <c r="Q34" i="110"/>
  <c r="Q35" i="110"/>
  <c r="Q36" i="110"/>
  <c r="Q37" i="110"/>
  <c r="Q38" i="110"/>
  <c r="Q39" i="110"/>
  <c r="Q40" i="110"/>
  <c r="Q41" i="110"/>
  <c r="Q42" i="110"/>
  <c r="A7" i="110"/>
  <c r="A8" i="110"/>
  <c r="A9" i="110"/>
  <c r="A10" i="110"/>
  <c r="A11" i="110"/>
  <c r="A12" i="110"/>
  <c r="A13" i="110"/>
  <c r="A14" i="110"/>
  <c r="A15" i="110"/>
  <c r="A16" i="110"/>
  <c r="A17" i="110"/>
  <c r="A18" i="110"/>
  <c r="A19" i="110"/>
  <c r="A20" i="110"/>
  <c r="A21" i="110"/>
  <c r="A22" i="110"/>
  <c r="A23" i="110"/>
  <c r="A24" i="110"/>
  <c r="A25" i="110"/>
  <c r="A26" i="110"/>
  <c r="A27" i="110"/>
  <c r="A28" i="110"/>
  <c r="A29" i="110"/>
  <c r="A30" i="110"/>
  <c r="A31" i="110"/>
  <c r="A32" i="110"/>
  <c r="A33" i="110"/>
  <c r="A34" i="110"/>
  <c r="A35" i="110"/>
  <c r="A36" i="110"/>
  <c r="A37" i="110"/>
  <c r="A38" i="110"/>
  <c r="A39" i="110"/>
  <c r="A40" i="110"/>
  <c r="A41" i="110"/>
  <c r="A42" i="110"/>
  <c r="O41" i="110"/>
  <c r="O39" i="110"/>
  <c r="O38" i="110"/>
  <c r="N40" i="110"/>
  <c r="N42" i="110"/>
  <c r="M40" i="110"/>
  <c r="M42" i="110"/>
  <c r="L40" i="110"/>
  <c r="L42" i="110"/>
  <c r="K40" i="110"/>
  <c r="K42" i="110"/>
  <c r="J40" i="110"/>
  <c r="J42" i="110"/>
  <c r="I40" i="110"/>
  <c r="I42" i="110"/>
  <c r="H40" i="110"/>
  <c r="H42" i="110"/>
  <c r="G40" i="110"/>
  <c r="G42" i="110"/>
  <c r="F40" i="110"/>
  <c r="F42" i="110"/>
  <c r="E40" i="110"/>
  <c r="E42" i="110"/>
  <c r="D40" i="110"/>
  <c r="D42" i="110"/>
  <c r="C40" i="110"/>
  <c r="N36" i="110"/>
  <c r="M36" i="110"/>
  <c r="L36" i="110"/>
  <c r="K36" i="110"/>
  <c r="J36" i="110"/>
  <c r="I36" i="110"/>
  <c r="H36" i="110"/>
  <c r="G36" i="110"/>
  <c r="F36" i="110"/>
  <c r="E36" i="110"/>
  <c r="D36" i="110"/>
  <c r="C36" i="110"/>
  <c r="N31" i="110"/>
  <c r="M31" i="110"/>
  <c r="L31" i="110"/>
  <c r="K31" i="110"/>
  <c r="J31" i="110"/>
  <c r="I31" i="110"/>
  <c r="H31" i="110"/>
  <c r="G31" i="110"/>
  <c r="F31" i="110"/>
  <c r="E31" i="110"/>
  <c r="D31" i="110"/>
  <c r="C31" i="110"/>
  <c r="E28" i="110"/>
  <c r="D28" i="110"/>
  <c r="C28" i="110"/>
  <c r="N19" i="110"/>
  <c r="N21" i="110"/>
  <c r="N25" i="110"/>
  <c r="M19" i="110"/>
  <c r="M21" i="110"/>
  <c r="M25" i="110"/>
  <c r="L19" i="110"/>
  <c r="L21" i="110"/>
  <c r="L25" i="110"/>
  <c r="K19" i="110"/>
  <c r="K21" i="110"/>
  <c r="K25" i="110"/>
  <c r="J19" i="110"/>
  <c r="J21" i="110"/>
  <c r="J25" i="110"/>
  <c r="I19" i="110"/>
  <c r="I21" i="110"/>
  <c r="I25" i="110"/>
  <c r="I29" i="110" s="1"/>
  <c r="H19" i="110"/>
  <c r="H21" i="110"/>
  <c r="H25" i="110"/>
  <c r="G19" i="110"/>
  <c r="G21" i="110"/>
  <c r="G25" i="110"/>
  <c r="G29" i="110" s="1"/>
  <c r="F19" i="110"/>
  <c r="F21" i="110"/>
  <c r="F25" i="110"/>
  <c r="F29" i="110" s="1"/>
  <c r="E19" i="110"/>
  <c r="E21" i="110"/>
  <c r="E25" i="110"/>
  <c r="D19" i="110"/>
  <c r="D21" i="110"/>
  <c r="D25" i="110"/>
  <c r="C19" i="110"/>
  <c r="C21" i="110"/>
  <c r="O13" i="110"/>
  <c r="O12" i="110"/>
  <c r="O8" i="110"/>
  <c r="Q29" i="108"/>
  <c r="Q30" i="108"/>
  <c r="Q31" i="108"/>
  <c r="Q32" i="108"/>
  <c r="Q33" i="108"/>
  <c r="Q34" i="108"/>
  <c r="A29" i="108"/>
  <c r="A30" i="108"/>
  <c r="A31" i="108"/>
  <c r="A32" i="108"/>
  <c r="A33" i="108"/>
  <c r="A34" i="108"/>
  <c r="Q28" i="107"/>
  <c r="Q29" i="107"/>
  <c r="Q30" i="107"/>
  <c r="Q31" i="107"/>
  <c r="Q32" i="107"/>
  <c r="Q33" i="107"/>
  <c r="Q34" i="107"/>
  <c r="A29" i="107"/>
  <c r="A30" i="107"/>
  <c r="A31" i="107"/>
  <c r="A32" i="107"/>
  <c r="A33" i="107"/>
  <c r="A34" i="107"/>
  <c r="O33" i="107"/>
  <c r="O31" i="107"/>
  <c r="N30" i="107"/>
  <c r="N32" i="107"/>
  <c r="N34" i="107"/>
  <c r="O30" i="107"/>
  <c r="L30" i="107"/>
  <c r="L32" i="107"/>
  <c r="L34" i="107"/>
  <c r="K30" i="107"/>
  <c r="K32" i="107"/>
  <c r="K34" i="107"/>
  <c r="H30" i="107"/>
  <c r="H32" i="107"/>
  <c r="H34" i="107"/>
  <c r="G30" i="107"/>
  <c r="G32" i="107"/>
  <c r="G34" i="107"/>
  <c r="D30" i="107"/>
  <c r="D32" i="107"/>
  <c r="D34" i="107"/>
  <c r="C30" i="107"/>
  <c r="C32" i="107"/>
  <c r="N28" i="107"/>
  <c r="M28" i="107"/>
  <c r="L28" i="107"/>
  <c r="K28" i="107"/>
  <c r="J28" i="107"/>
  <c r="I28" i="107"/>
  <c r="H28" i="107"/>
  <c r="G28" i="107"/>
  <c r="F28" i="107"/>
  <c r="E28" i="107"/>
  <c r="D28" i="107"/>
  <c r="C28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E21" i="107"/>
  <c r="D21" i="107"/>
  <c r="N15" i="107"/>
  <c r="N17" i="107"/>
  <c r="M17" i="107"/>
  <c r="L15" i="107"/>
  <c r="L17" i="107"/>
  <c r="K15" i="107"/>
  <c r="K17" i="107"/>
  <c r="J15" i="107"/>
  <c r="J17" i="107"/>
  <c r="I15" i="107"/>
  <c r="I17" i="107"/>
  <c r="H15" i="107"/>
  <c r="H17" i="107"/>
  <c r="G15" i="107"/>
  <c r="G17" i="107"/>
  <c r="F15" i="107"/>
  <c r="F17" i="107"/>
  <c r="E15" i="107"/>
  <c r="E17" i="107"/>
  <c r="D15" i="107"/>
  <c r="D17" i="107"/>
  <c r="C15" i="107"/>
  <c r="C17" i="107"/>
  <c r="O11" i="107"/>
  <c r="Q7" i="106"/>
  <c r="Q8" i="106"/>
  <c r="Q9" i="106"/>
  <c r="Q10" i="106"/>
  <c r="Q11" i="106"/>
  <c r="Q12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5" i="106"/>
  <c r="Q26" i="106"/>
  <c r="Q27" i="106"/>
  <c r="Q28" i="106"/>
  <c r="Q29" i="106"/>
  <c r="Q30" i="106"/>
  <c r="Q31" i="106"/>
  <c r="Q32" i="106"/>
  <c r="Q33" i="106"/>
  <c r="Q34" i="106"/>
  <c r="Q35" i="106"/>
  <c r="Q36" i="106"/>
  <c r="Q37" i="106"/>
  <c r="Q38" i="106"/>
  <c r="Q39" i="106"/>
  <c r="Q40" i="106"/>
  <c r="Q41" i="106"/>
  <c r="Q42" i="106"/>
  <c r="A7" i="106"/>
  <c r="A8" i="106"/>
  <c r="A9" i="106"/>
  <c r="A10" i="106"/>
  <c r="A11" i="106"/>
  <c r="A12" i="106"/>
  <c r="A13" i="106"/>
  <c r="A14" i="106"/>
  <c r="A15" i="106"/>
  <c r="A16" i="106"/>
  <c r="A17" i="106"/>
  <c r="A18" i="106"/>
  <c r="A19" i="106"/>
  <c r="A20" i="106"/>
  <c r="A21" i="106"/>
  <c r="A22" i="106"/>
  <c r="A23" i="106"/>
  <c r="A24" i="106"/>
  <c r="A25" i="106"/>
  <c r="A26" i="106"/>
  <c r="A27" i="106"/>
  <c r="A28" i="106"/>
  <c r="A29" i="106"/>
  <c r="A30" i="106"/>
  <c r="A31" i="106"/>
  <c r="A32" i="106"/>
  <c r="A33" i="106"/>
  <c r="A34" i="106"/>
  <c r="A35" i="106"/>
  <c r="A36" i="106"/>
  <c r="A37" i="106"/>
  <c r="A38" i="106"/>
  <c r="A39" i="106"/>
  <c r="A40" i="106"/>
  <c r="A41" i="106"/>
  <c r="A42" i="106"/>
  <c r="O41" i="106"/>
  <c r="O39" i="106"/>
  <c r="O38" i="106"/>
  <c r="N38" i="106"/>
  <c r="N40" i="106"/>
  <c r="N42" i="106"/>
  <c r="M38" i="106"/>
  <c r="M40" i="106"/>
  <c r="M42" i="106"/>
  <c r="L38" i="106"/>
  <c r="L40" i="106"/>
  <c r="L42" i="106"/>
  <c r="K38" i="106"/>
  <c r="K40" i="106"/>
  <c r="K42" i="106"/>
  <c r="J38" i="106"/>
  <c r="J40" i="106"/>
  <c r="J42" i="106"/>
  <c r="I38" i="106"/>
  <c r="I40" i="106"/>
  <c r="I42" i="106"/>
  <c r="H38" i="106"/>
  <c r="H40" i="106"/>
  <c r="H42" i="106"/>
  <c r="G38" i="106"/>
  <c r="G40" i="106"/>
  <c r="G42" i="106"/>
  <c r="F38" i="106"/>
  <c r="F40" i="106"/>
  <c r="F42" i="106"/>
  <c r="E38" i="106"/>
  <c r="E40" i="106"/>
  <c r="E42" i="106"/>
  <c r="D38" i="106"/>
  <c r="D40" i="106"/>
  <c r="D42" i="106"/>
  <c r="C38" i="106"/>
  <c r="C40" i="106"/>
  <c r="N36" i="106"/>
  <c r="M36" i="106"/>
  <c r="L36" i="106"/>
  <c r="K36" i="106"/>
  <c r="J36" i="106"/>
  <c r="I36" i="106"/>
  <c r="H36" i="106"/>
  <c r="G36" i="106"/>
  <c r="F36" i="106"/>
  <c r="E36" i="106"/>
  <c r="D36" i="106"/>
  <c r="C36" i="106"/>
  <c r="N31" i="106"/>
  <c r="M31" i="106"/>
  <c r="L31" i="106"/>
  <c r="K31" i="106"/>
  <c r="J31" i="106"/>
  <c r="I31" i="106"/>
  <c r="H31" i="106"/>
  <c r="G31" i="106"/>
  <c r="F31" i="106"/>
  <c r="E31" i="106"/>
  <c r="D31" i="106"/>
  <c r="C31" i="106"/>
  <c r="E28" i="106"/>
  <c r="D28" i="106"/>
  <c r="C28" i="106"/>
  <c r="O23" i="106"/>
  <c r="N19" i="106"/>
  <c r="N21" i="106"/>
  <c r="N25" i="106"/>
  <c r="M19" i="106"/>
  <c r="M21" i="106"/>
  <c r="M25" i="106"/>
  <c r="L19" i="106"/>
  <c r="L21" i="106"/>
  <c r="L25" i="106"/>
  <c r="K19" i="106"/>
  <c r="K21" i="106"/>
  <c r="K25" i="106"/>
  <c r="J19" i="106"/>
  <c r="J21" i="106"/>
  <c r="J25" i="106"/>
  <c r="J29" i="106" s="1"/>
  <c r="I19" i="106"/>
  <c r="I21" i="106"/>
  <c r="I25" i="106"/>
  <c r="I29" i="106" s="1"/>
  <c r="H19" i="106"/>
  <c r="H21" i="106"/>
  <c r="H25" i="106"/>
  <c r="G19" i="106"/>
  <c r="G21" i="106"/>
  <c r="G25" i="106"/>
  <c r="F19" i="106"/>
  <c r="F21" i="106"/>
  <c r="F25" i="106"/>
  <c r="H29" i="106" s="1"/>
  <c r="E19" i="106"/>
  <c r="E21" i="106"/>
  <c r="E25" i="106"/>
  <c r="E29" i="106" s="1"/>
  <c r="E30" i="106" s="1"/>
  <c r="E32" i="106" s="1"/>
  <c r="D19" i="106"/>
  <c r="D21" i="106"/>
  <c r="D25" i="106"/>
  <c r="C21" i="106"/>
  <c r="O13" i="106"/>
  <c r="O12" i="106"/>
  <c r="O19" i="106"/>
  <c r="O8" i="106"/>
  <c r="L123" i="73"/>
  <c r="L124" i="73"/>
  <c r="L125" i="73"/>
  <c r="L126" i="73"/>
  <c r="L127" i="73"/>
  <c r="L128" i="73"/>
  <c r="L129" i="73"/>
  <c r="L130" i="73"/>
  <c r="L131" i="73"/>
  <c r="L132" i="73"/>
  <c r="L133" i="73"/>
  <c r="L134" i="73"/>
  <c r="L135" i="73"/>
  <c r="L136" i="73"/>
  <c r="L137" i="73"/>
  <c r="L138" i="73"/>
  <c r="L139" i="73"/>
  <c r="L140" i="73"/>
  <c r="L141" i="73"/>
  <c r="L142" i="73"/>
  <c r="L143" i="73"/>
  <c r="L144" i="73"/>
  <c r="L145" i="73"/>
  <c r="L146" i="73"/>
  <c r="L147" i="73"/>
  <c r="L148" i="73"/>
  <c r="L149" i="73"/>
  <c r="L150" i="73"/>
  <c r="L151" i="73"/>
  <c r="L152" i="73"/>
  <c r="A123" i="73"/>
  <c r="A124" i="73"/>
  <c r="A125" i="73"/>
  <c r="A126" i="73"/>
  <c r="A127" i="73"/>
  <c r="A128" i="73"/>
  <c r="A129" i="73"/>
  <c r="A130" i="73"/>
  <c r="A131" i="73"/>
  <c r="A132" i="73"/>
  <c r="A133" i="73"/>
  <c r="A134" i="73"/>
  <c r="A135" i="73"/>
  <c r="A136" i="73"/>
  <c r="A137" i="73"/>
  <c r="A138" i="73"/>
  <c r="A139" i="73"/>
  <c r="A140" i="73"/>
  <c r="A141" i="73"/>
  <c r="A142" i="73"/>
  <c r="A143" i="73"/>
  <c r="A144" i="73"/>
  <c r="A145" i="73"/>
  <c r="A146" i="73"/>
  <c r="A147" i="73"/>
  <c r="A148" i="73"/>
  <c r="A149" i="73"/>
  <c r="A150" i="73"/>
  <c r="A151" i="73"/>
  <c r="A152" i="73"/>
  <c r="I143" i="73"/>
  <c r="I140" i="73"/>
  <c r="I131" i="73"/>
  <c r="L82" i="73"/>
  <c r="L83" i="73"/>
  <c r="L84" i="73"/>
  <c r="L85" i="73"/>
  <c r="L86" i="73"/>
  <c r="L87" i="73"/>
  <c r="L88" i="73"/>
  <c r="L89" i="73"/>
  <c r="L90" i="73"/>
  <c r="L91" i="73"/>
  <c r="L92" i="73"/>
  <c r="L93" i="73"/>
  <c r="L94" i="73"/>
  <c r="L95" i="73"/>
  <c r="L96" i="73"/>
  <c r="L97" i="73"/>
  <c r="L98" i="73"/>
  <c r="L99" i="73"/>
  <c r="L100" i="73"/>
  <c r="L101" i="73"/>
  <c r="L102" i="73"/>
  <c r="L103" i="73"/>
  <c r="L104" i="73"/>
  <c r="L105" i="73"/>
  <c r="L106" i="73"/>
  <c r="L107" i="73"/>
  <c r="L108" i="73"/>
  <c r="L109" i="73"/>
  <c r="L110" i="73"/>
  <c r="L81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A98" i="73"/>
  <c r="A99" i="73"/>
  <c r="A100" i="73"/>
  <c r="A101" i="73"/>
  <c r="A102" i="73"/>
  <c r="A103" i="73"/>
  <c r="A104" i="73"/>
  <c r="A105" i="73"/>
  <c r="A106" i="73"/>
  <c r="A107" i="73"/>
  <c r="A108" i="73"/>
  <c r="A109" i="73"/>
  <c r="A110" i="73"/>
  <c r="I98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3" i="73"/>
  <c r="L34" i="73"/>
  <c r="L35" i="73"/>
  <c r="L36" i="73"/>
  <c r="L37" i="73"/>
  <c r="L38" i="73"/>
  <c r="L39" i="73"/>
  <c r="L40" i="73"/>
  <c r="L41" i="73"/>
  <c r="L42" i="73"/>
  <c r="L43" i="73"/>
  <c r="L44" i="73"/>
  <c r="L45" i="73"/>
  <c r="L46" i="73"/>
  <c r="L47" i="73"/>
  <c r="L48" i="73"/>
  <c r="L49" i="73"/>
  <c r="L50" i="73"/>
  <c r="L51" i="73"/>
  <c r="L52" i="73"/>
  <c r="L53" i="73"/>
  <c r="L54" i="73"/>
  <c r="L55" i="73"/>
  <c r="L56" i="73"/>
  <c r="L57" i="73"/>
  <c r="L58" i="73"/>
  <c r="L59" i="73"/>
  <c r="L60" i="73"/>
  <c r="L61" i="73"/>
  <c r="L62" i="73"/>
  <c r="L63" i="73"/>
  <c r="L64" i="73"/>
  <c r="L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12" i="73"/>
  <c r="G61" i="73"/>
  <c r="G60" i="73"/>
  <c r="D60" i="73"/>
  <c r="G48" i="73"/>
  <c r="G47" i="73"/>
  <c r="D47" i="73"/>
  <c r="I36" i="73"/>
  <c r="I39" i="73"/>
  <c r="I25" i="73"/>
  <c r="I17" i="73"/>
  <c r="D59" i="73"/>
  <c r="B5" i="73"/>
  <c r="B74" i="73"/>
  <c r="B116" i="73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2" i="67"/>
  <c r="K51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2" i="67"/>
  <c r="A51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H60" i="67"/>
  <c r="H52" i="67"/>
  <c r="H50" i="67"/>
  <c r="H181" i="3"/>
  <c r="H163" i="3"/>
  <c r="H19" i="67"/>
  <c r="B5" i="67"/>
  <c r="K591" i="3"/>
  <c r="K592" i="3"/>
  <c r="K593" i="3"/>
  <c r="K594" i="3"/>
  <c r="K595" i="3"/>
  <c r="K596" i="3"/>
  <c r="K597" i="3"/>
  <c r="K598" i="3"/>
  <c r="K599" i="3"/>
  <c r="A591" i="3"/>
  <c r="A592" i="3"/>
  <c r="A593" i="3"/>
  <c r="A594" i="3"/>
  <c r="A595" i="3"/>
  <c r="A596" i="3"/>
  <c r="A597" i="3"/>
  <c r="A598" i="3"/>
  <c r="A599" i="3"/>
  <c r="B584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H566" i="3"/>
  <c r="H554" i="3"/>
  <c r="H552" i="3"/>
  <c r="H563" i="3"/>
  <c r="H551" i="3"/>
  <c r="B539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H524" i="3"/>
  <c r="H512" i="3"/>
  <c r="H510" i="3"/>
  <c r="H521" i="3"/>
  <c r="B497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F483" i="3"/>
  <c r="H477" i="3"/>
  <c r="F484" i="3"/>
  <c r="F470" i="3"/>
  <c r="H464" i="3"/>
  <c r="F471" i="3"/>
  <c r="H461" i="3"/>
  <c r="H460" i="3"/>
  <c r="H458" i="3"/>
  <c r="H454" i="3"/>
  <c r="H453" i="3"/>
  <c r="D483" i="3"/>
  <c r="H447" i="3"/>
  <c r="H446" i="3"/>
  <c r="H445" i="3"/>
  <c r="H444" i="3"/>
  <c r="H443" i="3"/>
  <c r="H439" i="3"/>
  <c r="H438" i="3"/>
  <c r="H437" i="3"/>
  <c r="H436" i="3"/>
  <c r="H435" i="3"/>
  <c r="B428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H422" i="3"/>
  <c r="G40" i="62"/>
  <c r="G193" i="62"/>
  <c r="A411" i="3"/>
  <c r="A412" i="3"/>
  <c r="A413" i="3"/>
  <c r="A414" i="3"/>
  <c r="A415" i="3"/>
  <c r="A416" i="3"/>
  <c r="A417" i="3"/>
  <c r="A418" i="3"/>
  <c r="A419" i="3"/>
  <c r="A420" i="3"/>
  <c r="A421" i="3"/>
  <c r="A422" i="3"/>
  <c r="H418" i="3"/>
  <c r="H416" i="3"/>
  <c r="H414" i="3"/>
  <c r="H412" i="3"/>
  <c r="H410" i="3"/>
  <c r="B404" i="3"/>
  <c r="K394" i="3"/>
  <c r="K395" i="3"/>
  <c r="K396" i="3"/>
  <c r="K397" i="3"/>
  <c r="K398" i="3"/>
  <c r="A394" i="3"/>
  <c r="A395" i="3"/>
  <c r="A396" i="3"/>
  <c r="A397" i="3"/>
  <c r="A398" i="3"/>
  <c r="H396" i="3"/>
  <c r="G37" i="62"/>
  <c r="H394" i="3"/>
  <c r="G36" i="62"/>
  <c r="B388" i="3"/>
  <c r="H382" i="3"/>
  <c r="G35" i="62"/>
  <c r="E17" i="102"/>
  <c r="B376" i="3"/>
  <c r="H367" i="3"/>
  <c r="G127" i="62"/>
  <c r="G63" i="62"/>
  <c r="B361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H338" i="3"/>
  <c r="H328" i="3"/>
  <c r="H322" i="3"/>
  <c r="B316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H306" i="3"/>
  <c r="H296" i="3"/>
  <c r="H294" i="3"/>
  <c r="H280" i="3"/>
  <c r="B27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H266" i="3"/>
  <c r="G54" i="62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H264" i="3"/>
  <c r="G23" i="62"/>
  <c r="H262" i="3"/>
  <c r="G221" i="62"/>
  <c r="B250" i="3"/>
  <c r="H248" i="3"/>
  <c r="H246" i="3"/>
  <c r="H244" i="3"/>
  <c r="H242" i="3"/>
  <c r="B236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H226" i="3"/>
  <c r="H222" i="3"/>
  <c r="H220" i="3"/>
  <c r="H218" i="3"/>
  <c r="H216" i="3"/>
  <c r="H214" i="3"/>
  <c r="H212" i="3"/>
  <c r="B206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H183" i="3"/>
  <c r="H182" i="3"/>
  <c r="H175" i="3"/>
  <c r="H168" i="3"/>
  <c r="H191" i="3"/>
  <c r="H166" i="3"/>
  <c r="H165" i="3"/>
  <c r="H164" i="3"/>
  <c r="H162" i="3"/>
  <c r="H161" i="3"/>
  <c r="H160" i="3"/>
  <c r="H159" i="3"/>
  <c r="H158" i="3"/>
  <c r="G15" i="62"/>
  <c r="H157" i="3"/>
  <c r="H156" i="3"/>
  <c r="H155" i="3"/>
  <c r="B170" i="3"/>
  <c r="H153" i="3"/>
  <c r="H149" i="3"/>
  <c r="H148" i="3"/>
  <c r="H147" i="3"/>
  <c r="H146" i="3"/>
  <c r="H145" i="3"/>
  <c r="H143" i="3"/>
  <c r="B136" i="3"/>
  <c r="H127" i="3"/>
  <c r="B121" i="3"/>
  <c r="K106" i="3"/>
  <c r="K107" i="3"/>
  <c r="K108" i="3"/>
  <c r="K109" i="3"/>
  <c r="K110" i="3"/>
  <c r="K111" i="3"/>
  <c r="K112" i="3"/>
  <c r="K113" i="3"/>
  <c r="K114" i="3"/>
  <c r="K115" i="3"/>
  <c r="H115" i="3"/>
  <c r="G124" i="62"/>
  <c r="A106" i="3"/>
  <c r="A107" i="3"/>
  <c r="A108" i="3"/>
  <c r="A109" i="3"/>
  <c r="A110" i="3"/>
  <c r="A111" i="3"/>
  <c r="A112" i="3"/>
  <c r="A113" i="3"/>
  <c r="A114" i="3"/>
  <c r="A115" i="3"/>
  <c r="H113" i="3"/>
  <c r="G104" i="62"/>
  <c r="H111" i="3"/>
  <c r="G119" i="62"/>
  <c r="B9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H87" i="3"/>
  <c r="G166" i="62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H69" i="3"/>
  <c r="G151" i="62"/>
  <c r="B63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H27" i="3"/>
  <c r="G165" i="62"/>
  <c r="H25" i="3"/>
  <c r="H19" i="3"/>
  <c r="H17" i="3"/>
  <c r="H15" i="3"/>
  <c r="H13" i="3"/>
  <c r="H100" i="102"/>
  <c r="H65" i="102"/>
  <c r="G100" i="102"/>
  <c r="E99" i="102"/>
  <c r="E98" i="102"/>
  <c r="J54" i="102"/>
  <c r="J55" i="102"/>
  <c r="J56" i="102"/>
  <c r="J57" i="102"/>
  <c r="J58" i="102"/>
  <c r="J59" i="102"/>
  <c r="J60" i="102"/>
  <c r="J61" i="102"/>
  <c r="J62" i="102"/>
  <c r="J63" i="102"/>
  <c r="J64" i="102"/>
  <c r="J65" i="102"/>
  <c r="J66" i="102"/>
  <c r="J67" i="102"/>
  <c r="J68" i="102"/>
  <c r="J69" i="102"/>
  <c r="J70" i="102"/>
  <c r="J71" i="102"/>
  <c r="J72" i="102"/>
  <c r="J73" i="102"/>
  <c r="J74" i="102"/>
  <c r="J75" i="102"/>
  <c r="J76" i="102"/>
  <c r="J77" i="102"/>
  <c r="J78" i="102"/>
  <c r="J79" i="102"/>
  <c r="J80" i="102"/>
  <c r="J81" i="102"/>
  <c r="J82" i="102"/>
  <c r="J83" i="102"/>
  <c r="J84" i="102"/>
  <c r="J53" i="102"/>
  <c r="A53" i="102"/>
  <c r="A54" i="102"/>
  <c r="A55" i="102"/>
  <c r="A56" i="102"/>
  <c r="A57" i="102"/>
  <c r="A58" i="102"/>
  <c r="A59" i="102"/>
  <c r="A60" i="102"/>
  <c r="A61" i="102"/>
  <c r="A62" i="102"/>
  <c r="A63" i="102"/>
  <c r="A64" i="102"/>
  <c r="A65" i="102"/>
  <c r="A66" i="102"/>
  <c r="A67" i="102"/>
  <c r="A68" i="102"/>
  <c r="A69" i="102"/>
  <c r="A70" i="102"/>
  <c r="A71" i="102"/>
  <c r="A72" i="102"/>
  <c r="A73" i="102"/>
  <c r="A74" i="102"/>
  <c r="A75" i="102"/>
  <c r="A76" i="102"/>
  <c r="A77" i="102"/>
  <c r="A78" i="102"/>
  <c r="A79" i="102"/>
  <c r="A80" i="102"/>
  <c r="A81" i="102"/>
  <c r="A82" i="102"/>
  <c r="A83" i="102"/>
  <c r="A84" i="102"/>
  <c r="C46" i="102"/>
  <c r="J12" i="102"/>
  <c r="J13" i="102"/>
  <c r="J14" i="102"/>
  <c r="J15" i="102"/>
  <c r="J16" i="102"/>
  <c r="J17" i="102"/>
  <c r="J18" i="102"/>
  <c r="J19" i="102"/>
  <c r="J20" i="102"/>
  <c r="J21" i="102"/>
  <c r="J22" i="102"/>
  <c r="J23" i="102"/>
  <c r="J24" i="102"/>
  <c r="J25" i="102"/>
  <c r="J26" i="102"/>
  <c r="J27" i="102"/>
  <c r="J28" i="102"/>
  <c r="J29" i="102"/>
  <c r="J30" i="102"/>
  <c r="J31" i="102"/>
  <c r="J32" i="102"/>
  <c r="J33" i="102"/>
  <c r="J34" i="102"/>
  <c r="J35" i="102"/>
  <c r="J36" i="102"/>
  <c r="J37" i="102"/>
  <c r="J11" i="102"/>
  <c r="A11" i="102"/>
  <c r="A12" i="102"/>
  <c r="A13" i="102"/>
  <c r="A14" i="102"/>
  <c r="A15" i="102"/>
  <c r="A16" i="102"/>
  <c r="A17" i="102"/>
  <c r="A18" i="102"/>
  <c r="A19" i="102"/>
  <c r="A20" i="102"/>
  <c r="A21" i="102"/>
  <c r="A22" i="102"/>
  <c r="A23" i="102"/>
  <c r="A24" i="102"/>
  <c r="A25" i="102"/>
  <c r="A26" i="102"/>
  <c r="A27" i="102"/>
  <c r="A28" i="102"/>
  <c r="A29" i="102"/>
  <c r="A30" i="102"/>
  <c r="A31" i="102"/>
  <c r="A32" i="102"/>
  <c r="A33" i="102"/>
  <c r="A34" i="102"/>
  <c r="A35" i="102"/>
  <c r="A36" i="102"/>
  <c r="A37" i="102"/>
  <c r="C4" i="102"/>
  <c r="J267" i="62"/>
  <c r="J268" i="62"/>
  <c r="J269" i="62"/>
  <c r="J270" i="62"/>
  <c r="J271" i="62"/>
  <c r="J272" i="62"/>
  <c r="J273" i="62"/>
  <c r="J274" i="62"/>
  <c r="J275" i="62"/>
  <c r="J276" i="62"/>
  <c r="J277" i="62"/>
  <c r="J278" i="62"/>
  <c r="J279" i="62"/>
  <c r="J280" i="62"/>
  <c r="J281" i="62"/>
  <c r="J282" i="62"/>
  <c r="J283" i="62"/>
  <c r="J284" i="62"/>
  <c r="J285" i="62"/>
  <c r="J286" i="62"/>
  <c r="J287" i="62"/>
  <c r="J288" i="62"/>
  <c r="J289" i="62"/>
  <c r="J290" i="62"/>
  <c r="J291" i="62"/>
  <c r="J292" i="62"/>
  <c r="J293" i="62"/>
  <c r="J294" i="62"/>
  <c r="J295" i="62"/>
  <c r="J296" i="62"/>
  <c r="J297" i="62"/>
  <c r="A267" i="62"/>
  <c r="A268" i="62"/>
  <c r="A269" i="62"/>
  <c r="A270" i="62"/>
  <c r="A271" i="62"/>
  <c r="A272" i="62"/>
  <c r="A273" i="62"/>
  <c r="A274" i="62"/>
  <c r="A275" i="62"/>
  <c r="A276" i="62"/>
  <c r="A277" i="62"/>
  <c r="A278" i="62"/>
  <c r="A279" i="62"/>
  <c r="A280" i="62"/>
  <c r="A281" i="62"/>
  <c r="A282" i="62"/>
  <c r="A283" i="62"/>
  <c r="A284" i="62"/>
  <c r="A285" i="62"/>
  <c r="A286" i="62"/>
  <c r="A287" i="62"/>
  <c r="A288" i="62"/>
  <c r="A289" i="62"/>
  <c r="A290" i="62"/>
  <c r="A291" i="62"/>
  <c r="A292" i="62"/>
  <c r="A293" i="62"/>
  <c r="A294" i="62"/>
  <c r="A295" i="62"/>
  <c r="A296" i="62"/>
  <c r="A297" i="62"/>
  <c r="J216" i="62"/>
  <c r="J217" i="62"/>
  <c r="J218" i="62"/>
  <c r="J219" i="62"/>
  <c r="J220" i="62"/>
  <c r="J221" i="62"/>
  <c r="J222" i="62"/>
  <c r="J223" i="62"/>
  <c r="J224" i="62"/>
  <c r="J225" i="62"/>
  <c r="J226" i="62"/>
  <c r="J227" i="62"/>
  <c r="J228" i="62"/>
  <c r="J229" i="62"/>
  <c r="J230" i="62"/>
  <c r="J231" i="62"/>
  <c r="J232" i="62"/>
  <c r="J233" i="62"/>
  <c r="J234" i="62"/>
  <c r="J235" i="62"/>
  <c r="J236" i="62"/>
  <c r="J237" i="62"/>
  <c r="J238" i="62"/>
  <c r="J239" i="62"/>
  <c r="J240" i="62"/>
  <c r="J241" i="62"/>
  <c r="J242" i="62"/>
  <c r="J243" i="62"/>
  <c r="J244" i="62"/>
  <c r="J245" i="62"/>
  <c r="J246" i="62"/>
  <c r="J247" i="62"/>
  <c r="J248" i="62"/>
  <c r="J249" i="62"/>
  <c r="J250" i="62"/>
  <c r="J251" i="62"/>
  <c r="A216" i="62"/>
  <c r="A217" i="62"/>
  <c r="A218" i="62"/>
  <c r="A219" i="62"/>
  <c r="A220" i="62"/>
  <c r="A221" i="62"/>
  <c r="A222" i="62"/>
  <c r="A223" i="62"/>
  <c r="A224" i="62"/>
  <c r="A225" i="62"/>
  <c r="A226" i="62"/>
  <c r="A227" i="62"/>
  <c r="A228" i="62"/>
  <c r="A229" i="62"/>
  <c r="A230" i="62"/>
  <c r="A231" i="62"/>
  <c r="A232" i="62"/>
  <c r="A233" i="62"/>
  <c r="A234" i="62"/>
  <c r="A235" i="62"/>
  <c r="A236" i="62"/>
  <c r="A237" i="62"/>
  <c r="A238" i="62"/>
  <c r="A239" i="62"/>
  <c r="A240" i="62"/>
  <c r="A241" i="62"/>
  <c r="A242" i="62"/>
  <c r="A243" i="62"/>
  <c r="A244" i="62"/>
  <c r="A245" i="62"/>
  <c r="A246" i="62"/>
  <c r="A247" i="62"/>
  <c r="A248" i="62"/>
  <c r="A249" i="62"/>
  <c r="A250" i="62"/>
  <c r="A251" i="62"/>
  <c r="G245" i="62"/>
  <c r="G238" i="62"/>
  <c r="G232" i="62"/>
  <c r="G225" i="62"/>
  <c r="C208" i="62"/>
  <c r="J184" i="62"/>
  <c r="J185" i="62"/>
  <c r="J186" i="62"/>
  <c r="J187" i="62"/>
  <c r="J188" i="62"/>
  <c r="J189" i="62"/>
  <c r="J190" i="62"/>
  <c r="J191" i="62"/>
  <c r="J192" i="62"/>
  <c r="J193" i="62"/>
  <c r="J194" i="62"/>
  <c r="J195" i="62"/>
  <c r="J196" i="62"/>
  <c r="J197" i="62"/>
  <c r="J198" i="62"/>
  <c r="J199" i="62"/>
  <c r="J200" i="62"/>
  <c r="J201" i="62"/>
  <c r="J202" i="62"/>
  <c r="A184" i="62"/>
  <c r="A185" i="62"/>
  <c r="A186" i="62"/>
  <c r="A187" i="62"/>
  <c r="A188" i="62"/>
  <c r="A189" i="62"/>
  <c r="A190" i="62"/>
  <c r="A191" i="62"/>
  <c r="A192" i="62"/>
  <c r="A193" i="62"/>
  <c r="A194" i="62"/>
  <c r="A195" i="62"/>
  <c r="A196" i="62"/>
  <c r="A197" i="62"/>
  <c r="A198" i="62"/>
  <c r="A199" i="62"/>
  <c r="A200" i="62"/>
  <c r="A201" i="62"/>
  <c r="A202" i="62"/>
  <c r="J144" i="62"/>
  <c r="J145" i="62"/>
  <c r="J146" i="62"/>
  <c r="J147" i="62"/>
  <c r="J148" i="62"/>
  <c r="J149" i="62"/>
  <c r="J150" i="62"/>
  <c r="J151" i="62"/>
  <c r="J152" i="62"/>
  <c r="J153" i="62"/>
  <c r="J154" i="62"/>
  <c r="J155" i="62"/>
  <c r="J156" i="62"/>
  <c r="J157" i="62"/>
  <c r="J158" i="62"/>
  <c r="J159" i="62"/>
  <c r="J160" i="62"/>
  <c r="J161" i="62"/>
  <c r="J162" i="62"/>
  <c r="J163" i="62"/>
  <c r="J164" i="62"/>
  <c r="J165" i="62"/>
  <c r="J166" i="62"/>
  <c r="J167" i="62"/>
  <c r="A144" i="62"/>
  <c r="A145" i="62"/>
  <c r="A146" i="62"/>
  <c r="A147" i="62"/>
  <c r="A148" i="62"/>
  <c r="A149" i="62"/>
  <c r="A150" i="62"/>
  <c r="A151" i="62"/>
  <c r="A152" i="62"/>
  <c r="A153" i="62"/>
  <c r="A154" i="62"/>
  <c r="A155" i="62"/>
  <c r="A156" i="62"/>
  <c r="A157" i="62"/>
  <c r="A158" i="62"/>
  <c r="A159" i="62"/>
  <c r="A160" i="62"/>
  <c r="A161" i="62"/>
  <c r="A162" i="62"/>
  <c r="A163" i="62"/>
  <c r="A164" i="62"/>
  <c r="A165" i="62"/>
  <c r="A166" i="62"/>
  <c r="A167" i="62"/>
  <c r="C137" i="62"/>
  <c r="J91" i="62"/>
  <c r="J92" i="62"/>
  <c r="J93" i="62"/>
  <c r="J94" i="62"/>
  <c r="J95" i="62"/>
  <c r="J96" i="62"/>
  <c r="J97" i="62"/>
  <c r="J98" i="62"/>
  <c r="J99" i="62"/>
  <c r="J100" i="62"/>
  <c r="J101" i="62"/>
  <c r="J102" i="62"/>
  <c r="J103" i="62"/>
  <c r="J104" i="62"/>
  <c r="J105" i="62"/>
  <c r="J106" i="62"/>
  <c r="J107" i="62"/>
  <c r="J108" i="62"/>
  <c r="J109" i="62"/>
  <c r="J110" i="62"/>
  <c r="J111" i="62"/>
  <c r="J112" i="62"/>
  <c r="J113" i="62"/>
  <c r="J114" i="62"/>
  <c r="J115" i="62"/>
  <c r="J116" i="62"/>
  <c r="J117" i="62"/>
  <c r="J118" i="62"/>
  <c r="J119" i="62"/>
  <c r="J120" i="62"/>
  <c r="J121" i="62"/>
  <c r="J122" i="62"/>
  <c r="J123" i="62"/>
  <c r="J124" i="62"/>
  <c r="J125" i="62"/>
  <c r="J126" i="62"/>
  <c r="J127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A103" i="62"/>
  <c r="A104" i="62"/>
  <c r="A105" i="62"/>
  <c r="A106" i="62"/>
  <c r="A107" i="62"/>
  <c r="A108" i="62"/>
  <c r="A109" i="62"/>
  <c r="A110" i="62"/>
  <c r="A111" i="62"/>
  <c r="A112" i="62"/>
  <c r="A113" i="62"/>
  <c r="A114" i="62"/>
  <c r="A115" i="62"/>
  <c r="A116" i="62"/>
  <c r="A117" i="62"/>
  <c r="A118" i="62"/>
  <c r="A119" i="62"/>
  <c r="A120" i="62"/>
  <c r="A121" i="62"/>
  <c r="A122" i="62"/>
  <c r="A123" i="62"/>
  <c r="A124" i="62"/>
  <c r="A125" i="62"/>
  <c r="A126" i="62"/>
  <c r="A127" i="62"/>
  <c r="G123" i="62"/>
  <c r="G113" i="62"/>
  <c r="G99" i="62"/>
  <c r="G98" i="62"/>
  <c r="C84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39" i="62"/>
  <c r="J40" i="62"/>
  <c r="J41" i="62"/>
  <c r="J42" i="62"/>
  <c r="J43" i="62"/>
  <c r="J44" i="62"/>
  <c r="J45" i="62"/>
  <c r="J46" i="62"/>
  <c r="J47" i="62"/>
  <c r="J48" i="62"/>
  <c r="J49" i="62"/>
  <c r="J50" i="62"/>
  <c r="J51" i="62"/>
  <c r="J52" i="62"/>
  <c r="J53" i="62"/>
  <c r="J54" i="62"/>
  <c r="J55" i="62"/>
  <c r="J56" i="62"/>
  <c r="J57" i="62"/>
  <c r="J58" i="62"/>
  <c r="J59" i="62"/>
  <c r="J60" i="62"/>
  <c r="J61" i="62"/>
  <c r="J62" i="62"/>
  <c r="J63" i="62"/>
  <c r="J64" i="62"/>
  <c r="J65" i="62"/>
  <c r="J66" i="62"/>
  <c r="J67" i="62"/>
  <c r="J68" i="62"/>
  <c r="J69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G45" i="62"/>
  <c r="G39" i="62"/>
  <c r="E30" i="107"/>
  <c r="E32" i="107"/>
  <c r="E34" i="107"/>
  <c r="I30" i="107"/>
  <c r="I32" i="107"/>
  <c r="I34" i="107"/>
  <c r="M30" i="107"/>
  <c r="M32" i="107"/>
  <c r="M34" i="107"/>
  <c r="F30" i="107"/>
  <c r="F32" i="107"/>
  <c r="F34" i="107"/>
  <c r="J30" i="107"/>
  <c r="J32" i="107"/>
  <c r="J34" i="107"/>
  <c r="J32" i="112"/>
  <c r="J34" i="112"/>
  <c r="D470" i="3"/>
  <c r="H29" i="3"/>
  <c r="H459" i="3"/>
  <c r="G144" i="62"/>
  <c r="G158" i="62"/>
  <c r="G91" i="62"/>
  <c r="H398" i="3"/>
  <c r="G100" i="62"/>
  <c r="E100" i="102"/>
  <c r="G65" i="102"/>
  <c r="O19" i="110"/>
  <c r="G125" i="62"/>
  <c r="G56" i="62"/>
  <c r="G167" i="62"/>
  <c r="G118" i="62"/>
  <c r="G120" i="62"/>
  <c r="H150" i="3"/>
  <c r="G11" i="62"/>
  <c r="G186" i="62"/>
  <c r="H224" i="3"/>
  <c r="H230" i="3"/>
  <c r="H308" i="3"/>
  <c r="H310" i="3"/>
  <c r="G27" i="62"/>
  <c r="H420" i="3"/>
  <c r="G38" i="62"/>
  <c r="H462" i="3"/>
  <c r="D484" i="3"/>
  <c r="H448" i="3"/>
  <c r="H440" i="3"/>
  <c r="D482" i="3"/>
  <c r="I27" i="73"/>
  <c r="G59" i="73"/>
  <c r="C32" i="112"/>
  <c r="G32" i="112"/>
  <c r="G34" i="112"/>
  <c r="K32" i="112"/>
  <c r="K34" i="112"/>
  <c r="O30" i="112"/>
  <c r="E32" i="112"/>
  <c r="E34" i="112"/>
  <c r="I32" i="112"/>
  <c r="I34" i="112"/>
  <c r="G22" i="111"/>
  <c r="N22" i="111"/>
  <c r="M22" i="111"/>
  <c r="L22" i="111"/>
  <c r="K22" i="111"/>
  <c r="J22" i="111"/>
  <c r="I22" i="111"/>
  <c r="O32" i="111"/>
  <c r="C34" i="111"/>
  <c r="O34" i="111"/>
  <c r="H22" i="111"/>
  <c r="C17" i="111"/>
  <c r="F22" i="111"/>
  <c r="J29" i="110"/>
  <c r="O21" i="110"/>
  <c r="C25" i="110"/>
  <c r="E29" i="110" s="1"/>
  <c r="E30" i="110" s="1"/>
  <c r="E32" i="110" s="1"/>
  <c r="C42" i="110"/>
  <c r="O42" i="110"/>
  <c r="O40" i="110"/>
  <c r="C22" i="107"/>
  <c r="O17" i="107"/>
  <c r="E22" i="107"/>
  <c r="E23" i="107"/>
  <c r="E25" i="107"/>
  <c r="D22" i="107"/>
  <c r="D23" i="107"/>
  <c r="D25" i="107"/>
  <c r="C23" i="107"/>
  <c r="C25" i="107"/>
  <c r="C27" i="107"/>
  <c r="D8" i="107"/>
  <c r="N22" i="107"/>
  <c r="M22" i="107"/>
  <c r="L22" i="107"/>
  <c r="K22" i="107"/>
  <c r="J22" i="107"/>
  <c r="I22" i="107"/>
  <c r="G22" i="107"/>
  <c r="F22" i="107"/>
  <c r="H22" i="107"/>
  <c r="C34" i="107"/>
  <c r="O15" i="107"/>
  <c r="M29" i="106"/>
  <c r="L29" i="106"/>
  <c r="F29" i="106"/>
  <c r="O21" i="106"/>
  <c r="C25" i="106"/>
  <c r="C42" i="106"/>
  <c r="O42" i="106"/>
  <c r="O40" i="106"/>
  <c r="D61" i="73"/>
  <c r="D62" i="73"/>
  <c r="D48" i="73"/>
  <c r="D46" i="73"/>
  <c r="H167" i="3"/>
  <c r="H169" i="3"/>
  <c r="H36" i="67"/>
  <c r="H38" i="67"/>
  <c r="G188" i="62"/>
  <c r="E13" i="102"/>
  <c r="G220" i="62"/>
  <c r="G192" i="62"/>
  <c r="E19" i="102"/>
  <c r="H345" i="3"/>
  <c r="G222" i="62"/>
  <c r="G190" i="62"/>
  <c r="G189" i="62"/>
  <c r="G224" i="62"/>
  <c r="G223" i="62"/>
  <c r="G191" i="62"/>
  <c r="E65" i="102"/>
  <c r="H66" i="102"/>
  <c r="O32" i="107"/>
  <c r="O34" i="107"/>
  <c r="D471" i="3"/>
  <c r="H509" i="3"/>
  <c r="I86" i="73"/>
  <c r="H228" i="3"/>
  <c r="I130" i="73"/>
  <c r="I141" i="73"/>
  <c r="H553" i="3"/>
  <c r="H564" i="3"/>
  <c r="D27" i="107"/>
  <c r="E27" i="107"/>
  <c r="F8" i="107"/>
  <c r="G218" i="62"/>
  <c r="G48" i="62"/>
  <c r="G49" i="62"/>
  <c r="G51" i="62"/>
  <c r="G46" i="73"/>
  <c r="H450" i="3"/>
  <c r="F482" i="3"/>
  <c r="D469" i="3"/>
  <c r="O32" i="112"/>
  <c r="C34" i="112"/>
  <c r="O34" i="112"/>
  <c r="C22" i="111"/>
  <c r="C23" i="111"/>
  <c r="C25" i="111"/>
  <c r="C27" i="111"/>
  <c r="D8" i="111"/>
  <c r="E22" i="111"/>
  <c r="E23" i="111"/>
  <c r="E25" i="111"/>
  <c r="O17" i="111"/>
  <c r="D22" i="111"/>
  <c r="D23" i="111"/>
  <c r="D25" i="111"/>
  <c r="C29" i="110"/>
  <c r="C30" i="110" s="1"/>
  <c r="C32" i="110" s="1"/>
  <c r="D29" i="106"/>
  <c r="D30" i="106" s="1"/>
  <c r="D32" i="106" s="1"/>
  <c r="C29" i="106"/>
  <c r="C30" i="106"/>
  <c r="C32" i="106" s="1"/>
  <c r="D49" i="73"/>
  <c r="E46" i="73"/>
  <c r="D472" i="3"/>
  <c r="E469" i="3"/>
  <c r="D485" i="3"/>
  <c r="E66" i="102"/>
  <c r="D27" i="111"/>
  <c r="E8" i="111"/>
  <c r="E27" i="111"/>
  <c r="F8" i="111"/>
  <c r="H21" i="111"/>
  <c r="H23" i="111"/>
  <c r="H25" i="111"/>
  <c r="G21" i="107"/>
  <c r="G23" i="107"/>
  <c r="G25" i="107"/>
  <c r="H21" i="107"/>
  <c r="H23" i="107"/>
  <c r="H25" i="107"/>
  <c r="F21" i="107"/>
  <c r="F23" i="107"/>
  <c r="F25" i="107"/>
  <c r="F27" i="107"/>
  <c r="F469" i="3"/>
  <c r="H469" i="3"/>
  <c r="G21" i="111"/>
  <c r="G23" i="111"/>
  <c r="G25" i="111"/>
  <c r="F21" i="111"/>
  <c r="F23" i="111"/>
  <c r="F25" i="111"/>
  <c r="I46" i="73"/>
  <c r="E61" i="73"/>
  <c r="I61" i="73"/>
  <c r="E59" i="73"/>
  <c r="E60" i="73"/>
  <c r="I60" i="73"/>
  <c r="E47" i="73"/>
  <c r="I47" i="73"/>
  <c r="E48" i="73"/>
  <c r="I48" i="73"/>
  <c r="E483" i="3"/>
  <c r="H483" i="3"/>
  <c r="E470" i="3"/>
  <c r="H470" i="3"/>
  <c r="E471" i="3"/>
  <c r="H471" i="3"/>
  <c r="E482" i="3"/>
  <c r="E484" i="3"/>
  <c r="H484" i="3"/>
  <c r="I9" i="89"/>
  <c r="G9" i="89"/>
  <c r="F22" i="115"/>
  <c r="J33" i="64"/>
  <c r="F22" i="117"/>
  <c r="F24" i="117"/>
  <c r="F23" i="117"/>
  <c r="F21" i="117"/>
  <c r="F20" i="117"/>
  <c r="F19" i="117"/>
  <c r="F18" i="117"/>
  <c r="F17" i="117"/>
  <c r="F16" i="117"/>
  <c r="F15" i="117"/>
  <c r="G14" i="117"/>
  <c r="G15" i="117"/>
  <c r="G16" i="117"/>
  <c r="G17" i="117"/>
  <c r="G18" i="117"/>
  <c r="G19" i="117"/>
  <c r="G20" i="117"/>
  <c r="G21" i="117"/>
  <c r="G22" i="117"/>
  <c r="G23" i="117"/>
  <c r="G24" i="117"/>
  <c r="G25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F23" i="115"/>
  <c r="F15" i="115"/>
  <c r="F16" i="115"/>
  <c r="F17" i="115"/>
  <c r="F18" i="115"/>
  <c r="F19" i="115"/>
  <c r="F20" i="115"/>
  <c r="F21" i="115"/>
  <c r="F14" i="115"/>
  <c r="G14" i="115"/>
  <c r="G15" i="115"/>
  <c r="G16" i="115"/>
  <c r="G17" i="115"/>
  <c r="G18" i="115"/>
  <c r="G19" i="115"/>
  <c r="G20" i="115"/>
  <c r="G21" i="115"/>
  <c r="G22" i="115"/>
  <c r="G23" i="115"/>
  <c r="G24" i="115"/>
  <c r="A14" i="115"/>
  <c r="A15" i="115"/>
  <c r="A16" i="115"/>
  <c r="A17" i="115"/>
  <c r="A18" i="115"/>
  <c r="A19" i="115"/>
  <c r="A20" i="115"/>
  <c r="A21" i="115"/>
  <c r="A22" i="115"/>
  <c r="A23" i="115"/>
  <c r="A24" i="115"/>
  <c r="E11" i="114"/>
  <c r="E12" i="114"/>
  <c r="E13" i="114"/>
  <c r="E14" i="114"/>
  <c r="E15" i="114"/>
  <c r="E16" i="114"/>
  <c r="E17" i="114"/>
  <c r="A11" i="114"/>
  <c r="A12" i="114"/>
  <c r="A13" i="114"/>
  <c r="A14" i="114"/>
  <c r="A15" i="114"/>
  <c r="A16" i="114"/>
  <c r="A17" i="114"/>
  <c r="A17" i="71"/>
  <c r="G34" i="71"/>
  <c r="L35" i="71"/>
  <c r="L36" i="71"/>
  <c r="L37" i="71"/>
  <c r="L38" i="71"/>
  <c r="L39" i="71"/>
  <c r="L40" i="71"/>
  <c r="G24" i="71"/>
  <c r="H335" i="3"/>
  <c r="G23" i="68"/>
  <c r="G29" i="68"/>
  <c r="N21" i="66"/>
  <c r="N22" i="66"/>
  <c r="K22" i="66"/>
  <c r="A21" i="66"/>
  <c r="A22" i="66"/>
  <c r="N28" i="65"/>
  <c r="N29" i="65"/>
  <c r="N12" i="65"/>
  <c r="A28" i="65"/>
  <c r="A29" i="65"/>
  <c r="A12" i="65"/>
  <c r="L12" i="69"/>
  <c r="A12" i="69"/>
  <c r="K27" i="77"/>
  <c r="K28" i="77"/>
  <c r="K29" i="77"/>
  <c r="K17" i="77"/>
  <c r="K18" i="77"/>
  <c r="A17" i="77"/>
  <c r="G27" i="71"/>
  <c r="I9" i="66"/>
  <c r="G9" i="66"/>
  <c r="I9" i="65"/>
  <c r="G9" i="65"/>
  <c r="B5" i="103"/>
  <c r="I20" i="77"/>
  <c r="E20" i="77"/>
  <c r="H24" i="77"/>
  <c r="G24" i="77"/>
  <c r="D24" i="77"/>
  <c r="C24" i="77"/>
  <c r="H15" i="77"/>
  <c r="H26" i="77" s="1"/>
  <c r="G15" i="77"/>
  <c r="G26" i="77" s="1"/>
  <c r="D15" i="77"/>
  <c r="D26" i="77" s="1"/>
  <c r="C15" i="77"/>
  <c r="C26" i="77" s="1"/>
  <c r="N19" i="66"/>
  <c r="N20" i="66"/>
  <c r="K20" i="66"/>
  <c r="A19" i="66"/>
  <c r="A20" i="66"/>
  <c r="J26" i="68"/>
  <c r="J27" i="68"/>
  <c r="J28" i="68"/>
  <c r="J29" i="68"/>
  <c r="A26" i="68"/>
  <c r="A27" i="68"/>
  <c r="A28" i="68"/>
  <c r="A29" i="68"/>
  <c r="B5" i="72"/>
  <c r="B5" i="82"/>
  <c r="B5" i="83"/>
  <c r="B5" i="71"/>
  <c r="B5" i="70"/>
  <c r="B5" i="69"/>
  <c r="B5" i="68"/>
  <c r="B5" i="89"/>
  <c r="B5" i="65"/>
  <c r="B5" i="66"/>
  <c r="M12" i="64"/>
  <c r="M13" i="64"/>
  <c r="A12" i="64"/>
  <c r="A13" i="64"/>
  <c r="I22" i="77"/>
  <c r="I18" i="77"/>
  <c r="E22" i="77"/>
  <c r="E18" i="77"/>
  <c r="E24" i="77"/>
  <c r="I24" i="77"/>
  <c r="H107" i="3"/>
  <c r="G22" i="71"/>
  <c r="H333" i="3"/>
  <c r="I13" i="77"/>
  <c r="E13" i="77"/>
  <c r="K12" i="77"/>
  <c r="K13" i="77"/>
  <c r="K14" i="77"/>
  <c r="K15" i="77"/>
  <c r="K16" i="77"/>
  <c r="K19" i="77"/>
  <c r="K20" i="77"/>
  <c r="K21" i="77"/>
  <c r="K22" i="77"/>
  <c r="K23" i="77"/>
  <c r="K24" i="77"/>
  <c r="K25" i="77"/>
  <c r="K26" i="77"/>
  <c r="A12" i="77"/>
  <c r="A13" i="77"/>
  <c r="A14" i="77"/>
  <c r="A15" i="77"/>
  <c r="A16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I11" i="77"/>
  <c r="I15" i="77" s="1"/>
  <c r="E11" i="77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A12" i="71"/>
  <c r="A13" i="71"/>
  <c r="A14" i="71"/>
  <c r="A15" i="71"/>
  <c r="A16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N12" i="66"/>
  <c r="N13" i="66"/>
  <c r="N14" i="66"/>
  <c r="N15" i="66"/>
  <c r="N16" i="66"/>
  <c r="N17" i="66"/>
  <c r="N18" i="66"/>
  <c r="I15" i="66"/>
  <c r="G15" i="66"/>
  <c r="A12" i="66"/>
  <c r="A13" i="66"/>
  <c r="A14" i="66"/>
  <c r="A15" i="66"/>
  <c r="A16" i="66"/>
  <c r="A17" i="66"/>
  <c r="A18" i="66"/>
  <c r="A30" i="71"/>
  <c r="A31" i="71"/>
  <c r="A32" i="71"/>
  <c r="A33" i="71"/>
  <c r="A34" i="71"/>
  <c r="L30" i="71"/>
  <c r="L31" i="71"/>
  <c r="L32" i="71"/>
  <c r="L33" i="71"/>
  <c r="L34" i="71"/>
  <c r="A35" i="71"/>
  <c r="A36" i="71"/>
  <c r="A37" i="71"/>
  <c r="A38" i="71"/>
  <c r="A39" i="71"/>
  <c r="A40" i="71"/>
  <c r="I15" i="70"/>
  <c r="K11" i="66"/>
  <c r="H105" i="3"/>
  <c r="K18" i="66"/>
  <c r="K17" i="65"/>
  <c r="H75" i="3"/>
  <c r="K15" i="65"/>
  <c r="H73" i="3"/>
  <c r="K13" i="65"/>
  <c r="H71" i="3"/>
  <c r="J31" i="64"/>
  <c r="J23" i="64"/>
  <c r="J11" i="64"/>
  <c r="H11" i="3"/>
  <c r="H21" i="3"/>
  <c r="N11" i="89"/>
  <c r="A11" i="89"/>
  <c r="N13" i="65"/>
  <c r="N14" i="65"/>
  <c r="N15" i="65"/>
  <c r="N16" i="65"/>
  <c r="N17" i="65"/>
  <c r="N18" i="65"/>
  <c r="N19" i="65"/>
  <c r="A13" i="65"/>
  <c r="A14" i="65"/>
  <c r="A15" i="65"/>
  <c r="A16" i="65"/>
  <c r="A17" i="65"/>
  <c r="A18" i="65"/>
  <c r="A19" i="65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M30" i="64"/>
  <c r="M31" i="64"/>
  <c r="M32" i="64"/>
  <c r="M33" i="64"/>
  <c r="M34" i="64"/>
  <c r="M35" i="64"/>
  <c r="M36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L12" i="70"/>
  <c r="L13" i="70"/>
  <c r="L14" i="70"/>
  <c r="L15" i="70"/>
  <c r="L16" i="70"/>
  <c r="L17" i="70"/>
  <c r="L18" i="70"/>
  <c r="L19" i="70"/>
  <c r="L20" i="70"/>
  <c r="L21" i="70"/>
  <c r="L22" i="70"/>
  <c r="L23" i="70"/>
  <c r="L24" i="70"/>
  <c r="L25" i="70"/>
  <c r="L26" i="70"/>
  <c r="L27" i="70"/>
  <c r="L28" i="70"/>
  <c r="L29" i="70"/>
  <c r="L30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J11" i="82"/>
  <c r="J12" i="82"/>
  <c r="J13" i="82"/>
  <c r="J14" i="82"/>
  <c r="J15" i="82"/>
  <c r="G15" i="82"/>
  <c r="A11" i="82"/>
  <c r="A12" i="82"/>
  <c r="A13" i="82"/>
  <c r="A14" i="82"/>
  <c r="A15" i="82"/>
  <c r="L12" i="72"/>
  <c r="L13" i="72"/>
  <c r="L14" i="72"/>
  <c r="L15" i="72"/>
  <c r="L16" i="72"/>
  <c r="L17" i="72"/>
  <c r="L18" i="72"/>
  <c r="L19" i="72"/>
  <c r="L20" i="72"/>
  <c r="L21" i="72"/>
  <c r="L22" i="72"/>
  <c r="L23" i="72"/>
  <c r="I2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0" i="65"/>
  <c r="N20" i="65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27" i="69"/>
  <c r="J29" i="64"/>
  <c r="H43" i="67"/>
  <c r="H174" i="3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M37" i="64"/>
  <c r="M38" i="64"/>
  <c r="M39" i="64"/>
  <c r="M40" i="64"/>
  <c r="M41" i="64"/>
  <c r="M42" i="64"/>
  <c r="M43" i="64"/>
  <c r="M44" i="64"/>
  <c r="M45" i="64"/>
  <c r="M46" i="64"/>
  <c r="M47" i="64"/>
  <c r="M48" i="64"/>
  <c r="M49" i="64"/>
  <c r="N21" i="65"/>
  <c r="N22" i="65"/>
  <c r="N23" i="65"/>
  <c r="N24" i="65"/>
  <c r="N25" i="65"/>
  <c r="N26" i="65"/>
  <c r="N27" i="65"/>
  <c r="A21" i="65"/>
  <c r="A22" i="65"/>
  <c r="A23" i="65"/>
  <c r="A24" i="65"/>
  <c r="A25" i="65"/>
  <c r="A26" i="65"/>
  <c r="A27" i="65"/>
  <c r="G32" i="71"/>
  <c r="H343" i="3"/>
  <c r="H347" i="3"/>
  <c r="F27" i="111"/>
  <c r="G8" i="111"/>
  <c r="G27" i="111"/>
  <c r="H8" i="111"/>
  <c r="H27" i="111"/>
  <c r="I8" i="111"/>
  <c r="K21" i="111"/>
  <c r="K23" i="111"/>
  <c r="K25" i="111"/>
  <c r="G8" i="107"/>
  <c r="G27" i="107"/>
  <c r="H8" i="107"/>
  <c r="H27" i="107"/>
  <c r="I8" i="107"/>
  <c r="G27" i="68"/>
  <c r="H109" i="3"/>
  <c r="I19" i="70"/>
  <c r="H278" i="3"/>
  <c r="H282" i="3"/>
  <c r="H299" i="3"/>
  <c r="H55" i="67"/>
  <c r="H186" i="3"/>
  <c r="H33" i="3"/>
  <c r="H54" i="67"/>
  <c r="H185" i="3"/>
  <c r="H31" i="3"/>
  <c r="H298" i="3"/>
  <c r="J39" i="64"/>
  <c r="H297" i="3"/>
  <c r="H53" i="67"/>
  <c r="H23" i="3"/>
  <c r="J21" i="64"/>
  <c r="J35" i="64"/>
  <c r="H39" i="67"/>
  <c r="I19" i="69"/>
  <c r="I28" i="70"/>
  <c r="I30" i="70"/>
  <c r="K19" i="65"/>
  <c r="J37" i="64"/>
  <c r="I64" i="73"/>
  <c r="I139" i="73"/>
  <c r="I59" i="73"/>
  <c r="I62" i="73"/>
  <c r="I150" i="73"/>
  <c r="E62" i="73"/>
  <c r="I51" i="73"/>
  <c r="E49" i="73"/>
  <c r="I49" i="73"/>
  <c r="I108" i="73"/>
  <c r="H472" i="3"/>
  <c r="H531" i="3"/>
  <c r="H474" i="3"/>
  <c r="E472" i="3"/>
  <c r="H487" i="3"/>
  <c r="H482" i="3"/>
  <c r="H485" i="3"/>
  <c r="H573" i="3"/>
  <c r="E485" i="3"/>
  <c r="E15" i="77"/>
  <c r="E26" i="77" s="1"/>
  <c r="G36" i="71"/>
  <c r="G103" i="62"/>
  <c r="G105" i="62"/>
  <c r="J21" i="107"/>
  <c r="J23" i="107"/>
  <c r="J25" i="107"/>
  <c r="K21" i="107"/>
  <c r="K23" i="107"/>
  <c r="K25" i="107"/>
  <c r="H35" i="3"/>
  <c r="J21" i="111"/>
  <c r="J23" i="111"/>
  <c r="J25" i="111"/>
  <c r="I21" i="111"/>
  <c r="I23" i="111"/>
  <c r="I25" i="111"/>
  <c r="I27" i="111"/>
  <c r="J8" i="111"/>
  <c r="I21" i="107"/>
  <c r="I23" i="107"/>
  <c r="I25" i="107"/>
  <c r="I27" i="107"/>
  <c r="J8" i="107"/>
  <c r="H39" i="3"/>
  <c r="H49" i="67"/>
  <c r="H180" i="3"/>
  <c r="H292" i="3"/>
  <c r="H300" i="3"/>
  <c r="H286" i="3"/>
  <c r="H184" i="3"/>
  <c r="H56" i="67"/>
  <c r="H77" i="3"/>
  <c r="K23" i="65"/>
  <c r="K21" i="65"/>
  <c r="K25" i="65"/>
  <c r="H250" i="3"/>
  <c r="I21" i="69"/>
  <c r="I23" i="69"/>
  <c r="I25" i="69"/>
  <c r="H37" i="3"/>
  <c r="J41" i="64"/>
  <c r="J43" i="64"/>
  <c r="J45" i="64"/>
  <c r="H170" i="3"/>
  <c r="H171" i="3"/>
  <c r="H195" i="3"/>
  <c r="H40" i="67"/>
  <c r="H64" i="67"/>
  <c r="I127" i="73"/>
  <c r="I133" i="73"/>
  <c r="I142" i="73"/>
  <c r="I97" i="73"/>
  <c r="I85" i="73"/>
  <c r="H550" i="3"/>
  <c r="H556" i="3"/>
  <c r="H565" i="3"/>
  <c r="H562" i="3"/>
  <c r="H508" i="3"/>
  <c r="H520" i="3"/>
  <c r="J27" i="107"/>
  <c r="K8" i="107"/>
  <c r="K27" i="107"/>
  <c r="L8" i="107"/>
  <c r="N21" i="107"/>
  <c r="N23" i="107"/>
  <c r="H187" i="3"/>
  <c r="J27" i="111"/>
  <c r="K8" i="111"/>
  <c r="K27" i="111"/>
  <c r="L8" i="111"/>
  <c r="L21" i="111"/>
  <c r="L23" i="111"/>
  <c r="L25" i="111"/>
  <c r="L27" i="111"/>
  <c r="M8" i="111"/>
  <c r="H46" i="67"/>
  <c r="H177" i="3"/>
  <c r="H289" i="3"/>
  <c r="H45" i="67"/>
  <c r="H288" i="3"/>
  <c r="K27" i="65"/>
  <c r="J47" i="64"/>
  <c r="J49" i="64"/>
  <c r="I27" i="69"/>
  <c r="H43" i="3"/>
  <c r="G146" i="62"/>
  <c r="H45" i="3"/>
  <c r="G147" i="62"/>
  <c r="H41" i="3"/>
  <c r="H254" i="3"/>
  <c r="H256" i="3"/>
  <c r="H252" i="3"/>
  <c r="H83" i="3"/>
  <c r="G154" i="62"/>
  <c r="H79" i="3"/>
  <c r="H81" i="3"/>
  <c r="G153" i="62"/>
  <c r="I145" i="73"/>
  <c r="I148" i="73"/>
  <c r="I152" i="73"/>
  <c r="H568" i="3"/>
  <c r="H571" i="3"/>
  <c r="H575" i="3"/>
  <c r="M21" i="107"/>
  <c r="M23" i="107"/>
  <c r="M25" i="107"/>
  <c r="L21" i="107"/>
  <c r="L23" i="107"/>
  <c r="L25" i="107"/>
  <c r="L27" i="107"/>
  <c r="M8" i="107"/>
  <c r="M21" i="111"/>
  <c r="M23" i="111"/>
  <c r="M25" i="111"/>
  <c r="M27" i="111"/>
  <c r="N8" i="111"/>
  <c r="N27" i="111"/>
  <c r="C8" i="112"/>
  <c r="N21" i="111"/>
  <c r="N23" i="111"/>
  <c r="N25" i="111"/>
  <c r="G152" i="62"/>
  <c r="G155" i="62"/>
  <c r="H85" i="3"/>
  <c r="G145" i="62"/>
  <c r="H47" i="3"/>
  <c r="H49" i="3"/>
  <c r="H324" i="3"/>
  <c r="I13" i="71"/>
  <c r="H47" i="67"/>
  <c r="H62" i="67"/>
  <c r="H66" i="67"/>
  <c r="G23" i="71"/>
  <c r="H176" i="3"/>
  <c r="H178" i="3"/>
  <c r="H189" i="3"/>
  <c r="H193" i="3"/>
  <c r="H197" i="3"/>
  <c r="G13" i="62"/>
  <c r="H258" i="3"/>
  <c r="G19" i="62"/>
  <c r="G161" i="62"/>
  <c r="G94" i="62"/>
  <c r="H290" i="3"/>
  <c r="H302" i="3"/>
  <c r="G160" i="62"/>
  <c r="G93" i="62"/>
  <c r="O25" i="107"/>
  <c r="O27" i="107"/>
  <c r="M27" i="107"/>
  <c r="N8" i="107"/>
  <c r="N27" i="107"/>
  <c r="C8" i="108"/>
  <c r="O25" i="111"/>
  <c r="O27" i="111"/>
  <c r="C21" i="112"/>
  <c r="D21" i="112"/>
  <c r="E21" i="112"/>
  <c r="G187" i="62"/>
  <c r="G17" i="62"/>
  <c r="G219" i="62"/>
  <c r="H304" i="3"/>
  <c r="G25" i="62"/>
  <c r="I21" i="70"/>
  <c r="I23" i="70"/>
  <c r="H334" i="3"/>
  <c r="H336" i="3"/>
  <c r="H340" i="3"/>
  <c r="G25" i="71"/>
  <c r="G29" i="71"/>
  <c r="G159" i="62"/>
  <c r="G148" i="62"/>
  <c r="I15" i="71"/>
  <c r="I19" i="71"/>
  <c r="H326" i="3"/>
  <c r="G108" i="62"/>
  <c r="H330" i="3"/>
  <c r="G109" i="62"/>
  <c r="D21" i="108"/>
  <c r="C21" i="108"/>
  <c r="E21" i="108"/>
  <c r="G110" i="62"/>
  <c r="G111" i="62"/>
  <c r="G92" i="62"/>
  <c r="G95" i="62"/>
  <c r="G162" i="62"/>
  <c r="G29" i="62"/>
  <c r="G228" i="62"/>
  <c r="G196" i="62"/>
  <c r="G115" i="62"/>
  <c r="I88" i="73"/>
  <c r="I91" i="73"/>
  <c r="I100" i="73"/>
  <c r="H511" i="3"/>
  <c r="H522" i="3"/>
  <c r="I99" i="73"/>
  <c r="I103" i="73"/>
  <c r="I106" i="73"/>
  <c r="I110" i="73"/>
  <c r="G38" i="71"/>
  <c r="G40" i="71"/>
  <c r="G32" i="62"/>
  <c r="H514" i="3"/>
  <c r="H523" i="3"/>
  <c r="H349" i="3"/>
  <c r="H351" i="3"/>
  <c r="E15" i="102"/>
  <c r="E21" i="102"/>
  <c r="H526" i="3"/>
  <c r="H529" i="3"/>
  <c r="H533" i="3"/>
  <c r="G247" i="62"/>
  <c r="G249" i="62"/>
  <c r="G57" i="62"/>
  <c r="G58" i="62"/>
  <c r="G60" i="62"/>
  <c r="G31" i="62"/>
  <c r="G33" i="62"/>
  <c r="G42" i="62"/>
  <c r="G268" i="62"/>
  <c r="G240" i="62"/>
  <c r="G242" i="62"/>
  <c r="G64" i="62"/>
  <c r="G65" i="62"/>
  <c r="G251" i="62"/>
  <c r="E35" i="102"/>
  <c r="E58" i="102"/>
  <c r="G67" i="62"/>
  <c r="G270" i="62"/>
  <c r="G272" i="62"/>
  <c r="G185" i="62"/>
  <c r="G194" i="62"/>
  <c r="G198" i="62"/>
  <c r="G217" i="62"/>
  <c r="G226" i="62"/>
  <c r="G230" i="62"/>
  <c r="G234" i="62"/>
  <c r="G286" i="62"/>
  <c r="G290" i="62"/>
  <c r="G69" i="62"/>
  <c r="E10" i="102"/>
  <c r="E23" i="102"/>
  <c r="E33" i="102"/>
  <c r="E56" i="102"/>
  <c r="N22" i="112" l="1"/>
  <c r="M22" i="112"/>
  <c r="F22" i="112"/>
  <c r="H22" i="112"/>
  <c r="G22" i="112"/>
  <c r="J22" i="112"/>
  <c r="I22" i="112"/>
  <c r="K22" i="112"/>
  <c r="C17" i="112"/>
  <c r="N29" i="106"/>
  <c r="K29" i="106"/>
  <c r="D29" i="110"/>
  <c r="D30" i="110" s="1"/>
  <c r="D32" i="110" s="1"/>
  <c r="M29" i="110"/>
  <c r="L29" i="110"/>
  <c r="K29" i="110"/>
  <c r="C34" i="110"/>
  <c r="D6" i="110" s="1"/>
  <c r="D34" i="110" s="1"/>
  <c r="E6" i="110" s="1"/>
  <c r="E34" i="110" s="1"/>
  <c r="F6" i="110" s="1"/>
  <c r="O25" i="110"/>
  <c r="H29" i="110"/>
  <c r="N29" i="110"/>
  <c r="J22" i="108"/>
  <c r="G22" i="108"/>
  <c r="D22" i="108"/>
  <c r="D23" i="108" s="1"/>
  <c r="D25" i="108" s="1"/>
  <c r="O17" i="108"/>
  <c r="C22" i="108"/>
  <c r="C23" i="108" s="1"/>
  <c r="C25" i="108" s="1"/>
  <c r="C27" i="108" s="1"/>
  <c r="D8" i="108" s="1"/>
  <c r="D27" i="108" s="1"/>
  <c r="E8" i="108" s="1"/>
  <c r="E22" i="108"/>
  <c r="E23" i="108" s="1"/>
  <c r="E25" i="108" s="1"/>
  <c r="N22" i="108"/>
  <c r="M22" i="108"/>
  <c r="L22" i="108"/>
  <c r="O15" i="108"/>
  <c r="H22" i="108"/>
  <c r="K22" i="108"/>
  <c r="I26" i="77"/>
  <c r="H29" i="77" s="1"/>
  <c r="G200" i="62"/>
  <c r="G202" i="62" s="1"/>
  <c r="H70" i="102"/>
  <c r="G70" i="102"/>
  <c r="G29" i="77"/>
  <c r="C34" i="106"/>
  <c r="D6" i="106" s="1"/>
  <c r="D34" i="106" s="1"/>
  <c r="E6" i="106" s="1"/>
  <c r="E34" i="106" s="1"/>
  <c r="F6" i="106" s="1"/>
  <c r="O25" i="106"/>
  <c r="G29" i="106"/>
  <c r="I29" i="77" l="1"/>
  <c r="D22" i="112"/>
  <c r="D23" i="112" s="1"/>
  <c r="D25" i="112" s="1"/>
  <c r="E22" i="112"/>
  <c r="E23" i="112" s="1"/>
  <c r="E25" i="112" s="1"/>
  <c r="C22" i="112"/>
  <c r="C23" i="112" s="1"/>
  <c r="C25" i="112" s="1"/>
  <c r="O17" i="112"/>
  <c r="G28" i="110"/>
  <c r="G30" i="110" s="1"/>
  <c r="G32" i="110" s="1"/>
  <c r="H28" i="110"/>
  <c r="H30" i="110" s="1"/>
  <c r="H32" i="110" s="1"/>
  <c r="F28" i="110"/>
  <c r="F30" i="110" s="1"/>
  <c r="F32" i="110" s="1"/>
  <c r="E27" i="108"/>
  <c r="F8" i="108" s="1"/>
  <c r="E31" i="102"/>
  <c r="G282" i="62"/>
  <c r="E70" i="102"/>
  <c r="G71" i="102" s="1"/>
  <c r="H28" i="106"/>
  <c r="H30" i="106" s="1"/>
  <c r="H32" i="106" s="1"/>
  <c r="F28" i="106"/>
  <c r="F30" i="106" s="1"/>
  <c r="F32" i="106" s="1"/>
  <c r="G28" i="106"/>
  <c r="G30" i="106" s="1"/>
  <c r="G32" i="106" s="1"/>
  <c r="H71" i="102" l="1"/>
  <c r="E71" i="102" s="1"/>
  <c r="C27" i="112"/>
  <c r="D8" i="112" s="1"/>
  <c r="D27" i="112" s="1"/>
  <c r="E8" i="112" s="1"/>
  <c r="E27" i="112" s="1"/>
  <c r="F8" i="112" s="1"/>
  <c r="F34" i="110"/>
  <c r="G6" i="110" s="1"/>
  <c r="G34" i="110" s="1"/>
  <c r="H6" i="110" s="1"/>
  <c r="H34" i="110" s="1"/>
  <c r="I6" i="110" s="1"/>
  <c r="F21" i="108"/>
  <c r="F23" i="108" s="1"/>
  <c r="F25" i="108" s="1"/>
  <c r="H21" i="108"/>
  <c r="H23" i="108" s="1"/>
  <c r="H25" i="108" s="1"/>
  <c r="G21" i="108"/>
  <c r="G23" i="108" s="1"/>
  <c r="G25" i="108" s="1"/>
  <c r="E54" i="102"/>
  <c r="F34" i="106"/>
  <c r="G6" i="106" s="1"/>
  <c r="G34" i="106" s="1"/>
  <c r="H6" i="106" s="1"/>
  <c r="H34" i="106" s="1"/>
  <c r="I6" i="106" s="1"/>
  <c r="G21" i="112" l="1"/>
  <c r="G23" i="112" s="1"/>
  <c r="G25" i="112" s="1"/>
  <c r="F21" i="112"/>
  <c r="F23" i="112" s="1"/>
  <c r="F25" i="112" s="1"/>
  <c r="F27" i="112" s="1"/>
  <c r="G8" i="112" s="1"/>
  <c r="G27" i="112" s="1"/>
  <c r="H8" i="112" s="1"/>
  <c r="H27" i="112" s="1"/>
  <c r="I8" i="112" s="1"/>
  <c r="H21" i="112"/>
  <c r="H23" i="112" s="1"/>
  <c r="H25" i="112" s="1"/>
  <c r="K28" i="110"/>
  <c r="K30" i="110" s="1"/>
  <c r="K32" i="110" s="1"/>
  <c r="I28" i="110"/>
  <c r="I30" i="110" s="1"/>
  <c r="I32" i="110" s="1"/>
  <c r="I34" i="110" s="1"/>
  <c r="J6" i="110" s="1"/>
  <c r="J34" i="110" s="1"/>
  <c r="K6" i="110" s="1"/>
  <c r="K34" i="110" s="1"/>
  <c r="L6" i="110" s="1"/>
  <c r="J28" i="110"/>
  <c r="J30" i="110" s="1"/>
  <c r="J32" i="110" s="1"/>
  <c r="F27" i="108"/>
  <c r="G8" i="108" s="1"/>
  <c r="G27" i="108" s="1"/>
  <c r="H8" i="108" s="1"/>
  <c r="H27" i="108" s="1"/>
  <c r="I8" i="108" s="1"/>
  <c r="E72" i="102"/>
  <c r="K28" i="106"/>
  <c r="K30" i="106" s="1"/>
  <c r="K32" i="106" s="1"/>
  <c r="I28" i="106"/>
  <c r="I30" i="106" s="1"/>
  <c r="I32" i="106" s="1"/>
  <c r="J28" i="106"/>
  <c r="J30" i="106" s="1"/>
  <c r="J32" i="106" s="1"/>
  <c r="K21" i="112" l="1"/>
  <c r="K23" i="112" s="1"/>
  <c r="K25" i="112" s="1"/>
  <c r="J21" i="112"/>
  <c r="J23" i="112" s="1"/>
  <c r="J25" i="112" s="1"/>
  <c r="I21" i="112"/>
  <c r="I23" i="112" s="1"/>
  <c r="I25" i="112" s="1"/>
  <c r="I27" i="112"/>
  <c r="J8" i="112" s="1"/>
  <c r="J27" i="112" s="1"/>
  <c r="K8" i="112" s="1"/>
  <c r="M28" i="110"/>
  <c r="M30" i="110" s="1"/>
  <c r="M32" i="110" s="1"/>
  <c r="O32" i="110" s="1"/>
  <c r="O34" i="110" s="1"/>
  <c r="E25" i="102" s="1"/>
  <c r="N28" i="110"/>
  <c r="N30" i="110" s="1"/>
  <c r="N32" i="110" s="1"/>
  <c r="L28" i="110"/>
  <c r="L30" i="110" s="1"/>
  <c r="L32" i="110" s="1"/>
  <c r="L34" i="110" s="1"/>
  <c r="M6" i="110" s="1"/>
  <c r="J21" i="108"/>
  <c r="J23" i="108" s="1"/>
  <c r="J25" i="108" s="1"/>
  <c r="I21" i="108"/>
  <c r="I23" i="108" s="1"/>
  <c r="I25" i="108" s="1"/>
  <c r="K21" i="108"/>
  <c r="K23" i="108" s="1"/>
  <c r="K25" i="108" s="1"/>
  <c r="E80" i="102"/>
  <c r="G72" i="102"/>
  <c r="G80" i="102" s="1"/>
  <c r="H72" i="102"/>
  <c r="H80" i="102" s="1"/>
  <c r="H81" i="102" s="1"/>
  <c r="I34" i="106"/>
  <c r="J6" i="106" s="1"/>
  <c r="J34" i="106" s="1"/>
  <c r="K6" i="106" s="1"/>
  <c r="K34" i="106" s="1"/>
  <c r="L6" i="106" s="1"/>
  <c r="K27" i="112" l="1"/>
  <c r="L8" i="112" s="1"/>
  <c r="M34" i="110"/>
  <c r="N6" i="110" s="1"/>
  <c r="N34" i="110" s="1"/>
  <c r="I27" i="108"/>
  <c r="J8" i="108" s="1"/>
  <c r="J27" i="108" s="1"/>
  <c r="K8" i="108" s="1"/>
  <c r="K27" i="108" s="1"/>
  <c r="L8" i="108" s="1"/>
  <c r="H82" i="102"/>
  <c r="N28" i="106"/>
  <c r="N30" i="106" s="1"/>
  <c r="N32" i="106" s="1"/>
  <c r="M28" i="106"/>
  <c r="M30" i="106" s="1"/>
  <c r="M32" i="106" s="1"/>
  <c r="L28" i="106"/>
  <c r="L30" i="106" s="1"/>
  <c r="L32" i="106" s="1"/>
  <c r="L34" i="106" s="1"/>
  <c r="M6" i="106" s="1"/>
  <c r="E81" i="102" l="1"/>
  <c r="E82" i="102" s="1"/>
  <c r="M21" i="112"/>
  <c r="M23" i="112" s="1"/>
  <c r="M25" i="112" s="1"/>
  <c r="L27" i="112"/>
  <c r="M8" i="112" s="1"/>
  <c r="M27" i="112" s="1"/>
  <c r="N8" i="112" s="1"/>
  <c r="N27" i="112" s="1"/>
  <c r="L21" i="112"/>
  <c r="L23" i="112" s="1"/>
  <c r="L25" i="112" s="1"/>
  <c r="N21" i="112"/>
  <c r="N23" i="112" s="1"/>
  <c r="N25" i="112" s="1"/>
  <c r="O32" i="106"/>
  <c r="O34" i="106" s="1"/>
  <c r="G274" i="62" s="1"/>
  <c r="M34" i="106"/>
  <c r="N6" i="106" s="1"/>
  <c r="N34" i="106" s="1"/>
  <c r="L21" i="108"/>
  <c r="L23" i="108" s="1"/>
  <c r="L25" i="108" s="1"/>
  <c r="L27" i="108" s="1"/>
  <c r="M8" i="108" s="1"/>
  <c r="N21" i="108"/>
  <c r="N23" i="108" s="1"/>
  <c r="N25" i="108" s="1"/>
  <c r="M21" i="108"/>
  <c r="M25" i="108" s="1"/>
  <c r="G82" i="102"/>
  <c r="O25" i="112" l="1"/>
  <c r="M27" i="108"/>
  <c r="N8" i="108" s="1"/>
  <c r="N27" i="108" s="1"/>
  <c r="O25" i="108"/>
  <c r="E27" i="102" l="1"/>
  <c r="E29" i="102" s="1"/>
  <c r="O27" i="112"/>
  <c r="G276" i="62"/>
  <c r="G278" i="62" s="1"/>
  <c r="G292" i="62" s="1"/>
  <c r="G294" i="62" s="1"/>
  <c r="O27" i="108"/>
  <c r="E52" i="102" l="1"/>
  <c r="E37" i="102"/>
  <c r="G295" i="62"/>
  <c r="E67" i="102" l="1"/>
  <c r="E60" i="102"/>
  <c r="G297" i="62"/>
  <c r="H67" i="102" l="1"/>
  <c r="H76" i="102" s="1"/>
  <c r="H78" i="102" s="1"/>
  <c r="H84" i="102" s="1"/>
  <c r="E76" i="102"/>
  <c r="G76" i="102"/>
  <c r="G77" i="102" s="1"/>
  <c r="E77" i="102" l="1"/>
  <c r="E78" i="102" l="1"/>
  <c r="E84" i="102" s="1"/>
  <c r="G78" i="102"/>
  <c r="G84" i="102" s="1"/>
</calcChain>
</file>

<file path=xl/sharedStrings.xml><?xml version="1.0" encoding="utf-8"?>
<sst xmlns="http://schemas.openxmlformats.org/spreadsheetml/2006/main" count="2668" uniqueCount="1378">
  <si>
    <t>a. Federal Income Tax Component:</t>
  </si>
  <si>
    <t xml:space="preserve">     Transmission Related Materials and Supplies </t>
  </si>
  <si>
    <t xml:space="preserve">     Transmission Related Prepayments </t>
  </si>
  <si>
    <t xml:space="preserve">     Transmission Operation &amp; Maintenance Expense</t>
  </si>
  <si>
    <t xml:space="preserve">          Total</t>
  </si>
  <si>
    <t>State Income Tax Rate</t>
  </si>
  <si>
    <t>Federal Income Tax Rate</t>
  </si>
  <si>
    <t>Statement BK-1; Page 3; Line 16</t>
  </si>
  <si>
    <t>Statement BK-1; Page 3; Line 17</t>
  </si>
  <si>
    <t>Statement BK-1; Page 3; Line 18</t>
  </si>
  <si>
    <t>Statement BK-1; Page 3; Line 19</t>
  </si>
  <si>
    <t>Statement BK-1; Page 3; Line 25</t>
  </si>
  <si>
    <t>Statement AF; Page 3; Line 7</t>
  </si>
  <si>
    <t>Valley Rainbow Project Cost Amortization Expense</t>
  </si>
  <si>
    <t>Line 1 x Line 3</t>
  </si>
  <si>
    <t>Line 3 x Line 7</t>
  </si>
  <si>
    <t>Derivation of Transmission Operation and Maintenance Expense:</t>
  </si>
  <si>
    <t>Derivation of Administrative and General Expense:</t>
  </si>
  <si>
    <t xml:space="preserve">     Total Transmission Related Investment in Plant</t>
  </si>
  <si>
    <t>Total Steam Production Plant</t>
  </si>
  <si>
    <t>Total Other Production Plant</t>
  </si>
  <si>
    <t>Total Nuclear Production Plant</t>
  </si>
  <si>
    <t xml:space="preserve">     Total Plant in Service Excluding SONGS</t>
  </si>
  <si>
    <t>Derivation of Transmission Plant Property Insurance Allocation Factor:</t>
  </si>
  <si>
    <t>Total Adjusted A&amp;G Expenses Excluding Property Insurance</t>
  </si>
  <si>
    <t>Production Wages &amp; Salaries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</si>
  <si>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</si>
  <si>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</si>
  <si>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</si>
  <si>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</si>
  <si>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Total Property Taxes</t>
  </si>
  <si>
    <t xml:space="preserve">     Property Taxes Less SONGS</t>
  </si>
  <si>
    <t>Derivation of Transmission Related Property Tax Allocation Factor:</t>
  </si>
  <si>
    <t xml:space="preserve">     Total </t>
  </si>
  <si>
    <t>Total Nuclear Plant</t>
  </si>
  <si>
    <t>Total Steam Plant</t>
  </si>
  <si>
    <t xml:space="preserve">     Total Investment in Plant Excluding SONGS</t>
  </si>
  <si>
    <t>Line 13 / Line 23</t>
  </si>
  <si>
    <t>Line 5 x Line 25</t>
  </si>
  <si>
    <t xml:space="preserve"> </t>
  </si>
  <si>
    <t>Working Capital</t>
  </si>
  <si>
    <t>Revenue Credits</t>
  </si>
  <si>
    <t>SAN DIEGO GAS AND ELECTRIC COMPANY</t>
  </si>
  <si>
    <t>Statement AD</t>
  </si>
  <si>
    <t>Cost of Plant</t>
  </si>
  <si>
    <t>Statement AE</t>
  </si>
  <si>
    <t>Accumulated Depreciation and Amortization</t>
  </si>
  <si>
    <t>Statement AH</t>
  </si>
  <si>
    <t>Operation and Maintenance Expenses</t>
  </si>
  <si>
    <t>Statement AI</t>
  </si>
  <si>
    <t>Wages and Salaries</t>
  </si>
  <si>
    <t>Statement AJ</t>
  </si>
  <si>
    <t>Depreciation and Amortization Expense</t>
  </si>
  <si>
    <t>Statement AK</t>
  </si>
  <si>
    <t>Taxes Other Than Income Taxes</t>
  </si>
  <si>
    <t>Statement AL</t>
  </si>
  <si>
    <t>Statement AU</t>
  </si>
  <si>
    <t>Statement AV</t>
  </si>
  <si>
    <t>Cost of Capital and Fair Rate of Return</t>
  </si>
  <si>
    <t>CS = Common Stock</t>
  </si>
  <si>
    <t>d(pf) = Total Dividends Declared-Preferred Stocks (Acct. 437) (p118.29c)</t>
  </si>
  <si>
    <t>San Diego Gas &amp; Electric Company</t>
  </si>
  <si>
    <t>Line</t>
  </si>
  <si>
    <t>No.</t>
  </si>
  <si>
    <t>Transmission Plant</t>
  </si>
  <si>
    <t>Reference</t>
  </si>
  <si>
    <t xml:space="preserve">   Total</t>
  </si>
  <si>
    <t>Total</t>
  </si>
  <si>
    <t>Weighted</t>
  </si>
  <si>
    <t>Amounts</t>
  </si>
  <si>
    <t>Statement AQ</t>
  </si>
  <si>
    <t>Statement AF</t>
  </si>
  <si>
    <t>($1,000)</t>
  </si>
  <si>
    <t>No</t>
  </si>
  <si>
    <t>Statement BK-2</t>
  </si>
  <si>
    <t>High Voltage</t>
  </si>
  <si>
    <t>Low Voltage</t>
  </si>
  <si>
    <t>Deferred Credits</t>
  </si>
  <si>
    <t>Total Property Insurance</t>
  </si>
  <si>
    <t>Total Common Plant</t>
  </si>
  <si>
    <t>Total General Plant</t>
  </si>
  <si>
    <t>Statement BK-1</t>
  </si>
  <si>
    <t>Statement AR</t>
  </si>
  <si>
    <t>Total Transmission Rate Base</t>
  </si>
  <si>
    <t>Transmission Rate Base</t>
  </si>
  <si>
    <t>Where:</t>
  </si>
  <si>
    <t xml:space="preserve">     D = Transmission Rate Base</t>
  </si>
  <si>
    <t>Transmission Wages and Salaries Allocation Factor</t>
  </si>
  <si>
    <t>Transmission Related Amortization of Investment Tax Credits</t>
  </si>
  <si>
    <t>Transmission Related Amortization of Excess Deferred Tax Liabilities</t>
  </si>
  <si>
    <t>Transmission Related Revenue Credits</t>
  </si>
  <si>
    <t xml:space="preserve">     A = Sum of Preferred Stock and Return on Equity Component</t>
  </si>
  <si>
    <t xml:space="preserve">     C = Equity AFUDC Component of Transmission Depreciation Expense</t>
  </si>
  <si>
    <t>Return and Associated Income Taxes</t>
  </si>
  <si>
    <t xml:space="preserve">     Total O&amp;M Expenses</t>
  </si>
  <si>
    <t>South Georgia Income Tax Adjustment</t>
  </si>
  <si>
    <t>Transmission Related Uncollectible Expense</t>
  </si>
  <si>
    <t>Transmission Operation &amp; Maintenance Expense</t>
  </si>
  <si>
    <t>Transmission Related General Plant</t>
  </si>
  <si>
    <t>Transmission Related Common Plant</t>
  </si>
  <si>
    <t>Transmission Related General Plant Depr Reserve</t>
  </si>
  <si>
    <t>Transmission Related Common Plant Depr Reserve</t>
  </si>
  <si>
    <t xml:space="preserve">   Total Working Capital</t>
  </si>
  <si>
    <t>Line 23 Minus Line 24</t>
  </si>
  <si>
    <t>Transmission Plant Held for Future Use</t>
  </si>
  <si>
    <t xml:space="preserve">     Transmission Related Total Plant in Service </t>
  </si>
  <si>
    <r>
      <t xml:space="preserve">e)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</si>
  <si>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Production Wages &amp; Salaries (Includes Steam &amp; Other Power Supply)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</si>
  <si>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</si>
  <si>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Line 2 Minus Line 3 Plus Lines 4 &amp; 5 Minus Line 6</t>
  </si>
  <si>
    <t>Sum Lines 10; 11; 12 Minus Lines 13 &amp; 14</t>
  </si>
  <si>
    <t>Transmission Related Administrative &amp; General Expenses</t>
  </si>
  <si>
    <t xml:space="preserve">Transmission Related Common Plant </t>
  </si>
  <si>
    <t>Transmission Related General Plant Depreciation Expense</t>
  </si>
  <si>
    <t>Transmission Related Property Tax Allocation Factor</t>
  </si>
  <si>
    <t>Transmission Related Property Taxes Expense</t>
  </si>
  <si>
    <t>Long-Term Debt Component - Denominator:</t>
  </si>
  <si>
    <t>LTD = Long Term Debt (p112, sum of Line17d thru Line22d, details on p256-257)</t>
  </si>
  <si>
    <t>Long-Term Debt Component - Numerator:</t>
  </si>
  <si>
    <t>i = LTD interest (p117, sum of Line56c thru Line60c, details on p257))</t>
  </si>
  <si>
    <t>Cost of Long-Term Debt:</t>
  </si>
  <si>
    <t>Preferred Equity Component:</t>
  </si>
  <si>
    <t>Cost of Preferred Equity</t>
  </si>
  <si>
    <t>Common Equity Component:</t>
  </si>
  <si>
    <t>Weighted Cost of Capital:</t>
  </si>
  <si>
    <t>Ratio</t>
  </si>
  <si>
    <t>Cost of Capital</t>
  </si>
  <si>
    <t xml:space="preserve">      Sub-Total Base Period Revenues</t>
  </si>
  <si>
    <t>(451) Miscellaneous Service Revenues</t>
  </si>
  <si>
    <t>(453) Sales of Water and Water Power</t>
  </si>
  <si>
    <t>(454) Rent from Electric Property</t>
  </si>
  <si>
    <t>(455) Interdepartmental Rents</t>
  </si>
  <si>
    <t>(456) Other Electric Revenues</t>
  </si>
  <si>
    <t xml:space="preserve">      Transmission Related Revenue Credits</t>
  </si>
  <si>
    <t>Statement AK; Page 8, Line 27</t>
  </si>
  <si>
    <t>Statement AL; Page 9; Line 5</t>
  </si>
  <si>
    <t>Statement AL; Page 9; Line 9</t>
  </si>
  <si>
    <t>Statement AL; Page 9; Line 19</t>
  </si>
  <si>
    <t>Statement AD; Page 1, Line 35</t>
  </si>
  <si>
    <t>Total Payroll Taxes Expense</t>
  </si>
  <si>
    <t>Rate Base Additions:</t>
  </si>
  <si>
    <t>Long-Term Debt</t>
  </si>
  <si>
    <t>Preferred Equity</t>
  </si>
  <si>
    <t>Common Equity</t>
  </si>
  <si>
    <t>Total Capital</t>
  </si>
  <si>
    <t>a) Federal Income Tax Component:</t>
  </si>
  <si>
    <t>b) State Income Tax Component:</t>
  </si>
  <si>
    <t>d) Total Weighted Cost of Capital:</t>
  </si>
  <si>
    <t>Line 15 / Line 7</t>
  </si>
  <si>
    <t>Line 15 x Line 17</t>
  </si>
  <si>
    <t>Sum Lines 1; 3</t>
  </si>
  <si>
    <t>Transmission Related Cash Working Capital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</si>
  <si>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</si>
  <si>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</si>
  <si>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t>Transmission Related Electric Miscellaneous Intangible Plant</t>
  </si>
  <si>
    <t>Federal Tax Adjustments</t>
  </si>
  <si>
    <t>Federal Income Tax Deductions, Other Than Interest</t>
  </si>
  <si>
    <t>Transmission Related Payroll Taxes Expense</t>
  </si>
  <si>
    <t>Net Transmission Plant:</t>
  </si>
  <si>
    <t>Rate Base Reductions:</t>
  </si>
  <si>
    <t>Working Capital:</t>
  </si>
  <si>
    <t>Gross Transmission Plant:</t>
  </si>
  <si>
    <t>Statement BK-1; Page 3, Line 6</t>
  </si>
  <si>
    <t>Cost of Equity Component (Preferred &amp; Common):</t>
  </si>
  <si>
    <t>Statement AD - Workpapers</t>
  </si>
  <si>
    <t>(a)</t>
  </si>
  <si>
    <t>(b)</t>
  </si>
  <si>
    <t>(c) = [(a)+(b)]/2</t>
  </si>
  <si>
    <t>Average Balance</t>
  </si>
  <si>
    <t>Sum Lines 1 thru 9</t>
  </si>
  <si>
    <t>Statement AE - Workpapers</t>
  </si>
  <si>
    <t>Statement AF - Workpapers</t>
  </si>
  <si>
    <t>Statement AH - Workpapers</t>
  </si>
  <si>
    <t>Statement AI - Workpapers</t>
  </si>
  <si>
    <t>Statement AJ - Workpapers</t>
  </si>
  <si>
    <t>Statement AK - Workpapers</t>
  </si>
  <si>
    <t>Statement AL - Workpapers</t>
  </si>
  <si>
    <t>B. State Income Tax Component:</t>
  </si>
  <si>
    <t>C. Total Federal &amp; State Income Tax Rate:</t>
  </si>
  <si>
    <t xml:space="preserve">Total Distribution Plant </t>
  </si>
  <si>
    <t>Transmission Plant Allocation Factor</t>
  </si>
  <si>
    <t xml:space="preserve">     Total Plant in Service </t>
  </si>
  <si>
    <t>c) Total Federal &amp; State Income Tax Expense:</t>
  </si>
  <si>
    <t xml:space="preserve">      Transmission Related Materials and Supplies </t>
  </si>
  <si>
    <t xml:space="preserve">      Transmission Related Prepayments </t>
  </si>
  <si>
    <t>(Plus) Bonds (Acct. 221) (p112.Line18c)</t>
  </si>
  <si>
    <t>(Less) Reacquired Bonds (Acct. 222) (p112.Line19c)</t>
  </si>
  <si>
    <t>(Plus) Other Long-Term Debt (Acct. 224) (p112.Line21c)</t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</si>
  <si>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</si>
  <si>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(Plus) Unamortized Premium on Long-Term Debt (Acct 225) (p112.Line22c)</t>
  </si>
  <si>
    <t>(Less) Unamortized Discount on Long-Term Debt-Debit (Acct 226) (p112.Line23c)</t>
  </si>
  <si>
    <t>(Plus) Interest on Long-Term Debt (427) (p117.Line62c)</t>
  </si>
  <si>
    <t>(Plus) Amort. of Debt Disc. and Expense (428) (p117.Line63c)</t>
  </si>
  <si>
    <t>(Plus) Amortization of Loss on Reacquired Debt (428.1) (p117.Line64c)</t>
  </si>
  <si>
    <t>1</t>
  </si>
  <si>
    <t>(Less) Amort. of Premium on Debt-Credit (429) (p117.Line65c)</t>
  </si>
  <si>
    <t>(Less) Amortization of Gain on Reacquired Debt-Credit (429.1) (p117.Line66c)</t>
  </si>
  <si>
    <t>PF = Preferred Stock - Acct 204 (p112.3c)</t>
  </si>
  <si>
    <t>Proprietary Capital (p112.16c)</t>
  </si>
  <si>
    <t>(Less) Preferred Stock - Acct 204 (p112.3c)</t>
  </si>
  <si>
    <t>(Less) Unappropriated Undistributed Subsidiary Earnings (Acct. 216.1) (p112.12c)</t>
  </si>
  <si>
    <t>Statement AE; Page 2, Line 1</t>
  </si>
  <si>
    <t>Statement AE; Page 2, Line 15</t>
  </si>
  <si>
    <t>Statement BK-1; Page 1; Line 12</t>
  </si>
  <si>
    <t>Property Insurance Allocated to Transmission, General, and Common Plant</t>
  </si>
  <si>
    <t>Line 1 Minus Line 3</t>
  </si>
  <si>
    <t xml:space="preserve">(451) Miscellaneous Service Revenues </t>
  </si>
  <si>
    <t xml:space="preserve">(453) Sales of Water and Water Power </t>
  </si>
  <si>
    <t xml:space="preserve">(454) Rent from Electric Property </t>
  </si>
  <si>
    <t xml:space="preserve">     Sub-Total Expense</t>
  </si>
  <si>
    <t xml:space="preserve">(455) Interdepartmental Rents </t>
  </si>
  <si>
    <t xml:space="preserve">(456) Other Electric Revenues </t>
  </si>
  <si>
    <t xml:space="preserve">     Transmission Related Revenue Credits</t>
  </si>
  <si>
    <t>Line 2 Minus Line 9</t>
  </si>
  <si>
    <t>Line 3 Minus Line 10</t>
  </si>
  <si>
    <t>Line 4 Minus Line 11</t>
  </si>
  <si>
    <t>Line 5 Minus Line 12</t>
  </si>
  <si>
    <t>Cap. Struct.</t>
  </si>
  <si>
    <t>(c)</t>
  </si>
  <si>
    <t>(d) = (b) x (c)</t>
  </si>
  <si>
    <t>Gross Transmission Plant</t>
  </si>
  <si>
    <t>Col. C = Line 17 Above</t>
  </si>
  <si>
    <t xml:space="preserve">     B = Trans. Related Amort. of ITC and Excess Deferred Tax Liab.</t>
  </si>
  <si>
    <t>(c )</t>
  </si>
  <si>
    <t>Transmission Related Cash Working Capital - Retail Customers</t>
  </si>
  <si>
    <t>(Plus): Account 221 - Bonds</t>
  </si>
  <si>
    <t>(Less): Account 222 - Reacquired Bonds</t>
  </si>
  <si>
    <t xml:space="preserve">(Plus): Account 224 - Other Long-Term Debt (Acct. 224) </t>
  </si>
  <si>
    <t xml:space="preserve">(Plus): Account 225 - Unamortized Premium on Long-Term Debt </t>
  </si>
  <si>
    <t xml:space="preserve">(Less): Account 226 - Unamortized Discount on Long-Term Debt-Debit </t>
  </si>
  <si>
    <t xml:space="preserve">   Total Long Term Debt (LTD)</t>
  </si>
  <si>
    <t xml:space="preserve">(Plus): Account 427 - Interest on Long-Term Debt </t>
  </si>
  <si>
    <t xml:space="preserve">   One Eighth O&amp;M Rule</t>
  </si>
  <si>
    <t>FERC Method = 1/8 of O&amp;M</t>
  </si>
  <si>
    <t xml:space="preserve">     One Eighth O&amp;M Method</t>
  </si>
  <si>
    <t xml:space="preserve">(Plus): Account 428 - Amort. of Debt Disc. and Expense </t>
  </si>
  <si>
    <t xml:space="preserve">(Plus): Account 428.1 - Amortization of Loss on Reacquired Debt </t>
  </si>
  <si>
    <t xml:space="preserve">(Less): Account 429 - Amort. of Premium on Debt-Credit </t>
  </si>
  <si>
    <t xml:space="preserve">(Less): Account 429.1 - Amortization of Gain on Reacquired Debt-Credit </t>
  </si>
  <si>
    <t>Statement AG - Workpapers</t>
  </si>
  <si>
    <t>Specified Plant Account (Other than Plant in Service) and Deferred Debits</t>
  </si>
  <si>
    <t>Statement AG</t>
  </si>
  <si>
    <t xml:space="preserve">   Total LTD Interest = (i) </t>
  </si>
  <si>
    <t>d(pf) = Total Dividends Declared-Preferred Stocks - Account 437</t>
  </si>
  <si>
    <t>Proprietary Capital</t>
  </si>
  <si>
    <t>Unweighted</t>
  </si>
  <si>
    <t>HV</t>
  </si>
  <si>
    <t>LV</t>
  </si>
  <si>
    <t>Wtd-HV</t>
  </si>
  <si>
    <t>Wtd-LV</t>
  </si>
  <si>
    <t xml:space="preserve">Total Property Taxes </t>
  </si>
  <si>
    <t>Net Property Taxes</t>
  </si>
  <si>
    <t>Total Property Taxes Expense</t>
  </si>
  <si>
    <t>Line 5 Minus Line 7</t>
  </si>
  <si>
    <t>Line 9 x Line 11</t>
  </si>
  <si>
    <t>Line 16 x Line 18</t>
  </si>
  <si>
    <t xml:space="preserve">Used to allocate all elements of working capital, other than working cash. </t>
  </si>
  <si>
    <t>Sum of Lines 1 thru 3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</si>
  <si>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</si>
  <si>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</si>
  <si>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</si>
  <si>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Advanced Metering Infrastructure (AMI) lease facilities</t>
  </si>
  <si>
    <t xml:space="preserve">   Hazardous substances - Hazardous Substance Cleanup Cost Account</t>
  </si>
  <si>
    <t>Transmission Related Common Plant Depreciation Expense</t>
  </si>
  <si>
    <t>Less: SONGS Property Taxes</t>
  </si>
  <si>
    <t>Sum Lines 9 thru 12</t>
  </si>
  <si>
    <t>Sum Lines 15 thru 22</t>
  </si>
  <si>
    <t>Payroll Taxes</t>
  </si>
  <si>
    <t>PF = Preferred Stock - Account 204</t>
  </si>
  <si>
    <t xml:space="preserve">South Georgia Income Tax Adjustment </t>
  </si>
  <si>
    <t>(411.6 &amp; 411.7) Gain or Loss From Sale of Plant Held for Future Use</t>
  </si>
  <si>
    <t>FERC Accounts 411.6 and 411.7</t>
  </si>
  <si>
    <t xml:space="preserve">     Total Production Plant  and Intangible Plant </t>
  </si>
  <si>
    <t>a</t>
  </si>
  <si>
    <t>b</t>
  </si>
  <si>
    <r>
      <t xml:space="preserve">Total Distribution Plant  </t>
    </r>
    <r>
      <rPr>
        <b/>
        <vertAlign val="superscript"/>
        <sz val="12"/>
        <rFont val="Times New Roman"/>
        <family val="1"/>
      </rPr>
      <t>a</t>
    </r>
  </si>
  <si>
    <r>
      <t xml:space="preserve">Total General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</si>
  <si>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a, 1</t>
    </r>
  </si>
  <si>
    <t>Used to allocate all elements of working capital, other than working cash.</t>
  </si>
  <si>
    <t>Working</t>
  </si>
  <si>
    <t>13 Months</t>
  </si>
  <si>
    <t>Cash</t>
  </si>
  <si>
    <t>FERC Method = 1/8 of O&amp;M Expense</t>
  </si>
  <si>
    <t>Statement AH; Page 5, Line 9</t>
  </si>
  <si>
    <t>Transmission Related Prepayments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</si>
  <si>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</si>
  <si>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</si>
  <si>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Statement BK-1; Page 1; Line 6</t>
  </si>
  <si>
    <t>(Gains)/Losses from Sale of Plant Held for Future Use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</si>
  <si>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</si>
  <si>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 xml:space="preserve">Incentive Weighted Forecast Plant Additions </t>
  </si>
  <si>
    <t xml:space="preserve">Base franchise fees are applicable to all SDG&amp;E customers. </t>
  </si>
  <si>
    <r>
      <t xml:space="preserve">Transmission Plant Held for Future Use </t>
    </r>
    <r>
      <rPr>
        <b/>
        <vertAlign val="superscript"/>
        <sz val="11"/>
        <rFont val="Times New Roman"/>
        <family val="1"/>
      </rPr>
      <t>1</t>
    </r>
  </si>
  <si>
    <t>Statement AF; Page 3; Line 5</t>
  </si>
  <si>
    <t>Stmnt AU WP; Page AU1; Line 13</t>
  </si>
  <si>
    <t>Statement BK-1; Page 1; Line 28</t>
  </si>
  <si>
    <t>2. Percent Split Between HV and LV of Forecast</t>
  </si>
  <si>
    <t xml:space="preserve">    HV-LV Plant Allocation Ratios Based on Forecast Plant Additions</t>
  </si>
  <si>
    <t xml:space="preserve">    Total HV-LV Transmission Forecast Plant Additions Revenues</t>
  </si>
  <si>
    <t xml:space="preserve">   Damages &amp; Injuries - Wildfire Insurance Premium</t>
  </si>
  <si>
    <t>Sum Lines 8 thru 18</t>
  </si>
  <si>
    <t xml:space="preserve">Incentive Transmission Plant Depreciation Expense </t>
  </si>
  <si>
    <t xml:space="preserve">     Total Net Incentive Transmission Plant</t>
  </si>
  <si>
    <t>A. Revenues: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</si>
  <si>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</si>
  <si>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Transmission Related Accum. Def. Inc. Taxes</t>
  </si>
  <si>
    <t xml:space="preserve">Transmission Plant Depreciation Reserve </t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</si>
  <si>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</si>
  <si>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</si>
  <si>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</si>
  <si>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t xml:space="preserve">Weighted Forecast Plant Additions </t>
  </si>
  <si>
    <t>Forecast Period Capital Addition Revenue Requirements</t>
  </si>
  <si>
    <t>B. Annual Fixed Charges Applicable to Capital Projects:</t>
  </si>
  <si>
    <t>Sum Lines 2 thru 6</t>
  </si>
  <si>
    <t>Sum Lines 2 thru 5</t>
  </si>
  <si>
    <t>Sum Lines 16 thru 19</t>
  </si>
  <si>
    <t>Sum Lines 1 thru 3</t>
  </si>
  <si>
    <t>Sum Lines 12 thru 14</t>
  </si>
  <si>
    <t>Return on 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</si>
  <si>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</si>
  <si>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r>
      <t xml:space="preserve">e)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</si>
  <si>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 xml:space="preserve">Derivation of CAISO Total Base Transmission Revenue Requirements </t>
  </si>
  <si>
    <t>B. Wholesale BTRR Adjustments:</t>
  </si>
  <si>
    <t xml:space="preserve">     Total Wholesale BTRR Adjustments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</si>
  <si>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</si>
  <si>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Statement BK-2; Page 1; Line 20</t>
  </si>
  <si>
    <t>A. Derivation of Revenues Related With Total Transmission Facilities:</t>
  </si>
  <si>
    <t>Total Wholesale BTRR Excluding Franchise Fees</t>
  </si>
  <si>
    <t xml:space="preserve">     Total Net Transmission Plant</t>
  </si>
  <si>
    <t>Sum Lines 3 thru 5</t>
  </si>
  <si>
    <t xml:space="preserve"> High Voltage and Low Voltage Classification: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</si>
  <si>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</si>
  <si>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</si>
  <si>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t>Line 12 Above</t>
  </si>
  <si>
    <t>Federal Income Tax Expense</t>
  </si>
  <si>
    <t>State Income Tax Expense</t>
  </si>
  <si>
    <t>Stmnt AH WP; Page AH1; Line 9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</si>
  <si>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</si>
  <si>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</si>
  <si>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     Total Gross Transmission Plant</t>
  </si>
  <si>
    <t xml:space="preserve">      Sub-Total True-Up Adjustments</t>
  </si>
  <si>
    <t>Sum Lines 9 thru 11</t>
  </si>
  <si>
    <t>Transmission Related Municipal Franchise Fees Expenses</t>
  </si>
  <si>
    <t>Transmission Related Regulatory Debits</t>
  </si>
  <si>
    <t>Sum Lines 9 thru 10</t>
  </si>
  <si>
    <t xml:space="preserve">     Total Rate Base Additions</t>
  </si>
  <si>
    <t xml:space="preserve">     Total Rate Base Reductions</t>
  </si>
  <si>
    <t>Sum Lines 14 thru 15</t>
  </si>
  <si>
    <t>Other Regulatory Assets/Liabilities</t>
  </si>
  <si>
    <t>Sum Lines 19 thru 21</t>
  </si>
  <si>
    <t>Sum Lines 6; 11; 16; 22; 24</t>
  </si>
  <si>
    <t xml:space="preserve">C. Total Wholesale BTRR Excluding Franchise Fees </t>
  </si>
  <si>
    <t>Statement BK-1; Page 1; Line 33</t>
  </si>
  <si>
    <t>Statement BK-2; Page 1; Line 22</t>
  </si>
  <si>
    <t>Statement BK-2; Page 1; Line 24</t>
  </si>
  <si>
    <t>(d)</t>
  </si>
  <si>
    <t>(e)</t>
  </si>
  <si>
    <t>(f)</t>
  </si>
  <si>
    <t xml:space="preserve">Summary of HV-LV Splits for Forecast Plant Additions </t>
  </si>
  <si>
    <t>HV-LV Ratio (Weighted Transmission Forecast Plant Additions)</t>
  </si>
  <si>
    <t>See Note 1 Below</t>
  </si>
  <si>
    <t>See Note 2 Below</t>
  </si>
  <si>
    <t>Gross</t>
  </si>
  <si>
    <t>Net</t>
  </si>
  <si>
    <t>Return on Common Equity: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</si>
  <si>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</si>
  <si>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The balances for Electric Miscellaneous Intangible, Distribution, General and Common plant are derived based on a simple average balance using</t>
  </si>
  <si>
    <t>Total Distribution Plant</t>
  </si>
  <si>
    <r>
      <t xml:space="preserve">E.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</si>
  <si>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>Capital</t>
  </si>
  <si>
    <t>Cost of</t>
  </si>
  <si>
    <t>Statement BK1; Page 2; Line 26</t>
  </si>
  <si>
    <t>Statement BK-1; Page 2, Line 26</t>
  </si>
  <si>
    <t>there's no transfer of transmission or distribution plant among these categories.</t>
  </si>
  <si>
    <t>reflects transfers between generation and distribution functions.</t>
  </si>
  <si>
    <t>The balances for Transmission Plant Held for Future Use are derived based on a 13-month average balance.</t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</si>
  <si>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 1</t>
    </r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</si>
  <si>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</si>
  <si>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General Plant  </t>
    </r>
    <r>
      <rPr>
        <b/>
        <vertAlign val="superscript"/>
        <sz val="12"/>
        <rFont val="Times New Roman"/>
        <family val="1"/>
      </rPr>
      <t>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</si>
  <si>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</si>
  <si>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Held for Future Use  </t>
    </r>
    <r>
      <rPr>
        <b/>
        <vertAlign val="superscript"/>
        <sz val="11"/>
        <rFont val="Times New Roman"/>
        <family val="1"/>
      </rPr>
      <t>1</t>
    </r>
  </si>
  <si>
    <t>Line 8 Above</t>
  </si>
  <si>
    <t>Transmission Related Electric Misc. Intangible Plant Amortization Expense</t>
  </si>
  <si>
    <t xml:space="preserve">                (1 - FT)</t>
  </si>
  <si>
    <t xml:space="preserve">                                (1 - ST)</t>
  </si>
  <si>
    <t>See Line 30 Above</t>
  </si>
  <si>
    <t>ANNUAL FIXED CHARGES APPLICABLE TO INCENTIVE</t>
  </si>
  <si>
    <t>CAPITAL PROJECTS</t>
  </si>
  <si>
    <t>Line 21 / Line 20</t>
  </si>
  <si>
    <t>Col. C = Line 22 Above</t>
  </si>
  <si>
    <t>Statement AE; Page 2, Line 19</t>
  </si>
  <si>
    <r>
      <t xml:space="preserve">Transmission Plant Allocation Factor  </t>
    </r>
    <r>
      <rPr>
        <b/>
        <vertAlign val="superscript"/>
        <sz val="12"/>
        <rFont val="Times New Roman"/>
        <family val="1"/>
      </rPr>
      <t>4</t>
    </r>
  </si>
  <si>
    <r>
      <t xml:space="preserve">Electric Miscellaneous Intangible Plant Amortization Reserve  </t>
    </r>
    <r>
      <rPr>
        <b/>
        <vertAlign val="superscript"/>
        <sz val="12"/>
        <rFont val="Times New Roman"/>
        <family val="1"/>
      </rPr>
      <t>2</t>
    </r>
  </si>
  <si>
    <r>
      <t xml:space="preserve">Transmission Plant Allocation Factor </t>
    </r>
    <r>
      <rPr>
        <b/>
        <vertAlign val="superscript"/>
        <sz val="12"/>
        <rFont val="Times New Roman"/>
        <family val="1"/>
      </rPr>
      <t xml:space="preserve"> 4</t>
    </r>
  </si>
  <si>
    <t xml:space="preserve">reflects transfers between generation and distribution functions. </t>
  </si>
  <si>
    <t xml:space="preserve">     FT = Federal Income Tax Expense</t>
  </si>
  <si>
    <t>Statement AD; Page 1, Line 15</t>
  </si>
  <si>
    <t>Statement AD; Page 1, Line 31</t>
  </si>
  <si>
    <t>Statement AD; Page 1, Line 33</t>
  </si>
  <si>
    <t>Statement AD; Page 1, Line 17</t>
  </si>
  <si>
    <t>Sum Lines 15 thru 17</t>
  </si>
  <si>
    <t>Sum Lines 11; 13; 19; 21; 23</t>
  </si>
  <si>
    <t>See Line 19 Above</t>
  </si>
  <si>
    <t>Line 1 x Line 27</t>
  </si>
  <si>
    <t>Line 21 x Line 27</t>
  </si>
  <si>
    <t>Line 23 x Line 27</t>
  </si>
  <si>
    <t>Sum Lines 29; 31; 33; 35</t>
  </si>
  <si>
    <t>Line 37 / Line 25</t>
  </si>
  <si>
    <t>Form 1; Pg. 450.1; Sch. Pg. 274; Ln 2; Cols. b and k</t>
  </si>
  <si>
    <t>Form 1; Page 354; Line 20; Col. b</t>
  </si>
  <si>
    <t>Form 1; Page 354; Line 21; Col. b</t>
  </si>
  <si>
    <t>Form 1; Page 354; Line 23; Col. b</t>
  </si>
  <si>
    <t>Form 1; Page 354; Line 24; Col. b</t>
  </si>
  <si>
    <t>Form 1; Page 354; Line 25; Col. b</t>
  </si>
  <si>
    <t>Form 1; Page 263; Line 2; Col. i</t>
  </si>
  <si>
    <t>Form 1; Page 112; Line 18c</t>
  </si>
  <si>
    <t>Form 1; Page 112; Line 19c</t>
  </si>
  <si>
    <t>Form 1; Page 112; Line 21c</t>
  </si>
  <si>
    <t>Form 1; Page 112; Line 22c</t>
  </si>
  <si>
    <t>Form 1; Page 112; Line 23c</t>
  </si>
  <si>
    <t>Form 1; Page 117; Line 62c</t>
  </si>
  <si>
    <t>Form 1; Page 117; Line 63c</t>
  </si>
  <si>
    <t>Form 1; Page 117; Line 64c</t>
  </si>
  <si>
    <t>Form 1; Page 117; Line 65c</t>
  </si>
  <si>
    <t>Form 1; Page 117; Line 66c</t>
  </si>
  <si>
    <t>Form 1; Page 112; Line 3c</t>
  </si>
  <si>
    <t>Form 1; Page 118; Line 29c</t>
  </si>
  <si>
    <t>Form 1; Page 112; Line 16c</t>
  </si>
  <si>
    <t>Form 1; Page 112; Line 12c</t>
  </si>
  <si>
    <t>Incentive Transmission Plant ADIT</t>
  </si>
  <si>
    <t xml:space="preserve">Incentive Transmission Plant ADIT </t>
  </si>
  <si>
    <t xml:space="preserve">Incentive Transmission Plant Accum. Def. Income Taxes </t>
  </si>
  <si>
    <t>Total Electric Miscellaneous Intangible Plant</t>
  </si>
  <si>
    <t>Transmission Related A&amp;G Expense</t>
  </si>
  <si>
    <t xml:space="preserve">     Transmission Related Administrative &amp; General Expense</t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</si>
  <si>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</si>
  <si>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Wholesale BTRR Before Forecast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</si>
  <si>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     Total Recorded Transmission Facilities BTRR </t>
    </r>
    <r>
      <rPr>
        <vertAlign val="subscript"/>
        <sz val="12"/>
        <rFont val="Times New Roman"/>
        <family val="1"/>
      </rPr>
      <t xml:space="preserve">CAISO </t>
    </r>
    <r>
      <rPr>
        <sz val="12"/>
        <rFont val="Times New Roman"/>
        <family val="1"/>
      </rPr>
      <t>With Franchise Fees</t>
    </r>
  </si>
  <si>
    <r>
      <t xml:space="preserve">Pursuant to the CAISO's July 5, 2005 filing in compliance with the Commission's December 21, 2004 order, 109 FERC </t>
    </r>
    <r>
      <rPr>
        <sz val="12"/>
        <rFont val="Arial"/>
        <family val="2"/>
      </rPr>
      <t>¶</t>
    </r>
    <r>
      <rPr>
        <sz val="12"/>
        <rFont val="Times New Roman"/>
        <family val="1"/>
      </rPr>
      <t xml:space="preserve"> 61,301 (December 21, Order)</t>
    </r>
  </si>
  <si>
    <r>
      <t xml:space="preserve">Recorded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</si>
  <si>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r>
      <t xml:space="preserve">Forecast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</si>
  <si>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Statement BK-1; Page 1; Line 2 * 50%</t>
  </si>
  <si>
    <t>Statement BK-1; Page 1; Line 4 * 50%</t>
  </si>
  <si>
    <t>Sum Lines 3 thru 11</t>
  </si>
  <si>
    <t>Line 12 / Line 14</t>
  </si>
  <si>
    <t>Line 24 x Line 26</t>
  </si>
  <si>
    <t>Statement BK-1; Page 4, Line 20</t>
  </si>
  <si>
    <t>Statement BK-1; Page 4; Line 20</t>
  </si>
  <si>
    <t xml:space="preserve">Retail True-Up Period Adjustment </t>
  </si>
  <si>
    <t>Wholesale True-Up Adjustment</t>
  </si>
  <si>
    <t>Sum Lines 1 thru 7</t>
  </si>
  <si>
    <t>Ratios Based on Line 14</t>
  </si>
  <si>
    <t>Line 15 x Line 16; Col A</t>
  </si>
  <si>
    <t>Line 20 x Line 21; Col A</t>
  </si>
  <si>
    <t>Line 16 From Above</t>
  </si>
  <si>
    <t>Sum Lines 25 thru 26</t>
  </si>
  <si>
    <t>Line 21 From Above</t>
  </si>
  <si>
    <t>Sum Lines 29 thru 30</t>
  </si>
  <si>
    <t>Line 27 + Line 31</t>
  </si>
  <si>
    <t xml:space="preserve">     B = Equity AFUDC Component of Transmission Depreciation Expense</t>
  </si>
  <si>
    <t xml:space="preserve">     C = Transmission Rate Base</t>
  </si>
  <si>
    <t>State Income Tax    =     ((A) + (B / C) + Federal Income Tax)*(ST)</t>
  </si>
  <si>
    <t>Federal Income Tax  =  (((A) + (C / D)) * FT) - (B / D)</t>
  </si>
  <si>
    <t>Sum Lines 12; 24</t>
  </si>
  <si>
    <t>Sum Lines 27; 29</t>
  </si>
  <si>
    <t xml:space="preserve">Federal Income Tax  =  (((A) + (C / D)) * FT) - (B / D) </t>
  </si>
  <si>
    <t>C. Annual Fixed Charges Applicable to Incentive Capital Projects:</t>
  </si>
  <si>
    <t>Sales Wages &amp; Salaries</t>
  </si>
  <si>
    <t>Form 1; Page 354; Line 26; Col. b</t>
  </si>
  <si>
    <t>Administrative and General Wages &amp; Salaries</t>
  </si>
  <si>
    <t>Form 1; Page 354; Line 27; Col. b</t>
  </si>
  <si>
    <t xml:space="preserve">   Total Operating &amp; Maintenance Wages &amp; Salaries</t>
  </si>
  <si>
    <t>Sum Lines 13; 15</t>
  </si>
  <si>
    <t>Line 3 /  Line 13</t>
  </si>
  <si>
    <t>Sum Lines 1 thru 11</t>
  </si>
  <si>
    <t xml:space="preserve">Miscellaneous Statement </t>
  </si>
  <si>
    <t>Misc. Statement; Page 17, Line 4</t>
  </si>
  <si>
    <t xml:space="preserve">Transmission Related ADIT- Excluding Bonus Depreciation </t>
  </si>
  <si>
    <t xml:space="preserve">Transmission Related ADIT from Bonus Depreciation </t>
  </si>
  <si>
    <t xml:space="preserve">     Total Transmission Related ADIT </t>
  </si>
  <si>
    <t>Transmission Related ADIT- Excluding Bonus Depreciation</t>
  </si>
  <si>
    <t>Statement AF; Page 3; Line 9</t>
  </si>
  <si>
    <t>Incentive CWIP Return and Associated Income Taxes</t>
  </si>
  <si>
    <r>
      <t xml:space="preserve">Incentive Cost of Capital Rate </t>
    </r>
    <r>
      <rPr>
        <vertAlign val="subscript"/>
        <sz val="12"/>
        <rFont val="Times New Roman"/>
        <family val="1"/>
      </rPr>
      <t xml:space="preserve">(ICOCR) 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</si>
  <si>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Net Incentive Transmission Plant  </t>
    </r>
    <r>
      <rPr>
        <b/>
        <vertAlign val="superscript"/>
        <sz val="12"/>
        <rFont val="Times New Roman"/>
        <family val="1"/>
      </rPr>
      <t>1</t>
    </r>
  </si>
  <si>
    <t>Statement AM</t>
  </si>
  <si>
    <t>Construction Work In Progress</t>
  </si>
  <si>
    <t>Misc. Statement; Page 17, Line 1</t>
  </si>
  <si>
    <t>Statement AM; Page 10; Line 1</t>
  </si>
  <si>
    <t>Misc. Statement; Page 17, Line 10</t>
  </si>
  <si>
    <t>Misc. Statement; Page 17, Line 7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</si>
  <si>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1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</si>
  <si>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</si>
  <si>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>Line 31 x Line 33</t>
  </si>
  <si>
    <t>Statement BK-1; Page 5, Line 20</t>
  </si>
  <si>
    <t>Statement BK-1; Page 5, Line 37</t>
  </si>
  <si>
    <t>Sum Lines 7; 13; 17; 21; 25</t>
  </si>
  <si>
    <t>Sum Lines 27 thru 30</t>
  </si>
  <si>
    <t>Statement BK-1; Page 5; Line 37</t>
  </si>
  <si>
    <r>
      <t xml:space="preserve">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</si>
  <si>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Incentive Transmission Forecast CWIP Projects Revenue Requirements</t>
  </si>
  <si>
    <t xml:space="preserve">    Sub-Total</t>
  </si>
  <si>
    <t>Statement AI; Line 19</t>
  </si>
  <si>
    <t>Statement AR; Page 12; Line 5</t>
  </si>
  <si>
    <t>Cost Statement AK; Pg 8 of 17; Line 25</t>
  </si>
  <si>
    <t>Line 29 x Line 31</t>
  </si>
  <si>
    <t>Statement AK; Page 8, Line 33</t>
  </si>
  <si>
    <t>Statement AV; Page 15, Line 31</t>
  </si>
  <si>
    <t>Statement AQ; Page 11, Line 1</t>
  </si>
  <si>
    <t>Statement AR; Page 12, Line 1</t>
  </si>
  <si>
    <t>Statement AR; Page 12, Line 3</t>
  </si>
  <si>
    <t>Statement AU; Page 13, Line 11</t>
  </si>
  <si>
    <t>Statement AU; Page 13, Line 13</t>
  </si>
  <si>
    <t>Incentive Transmission Plant Depreciation Expense</t>
  </si>
  <si>
    <t xml:space="preserve">Transmission Related Materials and Supplies </t>
  </si>
  <si>
    <t>Transmission Related Electric Misc. Intangible Plant Amortization Reserve</t>
  </si>
  <si>
    <r>
      <t xml:space="preserve">Incentive Transmission Plant 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</si>
  <si>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</si>
  <si>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Statement BK-1; Page 5; Line 20</t>
  </si>
  <si>
    <t>Total Incentive Transmission Forecast CWIP Projects Revenue Requirements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</si>
  <si>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3</t>
    </r>
  </si>
  <si>
    <t>Incentive Cost of Equity Component (Preferred &amp; Common):</t>
  </si>
  <si>
    <t>Total Administrative &amp; General Expense</t>
  </si>
  <si>
    <t>Adjustments to Per  Book A&amp;G Expense:</t>
  </si>
  <si>
    <t xml:space="preserve">   Nuclear liability insurance expense</t>
  </si>
  <si>
    <t>d) Total Incentive Weighted Cost of Capital:</t>
  </si>
  <si>
    <t>D. Total Incentive Weighted Cost of Capital:</t>
  </si>
  <si>
    <t>D. Total Weighted Cost of Capital: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</si>
  <si>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</si>
  <si>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B. Derivation of Incentive Forecast Transmission CWIP Revenues:</t>
  </si>
  <si>
    <t>Non-Incentive Projects:</t>
  </si>
  <si>
    <t>Incentive Projects:</t>
  </si>
  <si>
    <t>Summary of HV-LV Plant Additions; Pg 1; Ln 5, Col. (f)</t>
  </si>
  <si>
    <t>1. For the Period After the Base Period and Before the Rate Effective Period:</t>
  </si>
  <si>
    <t>2. For the Period During the Rate Effective Period:</t>
  </si>
  <si>
    <t xml:space="preserve">     Sub-Total Incentive Projects Forecast Plant Additions</t>
  </si>
  <si>
    <t xml:space="preserve">     Sub-Total Non-Incentive Projects Forecast Plant Additions</t>
  </si>
  <si>
    <t>Statement AM - Workpapers</t>
  </si>
  <si>
    <t>Construction Work In Progress (CWIP)</t>
  </si>
  <si>
    <t>Statement AQ - Workpapers</t>
  </si>
  <si>
    <t>Statement AR - Workpapers</t>
  </si>
  <si>
    <t>Statement AU - Workpapers</t>
  </si>
  <si>
    <t>Statement AV - Workpapers</t>
  </si>
  <si>
    <t>Use gross plant facilities as of December 31 for the applicable base period.</t>
  </si>
  <si>
    <r>
      <t xml:space="preserve">    Gross Transmission Plant Facilities </t>
    </r>
    <r>
      <rPr>
        <b/>
        <vertAlign val="superscript"/>
        <sz val="12"/>
        <rFont val="Times New Roman"/>
        <family val="1"/>
      </rPr>
      <t>2</t>
    </r>
  </si>
  <si>
    <r>
      <t xml:space="preserve">    HV-LV Plant Allocation Ratios </t>
    </r>
    <r>
      <rPr>
        <b/>
        <vertAlign val="superscript"/>
        <sz val="12"/>
        <rFont val="Times New Roman"/>
        <family val="1"/>
      </rPr>
      <t>3</t>
    </r>
  </si>
  <si>
    <t>HV-LV plant ratios based upon footnote 2.</t>
  </si>
  <si>
    <t xml:space="preserve">    Total HV-LV Transmission Plant Facilities Revenues </t>
  </si>
  <si>
    <t xml:space="preserve">    Plant Adds Applicable to Forecast Period:</t>
  </si>
  <si>
    <t xml:space="preserve">Incentive Transmission Plant Depreciation Reserve </t>
  </si>
  <si>
    <t xml:space="preserve">Incentive Weighted Forecast Transmission Construction Work In Progress </t>
  </si>
  <si>
    <t>Total Adjusted A&amp;G Expense Excluding Property Insurance</t>
  </si>
  <si>
    <r>
      <t>Total Prior Year Revenues (PYRR) or Base Period Revenue is for 12 months ending the applicable cycle base period</t>
    </r>
    <r>
      <rPr>
        <sz val="12"/>
        <rFont val="Times New Roman"/>
        <family val="1"/>
      </rPr>
      <t>.</t>
    </r>
  </si>
  <si>
    <t>B. Incentive ROE Project Transmission Revenue:</t>
  </si>
  <si>
    <t>Statement BK-1; Page 2; Line 31</t>
  </si>
  <si>
    <t>Sum Lines 34 thru 35</t>
  </si>
  <si>
    <t>Statement BK-1; Page 2; Line 36</t>
  </si>
  <si>
    <t>Statement BK-1; Page 2; Line 38</t>
  </si>
  <si>
    <t>Note 1</t>
  </si>
  <si>
    <t>Statement BK1; Page 2; Line 31</t>
  </si>
  <si>
    <t>Total Incentive ROE Project Transmission Revenue</t>
  </si>
  <si>
    <t xml:space="preserve">     Total Incentive ROE Project Transmission Rate Base</t>
  </si>
  <si>
    <t>D. Incentive Transmission Construction Work In Progress (CWIP) Revenue: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</si>
  <si>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</si>
  <si>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Line 22 x Line 23</t>
  </si>
  <si>
    <t>Line 20 + Sum Lines (24 thru 31)</t>
  </si>
  <si>
    <t>Line 47 x Line 48</t>
  </si>
  <si>
    <t>Statement BK-1; Page 1; Line 26</t>
  </si>
  <si>
    <t>Statement BK-1; Page 1; Line 27</t>
  </si>
  <si>
    <t>Statement BK-1; Page 1; Line 31</t>
  </si>
  <si>
    <t>Statement BK-1; Page 1; Line 58</t>
  </si>
  <si>
    <t>Total Incentive ROE Project Transmission Rate Base</t>
  </si>
  <si>
    <t xml:space="preserve">     D = Incentive ROE Project Transmission Rate Base</t>
  </si>
  <si>
    <t xml:space="preserve">     C = Incentive ROE Project Transmission Rate Base</t>
  </si>
  <si>
    <t>Transmission Plant Abandoned Project Cost Amortization Expense</t>
  </si>
  <si>
    <t>Incentive Transmission Plant Abandoned Project Cost Amortization Expense</t>
  </si>
  <si>
    <t>C. Incentive Transmission Plant Abandoned Project Revenue:</t>
  </si>
  <si>
    <t>Incentive Transmission Plant Abandoned Project Return and Associated Income Taxes</t>
  </si>
  <si>
    <t>Total Incentive Transmission Plant Abandoned Project Revenue</t>
  </si>
  <si>
    <t>Line 38 x Line 39</t>
  </si>
  <si>
    <t>Sum Lines 36; 40</t>
  </si>
  <si>
    <t>Sum Lines 45; 49</t>
  </si>
  <si>
    <t>Line 54 x Line 55</t>
  </si>
  <si>
    <t>Sum Lines 42; 51; 56</t>
  </si>
  <si>
    <t>Sum Lines 33; 58</t>
  </si>
  <si>
    <t>Total Incentive Transmission Plant Abandoned Project Cost Rate Base</t>
  </si>
  <si>
    <t>Transmission Plant Abandoned Project Cost</t>
  </si>
  <si>
    <t>Transmission Plant Abandoned Accum. Def. Inc. Taxes</t>
  </si>
  <si>
    <t>Incentive Transmission Plant Abandoned Project Cost</t>
  </si>
  <si>
    <t>Incentive Transmission Plant Abandoned Project Cost Accum. Def. Inc. Taxes</t>
  </si>
  <si>
    <t xml:space="preserve">    Total Incentive Transmission Plant Abandoned Project Cost Rate Base</t>
  </si>
  <si>
    <t>Statement BK-1; Page 1; Line 33 + Line 42</t>
  </si>
  <si>
    <t>Statement BK-1; Page 3, Line 6 + Line 23</t>
  </si>
  <si>
    <t>Statement BK-1; Page 1; Line 60</t>
  </si>
  <si>
    <t>SAN DIEGO GAS &amp; ELECTRIC COMPANY</t>
  </si>
  <si>
    <t>TO4-Formula Cycle in Effect</t>
  </si>
  <si>
    <t>Description</t>
  </si>
  <si>
    <t>Beginning Balance (Overcollection)/Undercollection:</t>
  </si>
  <si>
    <t>Previous Month's Balance</t>
  </si>
  <si>
    <r>
      <t xml:space="preserve">Total Recorded Retail Revenues @ Meter Level </t>
    </r>
    <r>
      <rPr>
        <b/>
        <vertAlign val="superscript"/>
        <sz val="12"/>
        <rFont val="Times New Roman"/>
        <family val="1"/>
      </rPr>
      <t>1</t>
    </r>
  </si>
  <si>
    <t>See Related Work Papers; Pages; Lines.</t>
  </si>
  <si>
    <t xml:space="preserve">      Total Amortization of True-Up Adjustments &amp; Interest True-Up Adjustment</t>
  </si>
  <si>
    <t>Sum Lines 7 through 12</t>
  </si>
  <si>
    <t xml:space="preserve">Total True-Up Revenues (TU Cost of Service)     </t>
  </si>
  <si>
    <t>Net Monthly (Overcollection)/Undercollection:</t>
  </si>
  <si>
    <t>Line 18 Minus Line 16</t>
  </si>
  <si>
    <t>Interest Expense Calculations:</t>
  </si>
  <si>
    <t xml:space="preserve">      Beginning Balance for Interest Calculation </t>
  </si>
  <si>
    <t>Beginning Quarterly Balances</t>
  </si>
  <si>
    <t xml:space="preserve">      Monthly Activity Included in Interest Calculation Basis </t>
  </si>
  <si>
    <t>Interest Calculation Basis</t>
  </si>
  <si>
    <t xml:space="preserve">      Basis for Interest Expense Calculation </t>
  </si>
  <si>
    <t>Sum Lines 23 &amp; 24</t>
  </si>
  <si>
    <t xml:space="preserve">      Monthly Interest Rate</t>
  </si>
  <si>
    <t>FERC Monthly Rates</t>
  </si>
  <si>
    <t xml:space="preserve">         Interest Expense </t>
  </si>
  <si>
    <t>Line 25 x Line 26</t>
  </si>
  <si>
    <t>Ending Balance (Overcollection)/Undercollection:</t>
  </si>
  <si>
    <t>Sum Lines 1; 20; &amp; 27</t>
  </si>
  <si>
    <t>Annual Interest Rate - FERC Website</t>
  </si>
  <si>
    <t>Number of Days Per Month</t>
  </si>
  <si>
    <t>Monthly Interest Rate - Calculated</t>
  </si>
  <si>
    <t>(Line 32)/(Line 33)x(Line 34)</t>
  </si>
  <si>
    <t>Monthly Interest Rate - FERC Website</t>
  </si>
  <si>
    <t>Difference</t>
  </si>
  <si>
    <t>Line 35 - Line 36</t>
  </si>
  <si>
    <t>NOTES:</t>
  </si>
  <si>
    <r>
      <rPr>
        <b/>
        <vertAlign val="superscript"/>
        <sz val="12"/>
        <rFont val="Times New Roman"/>
        <family val="1"/>
      </rPr>
      <t>1</t>
    </r>
  </si>
  <si>
    <t>Ratios Based on Line 19</t>
  </si>
  <si>
    <t>Shall be Zero</t>
  </si>
  <si>
    <t>The balances for Materials &amp; Supplies and Prepayments are derived based on a 13-month average balance.</t>
  </si>
  <si>
    <t>The balances for Steam, Nuclear, Hydraulic, Other Production, and Transmission plant are derived based on a 13-month average balance.</t>
  </si>
  <si>
    <t>The depreciation reserve for transmission plant is derived based on a 13-month average balance.</t>
  </si>
  <si>
    <r>
      <t xml:space="preserve">Amount  </t>
    </r>
    <r>
      <rPr>
        <b/>
        <vertAlign val="superscript"/>
        <sz val="12"/>
        <rFont val="Times New Roman"/>
        <family val="1"/>
      </rPr>
      <t>1</t>
    </r>
  </si>
  <si>
    <t>Amount is based upon December 31 balances.</t>
  </si>
  <si>
    <r>
      <t xml:space="preserve">Amount </t>
    </r>
    <r>
      <rPr>
        <b/>
        <vertAlign val="superscript"/>
        <sz val="12"/>
        <rFont val="Times New Roman"/>
        <family val="1"/>
      </rPr>
      <t xml:space="preserve"> 1</t>
    </r>
  </si>
  <si>
    <t xml:space="preserve">1. Percent Split Between HV &amp; LV for Recorded Non-Incentive &amp; Incentive </t>
  </si>
  <si>
    <t xml:space="preserve">    Gross Transmission Plant Facilities and Incentive CWIP:</t>
  </si>
  <si>
    <t>Sum Lines 8 thru 12</t>
  </si>
  <si>
    <t>Sum Lines 5; 14</t>
  </si>
  <si>
    <t>HV = Line 16; Col (d) / Line 16; Col (f)</t>
  </si>
  <si>
    <t>LV = Line 16; Col (e) / Line 16; Col (f)</t>
  </si>
  <si>
    <t>Summary of HV-LV Splits for Forecast Plant Adds; Page 1; Line 16</t>
  </si>
  <si>
    <t>Electric Miscellaneous Intangible Plant Amortization Expense</t>
  </si>
  <si>
    <t xml:space="preserve">General Plant Depreciation Expense </t>
  </si>
  <si>
    <t xml:space="preserve">Common Plant Depreciation Expense </t>
  </si>
  <si>
    <t>Line 3 x Line 9</t>
  </si>
  <si>
    <t>Line 5 x Line 9</t>
  </si>
  <si>
    <t>Line 7 x Line 9</t>
  </si>
  <si>
    <t>Sum Lines 1; 11; 13; 15</t>
  </si>
  <si>
    <t>Common Plant Depreciation Expense</t>
  </si>
  <si>
    <t>Statement AJ; Page 7, Line 17</t>
  </si>
  <si>
    <t>Statement AJ; Page 7, Line 23</t>
  </si>
  <si>
    <t>Summary of HV-LV Plant Additions; Pg 1; Ln 10; Col. (f)</t>
  </si>
  <si>
    <t>Summary of HV-LV Plant Additions; Pg 1; Ln 12; Col. (f)</t>
  </si>
  <si>
    <t>Summary of HV-LV Plant Additions; Pg 1; Ln 8; Col. (f)</t>
  </si>
  <si>
    <t>Transmission, General, Common Plant Depn. Exp., and Electric Misc. Intangible Plant Amort. Exp.</t>
  </si>
  <si>
    <t>Total Transmission, General, Common Plant Depn. Exp., and Electric Misc. Intangible Plant Amort. Exp.</t>
  </si>
  <si>
    <t xml:space="preserve">         (1 - ST)</t>
  </si>
  <si>
    <t>(1 - FT)</t>
  </si>
  <si>
    <t>State Income Tax  =  ((A) + (B / C) + Federal Income Tax)*(ST)</t>
  </si>
  <si>
    <t xml:space="preserve"> (1 - FT)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</si>
  <si>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 </t>
    </r>
    <r>
      <rPr>
        <b/>
        <u/>
        <sz val="11"/>
        <rFont val="Times New Roman"/>
        <family val="1"/>
      </rPr>
      <t xml:space="preserve"> </t>
    </r>
    <r>
      <rPr>
        <b/>
        <u/>
        <vertAlign val="superscript"/>
        <sz val="12"/>
        <rFont val="Times New Roman"/>
        <family val="1"/>
      </rPr>
      <t>3</t>
    </r>
  </si>
  <si>
    <t xml:space="preserve">     Total Transmission Plant  &amp; Incentive Transmission Plant</t>
  </si>
  <si>
    <t>Total Transmission Plant &amp; Incentive Transmission Plant</t>
  </si>
  <si>
    <r>
      <t xml:space="preserve">Transmission Plant Depreciation Reserve  </t>
    </r>
    <r>
      <rPr>
        <b/>
        <vertAlign val="superscript"/>
        <sz val="12"/>
        <rFont val="Times New Roman"/>
        <family val="1"/>
      </rPr>
      <t>1</t>
    </r>
  </si>
  <si>
    <t>Incentive Transmission Plant Depreciation Reserve</t>
  </si>
  <si>
    <r>
      <t xml:space="preserve">General Plant Depreciation Reserve  </t>
    </r>
    <r>
      <rPr>
        <b/>
        <vertAlign val="superscript"/>
        <sz val="12"/>
        <rFont val="Times New Roman"/>
        <family val="1"/>
      </rPr>
      <t>2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</si>
  <si>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</t>
    </r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</si>
  <si>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</si>
  <si>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</si>
  <si>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</si>
  <si>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t>Statement AJ; Page 7, Line 19</t>
  </si>
  <si>
    <t>Statement AJ; Page 7; Line 21</t>
  </si>
  <si>
    <t xml:space="preserve">     Total Transmission Plant &amp; Incentive Transmission Plant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</si>
  <si>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a</t>
    </r>
  </si>
  <si>
    <t xml:space="preserve">Federal Income Tax Expense </t>
  </si>
  <si>
    <t>See Note 3 Below</t>
  </si>
  <si>
    <t>See Note 4 Below</t>
  </si>
  <si>
    <t>See Note 5 Below</t>
  </si>
  <si>
    <t>Forecast Period - Transmission Plant Additions</t>
  </si>
  <si>
    <t>Forecast Period - Transmission Related General; Common; and Electric Misc. Intangible Plant</t>
  </si>
  <si>
    <t xml:space="preserve">Forecast Period - Incentive Transmission Plant Additions </t>
  </si>
  <si>
    <t>Statement AJ; Page 7; Line 25</t>
  </si>
  <si>
    <t>Transmission Related Electric Misc. Intangible Plant</t>
  </si>
  <si>
    <t>Statement AE; Page 2, Line 11</t>
  </si>
  <si>
    <t>Statement AE; Page 2, Line 13</t>
  </si>
  <si>
    <t>Gross Transmission Plant &amp; Incentive Transmission Plant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</si>
  <si>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</si>
  <si>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</si>
  <si>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>Total Transmission Plant  &amp; Incentive Transmission Plant</t>
  </si>
  <si>
    <t>Line 9 Above</t>
  </si>
  <si>
    <t>C. Incentive Transmission Plant Abandoned Project Rate Base:</t>
  </si>
  <si>
    <t>Transmission Plant &amp; Incentive Transmission Plant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</si>
  <si>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</si>
  <si>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</si>
  <si>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</si>
  <si>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</si>
  <si>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</si>
  <si>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</si>
  <si>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</si>
  <si>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</si>
  <si>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</si>
  <si>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</si>
  <si>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</si>
  <si>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</si>
  <si>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Amortization of True-Up Adjustment and Interest True-Up Adjustment:</t>
  </si>
  <si>
    <t>a) Amortization of Prior Cycle True-Up Adjustment and Prior Interest True-Up Adjustment:</t>
  </si>
  <si>
    <r>
      <t xml:space="preserve">Adjusted Total Recorded Retail Revenues @ Meter Level </t>
    </r>
    <r>
      <rPr>
        <b/>
        <vertAlign val="superscript"/>
        <sz val="12"/>
        <rFont val="Times New Roman"/>
        <family val="1"/>
      </rPr>
      <t>3</t>
    </r>
  </si>
  <si>
    <t>Sum Lines 3 &amp; 14</t>
  </si>
  <si>
    <r>
      <t xml:space="preserve">FERC INTEREST RATE </t>
    </r>
    <r>
      <rPr>
        <b/>
        <vertAlign val="superscript"/>
        <sz val="12"/>
        <rFont val="Times New Roman"/>
        <family val="1"/>
      </rPr>
      <t>4</t>
    </r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</si>
  <si>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4</t>
    </r>
  </si>
  <si>
    <t>A</t>
  </si>
  <si>
    <t>For the Retail True-Up Adjustment Calculation, the Recorded Retail Revenues are measured at the Meter Level.</t>
  </si>
  <si>
    <r>
      <rPr>
        <b/>
        <vertAlign val="superscript"/>
        <sz val="12"/>
        <rFont val="Times New Roman"/>
        <family val="1"/>
      </rPr>
      <t>2</t>
    </r>
    <r>
      <rPr>
        <sz val="10"/>
        <rFont val="Arial"/>
        <family val="2"/>
      </rPr>
      <t/>
    </r>
  </si>
  <si>
    <t>The amortization of prior cycle True-Up Adjustment and prior Interest True-Up Adjustment will be repeated as needed in deriving the True-Up Adjustment.</t>
  </si>
  <si>
    <r>
      <rPr>
        <b/>
        <vertAlign val="superscript"/>
        <sz val="12"/>
        <rFont val="Times New Roman"/>
        <family val="1"/>
      </rPr>
      <t>3</t>
    </r>
    <r>
      <rPr>
        <sz val="10"/>
        <rFont val="Arial"/>
        <family val="2"/>
      </rPr>
      <t/>
    </r>
  </si>
  <si>
    <t>For the Retail True-Up Adjustment Calculation, the Adjusted Total Recorded Retail Revenues are measured at the Meter Level.</t>
  </si>
  <si>
    <r>
      <rPr>
        <b/>
        <vertAlign val="superscript"/>
        <sz val="12"/>
        <rFont val="Times New Roman"/>
        <family val="1"/>
      </rPr>
      <t>4</t>
    </r>
    <r>
      <rPr>
        <sz val="10"/>
        <rFont val="Arial"/>
        <family val="2"/>
      </rPr>
      <t/>
    </r>
  </si>
  <si>
    <t>The FERC interest rate information comes from the FERC website.</t>
  </si>
  <si>
    <t>Derivation of RETAIL Interest True-Up Adjustment</t>
  </si>
  <si>
    <t>(m)</t>
  </si>
  <si>
    <t>(Base Period Following the end of the True-Up Period)</t>
  </si>
  <si>
    <t>Part A1: Amortization of True-Up Adjustment Balance:</t>
  </si>
  <si>
    <t>Total Recorded Sales in KWHs</t>
  </si>
  <si>
    <t>Amortization of True-Up Adjustment Balance + Accrued Interest</t>
  </si>
  <si>
    <t>Net Monthly Collection/(Refunds)</t>
  </si>
  <si>
    <t>Part A2: Calculation of Interest on Remaining TU Balance:</t>
  </si>
  <si>
    <t>Balance at Beginning of Quarter (See Footnote C)</t>
  </si>
  <si>
    <t xml:space="preserve">      Basis for Interest Expense Calculation</t>
  </si>
  <si>
    <t xml:space="preserve">      Monthly Interest Rate </t>
  </si>
  <si>
    <t xml:space="preserve">         Interest Expense</t>
  </si>
  <si>
    <t>Ending Balance (Overcollection)/Undercollection</t>
  </si>
  <si>
    <t>Annual Interest Rate from FERC Website</t>
  </si>
  <si>
    <t>Monthly Interest Rate from FERC Website</t>
  </si>
  <si>
    <t>c</t>
  </si>
  <si>
    <t>Beginning Balance for Interest Calculation Remains Constant for each 3 Month Quarter as Interest is Compounded Quarterly on these  amounts pursuant to FERC Interest Methodology - per 18 CFR Section 35.19 (2) (iii) (B).</t>
  </si>
  <si>
    <t>d</t>
  </si>
  <si>
    <t xml:space="preserve">Monthly Activity Calculated as Follows: </t>
  </si>
  <si>
    <t>e</t>
  </si>
  <si>
    <t>f</t>
  </si>
  <si>
    <t>(z)</t>
  </si>
  <si>
    <t>Rate Effective Period from Prior Cycle Filing</t>
  </si>
  <si>
    <t>Derivation of WHOLESALE Interest True-Up Adjustment</t>
  </si>
  <si>
    <t>The Incentive ROE Transmission Plant will be tracked and shown for each incentive project and lines 29 through 31 will be repeated for each project.</t>
  </si>
  <si>
    <r>
      <t xml:space="preserve">D. Incentive Transmission Construction Work In Progress  </t>
    </r>
    <r>
      <rPr>
        <b/>
        <u/>
        <vertAlign val="superscript"/>
        <sz val="12"/>
        <rFont val="Times New Roman"/>
        <family val="1"/>
      </rPr>
      <t>2</t>
    </r>
  </si>
  <si>
    <t>Incentive CWIP projects will be tracked separately and line 38 will be shown for each project.</t>
  </si>
  <si>
    <r>
      <t xml:space="preserve">Incentive Transmission Plant Depreciation Reserve  </t>
    </r>
    <r>
      <rPr>
        <b/>
        <vertAlign val="superscript"/>
        <sz val="12"/>
        <rFont val="Times New Roman"/>
        <family val="1"/>
      </rPr>
      <t>1</t>
    </r>
  </si>
  <si>
    <t>The Incentive Annual Fixed Charge Rate will be tracked and shown for each incentive project as applicable.</t>
  </si>
  <si>
    <t xml:space="preserve">Total Steam Production Plant  </t>
  </si>
  <si>
    <t xml:space="preserve">Total Nuclear Production Plant </t>
  </si>
  <si>
    <t xml:space="preserve">Total Hydraulic Production Plant  </t>
  </si>
  <si>
    <t xml:space="preserve">Total Other Production Plant  </t>
  </si>
  <si>
    <r>
      <t xml:space="preserve">Transmission Plant  </t>
    </r>
    <r>
      <rPr>
        <b/>
        <vertAlign val="superscript"/>
        <sz val="12"/>
        <rFont val="Times New Roman"/>
        <family val="1"/>
      </rPr>
      <t>2</t>
    </r>
  </si>
  <si>
    <t xml:space="preserve">Electric Miscellaneous Intangible Plant, General Plant, and Common Plant are not affected by the "Seven-Element Adjustment Factor" because </t>
  </si>
  <si>
    <t>The amounts stated above are ratemaking utility plant in service and a result of implementing the "Seven-Element Adjustment Factor" which</t>
  </si>
  <si>
    <t>The amounts stated above are ratemaking utility plant in service and as a result of implementing the "Seven-Element Adjustment Factor" which</t>
  </si>
  <si>
    <t>The purpose of this footnote is to indicate for incentive projects the cost of the project.</t>
  </si>
  <si>
    <t>The amounts stated above are ratemaking utility plant in service as a result of implementing the "Seven-Element Adjustment Factor" which</t>
  </si>
  <si>
    <t xml:space="preserve">   Damages &amp; Injuries - Wildfire Damage Claims </t>
  </si>
  <si>
    <t>beginning and ending year balances.</t>
  </si>
  <si>
    <r>
      <t xml:space="preserve">Total Steam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</si>
  <si>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Nuclear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</si>
  <si>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Hydraulic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</si>
  <si>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b</t>
    </r>
  </si>
  <si>
    <r>
      <t xml:space="preserve">Transmission Plant  </t>
    </r>
    <r>
      <rPr>
        <b/>
        <vertAlign val="superscript"/>
        <sz val="12"/>
        <rFont val="Times New Roman"/>
        <family val="1"/>
      </rPr>
      <t>b, 2</t>
    </r>
  </si>
  <si>
    <t>The depreciation reserve for Electric Miscellaneous Intangible, General and Common plant is derived based on a simple average of beginning and end of year balances.</t>
  </si>
  <si>
    <t xml:space="preserve">   Damages &amp; Injuries - Wildfire Damage Claims</t>
  </si>
  <si>
    <t xml:space="preserve">Less: SONGS Property Taxes </t>
  </si>
  <si>
    <t>A line will be shown for each applicable project.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</si>
  <si>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 xml:space="preserve"> a</t>
    </r>
  </si>
  <si>
    <t>The balance for Incentive Transmission Construction Work In Progress is derived based on a 13-month average balance. A line will be shown for each applicable project.</t>
  </si>
  <si>
    <t>The balance for Incentive Transmission Construction Work In Progress is derived based on a 13-month average balance.</t>
  </si>
  <si>
    <r>
      <t xml:space="preserve">Incentive Return on Common Equity: </t>
    </r>
    <r>
      <rPr>
        <b/>
        <u/>
        <vertAlign val="superscript"/>
        <sz val="12"/>
        <rFont val="Times New Roman"/>
        <family val="1"/>
      </rPr>
      <t>2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</si>
  <si>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 </t>
    </r>
    <r>
      <rPr>
        <b/>
        <u/>
        <vertAlign val="superscript"/>
        <sz val="12"/>
        <rFont val="Times New Roman"/>
        <family val="1"/>
      </rPr>
      <t>1</t>
    </r>
  </si>
  <si>
    <t>Transmission Plant Property Insurance Allocation Factor</t>
  </si>
  <si>
    <t xml:space="preserve">   FERC Acct 930.1 - General Advertising Expenses </t>
  </si>
  <si>
    <t>Transmission Related Depreciation Reserve:</t>
  </si>
  <si>
    <t>Incentive ROE Project Return and Associated Income Taxes</t>
  </si>
  <si>
    <t>A. Transmission Rate Base:</t>
  </si>
  <si>
    <t>B. Incentive ROE Project Transmission Rate Base:</t>
  </si>
  <si>
    <t>A. Transmission Plant:</t>
  </si>
  <si>
    <t>B. Incentive Project Transmission Plant:</t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</si>
  <si>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</si>
  <si>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t>D. Incentive Forecast Transmission CWIP Revenues:</t>
  </si>
  <si>
    <r>
      <t xml:space="preserve">F. Total Retail BTRR </t>
    </r>
    <r>
      <rPr>
        <b/>
        <u/>
        <vertAlign val="subscript"/>
        <sz val="11"/>
        <rFont val="Times New Roman"/>
        <family val="1"/>
      </rPr>
      <t>EU</t>
    </r>
    <r>
      <rPr>
        <b/>
        <u/>
        <sz val="11"/>
        <rFont val="Times New Roman"/>
        <family val="1"/>
      </rPr>
      <t xml:space="preserve"> With FF&amp;U</t>
    </r>
  </si>
  <si>
    <r>
      <t xml:space="preserve">B. Derivation of Split Between HV and LV: </t>
    </r>
    <r>
      <rPr>
        <b/>
        <u/>
        <vertAlign val="superscript"/>
        <sz val="12"/>
        <rFont val="Times New Roman"/>
        <family val="1"/>
      </rPr>
      <t>1</t>
    </r>
  </si>
  <si>
    <t>Incentive Transmission Plant Abandoned Project Cost ADIT</t>
  </si>
  <si>
    <t>Transmission Plant Abandoned ADIT</t>
  </si>
  <si>
    <t>Statement AF; Page 3; Line 11</t>
  </si>
  <si>
    <t>Shall be Zero for Incentive ROE Projects</t>
  </si>
  <si>
    <t>(Retail TU Adj; Total Col; Line 29) / 1,000</t>
  </si>
  <si>
    <t>(Wholesale TU Adj; Total Col; Line 29) / 1,000</t>
  </si>
  <si>
    <t>Statement AV; Page 16, Line 31</t>
  </si>
  <si>
    <t>Sum Lines 2 thru 8</t>
  </si>
  <si>
    <t xml:space="preserve">   FERC Acct 561.4 - Scheduling, System Control &amp; Dispatch Services</t>
  </si>
  <si>
    <t xml:space="preserve">   FERC Acct 561.8 - Reliability, Planning &amp; Standards Development</t>
  </si>
  <si>
    <t xml:space="preserve">   FERC Acct 565 - Transmission of Electricity by Others</t>
  </si>
  <si>
    <t xml:space="preserve">   FERC Acct 566 - Miscellaneous Transmission Expense </t>
  </si>
  <si>
    <t xml:space="preserve">Total Adjusted Transmission O&amp;M Expenses </t>
  </si>
  <si>
    <t xml:space="preserve">   CPUC Intervenor Funding Expense - Distribution</t>
  </si>
  <si>
    <t>Total Adjusted A&amp;G Expenses Including Property Insurance</t>
  </si>
  <si>
    <t>Sum Lines 12 thru 25</t>
  </si>
  <si>
    <t>Sum Lines 26 and 27</t>
  </si>
  <si>
    <t>Line 28 x Line 29</t>
  </si>
  <si>
    <t>Sum Lines 33 thru 36</t>
  </si>
  <si>
    <t>Sum Lines 39 thru 45</t>
  </si>
  <si>
    <t>Line 37 / Line 46</t>
  </si>
  <si>
    <t>See Line 27 Above</t>
  </si>
  <si>
    <t>Less: Property Insurance (Reflected on Line 50 below due to different allocation factor)</t>
  </si>
  <si>
    <t>Line 48 x Line 50</t>
  </si>
  <si>
    <t>Transmission Related A &amp; G Expense Excluding Property Insurance Expense</t>
  </si>
  <si>
    <t>Transmission Related A &amp; G Expense Including Property Insurance Expense</t>
  </si>
  <si>
    <t>Sum Lines 52 &amp; 54</t>
  </si>
  <si>
    <t>Total Transmission O&amp;M Expense</t>
  </si>
  <si>
    <t>Adjustments to Per  Book Transmission O&amp;M Expense:</t>
  </si>
  <si>
    <t>Total Transmission Related Administrative and General Expenses</t>
  </si>
  <si>
    <t>Statement AH; Page 5, Line 56</t>
  </si>
  <si>
    <t>Stmnt AH WP; Page AH1; Line 17</t>
  </si>
  <si>
    <t>See Line 14 Above</t>
  </si>
  <si>
    <t>Stmnt AV WP; Page AV2; Line 31</t>
  </si>
  <si>
    <t>Line 22 x Line 24</t>
  </si>
  <si>
    <t>Sum Lines 4 thru 10</t>
  </si>
  <si>
    <t>Sum Lines 1; 12</t>
  </si>
  <si>
    <t>Sum Lines 14 thru 18</t>
  </si>
  <si>
    <t>Sum Lines 20 thru 26</t>
  </si>
  <si>
    <t>Statement BK-2; Page 1; Line 26</t>
  </si>
  <si>
    <t>C. Summary of CAISO Transmission Facilities by</t>
  </si>
  <si>
    <r>
      <t xml:space="preserve">D.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</t>
    </r>
    <r>
      <rPr>
        <b/>
        <u/>
        <vertAlign val="superscript"/>
        <sz val="12"/>
        <rFont val="Times New Roman"/>
        <family val="1"/>
      </rPr>
      <t>5</t>
    </r>
  </si>
  <si>
    <r>
      <t xml:space="preserve">   CPUC Intervenor Funding Expense - Transmission  </t>
    </r>
    <r>
      <rPr>
        <b/>
        <vertAlign val="superscript"/>
        <sz val="12"/>
        <rFont val="Times New Roman"/>
        <family val="1"/>
      </rPr>
      <t>1</t>
    </r>
  </si>
  <si>
    <t>The CPUC Intervenor Expense for Transmission shall be treated as an exclusion in A&amp;G but added back to the Retail BTRR on BK-1, page 1, line 6.</t>
  </si>
  <si>
    <t>This expense will be excluded in Wholesale BTRR on BK-2, page 1, line 4.</t>
  </si>
  <si>
    <t xml:space="preserve">Statement AH; Page 5, Line 17 </t>
  </si>
  <si>
    <t>Stmnt AH WP; Page AH1; Line 56</t>
  </si>
  <si>
    <t>Statement AG; Page 4; Line 1</t>
  </si>
  <si>
    <t xml:space="preserve">     FT = Federal Income Tax Rate @ 35%</t>
  </si>
  <si>
    <t xml:space="preserve">     ST = State Income Tax Rate @ 8.84%</t>
  </si>
  <si>
    <t>Line 34 Below Total Col.</t>
  </si>
  <si>
    <t>Line 26 Below, Col (m)</t>
  </si>
  <si>
    <t xml:space="preserve">Number of Days Per Month </t>
  </si>
  <si>
    <t>Line 26 Below, Col (z)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</si>
  <si>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a</t>
    </r>
  </si>
  <si>
    <r>
      <t xml:space="preserve">B. Prepayments </t>
    </r>
    <r>
      <rPr>
        <vertAlign val="superscript"/>
        <sz val="12"/>
        <rFont val="Times New Roman"/>
        <family val="1"/>
      </rPr>
      <t>a</t>
    </r>
  </si>
  <si>
    <r>
      <t xml:space="preserve">B. Prepayments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</t>
    </r>
  </si>
  <si>
    <t>C. Derivation of Transmission Related Cash Working Capital - Retail:</t>
  </si>
  <si>
    <t>D. Adj. to Back Out CPUC Intervenor Funding Exp. Embedded in Retail Working Cash:</t>
  </si>
  <si>
    <r>
      <t xml:space="preserve">CPUC Intervenor Funding Exp. Revenue Adj. </t>
    </r>
    <r>
      <rPr>
        <b/>
        <vertAlign val="superscript"/>
        <sz val="12"/>
        <rFont val="Times New Roman"/>
        <family val="1"/>
      </rPr>
      <t xml:space="preserve"> b</t>
    </r>
  </si>
  <si>
    <t>This adjustment is being made to BK-2, page 1, line 6 to show that wholesale customers should not pay for this working cash item.</t>
  </si>
  <si>
    <t>Transmission Plant Depreciation Expense (net of incentive depreciation expense on line 21)</t>
  </si>
  <si>
    <t>C. Derivation of Transmission Related Cash Working Capital:</t>
  </si>
  <si>
    <t>CPUC Intervenor Funding Expense Revenue Adjustment</t>
  </si>
  <si>
    <t>Stmnt AV WP; Page AV2; Line 8</t>
  </si>
  <si>
    <t>Stmnt AV WP; Page AV2; Line 10</t>
  </si>
  <si>
    <t>Stmnt AV WP; Page AV2; Line 22</t>
  </si>
  <si>
    <t>Stmnt AV WP; Page AV3; Line 7</t>
  </si>
  <si>
    <t>Stmnt AV WP; Page AV3; Line 8</t>
  </si>
  <si>
    <t>Stmnt AV WP; Page AV3; Line 10</t>
  </si>
  <si>
    <t>Stmnt AV WP; Page AV3; Line 22</t>
  </si>
  <si>
    <t>Adj. to Transmission Related Cash Working Capital - Wholesale Customers</t>
  </si>
  <si>
    <t>Line 26 x Line 28</t>
  </si>
  <si>
    <t>Statement AL; Page 9; Line 30</t>
  </si>
  <si>
    <t>Offer of Settlement in FERC Docket No. ER13-941-001</t>
  </si>
  <si>
    <t>Sum Lines 28; 35</t>
  </si>
  <si>
    <t>50% of Transmission O&amp;M Expense</t>
  </si>
  <si>
    <t>50% of Transmission Related A&amp;G Expense</t>
  </si>
  <si>
    <t>Transmission Related Amortization of Investment Tax Credit</t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</si>
  <si>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</si>
  <si>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</si>
  <si>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r>
      <t xml:space="preserve">HV-LV Study, Line 3 below </t>
    </r>
    <r>
      <rPr>
        <b/>
        <vertAlign val="superscript"/>
        <sz val="12"/>
        <rFont val="Times New Roman"/>
        <family val="1"/>
      </rPr>
      <t xml:space="preserve"> 6</t>
    </r>
  </si>
  <si>
    <t xml:space="preserve">Existing </t>
  </si>
  <si>
    <t xml:space="preserve">New </t>
  </si>
  <si>
    <t>Ln</t>
  </si>
  <si>
    <t>See HV-LV Study WP</t>
  </si>
  <si>
    <t>Transmission Plant HV/LV Study Classification Summary ($1,000):</t>
  </si>
  <si>
    <t xml:space="preserve">     Transmission O&amp;M Expense - Excl. Intervenor Funding Expense</t>
  </si>
  <si>
    <t xml:space="preserve">     One Eighth O&amp;M Rule</t>
  </si>
  <si>
    <r>
      <t xml:space="preserve">Line 27 x </t>
    </r>
    <r>
      <rPr>
        <sz val="12"/>
        <color rgb="FF00B050"/>
        <rFont val="Times New Roman"/>
        <family val="1"/>
      </rPr>
      <t>0.174%</t>
    </r>
  </si>
  <si>
    <r>
      <t xml:space="preserve">     FT = Federal Income Tax Rate @ </t>
    </r>
    <r>
      <rPr>
        <sz val="12"/>
        <color rgb="FF00B050"/>
        <rFont val="Times New Roman"/>
        <family val="1"/>
      </rPr>
      <t>35%</t>
    </r>
  </si>
  <si>
    <r>
      <t xml:space="preserve">     ST = State Income Tax Rate @</t>
    </r>
    <r>
      <rPr>
        <sz val="12"/>
        <color rgb="FF00B050"/>
        <rFont val="Times New Roman"/>
        <family val="1"/>
      </rPr>
      <t xml:space="preserve"> 8.84%</t>
    </r>
  </si>
  <si>
    <r>
      <t xml:space="preserve">     ST = State Income Tax Rate @ </t>
    </r>
    <r>
      <rPr>
        <sz val="12"/>
        <color rgb="FF00B050"/>
        <rFont val="Times New Roman"/>
        <family val="1"/>
      </rPr>
      <t>8.84%</t>
    </r>
  </si>
  <si>
    <t xml:space="preserve">Days in Year </t>
  </si>
  <si>
    <r>
      <t xml:space="preserve">Days in Month </t>
    </r>
    <r>
      <rPr>
        <b/>
        <vertAlign val="superscript"/>
        <sz val="12"/>
        <rFont val="Times New Roman"/>
        <family val="1"/>
      </rPr>
      <t>5</t>
    </r>
  </si>
  <si>
    <r>
      <t>5</t>
    </r>
    <r>
      <rPr>
        <sz val="10"/>
        <rFont val="Arial"/>
        <family val="2"/>
      </rPr>
      <t/>
    </r>
  </si>
  <si>
    <t>These are fixed days for each month except February for leap vs. non-leap years.</t>
  </si>
  <si>
    <r>
      <t>g</t>
    </r>
    <r>
      <rPr>
        <sz val="10"/>
        <rFont val="Arial"/>
        <family val="2"/>
      </rPr>
      <t/>
    </r>
  </si>
  <si>
    <t>CPUC Intervenor Funding Expense - Transmission</t>
  </si>
  <si>
    <t xml:space="preserve">     CPUC Intervenor Funding Expense - Transmission</t>
  </si>
  <si>
    <t xml:space="preserve">   CPUC Intervenor Funding Expense - Transmission</t>
  </si>
  <si>
    <t>Stmt AD WP; Page AD-1; Line 3</t>
  </si>
  <si>
    <t>Stmt AD WP; Page AD-2; Line 15</t>
  </si>
  <si>
    <t>Stmt AD WP; Page AD-3; Line 15</t>
  </si>
  <si>
    <t>Stmt AD WP; Page AD-4; Line 15</t>
  </si>
  <si>
    <t>Stmt AD WP; Page AD-5; Line 15</t>
  </si>
  <si>
    <t>Stmt AD WP; Page AD-6; Line 3</t>
  </si>
  <si>
    <t>Stmt AD WP; Page AD-7; Line 15</t>
  </si>
  <si>
    <t>Stmt AD WP; Page AD-8; Line 15</t>
  </si>
  <si>
    <t>Stmt AD WP; Page AD-9; Line 3</t>
  </si>
  <si>
    <t>Stmt AD WP; Page AD-10; Line 3</t>
  </si>
  <si>
    <t>Stmt AE WP; Page AE-1; Line 15</t>
  </si>
  <si>
    <t>Stmt AE WP; Page AE-2; Line 3</t>
  </si>
  <si>
    <t>Stmt AE WP; Page AE-3; Line 3</t>
  </si>
  <si>
    <t>Stmt AE WP; Page AE-4; Line 3</t>
  </si>
  <si>
    <t>Stmt AE WP; Page AE-5; Line 15</t>
  </si>
  <si>
    <t>Stmt AJ WP; Page AJ-2; Line 1</t>
  </si>
  <si>
    <t>Stmt AJ WP; Page AJ-1; Line 11; Col. (2)</t>
  </si>
  <si>
    <t>Stmt AJ WP; Page AJ-3; Line 1</t>
  </si>
  <si>
    <t>Stmt AJ WP; Page AJ-4; Line 1</t>
  </si>
  <si>
    <t>Stmt AJ WP; Page AJ-5; Line 11; Col. (2)</t>
  </si>
  <si>
    <t>Stmt AJ WP; Page AJ-6; Line 1</t>
  </si>
  <si>
    <t>Stmt AJ WP; Page AJ-7; Line 1</t>
  </si>
  <si>
    <t>Stmt AF WP; Page AF-1; Line 1</t>
  </si>
  <si>
    <t>Stmt AF WP; Page AF-1; Line 3</t>
  </si>
  <si>
    <t>Stmt AF WP; Page AF-2; Line 1</t>
  </si>
  <si>
    <t>Stmt AF WP; Page AF-2; Line 4</t>
  </si>
  <si>
    <t>Stmt AF WP; Page AF-2; Line 7</t>
  </si>
  <si>
    <t>Stmt AG WP; Page AG-1; Line 15</t>
  </si>
  <si>
    <t>Stmnt AH WP; Page AH-2; Line 20; Col. (a)</t>
  </si>
  <si>
    <t>Stmt AL WP; Page AL-1; Line 15</t>
  </si>
  <si>
    <t>Stmt AL WP; Page AL-2; Line 15</t>
  </si>
  <si>
    <t>Stmt AM WP; Page AM-1; Line 15</t>
  </si>
  <si>
    <t>Stmt AV WP; Page AV-1; Line 1</t>
  </si>
  <si>
    <t>Stmt AV WP; Page AV-1; Line 4</t>
  </si>
  <si>
    <t>Stmt AV WP; Page AV-1; Line 7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</si>
  <si>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</si>
  <si>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</si>
  <si>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t xml:space="preserve">   Other Transmission O&amp;M Exclusion Adjustments </t>
  </si>
  <si>
    <t>FERC</t>
  </si>
  <si>
    <t>Life</t>
  </si>
  <si>
    <t>Removal</t>
  </si>
  <si>
    <t>Account</t>
  </si>
  <si>
    <t>Rate</t>
  </si>
  <si>
    <t>E352.10</t>
  </si>
  <si>
    <t>Other</t>
  </si>
  <si>
    <t>E352.20</t>
  </si>
  <si>
    <t>SWPL</t>
  </si>
  <si>
    <t>E352.60</t>
  </si>
  <si>
    <t>SRPL</t>
  </si>
  <si>
    <t>E352 - Total</t>
  </si>
  <si>
    <t>Struct &amp; Improv</t>
  </si>
  <si>
    <t>E353.10</t>
  </si>
  <si>
    <t>E353.20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</si>
  <si>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</si>
  <si>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</si>
  <si>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</si>
  <si>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</si>
  <si>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</si>
  <si>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</si>
  <si>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</si>
  <si>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</si>
  <si>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</si>
  <si>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</si>
  <si>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</si>
  <si>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</si>
  <si>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</si>
  <si>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</si>
  <si>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</si>
  <si>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</si>
  <si>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</si>
  <si>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</si>
  <si>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</si>
  <si>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</si>
  <si>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</si>
  <si>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</si>
  <si>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</si>
  <si>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</si>
  <si>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</si>
  <si>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</si>
  <si>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</si>
  <si>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</si>
  <si>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</si>
  <si>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</si>
  <si>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</si>
  <si>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</si>
  <si>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Roads &amp; Trails</t>
  </si>
  <si>
    <t>Composite Depreciation Rate</t>
  </si>
  <si>
    <t>(c) = a + b</t>
  </si>
  <si>
    <t>DESCRIPTION</t>
  </si>
  <si>
    <t>ELECTRIC DISTRIBUTION</t>
  </si>
  <si>
    <t>E303</t>
  </si>
  <si>
    <t>Electric Distribution Software</t>
  </si>
  <si>
    <t>E360</t>
  </si>
  <si>
    <t>Electric Distribution Easements (land rights)</t>
  </si>
  <si>
    <t>ELECTRIC TRANSMISSION</t>
  </si>
  <si>
    <t>E350</t>
  </si>
  <si>
    <t>Electric Transmission Easements (land rights)</t>
  </si>
  <si>
    <t xml:space="preserve"> Amortization </t>
  </si>
  <si>
    <t>Acct No</t>
  </si>
  <si>
    <t>E0139000</t>
  </si>
  <si>
    <t>Struct. and Improv.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</si>
  <si>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</si>
  <si>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</si>
  <si>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</si>
  <si>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</si>
  <si>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</si>
  <si>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</si>
  <si>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</si>
  <si>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</si>
  <si>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</si>
  <si>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</si>
  <si>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</si>
  <si>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</si>
  <si>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</si>
  <si>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</si>
  <si>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</si>
  <si>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</si>
  <si>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E0139810</t>
  </si>
  <si>
    <t>Misc. Equip. - Other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</si>
  <si>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</si>
  <si>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</si>
  <si>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</si>
  <si>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</si>
  <si>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</si>
  <si>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</si>
  <si>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C1839220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</si>
  <si>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</si>
  <si>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</si>
  <si>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</si>
  <si>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</si>
  <si>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</si>
  <si>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</si>
  <si>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</si>
  <si>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</si>
  <si>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</si>
  <si>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Stmnt AD WP; Page AD1; Line 1</t>
  </si>
  <si>
    <t>Stmnt AD WP; Page AD1; Line 3</t>
  </si>
  <si>
    <t>Stmnt AD WP; Page AD1; Line 5</t>
  </si>
  <si>
    <t>Stmnt AD WP; Page AD1; Line 7</t>
  </si>
  <si>
    <t>Stmnt AD WP; Page AD1; Line 9</t>
  </si>
  <si>
    <t>Stmnt AD WP; Page AD1; Line 13</t>
  </si>
  <si>
    <t>Stmnt AD WP; Page AD1; Line 15</t>
  </si>
  <si>
    <t>Stmnt AD WP; Page AD1; Line 17</t>
  </si>
  <si>
    <t>Stmnt AD WP; Page AD1; Line 21</t>
  </si>
  <si>
    <t>Stmnt AD WP; Page AD1; Line 23</t>
  </si>
  <si>
    <t>Stmnt AE WP; Page AE1; Line 1</t>
  </si>
  <si>
    <t>Stmnt AE WP; Page AE1; Line 3</t>
  </si>
  <si>
    <t>Stmnt AE WP; Page AE1; Line 5</t>
  </si>
  <si>
    <t>Stmnt AE WP; Page AE1; Line 7</t>
  </si>
  <si>
    <t>Stmnt AE WP; Page AE1; Line 19</t>
  </si>
  <si>
    <t>Stmnt AF WP; Page AF1; Line 1</t>
  </si>
  <si>
    <t>Stmnt AF WP; Page AF1; Line 3</t>
  </si>
  <si>
    <t>Stmnt AF WP; Page AF1; Line 8</t>
  </si>
  <si>
    <t>Stmnt AF WP; Page AF1; Line 10</t>
  </si>
  <si>
    <t>Stmnt AF WP; Page AF1; Line 12</t>
  </si>
  <si>
    <t>Stmnt AG WP; Page AG1; Line 1</t>
  </si>
  <si>
    <t>Stmnt AH WP; Page AH1; Line 2</t>
  </si>
  <si>
    <t>Stmnt AH WP; Page AH1; Line 4</t>
  </si>
  <si>
    <t>Stmnt AH WP; Page AH1; Line 5</t>
  </si>
  <si>
    <t>Stmnt AH WP; Page AH1; Line 6</t>
  </si>
  <si>
    <t>Stmnt AH WP; Page AH1; Line 7</t>
  </si>
  <si>
    <t>Stmnt AH WP; Page AH1; Line 8</t>
  </si>
  <si>
    <t>Stmnt AH WP; Page AH1; Line 12</t>
  </si>
  <si>
    <t>Stmnt AH WP; Page AH1; Line 14</t>
  </si>
  <si>
    <t>Stmnt AH WP; Page AH1; Line 15</t>
  </si>
  <si>
    <t>Stmnt AH WP; Page AH1; Line 16</t>
  </si>
  <si>
    <t>Stmnt AH WP; Page AH1; Line 18</t>
  </si>
  <si>
    <t>Stmnt AH WP; Page AH1; Line 19</t>
  </si>
  <si>
    <t>Stmnt AH WP; Page AH1; Line 20</t>
  </si>
  <si>
    <t>Stmnt AH WP; Page AH1; Line 21</t>
  </si>
  <si>
    <t>Stmnt AH WP; Page AH1; Line 22</t>
  </si>
  <si>
    <t>Stmnt AH WP; Page AH1; Line 23</t>
  </si>
  <si>
    <t>Stmnt AH WP; Page AH1; Line 24</t>
  </si>
  <si>
    <t>Stmnt AH WP; Page AH1; Line 25</t>
  </si>
  <si>
    <t>Stmnt AH WP; Page AH1; Line 27</t>
  </si>
  <si>
    <t>Stmnt AH WP; Page AH1; Line 33</t>
  </si>
  <si>
    <t>Stmnt AH WP; Page AH1; Line 34</t>
  </si>
  <si>
    <t>Stmnt AH WP; Page AH1; Line 35</t>
  </si>
  <si>
    <t>Stmnt AH WP; Page AH1; Line 36</t>
  </si>
  <si>
    <t>Stmnt AH WP; Page AH1; Line 39</t>
  </si>
  <si>
    <t>Stmnt AH WP; Page AH1; Line 40</t>
  </si>
  <si>
    <t>Stmnt AH WP; Page AH1; Line 41</t>
  </si>
  <si>
    <t>Stmnt AH WP; Page AH1; Line 42</t>
  </si>
  <si>
    <t>Stmnt AH WP; Page AH1; Line 43</t>
  </si>
  <si>
    <t>Stmnt AH WP; Page AH1; Line 44</t>
  </si>
  <si>
    <t>Stmnt AH WP; Page AH1; Line 45</t>
  </si>
  <si>
    <t>Stmnt AI WP; Page AI1; Line 1</t>
  </si>
  <si>
    <t>Stmnt AI WP; Page AI1; Line 3</t>
  </si>
  <si>
    <t>Stmnt AI WP; Page AI1; Line 5</t>
  </si>
  <si>
    <t>Stmnt AI WP; Page AI1; Line 7</t>
  </si>
  <si>
    <t>Stmnt AI WP; Page AI1; Line 9</t>
  </si>
  <si>
    <t>Stmnt AI WP; Page AI1; Line 11</t>
  </si>
  <si>
    <t>Stmnt AI WP; Page AI1; Line 15</t>
  </si>
  <si>
    <t>Stmnt AJ WP; Page AJ1; Line 1</t>
  </si>
  <si>
    <t>Stmnt AJ WP; Page AJ1; Line 3</t>
  </si>
  <si>
    <t>Stmnt AJ WP; Page AJ1; Line 5</t>
  </si>
  <si>
    <t>Stmnt AJ WP; Page AJ1; Line 7</t>
  </si>
  <si>
    <t>Stmnt AJ WP; Page AJ1; Line 9</t>
  </si>
  <si>
    <t>Stmnt AJ WP; Page AJ1; Line 21</t>
  </si>
  <si>
    <t>Stmnt AJ WP; Page AJ1; Line 23</t>
  </si>
  <si>
    <t>Stmnt AJ WP; Page AJ1; Line 25</t>
  </si>
  <si>
    <t>Stmnt AK WP; Page AK1; Line 5</t>
  </si>
  <si>
    <t>Stmnt AK WP; Page AK1; Line 7</t>
  </si>
  <si>
    <t>Stmnt AK WP; Page AK1; Line 16</t>
  </si>
  <si>
    <t>Stmnt AL WP; Page AL1; Line 1</t>
  </si>
  <si>
    <t>Stmnt AD WP; Page AD1; Line 39</t>
  </si>
  <si>
    <t>Stmnt AL WP; Page AL1; Line 7</t>
  </si>
  <si>
    <t>Stmnt AL WP; Page AL1; Line 12</t>
  </si>
  <si>
    <t>Stmnt AL WP; Page AL1; Line 13</t>
  </si>
  <si>
    <t>Stmnt AL WP; Page AL1; Line 14</t>
  </si>
  <si>
    <t>Stmnt AL WP; Page AL1; Line 22</t>
  </si>
  <si>
    <t>Stmnt AL WP; Page AL1; Line 28</t>
  </si>
  <si>
    <t>Stmnt AM WP; Page AM1; Line 1</t>
  </si>
  <si>
    <t>Stmnt AQ WP; Page AQ1; Line 1</t>
  </si>
  <si>
    <t>Stmnt AR WP; Page AR1; Line 1</t>
  </si>
  <si>
    <t>Stmnt AR WP; Page AR1; Line 3</t>
  </si>
  <si>
    <t>Stmnt AU WP; Page AU1; Line 1</t>
  </si>
  <si>
    <t>Stmnt AU WP; Page AU1; Line 3</t>
  </si>
  <si>
    <t>Stmnt AU WP; Page AU1; Line 5</t>
  </si>
  <si>
    <t>Stmnt AU WP; Page AU1; Line 7</t>
  </si>
  <si>
    <t>Stmnt AU WP; Page AU1; Line 9</t>
  </si>
  <si>
    <t>Stmnt AV WP; Page AV1; Line 2</t>
  </si>
  <si>
    <t>Stmnt AV WP; Page AV1; Line 3</t>
  </si>
  <si>
    <t>Stmnt AV WP; Page AV1; Line 4</t>
  </si>
  <si>
    <t>Stmnt AV WP; Page AV1; Line 5</t>
  </si>
  <si>
    <t>Stmnt AV WP; Page AV1; Line 6</t>
  </si>
  <si>
    <t>Stmnt AV WP; Page AV1; Line 10</t>
  </si>
  <si>
    <t>Stmnt AV WP; Page AV1; Line 11</t>
  </si>
  <si>
    <t>Stmnt AV WP; Page AV1; Line 12</t>
  </si>
  <si>
    <t>Stmnt AV WP; Page AV1; Line 13</t>
  </si>
  <si>
    <t>Stmnt AV WP; Page AV1; Line 14</t>
  </si>
  <si>
    <t>Stmnt AV WP; Page AV1; Line 20</t>
  </si>
  <si>
    <t>Stmnt AV WP; Page AV1; Line 21</t>
  </si>
  <si>
    <t>Stmnt AV WP; Page AV1; Line 25</t>
  </si>
  <si>
    <t>Stmnt AV WP; Page AV1; Line 26</t>
  </si>
  <si>
    <t>Stmnt AV WP; Page AV1; Line 27</t>
  </si>
  <si>
    <t>Stmnt AD WP; Page AD1; Line 29</t>
  </si>
  <si>
    <t>Stmnt AD WP; Page AD1; Line 33</t>
  </si>
  <si>
    <t>Stmnt AD WP; Page AD1; Line 35</t>
  </si>
  <si>
    <t>Stmt AK WP; Page AK-1; Line 3</t>
  </si>
  <si>
    <t>Stmt AU WP; Page AU-1; Line 1</t>
  </si>
  <si>
    <t>Stmt AU WP; Page AU-1; Line 4</t>
  </si>
  <si>
    <t>Stmt AU WP; Page AU-2; Line 4; Col. (m)</t>
  </si>
  <si>
    <t>Stmt AU WP; Page AU-1; Line 7</t>
  </si>
  <si>
    <t xml:space="preserve">   Other A&amp;G Exclusion Adjustments</t>
  </si>
  <si>
    <t>The Incentive Cost of Capital Rate Calculation will be tracked and shown separately for each project. As a result, lines 3 through 31 will be repeated for each project.</t>
  </si>
  <si>
    <t>However, this will be entered as 0% in BK-1 when there's no incentive project to show.</t>
  </si>
  <si>
    <t>These rates may not be changed absent a section 205 or 206 filing.</t>
  </si>
  <si>
    <r>
      <t xml:space="preserve"> Period (Yrs)</t>
    </r>
    <r>
      <rPr>
        <b/>
        <vertAlign val="superscript"/>
        <sz val="10"/>
        <rFont val="Arial"/>
        <family val="2"/>
      </rPr>
      <t xml:space="preserve"> 1</t>
    </r>
  </si>
  <si>
    <t>5, 7, or 10 years</t>
  </si>
  <si>
    <t>45 years</t>
  </si>
  <si>
    <t>100 years</t>
  </si>
  <si>
    <t>(Less) Accumulated Other Comprehensive Income (Acct. 219) (p112.15c)</t>
  </si>
  <si>
    <t>Form 1; Page 112; Line 15c</t>
  </si>
  <si>
    <t>Stmnt AV WP; Page AV1; Line 28</t>
  </si>
  <si>
    <t>Line 25 Minus Lines 26, 27 &amp; 28</t>
  </si>
  <si>
    <t>Sum Lines 36 thru 38</t>
  </si>
  <si>
    <t>Sum Lines 37; 38; Col. (d)</t>
  </si>
  <si>
    <t>Sum Lines 49 thru 51</t>
  </si>
  <si>
    <t>Sum Lines 50; 51; Col. (d)</t>
  </si>
  <si>
    <t>The Incentive Return on Common Equity will be tracked and shown separately for each project. As a result, lines 44 through 54 will be repeated for each project.</t>
  </si>
  <si>
    <t>(Less): Account 219 - Accumulated Other Comprehensive Income</t>
  </si>
  <si>
    <t>(Less): Account 204 - Preferred Stock</t>
  </si>
  <si>
    <t xml:space="preserve">(Less): Account 216.1 - Unappropriated Undistributed Subsidiary Earnings </t>
  </si>
  <si>
    <t>Col. C = Line 31 Above</t>
  </si>
  <si>
    <t>Col. C = Line 44 Above</t>
  </si>
  <si>
    <t>Stmnt AV WP; Page AV1; Line 41</t>
  </si>
  <si>
    <t>Stmnt AV WP; Page AV1; Line 39</t>
  </si>
  <si>
    <t>Stmnt AV WP; Page AV1; Line 54</t>
  </si>
  <si>
    <t>Stmnt AV WP; Page AV1; Line 52</t>
  </si>
  <si>
    <t>Stmnt AV WP; Page AV1; Line 31</t>
  </si>
  <si>
    <t>Stmnt AV WP; Page AV1; Line 44</t>
  </si>
  <si>
    <t>Statement AV; Page 14; Line 41</t>
  </si>
  <si>
    <t>Statement AV; Page 14; Line 39</t>
  </si>
  <si>
    <t>Statement AV; Page 14; Line 54</t>
  </si>
  <si>
    <t>Statement AV; Page 14; Line 52</t>
  </si>
  <si>
    <r>
      <t xml:space="preserve">TO4 - Annual Transmission Plant Depreciation Rates </t>
    </r>
    <r>
      <rPr>
        <b/>
        <vertAlign val="superscript"/>
        <sz val="10"/>
        <rFont val="Arial"/>
        <family val="2"/>
      </rPr>
      <t>1</t>
    </r>
  </si>
  <si>
    <t>These periods may not be changed absent a section 205 or 206 filing.</t>
  </si>
  <si>
    <t>TO4 - Annual Intangible Plant Authorized Amortization Period</t>
  </si>
  <si>
    <t>TO4 - Annual General Plant Depreciation Rates</t>
  </si>
  <si>
    <t>TO4 - Annual Common Plant Depreciation Rates</t>
  </si>
  <si>
    <t>The annual Information Filing will reference the docket number of the FERC proceeding that</t>
  </si>
  <si>
    <t>establishes new General Plant and Common Plant depreciation rates and Intangible Plant</t>
  </si>
  <si>
    <t>amortization periods.</t>
  </si>
  <si>
    <t>Stmnt AH WP; Page AH-1; Line 42; Col. (b)</t>
  </si>
  <si>
    <t>Form 1; Page 450.1; Sch. Pg 266; Line 8; Col f</t>
  </si>
  <si>
    <t>Form 1; Page 450.1; Sch. Pg 234; Line 2; Col c</t>
  </si>
  <si>
    <t>Form 1; Page 450.1; Sch. Pg. 262; Line 2; Col. i</t>
  </si>
  <si>
    <t>Stmnt AH WP; Page AH-2; Line 24; Col. (b)</t>
  </si>
  <si>
    <t>Stmnt AH WP; Page AH-2; Line 31; Col. (a)</t>
  </si>
  <si>
    <t>Stmnt AH WP; Page AH-2; Line 32; Col. (a)</t>
  </si>
  <si>
    <t>Stmnt AH WP; Page AH-2; Line 33; Col. (a)</t>
  </si>
  <si>
    <t>Stmnt AH WP; Page AH-2; Line 35; Col. (b)</t>
  </si>
  <si>
    <t>Stmnt AH WP; Page AH-2; Line 34; Col. (a)</t>
  </si>
  <si>
    <t>Stmnt AH WP; Page AH-2; Line 6; Col. (c)</t>
  </si>
  <si>
    <r>
      <t xml:space="preserve">Less: Other Taxes (Business license taxes) </t>
    </r>
    <r>
      <rPr>
        <b/>
        <sz val="12"/>
        <rFont val="Times New Roman"/>
        <family val="1"/>
      </rPr>
      <t xml:space="preserve"> </t>
    </r>
  </si>
  <si>
    <t>Stmt AK WP; Page AK-1; Line 1</t>
  </si>
  <si>
    <t>Stmnt AH WP; Page AH-2; Line 27; Col. (b)</t>
  </si>
  <si>
    <t>Stmnt AH WP; Page AH-2; Line 28; Col. (b)</t>
  </si>
  <si>
    <t xml:space="preserve">year recorded depreciation. </t>
  </si>
  <si>
    <t xml:space="preserve">recorded depreciation. </t>
  </si>
  <si>
    <t>Form 1; Pg. 263; Lns 10;18;19;20;26 Col. i</t>
  </si>
  <si>
    <t>Stmt AH WP; Page AH-1; Line 36; Col. (a)</t>
  </si>
  <si>
    <t>Stmnt AH WP; Page AH-1; Line 40; Col. (b)</t>
  </si>
  <si>
    <t>Stmnt AH WP; Page AH-1; Line 41; Col. (b)</t>
  </si>
  <si>
    <t>Stmt AU WP; Page AU-2; Line 22; Col. (m)</t>
  </si>
  <si>
    <t xml:space="preserve">The above format of the True-Up Adjustment Calculation will be used for each cycle, with the exception of the cycle 2 4-month true-up adjustment. </t>
  </si>
  <si>
    <t>Form 1; Page 450.1; Sch Pg 261; Line 17; Col. b</t>
  </si>
  <si>
    <r>
      <rPr>
        <b/>
        <vertAlign val="superscript"/>
        <sz val="12"/>
        <rFont val="Times New Roman"/>
        <family val="1"/>
      </rPr>
      <t>5</t>
    </r>
  </si>
  <si>
    <t>The rates in these subaccounts will not change during the term of the TO4 Formula. Workpapers will be</t>
  </si>
  <si>
    <t>included in each Annual Information Filing that will calculate the annual composite rates shown on Line 33</t>
  </si>
  <si>
    <t>E353.40</t>
  </si>
  <si>
    <t>E355.10</t>
  </si>
  <si>
    <t>pursuant to Term 53 in Appendix VIII.</t>
  </si>
  <si>
    <t>repeated for each project. As a result, the data on this page may carryover to the next page.</t>
  </si>
  <si>
    <t>The incentive rate cost components for each ROE incentive project will be tracked and shown separately for each project and lines 36 through 40 will be</t>
  </si>
  <si>
    <t>shown for each project and lines 54 through 56 will be repeated for each project.</t>
  </si>
  <si>
    <t>Incentive Transmission CWIP shall be the CWIP for which SDG&amp;E is authorized to collect incentives under FERC Order No. 679 and will be tracked and</t>
  </si>
  <si>
    <t>incentive project to show.</t>
  </si>
  <si>
    <t>The Incentive Cost of Capital Rate will be tracked and shown separately for each project. However, this will be entered as 0% in BK-1 when there's no</t>
  </si>
  <si>
    <t>for each project.</t>
  </si>
  <si>
    <t>The Incentive ROE Transmission Plant and depreciation reserve will be tracked and shown for each incentive project and lines 23 and 24 will be repeated</t>
  </si>
  <si>
    <t xml:space="preserve">    and June 2, 2005 Order, 111 FERC ¶ 61,337 (June 2 Order), SDG&amp;E in the instant filing has followed the CAISO's new guidelines to separate all</t>
  </si>
  <si>
    <t xml:space="preserve">    and LV components applicable to the CAISO's HV and LV guidelines in effect 1/1/2005 pursuant to CAISO Tariff Appendix F, Sch.3, Section 8.1.</t>
  </si>
  <si>
    <t xml:space="preserve">    elements of its transmission facilities into HV and LV components. TRBAA cost components shown in the instant filing are separated into the HV</t>
  </si>
  <si>
    <t xml:space="preserve">applicable period. </t>
  </si>
  <si>
    <t>The following HV-LV Wholesale Base Transmission Revenue Requirements will be used by the CAISO to develop the TAC rates for the rate effective</t>
  </si>
  <si>
    <t>Total Trans., General, Common Plant Depn. Exp., and Electric Misc. Intangible Plant Amort. Exp.</t>
  </si>
  <si>
    <t>See Summary of Weighted Transmission Plant Additions Workpapers; Page 2; Line 25</t>
  </si>
  <si>
    <t>See Summary of Weighted Transmission Related General; Common; &amp; Electric Misc. Intangible Plant Additions Workpapers; Page 3; Line 25</t>
  </si>
  <si>
    <t>See Summary of Weighted Incentive Transmission Plant Additions Workpapers; Page 4; Line 25</t>
  </si>
  <si>
    <t>See Summary of Weighted Incentive CWIP for the Period After the Base Period and Before the Effective Period Workpapers; Page 5; Line 25</t>
  </si>
  <si>
    <t>See Summary of Weighted Incentive CWIP for the Period During the Rate Effective Period Workpapers; Page 6; Line 25</t>
  </si>
  <si>
    <t>The months indicated in columns (a) through (l) pertains to the 12-month Base Period following the end of the True-Up Period.</t>
  </si>
  <si>
    <t>The months indicated in columns (n) through (y) pertain to the prior cycle's Rate Effective Period.</t>
  </si>
  <si>
    <t>For the Base Period &amp; True-Up Period Ending December 31, 2015</t>
  </si>
  <si>
    <t>For the Forecast Period January 1, 2016 - December 31, 2017</t>
  </si>
  <si>
    <t>For the Rate Effective Period January 1, 2017 - December 31, 2017</t>
  </si>
  <si>
    <t>Base Period &amp; True-Up Period 12 - Months Ending December 31, 2015</t>
  </si>
  <si>
    <t>Forecast Period from January 2016 - December 2017</t>
  </si>
  <si>
    <t>TO4 - Cycle 4 Annual Formula Filing</t>
  </si>
  <si>
    <t>Cycle 4, For 12 - Months Ending December 31, 2015</t>
  </si>
  <si>
    <t>For Use During the 12-Months Period from January 1 to December 31, 2015</t>
  </si>
  <si>
    <r>
      <rPr>
        <b/>
        <sz val="11"/>
        <color rgb="FF00B050"/>
        <rFont val="Arial"/>
        <family val="2"/>
      </rPr>
      <t>2015</t>
    </r>
    <r>
      <rPr>
        <b/>
        <sz val="11"/>
        <rFont val="Arial"/>
        <family val="2"/>
      </rPr>
      <t xml:space="preserve"> General Rates </t>
    </r>
    <r>
      <rPr>
        <b/>
        <vertAlign val="superscript"/>
        <sz val="11"/>
        <rFont val="Arial"/>
        <family val="2"/>
      </rPr>
      <t>1, 2</t>
    </r>
  </si>
  <si>
    <r>
      <t>Rates based on 12/31/</t>
    </r>
    <r>
      <rPr>
        <b/>
        <sz val="11"/>
        <color rgb="FF00B050"/>
        <rFont val="Arial"/>
        <family val="2"/>
      </rPr>
      <t>2014</t>
    </r>
    <r>
      <rPr>
        <b/>
        <sz val="11"/>
        <rFont val="Arial"/>
        <family val="2"/>
      </rPr>
      <t xml:space="preserve"> Plant Balances</t>
    </r>
  </si>
  <si>
    <r>
      <rPr>
        <b/>
        <sz val="11"/>
        <color rgb="FF00B050"/>
        <rFont val="Arial"/>
        <family val="2"/>
      </rPr>
      <t>2015</t>
    </r>
    <r>
      <rPr>
        <b/>
        <sz val="11"/>
        <rFont val="Arial"/>
        <family val="2"/>
      </rPr>
      <t xml:space="preserve"> Common Rates </t>
    </r>
    <r>
      <rPr>
        <b/>
        <vertAlign val="superscript"/>
        <sz val="11"/>
        <rFont val="Arial"/>
        <family val="2"/>
      </rPr>
      <t>1, 2</t>
    </r>
  </si>
  <si>
    <t>The above Common Plant depreciation rates are applicable to SDG&amp;E's 2015 calendar year</t>
  </si>
  <si>
    <t xml:space="preserve">The above Electric General Plant depreciation rates are applicable to SDG&amp;E's 2015 calendar </t>
  </si>
  <si>
    <t>TO4 Cycle 2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</si>
  <si>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a, 1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</si>
  <si>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b, 2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</si>
  <si>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b, 2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</si>
  <si>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b, 2</t>
    </r>
  </si>
  <si>
    <t>Statement AR; Page 1; Line 5</t>
  </si>
  <si>
    <t>Stmnt AH WP; Page AH-2; Line 38; Col. (a)</t>
  </si>
  <si>
    <t>Stmnt AH WP; Page AH-2; Line 40; Col. (b)</t>
  </si>
  <si>
    <t>Stmnt AH WP; Page AH-2; Lns 26, 29, 30, 36 &amp; 39; Cols. (a or b)</t>
  </si>
  <si>
    <t xml:space="preserve">Transmission Plant Abandoned Project Cost Amortization Expense  </t>
  </si>
  <si>
    <t xml:space="preserve">Valley Rainbow Project Cost Amortization Expense   </t>
  </si>
  <si>
    <t>Stmt AJ WP; Page AJ-1; Line 12; Col. (2)</t>
  </si>
  <si>
    <t>Stmnt AJ WP; Page AJ1; Line 19</t>
  </si>
  <si>
    <t>Stmnt AH WP; Page AH-2; Line 25 and 37; Col. (a)</t>
  </si>
  <si>
    <t>Not Applicable</t>
  </si>
  <si>
    <t>Stmnt AH WP; Page AH-1; Line 48; Col. (b)</t>
  </si>
  <si>
    <t>N/A for January-December 2015</t>
  </si>
  <si>
    <t>Volume 3; Section 2.2; Pages 3 and 4; Line 6</t>
  </si>
  <si>
    <t>Volume 3; Section 2.2; Pages 3 and 4; Line 4</t>
  </si>
  <si>
    <r>
      <t xml:space="preserve">CAISO Wholesale True-Up Revenues @ Transmission Level </t>
    </r>
    <r>
      <rPr>
        <b/>
        <vertAlign val="superscript"/>
        <sz val="12"/>
        <rFont val="Times New Roman"/>
        <family val="1"/>
      </rPr>
      <t>1</t>
    </r>
  </si>
  <si>
    <t>a) Amortization of TO3 Final True-Up Adjustment and Interest True-Up Adjustment:</t>
  </si>
  <si>
    <t>b) Amortization of TO4 Cycle 2 4-month True-Up Adjustment and Interest True-Up Adjustment:</t>
  </si>
  <si>
    <t>Total CAISO Wholesale True-Up Cost of Service</t>
  </si>
  <si>
    <t>Sum Lines 7 through 11</t>
  </si>
  <si>
    <t>Days in Year</t>
  </si>
  <si>
    <t>For the Wholesale True-Up Adjustment Calculation, the CAISO Wholesale True-Up Revenues are measured at the Transmission Level.</t>
  </si>
  <si>
    <t>For the Wholesale True-Up Adjustment Calculation, the Adjusted CAISO Wholesale True-Up Revenues are measured at the Transmission Level.</t>
  </si>
  <si>
    <t>Number of Days Per Year</t>
  </si>
  <si>
    <t>a) 1st Month of Quarter =  Column (a), Line 10 Divided by 2.</t>
  </si>
  <si>
    <t>b) 2nd Month of Quarter = Column (a), Line 10 + (Column (b), Line 10 Divided by 2.</t>
  </si>
  <si>
    <t>c) 3rd Month of Quarter = Column (a), Line 10 + Column (b), Line 10 + (Column (c), Line 10 Divided by 2. Column (d), (e), (f), etc. repeats the process outlined in a), b), and c) above.</t>
  </si>
  <si>
    <t>The Amortization Rate per KWH in column (n), line 6, represents the amount of the prior year's True-Up Adjustment + Accrued Interest, amortized over the 12-month prior cycle's rate effective period.</t>
  </si>
  <si>
    <t>Line 4 x Line 6</t>
  </si>
  <si>
    <t>Minus Line 8 from Columns (a) through (l)</t>
  </si>
  <si>
    <t>Balance at Beginning of Quarter</t>
  </si>
  <si>
    <t>Line 14 + Line 15</t>
  </si>
  <si>
    <t>FERC Monthly Rates From Line 26 Below</t>
  </si>
  <si>
    <t>Line 16 x Line 17 - Columns (a) through (l)</t>
  </si>
  <si>
    <t>Line 1 + Line 10 + Line 18</t>
  </si>
  <si>
    <t>Number of Days Per Year from FERC Website</t>
  </si>
  <si>
    <t>Number of Days Per Month from FERC Website</t>
  </si>
  <si>
    <t>(Line 22)/(Line 23)x(Line 24)</t>
  </si>
  <si>
    <t>Line 25 Minus Line 26</t>
  </si>
  <si>
    <t>Previous Month's Ending Balance from Line 20</t>
  </si>
  <si>
    <t>Line 16 x Line 17 - Columns (n) through (y) + Column (m)</t>
  </si>
  <si>
    <t>Line 1 (col. n)  + Line 10 (col. z) + Line 18 (col. z)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</si>
  <si>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18, sum of column (m) (TU_2015 tab) and column (z) (TU_2016 tab) is a component of BTRR.</t>
  </si>
  <si>
    <t>The months indicated in columns (a) through (l) pertains to the 12-month Base Period following the end of the True-Up Period, while columns (n) through (y) pertains to the prior cycle's Rate Effective Period.</t>
  </si>
  <si>
    <t>For December, Col (y), line 8 is the amount necessary to fully amortize the balance to zero. See applicable workpaper.</t>
  </si>
  <si>
    <r>
      <t xml:space="preserve">Total Recorded Sales kWhs @ </t>
    </r>
    <r>
      <rPr>
        <b/>
        <i/>
        <sz val="12"/>
        <rFont val="Times New Roman"/>
        <family val="1"/>
      </rPr>
      <t>Transmission Level</t>
    </r>
  </si>
  <si>
    <t>Minus Line 8 from Columns (n) through (y)</t>
  </si>
  <si>
    <t>a) 1st Month of Quarter =  Column A, Line 10 Divided by 2</t>
  </si>
  <si>
    <t>b) 2nd Month of Quarter = Column A, Line 10 + (Column B, Line 10 Divided by 2)</t>
  </si>
  <si>
    <t>c) 3rd Month of Quarter = Column A, Line 10 + Column B, Line 10 + (Column C, Line 10 Divided by 2). Column D, E, F, etc. repeats the process outlined in (a), (b), and (c) above.</t>
  </si>
  <si>
    <t>See Footnote d</t>
  </si>
  <si>
    <t>Balance at Beginning of Quarter (See Footnote c)</t>
  </si>
  <si>
    <t>Amortization Rate Per KWH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</si>
  <si>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18, column "z" is a component of BTRR.</t>
  </si>
  <si>
    <t>Indicates Actual Recorded Sales reported for the year.</t>
  </si>
  <si>
    <t>h</t>
  </si>
  <si>
    <r>
      <t xml:space="preserve">    i. Amortization of TO3 Final True-Up Adjustment </t>
    </r>
    <r>
      <rPr>
        <b/>
        <vertAlign val="superscript"/>
        <sz val="12"/>
        <rFont val="Times New Roman"/>
        <family val="1"/>
      </rPr>
      <t>2</t>
    </r>
  </si>
  <si>
    <r>
      <t xml:space="preserve">   ii. Amortization of TO3 Final Interest True-Up Adjustment </t>
    </r>
    <r>
      <rPr>
        <b/>
        <vertAlign val="superscript"/>
        <sz val="12"/>
        <rFont val="Times New Roman"/>
        <family val="1"/>
      </rPr>
      <t>2</t>
    </r>
  </si>
  <si>
    <r>
      <t xml:space="preserve">    i. Amortization of TO4 Cycle 2 True-Up Adjustment </t>
    </r>
    <r>
      <rPr>
        <b/>
        <vertAlign val="superscript"/>
        <sz val="12"/>
        <rFont val="Times New Roman"/>
        <family val="1"/>
      </rPr>
      <t>2</t>
    </r>
  </si>
  <si>
    <r>
      <t xml:space="preserve">   ii. Amortization of Cycle 2 Interest True-Up Adjustment </t>
    </r>
    <r>
      <rPr>
        <b/>
        <vertAlign val="superscript"/>
        <sz val="12"/>
        <rFont val="Times New Roman"/>
        <family val="1"/>
      </rPr>
      <t>2</t>
    </r>
  </si>
  <si>
    <t xml:space="preserve">None of the above items apply to SDG&amp;E's TO4 Cycle 4 filing. However, as one or more of these items apply, subject to FERC approval, the applicable data field </t>
  </si>
  <si>
    <t>will be filled.</t>
  </si>
  <si>
    <t>On May 2, 2016, SDG&amp;E filed in Docket No. ER16-1604 to update its non-transmission</t>
  </si>
  <si>
    <t>depreciation rates for Common Plant and Electric General Plant contained in the TO4 Formula</t>
  </si>
  <si>
    <t xml:space="preserve">(Cycle 1) to reflect the impact of changes to plant balances and related depreciation rates </t>
  </si>
  <si>
    <t>for 2015, the TO4 Cycle 4 Base Period.</t>
  </si>
  <si>
    <t>This amount represents the Interest True-Up Adjustment on the previous cycle True-Up Adjustment under-collection/(over-collection) balance.</t>
  </si>
  <si>
    <r>
      <t xml:space="preserve">(a) </t>
    </r>
    <r>
      <rPr>
        <b/>
        <vertAlign val="superscript"/>
        <sz val="14"/>
        <rFont val="Times New Roman"/>
        <family val="1"/>
      </rPr>
      <t>b</t>
    </r>
  </si>
  <si>
    <r>
      <t xml:space="preserve">(b) </t>
    </r>
    <r>
      <rPr>
        <b/>
        <vertAlign val="superscript"/>
        <sz val="14"/>
        <rFont val="Times New Roman"/>
        <family val="1"/>
      </rPr>
      <t>b</t>
    </r>
  </si>
  <si>
    <r>
      <t xml:space="preserve">(c) </t>
    </r>
    <r>
      <rPr>
        <b/>
        <vertAlign val="superscript"/>
        <sz val="14"/>
        <rFont val="Times New Roman"/>
        <family val="1"/>
      </rPr>
      <t>b</t>
    </r>
  </si>
  <si>
    <r>
      <t xml:space="preserve">(d) </t>
    </r>
    <r>
      <rPr>
        <b/>
        <vertAlign val="superscript"/>
        <sz val="14"/>
        <rFont val="Times New Roman"/>
        <family val="1"/>
      </rPr>
      <t>b</t>
    </r>
  </si>
  <si>
    <r>
      <t xml:space="preserve">(e) </t>
    </r>
    <r>
      <rPr>
        <b/>
        <vertAlign val="superscript"/>
        <sz val="14"/>
        <rFont val="Times New Roman"/>
        <family val="1"/>
      </rPr>
      <t>b</t>
    </r>
  </si>
  <si>
    <r>
      <t xml:space="preserve">(f) </t>
    </r>
    <r>
      <rPr>
        <b/>
        <vertAlign val="superscript"/>
        <sz val="14"/>
        <rFont val="Times New Roman"/>
        <family val="1"/>
      </rPr>
      <t>b</t>
    </r>
  </si>
  <si>
    <r>
      <t xml:space="preserve">(g) </t>
    </r>
    <r>
      <rPr>
        <b/>
        <vertAlign val="superscript"/>
        <sz val="14"/>
        <rFont val="Times New Roman"/>
        <family val="1"/>
      </rPr>
      <t>b</t>
    </r>
  </si>
  <si>
    <r>
      <t xml:space="preserve">(h) </t>
    </r>
    <r>
      <rPr>
        <b/>
        <vertAlign val="superscript"/>
        <sz val="14"/>
        <rFont val="Times New Roman"/>
        <family val="1"/>
      </rPr>
      <t>b</t>
    </r>
  </si>
  <si>
    <r>
      <t xml:space="preserve">(i) </t>
    </r>
    <r>
      <rPr>
        <b/>
        <vertAlign val="superscript"/>
        <sz val="14"/>
        <rFont val="Times New Roman"/>
        <family val="1"/>
      </rPr>
      <t>b</t>
    </r>
  </si>
  <si>
    <r>
      <t xml:space="preserve">(j) </t>
    </r>
    <r>
      <rPr>
        <b/>
        <vertAlign val="superscript"/>
        <sz val="14"/>
        <rFont val="Times New Roman"/>
        <family val="1"/>
      </rPr>
      <t>b</t>
    </r>
  </si>
  <si>
    <r>
      <t xml:space="preserve">(k) </t>
    </r>
    <r>
      <rPr>
        <b/>
        <vertAlign val="superscript"/>
        <sz val="14"/>
        <rFont val="Times New Roman"/>
        <family val="1"/>
      </rPr>
      <t>b</t>
    </r>
  </si>
  <si>
    <r>
      <t xml:space="preserve">(l) </t>
    </r>
    <r>
      <rPr>
        <b/>
        <vertAlign val="superscript"/>
        <sz val="14"/>
        <rFont val="Times New Roman"/>
        <family val="1"/>
      </rPr>
      <t>b</t>
    </r>
  </si>
  <si>
    <r>
      <t xml:space="preserve">Beginning True-Up Adjustment (Overcollection)/Undercollection  </t>
    </r>
    <r>
      <rPr>
        <b/>
        <vertAlign val="superscript"/>
        <sz val="14"/>
        <rFont val="Times New Roman"/>
        <family val="1"/>
      </rPr>
      <t>a</t>
    </r>
  </si>
  <si>
    <r>
      <t xml:space="preserve">      Beginning Balance for Interest Calculation  </t>
    </r>
    <r>
      <rPr>
        <b/>
        <vertAlign val="superscript"/>
        <sz val="14"/>
        <rFont val="Times New Roman"/>
        <family val="1"/>
      </rPr>
      <t>c</t>
    </r>
  </si>
  <si>
    <r>
      <t xml:space="preserve">      Monthly Activity Included in Interest Calculation Basis  </t>
    </r>
    <r>
      <rPr>
        <b/>
        <vertAlign val="superscript"/>
        <sz val="14"/>
        <rFont val="Times New Roman"/>
        <family val="1"/>
      </rPr>
      <t>d</t>
    </r>
  </si>
  <si>
    <r>
      <t xml:space="preserve">FERC INTEREST RATE  </t>
    </r>
    <r>
      <rPr>
        <b/>
        <vertAlign val="superscript"/>
        <sz val="14"/>
        <rFont val="Times New Roman"/>
        <family val="1"/>
      </rPr>
      <t>e</t>
    </r>
  </si>
  <si>
    <r>
      <t xml:space="preserve">Days in Year  </t>
    </r>
    <r>
      <rPr>
        <b/>
        <vertAlign val="superscript"/>
        <sz val="14"/>
        <rFont val="Times New Roman"/>
        <family val="1"/>
      </rPr>
      <t>e</t>
    </r>
  </si>
  <si>
    <r>
      <t xml:space="preserve">Days in Month  </t>
    </r>
    <r>
      <rPr>
        <b/>
        <vertAlign val="superscript"/>
        <sz val="14"/>
        <rFont val="Times New Roman"/>
        <family val="1"/>
      </rPr>
      <t>e</t>
    </r>
  </si>
  <si>
    <r>
      <t xml:space="preserve">FERC Interest Rates - Website  </t>
    </r>
    <r>
      <rPr>
        <b/>
        <vertAlign val="superscript"/>
        <sz val="14"/>
        <rFont val="Times New Roman"/>
        <family val="1"/>
      </rPr>
      <t>e</t>
    </r>
  </si>
  <si>
    <r>
      <t xml:space="preserve">(n) </t>
    </r>
    <r>
      <rPr>
        <b/>
        <vertAlign val="superscript"/>
        <sz val="14"/>
        <rFont val="Times New Roman"/>
        <family val="1"/>
      </rPr>
      <t>b, g</t>
    </r>
  </si>
  <si>
    <r>
      <t xml:space="preserve">(o) </t>
    </r>
    <r>
      <rPr>
        <b/>
        <vertAlign val="superscript"/>
        <sz val="14"/>
        <rFont val="Times New Roman"/>
        <family val="1"/>
      </rPr>
      <t>b, g</t>
    </r>
  </si>
  <si>
    <r>
      <t xml:space="preserve">(p) </t>
    </r>
    <r>
      <rPr>
        <b/>
        <vertAlign val="superscript"/>
        <sz val="14"/>
        <rFont val="Times New Roman"/>
        <family val="1"/>
      </rPr>
      <t>b, g</t>
    </r>
  </si>
  <si>
    <r>
      <t xml:space="preserve">(q) </t>
    </r>
    <r>
      <rPr>
        <b/>
        <vertAlign val="superscript"/>
        <sz val="14"/>
        <rFont val="Times New Roman"/>
        <family val="1"/>
      </rPr>
      <t>b, g</t>
    </r>
  </si>
  <si>
    <r>
      <t xml:space="preserve">(r) </t>
    </r>
    <r>
      <rPr>
        <b/>
        <vertAlign val="superscript"/>
        <sz val="14"/>
        <rFont val="Times New Roman"/>
        <family val="1"/>
      </rPr>
      <t>b, g</t>
    </r>
  </si>
  <si>
    <r>
      <t xml:space="preserve">(s) </t>
    </r>
    <r>
      <rPr>
        <b/>
        <vertAlign val="superscript"/>
        <sz val="14"/>
        <rFont val="Times New Roman"/>
        <family val="1"/>
      </rPr>
      <t>b, g</t>
    </r>
  </si>
  <si>
    <r>
      <t xml:space="preserve">(t) </t>
    </r>
    <r>
      <rPr>
        <b/>
        <vertAlign val="superscript"/>
        <sz val="14"/>
        <rFont val="Times New Roman"/>
        <family val="1"/>
      </rPr>
      <t>b, g</t>
    </r>
  </si>
  <si>
    <r>
      <t xml:space="preserve">(u) </t>
    </r>
    <r>
      <rPr>
        <b/>
        <vertAlign val="superscript"/>
        <sz val="14"/>
        <rFont val="Times New Roman"/>
        <family val="1"/>
      </rPr>
      <t>b</t>
    </r>
  </si>
  <si>
    <r>
      <t xml:space="preserve">(v) </t>
    </r>
    <r>
      <rPr>
        <b/>
        <vertAlign val="superscript"/>
        <sz val="14"/>
        <rFont val="Times New Roman"/>
        <family val="1"/>
      </rPr>
      <t>b</t>
    </r>
  </si>
  <si>
    <r>
      <t xml:space="preserve">(w) </t>
    </r>
    <r>
      <rPr>
        <b/>
        <vertAlign val="superscript"/>
        <sz val="14"/>
        <rFont val="Times New Roman"/>
        <family val="1"/>
      </rPr>
      <t>b</t>
    </r>
  </si>
  <si>
    <r>
      <t xml:space="preserve">(x) </t>
    </r>
    <r>
      <rPr>
        <b/>
        <vertAlign val="superscript"/>
        <sz val="14"/>
        <rFont val="Times New Roman"/>
        <family val="1"/>
      </rPr>
      <t>b</t>
    </r>
  </si>
  <si>
    <r>
      <t>(y)</t>
    </r>
    <r>
      <rPr>
        <sz val="14"/>
        <rFont val="Times New Roman"/>
        <family val="1"/>
      </rPr>
      <t xml:space="preserve"> </t>
    </r>
    <r>
      <rPr>
        <b/>
        <vertAlign val="superscript"/>
        <sz val="14"/>
        <rFont val="Times New Roman"/>
        <family val="1"/>
      </rPr>
      <t>b</t>
    </r>
  </si>
  <si>
    <r>
      <t xml:space="preserve">Amortization Rate Per KWH </t>
    </r>
    <r>
      <rPr>
        <sz val="14"/>
        <rFont val="Times New Roman"/>
        <family val="1"/>
      </rPr>
      <t xml:space="preserve"> </t>
    </r>
    <r>
      <rPr>
        <b/>
        <vertAlign val="superscript"/>
        <sz val="14"/>
        <rFont val="Times New Roman"/>
        <family val="1"/>
      </rPr>
      <t>f</t>
    </r>
  </si>
  <si>
    <t>Annual and Monthly FERC Interest Rates for October 2016 through December 2016 have been temporarily updated using the increased Q3 2016 rates to derive a more accurate Interest True-Up adjustment.</t>
  </si>
  <si>
    <r>
      <t xml:space="preserve">Annual Interest Rate from FERC Website  </t>
    </r>
    <r>
      <rPr>
        <b/>
        <vertAlign val="superscript"/>
        <sz val="14"/>
        <rFont val="Times New Roman"/>
        <family val="1"/>
      </rPr>
      <t>h</t>
    </r>
  </si>
  <si>
    <r>
      <t>Monthly Interest Rate from FERC Website</t>
    </r>
    <r>
      <rPr>
        <b/>
        <vertAlign val="superscript"/>
        <sz val="12"/>
        <rFont val="Times New Roman"/>
        <family val="1"/>
      </rPr>
      <t xml:space="preserve">  </t>
    </r>
    <r>
      <rPr>
        <b/>
        <vertAlign val="superscript"/>
        <sz val="14"/>
        <rFont val="Times New Roman"/>
        <family val="1"/>
      </rPr>
      <t>h</t>
    </r>
  </si>
  <si>
    <r>
      <t xml:space="preserve">Retail Interest True-Up Adjustment  </t>
    </r>
    <r>
      <rPr>
        <b/>
        <vertAlign val="superscript"/>
        <sz val="14"/>
        <rFont val="Times New Roman"/>
        <family val="1"/>
      </rPr>
      <t>1</t>
    </r>
  </si>
  <si>
    <t>(Retail Int TU-1 + Retail Int TU-2; Ttl Col; Ln 18)/1,000</t>
  </si>
  <si>
    <r>
      <t xml:space="preserve">    i. Amortization of Cycle 2 True-Up Adjustment  </t>
    </r>
    <r>
      <rPr>
        <b/>
        <vertAlign val="superscript"/>
        <sz val="12"/>
        <rFont val="Times New Roman"/>
        <family val="1"/>
      </rPr>
      <t>2</t>
    </r>
  </si>
  <si>
    <r>
      <t xml:space="preserve">Adjusted CAISO Wholesale True-Up Revenues @ Transmission Level  </t>
    </r>
    <r>
      <rPr>
        <b/>
        <vertAlign val="superscript"/>
        <sz val="12"/>
        <rFont val="Times New Roman"/>
        <family val="1"/>
      </rPr>
      <t>3</t>
    </r>
  </si>
  <si>
    <r>
      <t xml:space="preserve">ANNUAL FERC INTEREST RATE - Website  </t>
    </r>
    <r>
      <rPr>
        <b/>
        <vertAlign val="superscript"/>
        <sz val="12"/>
        <rFont val="Times New Roman"/>
        <family val="1"/>
      </rPr>
      <t>4</t>
    </r>
  </si>
  <si>
    <r>
      <t xml:space="preserve">Days in Month  </t>
    </r>
    <r>
      <rPr>
        <b/>
        <vertAlign val="superscript"/>
        <sz val="12"/>
        <rFont val="Times New Roman"/>
        <family val="1"/>
      </rPr>
      <t>5</t>
    </r>
  </si>
  <si>
    <r>
      <t xml:space="preserve">Monthly FERC Interest Rates - Website  </t>
    </r>
    <r>
      <rPr>
        <b/>
        <vertAlign val="superscript"/>
        <sz val="12"/>
        <rFont val="Times New Roman"/>
        <family val="1"/>
      </rPr>
      <t>4</t>
    </r>
  </si>
  <si>
    <r>
      <t xml:space="preserve">Rate per KWH @ </t>
    </r>
    <r>
      <rPr>
        <b/>
        <i/>
        <sz val="12"/>
        <rFont val="Times New Roman"/>
        <family val="1"/>
      </rPr>
      <t>Transmission Level</t>
    </r>
    <r>
      <rPr>
        <sz val="12"/>
        <rFont val="Times New Roman"/>
        <family val="1"/>
      </rPr>
      <t xml:space="preserve">  </t>
    </r>
    <r>
      <rPr>
        <b/>
        <vertAlign val="superscript"/>
        <sz val="14"/>
        <rFont val="Times New Roman"/>
        <family val="1"/>
      </rPr>
      <t>f</t>
    </r>
  </si>
  <si>
    <r>
      <t xml:space="preserve">      Beginning Balance for Interest Calculation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4"/>
        <rFont val="Times New Roman"/>
        <family val="1"/>
      </rPr>
      <t>c</t>
    </r>
  </si>
  <si>
    <r>
      <t xml:space="preserve">(y) </t>
    </r>
    <r>
      <rPr>
        <b/>
        <vertAlign val="superscript"/>
        <sz val="14"/>
        <rFont val="Times New Roman"/>
        <family val="1"/>
      </rPr>
      <t>b</t>
    </r>
  </si>
  <si>
    <r>
      <t xml:space="preserve">Total Recorded Sales kWh @ </t>
    </r>
    <r>
      <rPr>
        <b/>
        <i/>
        <sz val="12"/>
        <rFont val="Times New Roman"/>
        <family val="1"/>
      </rPr>
      <t>Transmission Level</t>
    </r>
    <r>
      <rPr>
        <sz val="12"/>
        <rFont val="Times New Roman"/>
        <family val="1"/>
      </rPr>
      <t xml:space="preserve">  </t>
    </r>
  </si>
  <si>
    <r>
      <t xml:space="preserve">      Beginning Balance for Interest Calculation </t>
    </r>
    <r>
      <rPr>
        <b/>
        <vertAlign val="superscript"/>
        <sz val="14"/>
        <rFont val="Times New Roman"/>
        <family val="1"/>
      </rPr>
      <t>c</t>
    </r>
  </si>
  <si>
    <t>(Wholesale Int TU-1 + Wholesale Int TU-2; Ttl Col; Ln 18) / 1000</t>
  </si>
  <si>
    <t xml:space="preserve">Days in Month  </t>
  </si>
  <si>
    <r>
      <t xml:space="preserve">Rate per KWH @ </t>
    </r>
    <r>
      <rPr>
        <b/>
        <i/>
        <sz val="12"/>
        <rFont val="Times New Roman"/>
        <family val="1"/>
      </rPr>
      <t>Transmission Level</t>
    </r>
    <r>
      <rPr>
        <sz val="12"/>
        <rFont val="Times New Roman"/>
        <family val="1"/>
      </rPr>
      <t xml:space="preserve"> </t>
    </r>
  </si>
  <si>
    <r>
      <t xml:space="preserve">Wholesale Interest True-Up Adjustment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</si>
  <si>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 xml:space="preserve">A.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FF&amp;U: </t>
    </r>
    <r>
      <rPr>
        <b/>
        <u/>
        <vertAlign val="superscript"/>
        <sz val="12"/>
        <rFont val="Times New Roman"/>
        <family val="1"/>
      </rPr>
      <t>1</t>
    </r>
  </si>
  <si>
    <r>
      <t xml:space="preserve">Line 27 x </t>
    </r>
    <r>
      <rPr>
        <sz val="12"/>
        <color rgb="FF00B050"/>
        <rFont val="Times New Roman"/>
        <family val="1"/>
      </rPr>
      <t>1.0277%</t>
    </r>
  </si>
  <si>
    <r>
      <t xml:space="preserve">Franchise Fee (FF) @ </t>
    </r>
    <r>
      <rPr>
        <sz val="12"/>
        <color rgb="FF00B050"/>
        <rFont val="Times New Roman"/>
        <family val="1"/>
      </rPr>
      <t>1.0277%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</si>
  <si>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 xml:space="preserve">Line 25 x </t>
    </r>
    <r>
      <rPr>
        <sz val="12"/>
        <color rgb="FF00B050"/>
        <rFont val="Times New Roman"/>
        <family val="1"/>
      </rPr>
      <t>1.0277%</t>
    </r>
  </si>
  <si>
    <r>
      <t xml:space="preserve">Line 29 x </t>
    </r>
    <r>
      <rPr>
        <sz val="12"/>
        <color rgb="FF00B050"/>
        <rFont val="Times New Roman"/>
        <family val="1"/>
      </rPr>
      <t>1.0277%</t>
    </r>
  </si>
  <si>
    <t>See 3.2.3; Page 1; Line 19.</t>
  </si>
  <si>
    <t>See 3.1.2; Page 2; Line 22.</t>
  </si>
  <si>
    <t>See 3.1.3; Page 2; Line 22.</t>
  </si>
  <si>
    <t>See 3.1.4; Page 2; Line 22.</t>
  </si>
  <si>
    <t>See 3.3.3; Page 1; Line 19.</t>
  </si>
  <si>
    <t>Section 4.1.3; Page 1; Line 37 x 1000; Jan 2016-Dec 2016</t>
  </si>
  <si>
    <t>(Line 1; Col (n)) / (Section 4.1.3; Page 1; Line 37 x 1000)</t>
  </si>
  <si>
    <t>Statement BH; Page 1; Line 13</t>
  </si>
  <si>
    <t>Pages 2.1 &amp; 2.2; Line 19</t>
  </si>
  <si>
    <t>Pages 3.1 &amp; 3.2; Line 19</t>
  </si>
  <si>
    <t>Pages 4.1 &amp; 4.2; Line 19</t>
  </si>
  <si>
    <t>Not Applicable in TO4-Cycle 4 Filing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</si>
  <si>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18, column "m" is a component of BTRR.</t>
  </si>
  <si>
    <t>N/A for 2015</t>
  </si>
  <si>
    <t xml:space="preserve">Line 16 x Line 17 - Columns (n) through (y)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</si>
</sst>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_);\(#,##0.0\)"/>
    <numFmt numFmtId="166" formatCode="0.0000%"/>
    <numFmt numFmtId="167" formatCode="_(* #,##0_);_(* \(#,##0\);_(* &quot;-&quot;??_);_(@_)"/>
    <numFmt numFmtId="168" formatCode="0.000000"/>
    <numFmt numFmtId="169" formatCode="00000"/>
    <numFmt numFmtId="170" formatCode="&quot;$&quot;#,##0"/>
    <numFmt numFmtId="171" formatCode="_(&quot;$&quot;* #,##0.00000_);_(&quot;$&quot;* \(#,##0.00000\);_(&quot;$&quot;* &quot;-&quot;??_);_(@_)"/>
    <numFmt numFmtId="172" formatCode="[$-409]d\-mmm\-yy;@"/>
    <numFmt numFmtId="173" formatCode="0.000%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vertAlign val="subscript"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name val="Arial"/>
      <family val="2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vertAlign val="superscript"/>
      <sz val="14"/>
      <name val="Times New Roman"/>
      <family val="1"/>
    </font>
    <font>
      <b/>
      <vertAlign val="superscript"/>
      <sz val="16"/>
      <name val="Times New Roman"/>
      <family val="1"/>
    </font>
    <font>
      <sz val="10.75"/>
      <name val="Times New Roman"/>
      <family val="1"/>
    </font>
    <font>
      <vertAlign val="superscript"/>
      <sz val="16"/>
      <name val="Times New Roman"/>
      <family val="1"/>
    </font>
    <font>
      <b/>
      <i/>
      <u/>
      <sz val="12"/>
      <name val="Times New Roman"/>
      <family val="1"/>
    </font>
    <font>
      <sz val="12"/>
      <color rgb="FF00B050"/>
      <name val="Times New Roman"/>
      <family val="1"/>
    </font>
    <font>
      <b/>
      <vertAlign val="superscript"/>
      <sz val="12"/>
      <name val="Cambria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rgb="FF00B05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System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Lohit Hind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i/>
      <sz val="12"/>
      <name val="Times New Roman"/>
      <family val="1"/>
    </font>
    <font>
      <b/>
      <vertAlign val="superscript"/>
      <sz val="14"/>
      <name val="Times New Roman"/>
      <family val="1"/>
    </font>
    <font>
      <sz val="14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System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22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60" fillId="6" borderId="0" applyNumberFormat="0" applyBorder="0" applyAlignment="0" applyProtection="0"/>
    <xf numFmtId="0" fontId="64" fillId="9" borderId="84" applyNumberFormat="0" applyAlignment="0" applyProtection="0"/>
    <xf numFmtId="0" fontId="66" fillId="10" borderId="87" applyNumberFormat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56" fillId="0" borderId="81" applyNumberFormat="0" applyFill="0" applyAlignment="0" applyProtection="0"/>
    <xf numFmtId="0" fontId="57" fillId="0" borderId="82" applyNumberFormat="0" applyFill="0" applyAlignment="0" applyProtection="0"/>
    <xf numFmtId="0" fontId="58" fillId="0" borderId="83" applyNumberFormat="0" applyFill="0" applyAlignment="0" applyProtection="0"/>
    <xf numFmtId="0" fontId="58" fillId="0" borderId="0" applyNumberFormat="0" applyFill="0" applyBorder="0" applyAlignment="0" applyProtection="0"/>
    <xf numFmtId="0" fontId="62" fillId="8" borderId="84" applyNumberFormat="0" applyAlignment="0" applyProtection="0"/>
    <xf numFmtId="0" fontId="65" fillId="0" borderId="86" applyNumberFormat="0" applyFill="0" applyAlignment="0" applyProtection="0"/>
    <xf numFmtId="0" fontId="61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72" fillId="36" borderId="90" applyNumberFormat="0" applyFont="0" applyAlignment="0" applyProtection="0"/>
    <xf numFmtId="0" fontId="63" fillId="9" borderId="85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9" fillId="0" borderId="89" applyNumberFormat="0" applyFill="0" applyAlignment="0" applyProtection="0"/>
    <xf numFmtId="0" fontId="67" fillId="0" borderId="0" applyNumberFormat="0" applyFill="0" applyBorder="0" applyAlignment="0" applyProtection="0"/>
    <xf numFmtId="4" fontId="77" fillId="37" borderId="91" applyNumberFormat="0" applyProtection="0">
      <alignment vertical="center"/>
    </xf>
    <xf numFmtId="4" fontId="78" fillId="37" borderId="91" applyNumberFormat="0" applyProtection="0">
      <alignment horizontal="left" vertical="center" indent="1"/>
    </xf>
    <xf numFmtId="4" fontId="78" fillId="38" borderId="0" applyNumberFormat="0" applyProtection="0">
      <alignment horizontal="left" vertical="center" indent="1"/>
    </xf>
    <xf numFmtId="4" fontId="78" fillId="39" borderId="91" applyNumberFormat="0" applyProtection="0">
      <alignment horizontal="right" vertical="center"/>
    </xf>
    <xf numFmtId="4" fontId="77" fillId="40" borderId="91" applyNumberFormat="0" applyProtection="0">
      <alignment horizontal="left" vertical="center" indent="1"/>
    </xf>
    <xf numFmtId="0" fontId="79" fillId="41" borderId="91" applyNumberFormat="0" applyProtection="0">
      <alignment horizontal="left" vertical="top" indent="1"/>
    </xf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36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36" borderId="0" applyNumberFormat="0" applyBorder="0" applyAlignment="0" applyProtection="0"/>
    <xf numFmtId="0" fontId="71" fillId="45" borderId="0" applyNumberFormat="0" applyBorder="0" applyAlignment="0" applyProtection="0"/>
    <xf numFmtId="0" fontId="71" fillId="43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5" borderId="0" applyNumberFormat="0" applyBorder="0" applyAlignment="0" applyProtection="0"/>
    <xf numFmtId="0" fontId="71" fillId="36" borderId="0" applyNumberFormat="0" applyBorder="0" applyAlignment="0" applyProtection="0"/>
    <xf numFmtId="0" fontId="86" fillId="45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45" borderId="0" applyNumberFormat="0" applyBorder="0" applyAlignment="0" applyProtection="0"/>
    <xf numFmtId="0" fontId="86" fillId="43" borderId="0" applyNumberFormat="0" applyBorder="0" applyAlignment="0" applyProtection="0"/>
    <xf numFmtId="0" fontId="86" fillId="50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7" fillId="54" borderId="0" applyNumberFormat="0" applyBorder="0" applyAlignment="0" applyProtection="0"/>
    <xf numFmtId="0" fontId="88" fillId="55" borderId="98" applyNumberFormat="0" applyAlignment="0" applyProtection="0"/>
    <xf numFmtId="0" fontId="89" fillId="56" borderId="99" applyNumberFormat="0" applyAlignment="0" applyProtection="0"/>
    <xf numFmtId="43" fontId="10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5" borderId="0" applyNumberFormat="0" applyBorder="0" applyAlignment="0" applyProtection="0"/>
    <xf numFmtId="0" fontId="92" fillId="0" borderId="100" applyNumberFormat="0" applyFill="0" applyAlignment="0" applyProtection="0"/>
    <xf numFmtId="0" fontId="93" fillId="0" borderId="101" applyNumberFormat="0" applyFill="0" applyAlignment="0" applyProtection="0"/>
    <xf numFmtId="0" fontId="94" fillId="0" borderId="102" applyNumberFormat="0" applyFill="0" applyAlignment="0" applyProtection="0"/>
    <xf numFmtId="0" fontId="94" fillId="0" borderId="0" applyNumberFormat="0" applyFill="0" applyBorder="0" applyAlignment="0" applyProtection="0"/>
    <xf numFmtId="0" fontId="95" fillId="46" borderId="98" applyNumberFormat="0" applyAlignment="0" applyProtection="0"/>
    <xf numFmtId="0" fontId="96" fillId="0" borderId="103" applyNumberFormat="0" applyFill="0" applyAlignment="0" applyProtection="0"/>
    <xf numFmtId="0" fontId="97" fillId="46" borderId="0" applyNumberFormat="0" applyBorder="0" applyAlignment="0" applyProtection="0"/>
    <xf numFmtId="0" fontId="3" fillId="0" borderId="0"/>
    <xf numFmtId="0" fontId="72" fillId="0" borderId="0"/>
    <xf numFmtId="0" fontId="3" fillId="0" borderId="0"/>
    <xf numFmtId="0" fontId="98" fillId="55" borderId="104" applyNumberFormat="0" applyAlignment="0" applyProtection="0"/>
    <xf numFmtId="9" fontId="3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05" applyNumberFormat="0" applyFill="0" applyAlignment="0" applyProtection="0"/>
    <xf numFmtId="0" fontId="9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0">
    <xf numFmtId="0" fontId="0" fillId="0" borderId="0" xfId="0"/>
    <xf numFmtId="5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Protection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5" fontId="6" fillId="0" borderId="0" xfId="0" applyNumberFormat="1" applyFont="1"/>
    <xf numFmtId="10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2" applyNumberFormat="1" applyFont="1"/>
    <xf numFmtId="10" fontId="6" fillId="0" borderId="0" xfId="0" applyNumberFormat="1" applyFont="1"/>
    <xf numFmtId="16" fontId="0" fillId="0" borderId="0" xfId="0" applyNumberFormat="1"/>
    <xf numFmtId="0" fontId="5" fillId="0" borderId="0" xfId="0" applyFont="1" applyAlignment="1">
      <alignment horizontal="center"/>
    </xf>
    <xf numFmtId="10" fontId="6" fillId="0" borderId="0" xfId="3" applyNumberFormat="1" applyFont="1" applyAlignment="1">
      <alignment horizontal="center"/>
    </xf>
    <xf numFmtId="10" fontId="6" fillId="0" borderId="0" xfId="3" applyNumberFormat="1" applyFont="1" applyAlignment="1">
      <alignment horizontal="right"/>
    </xf>
    <xf numFmtId="0" fontId="9" fillId="0" borderId="0" xfId="0" applyFont="1" applyAlignment="1">
      <alignment horizontal="center"/>
    </xf>
    <xf numFmtId="5" fontId="6" fillId="0" borderId="0" xfId="0" applyNumberFormat="1" applyFont="1" applyAlignment="1">
      <alignment horizontal="center"/>
    </xf>
    <xf numFmtId="5" fontId="6" fillId="0" borderId="0" xfId="0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5" fontId="8" fillId="0" borderId="0" xfId="0" applyNumberFormat="1" applyFont="1" applyAlignment="1" applyProtection="1">
      <alignment horizontal="center"/>
      <protection locked="0"/>
    </xf>
    <xf numFmtId="5" fontId="6" fillId="0" borderId="0" xfId="0" applyNumberFormat="1" applyFont="1" applyProtection="1">
      <protection locked="0"/>
    </xf>
    <xf numFmtId="5" fontId="6" fillId="0" borderId="0" xfId="0" applyNumberFormat="1" applyFont="1" applyBorder="1" applyProtection="1">
      <protection locked="0"/>
    </xf>
    <xf numFmtId="10" fontId="6" fillId="0" borderId="0" xfId="3" applyNumberFormat="1" applyFont="1" applyProtection="1"/>
    <xf numFmtId="10" fontId="6" fillId="0" borderId="0" xfId="0" applyNumberFormat="1" applyFont="1" applyProtection="1">
      <protection locked="0"/>
    </xf>
    <xf numFmtId="5" fontId="8" fillId="0" borderId="0" xfId="0" applyNumberFormat="1" applyFont="1" applyProtection="1">
      <protection locked="0"/>
    </xf>
    <xf numFmtId="5" fontId="4" fillId="0" borderId="0" xfId="0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0" fontId="6" fillId="0" borderId="0" xfId="3" applyNumberFormat="1" applyFont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5" fontId="6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Alignment="1" applyProtection="1">
      <alignment horizontal="center"/>
      <protection locked="0"/>
    </xf>
    <xf numFmtId="5" fontId="6" fillId="0" borderId="0" xfId="0" applyNumberFormat="1" applyFont="1" applyBorder="1" applyAlignment="1" applyProtection="1">
      <alignment horizontal="center"/>
      <protection locked="0"/>
    </xf>
    <xf numFmtId="5" fontId="6" fillId="0" borderId="0" xfId="0" applyNumberFormat="1" applyFont="1" applyAlignment="1" applyProtection="1">
      <alignment horizontal="center"/>
    </xf>
    <xf numFmtId="10" fontId="6" fillId="0" borderId="0" xfId="3" applyNumberFormat="1" applyFont="1" applyAlignment="1" applyProtection="1">
      <alignment horizontal="center"/>
    </xf>
    <xf numFmtId="10" fontId="6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Border="1" applyAlignment="1" applyProtection="1">
      <alignment horizontal="center"/>
      <protection locked="0"/>
    </xf>
    <xf numFmtId="10" fontId="6" fillId="0" borderId="0" xfId="3" applyNumberFormat="1" applyFont="1" applyBorder="1" applyAlignment="1" applyProtection="1">
      <alignment horizontal="center"/>
      <protection locked="0"/>
    </xf>
    <xf numFmtId="164" fontId="8" fillId="0" borderId="0" xfId="0" applyNumberFormat="1" applyFont="1" applyBorder="1" applyAlignment="1" applyProtection="1">
      <alignment horizontal="center"/>
      <protection locked="0"/>
    </xf>
    <xf numFmtId="5" fontId="5" fillId="0" borderId="0" xfId="0" applyNumberFormat="1" applyFont="1" applyAlignment="1" applyProtection="1">
      <alignment horizontal="center"/>
      <protection locked="0"/>
    </xf>
    <xf numFmtId="10" fontId="6" fillId="0" borderId="0" xfId="3" applyNumberFormat="1" applyFont="1" applyAlignment="1" applyProtection="1">
      <alignment horizontal="center"/>
      <protection locked="0"/>
    </xf>
    <xf numFmtId="10" fontId="6" fillId="0" borderId="0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 applyProtection="1">
      <alignment horizontal="right"/>
    </xf>
    <xf numFmtId="5" fontId="4" fillId="0" borderId="0" xfId="0" applyNumberFormat="1" applyFont="1" applyAlignment="1" applyProtection="1">
      <alignment horizontal="right"/>
      <protection locked="0"/>
    </xf>
    <xf numFmtId="168" fontId="6" fillId="0" borderId="0" xfId="0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5" fontId="6" fillId="0" borderId="0" xfId="3" applyNumberFormat="1" applyFont="1" applyProtection="1"/>
    <xf numFmtId="9" fontId="6" fillId="0" borderId="0" xfId="3" applyFont="1" applyAlignment="1">
      <alignment horizontal="right"/>
    </xf>
    <xf numFmtId="168" fontId="0" fillId="0" borderId="0" xfId="0" applyNumberFormat="1"/>
    <xf numFmtId="0" fontId="5" fillId="0" borderId="0" xfId="0" applyFont="1" applyAlignment="1">
      <alignment horizontal="right"/>
    </xf>
    <xf numFmtId="164" fontId="6" fillId="0" borderId="0" xfId="2" applyNumberFormat="1" applyFont="1" applyProtection="1">
      <protection locked="0"/>
    </xf>
    <xf numFmtId="167" fontId="6" fillId="0" borderId="0" xfId="1" applyNumberFormat="1" applyFont="1" applyProtection="1">
      <protection locked="0"/>
    </xf>
    <xf numFmtId="167" fontId="6" fillId="0" borderId="0" xfId="1" applyNumberFormat="1" applyFont="1" applyBorder="1" applyProtection="1">
      <protection locked="0"/>
    </xf>
    <xf numFmtId="167" fontId="6" fillId="0" borderId="1" xfId="1" applyNumberFormat="1" applyFont="1" applyBorder="1" applyProtection="1">
      <protection locked="0"/>
    </xf>
    <xf numFmtId="164" fontId="6" fillId="0" borderId="0" xfId="2" applyNumberFormat="1" applyFont="1" applyBorder="1" applyProtection="1">
      <protection locked="0"/>
    </xf>
    <xf numFmtId="167" fontId="6" fillId="0" borderId="2" xfId="1" applyNumberFormat="1" applyFont="1" applyBorder="1" applyProtection="1">
      <protection locked="0"/>
    </xf>
    <xf numFmtId="164" fontId="6" fillId="0" borderId="3" xfId="2" applyNumberFormat="1" applyFont="1" applyBorder="1" applyProtection="1">
      <protection locked="0"/>
    </xf>
    <xf numFmtId="167" fontId="4" fillId="0" borderId="0" xfId="1" applyNumberFormat="1" applyFont="1" applyProtection="1">
      <protection locked="0"/>
    </xf>
    <xf numFmtId="167" fontId="6" fillId="0" borderId="0" xfId="1" applyNumberFormat="1" applyFont="1"/>
    <xf numFmtId="167" fontId="6" fillId="0" borderId="1" xfId="1" applyNumberFormat="1" applyFont="1" applyBorder="1"/>
    <xf numFmtId="10" fontId="6" fillId="0" borderId="1" xfId="3" applyNumberFormat="1" applyFont="1" applyBorder="1"/>
    <xf numFmtId="164" fontId="6" fillId="0" borderId="3" xfId="2" applyNumberFormat="1" applyFont="1" applyBorder="1"/>
    <xf numFmtId="167" fontId="6" fillId="0" borderId="0" xfId="1" applyNumberFormat="1" applyFont="1" applyProtection="1"/>
    <xf numFmtId="167" fontId="6" fillId="0" borderId="0" xfId="1" applyNumberFormat="1" applyFont="1" applyBorder="1"/>
    <xf numFmtId="164" fontId="6" fillId="0" borderId="4" xfId="2" applyNumberFormat="1" applyFont="1" applyBorder="1"/>
    <xf numFmtId="167" fontId="6" fillId="0" borderId="0" xfId="1" applyNumberFormat="1" applyFont="1" applyFill="1" applyBorder="1" applyProtection="1">
      <protection locked="0"/>
    </xf>
    <xf numFmtId="0" fontId="10" fillId="0" borderId="0" xfId="0" applyFont="1"/>
    <xf numFmtId="0" fontId="6" fillId="0" borderId="1" xfId="0" applyFont="1" applyBorder="1" applyAlignment="1" applyProtection="1">
      <alignment horizontal="center"/>
    </xf>
    <xf numFmtId="164" fontId="5" fillId="0" borderId="0" xfId="2" applyNumberFormat="1" applyFont="1" applyBorder="1" applyProtection="1">
      <protection locked="0"/>
    </xf>
    <xf numFmtId="164" fontId="6" fillId="0" borderId="0" xfId="2" applyNumberFormat="1" applyFont="1" applyBorder="1"/>
    <xf numFmtId="164" fontId="6" fillId="0" borderId="5" xfId="0" applyNumberFormat="1" applyFont="1" applyBorder="1"/>
    <xf numFmtId="10" fontId="6" fillId="0" borderId="0" xfId="0" applyNumberFormat="1" applyFont="1" applyBorder="1"/>
    <xf numFmtId="0" fontId="5" fillId="0" borderId="0" xfId="0" quotePrefix="1" applyFont="1"/>
    <xf numFmtId="164" fontId="6" fillId="0" borderId="0" xfId="2" applyNumberFormat="1" applyFont="1" applyBorder="1" applyAlignment="1">
      <alignment horizontal="center"/>
    </xf>
    <xf numFmtId="167" fontId="5" fillId="0" borderId="0" xfId="1" applyNumberFormat="1" applyFo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9" fillId="0" borderId="0" xfId="0" applyFont="1"/>
    <xf numFmtId="164" fontId="6" fillId="0" borderId="1" xfId="2" applyNumberFormat="1" applyFont="1" applyBorder="1" applyProtection="1"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164" fontId="6" fillId="0" borderId="5" xfId="2" applyNumberFormat="1" applyFont="1" applyBorder="1"/>
    <xf numFmtId="0" fontId="6" fillId="0" borderId="0" xfId="0" applyFont="1" applyAlignment="1">
      <alignment horizontal="left"/>
    </xf>
    <xf numFmtId="164" fontId="6" fillId="0" borderId="5" xfId="2" applyNumberFormat="1" applyFont="1" applyBorder="1" applyProtection="1">
      <protection locked="0"/>
    </xf>
    <xf numFmtId="164" fontId="6" fillId="0" borderId="5" xfId="2" applyNumberFormat="1" applyFont="1" applyBorder="1" applyProtection="1"/>
    <xf numFmtId="10" fontId="6" fillId="0" borderId="0" xfId="3" applyNumberFormat="1" applyFont="1"/>
    <xf numFmtId="0" fontId="6" fillId="0" borderId="1" xfId="0" applyFont="1" applyBorder="1"/>
    <xf numFmtId="0" fontId="6" fillId="0" borderId="0" xfId="0" quotePrefix="1" applyFont="1"/>
    <xf numFmtId="166" fontId="6" fillId="0" borderId="0" xfId="3" applyNumberFormat="1" applyFont="1" applyAlignment="1">
      <alignment horizontal="right"/>
    </xf>
    <xf numFmtId="168" fontId="6" fillId="0" borderId="0" xfId="0" applyNumberFormat="1" applyFont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165" fontId="6" fillId="0" borderId="0" xfId="0" applyNumberFormat="1" applyFont="1" applyFill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 applyAlignment="1" applyProtection="1">
      <alignment horizontal="fill"/>
    </xf>
    <xf numFmtId="0" fontId="9" fillId="0" borderId="0" xfId="0" applyFont="1" applyFill="1" applyAlignment="1" applyProtection="1">
      <alignment horizontal="left"/>
    </xf>
    <xf numFmtId="0" fontId="8" fillId="0" borderId="0" xfId="0" applyFont="1" applyFill="1"/>
    <xf numFmtId="0" fontId="6" fillId="0" borderId="0" xfId="0" applyFont="1" applyFill="1" applyAlignment="1" applyProtection="1">
      <alignment horizontal="left"/>
    </xf>
    <xf numFmtId="3" fontId="6" fillId="0" borderId="0" xfId="0" applyNumberFormat="1" applyFont="1" applyFill="1"/>
    <xf numFmtId="167" fontId="6" fillId="0" borderId="0" xfId="1" applyNumberFormat="1" applyFont="1" applyFill="1" applyAlignment="1">
      <alignment horizontal="right"/>
    </xf>
    <xf numFmtId="0" fontId="5" fillId="0" borderId="0" xfId="0" applyFont="1" applyFill="1" applyAlignment="1" applyProtection="1">
      <alignment horizontal="left"/>
    </xf>
    <xf numFmtId="167" fontId="6" fillId="0" borderId="0" xfId="1" applyNumberFormat="1" applyFont="1" applyFill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 applyProtection="1">
      <alignment horizontal="right"/>
    </xf>
    <xf numFmtId="6" fontId="6" fillId="0" borderId="0" xfId="0" applyNumberFormat="1" applyFont="1" applyFill="1" applyBorder="1" applyAlignment="1" applyProtection="1">
      <alignment horizontal="right"/>
    </xf>
    <xf numFmtId="167" fontId="6" fillId="0" borderId="0" xfId="1" applyNumberFormat="1" applyFont="1" applyFill="1" applyAlignment="1" applyProtection="1">
      <alignment horizontal="right"/>
    </xf>
    <xf numFmtId="167" fontId="6" fillId="0" borderId="0" xfId="1" applyNumberFormat="1" applyFont="1" applyFill="1" applyAlignment="1" applyProtection="1">
      <alignment horizontal="center"/>
    </xf>
    <xf numFmtId="167" fontId="6" fillId="0" borderId="0" xfId="1" applyNumberFormat="1" applyFont="1" applyFill="1" applyBorder="1"/>
    <xf numFmtId="3" fontId="6" fillId="0" borderId="0" xfId="0" applyNumberFormat="1" applyFont="1" applyFill="1" applyBorder="1"/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6" fontId="6" fillId="0" borderId="0" xfId="0" applyNumberFormat="1" applyFont="1" applyFill="1" applyAlignment="1" applyProtection="1">
      <alignment horizontal="right"/>
    </xf>
    <xf numFmtId="6" fontId="6" fillId="0" borderId="0" xfId="0" applyNumberFormat="1" applyFont="1" applyFill="1" applyBorder="1" applyProtection="1"/>
    <xf numFmtId="6" fontId="6" fillId="0" borderId="0" xfId="0" applyNumberFormat="1" applyFont="1" applyFill="1" applyProtection="1"/>
    <xf numFmtId="5" fontId="6" fillId="0" borderId="0" xfId="0" quotePrefix="1" applyNumberFormat="1" applyFont="1" applyFill="1" applyBorder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Border="1"/>
    <xf numFmtId="0" fontId="5" fillId="0" borderId="0" xfId="0" applyFont="1" applyBorder="1"/>
    <xf numFmtId="6" fontId="5" fillId="0" borderId="0" xfId="0" applyNumberFormat="1" applyFont="1" applyBorder="1"/>
    <xf numFmtId="0" fontId="6" fillId="0" borderId="1" xfId="0" applyFont="1" applyFill="1" applyBorder="1" applyAlignment="1">
      <alignment horizontal="center"/>
    </xf>
    <xf numFmtId="5" fontId="6" fillId="0" borderId="1" xfId="0" applyNumberFormat="1" applyFont="1" applyFill="1" applyBorder="1" applyAlignment="1" applyProtection="1">
      <alignment horizontal="center"/>
    </xf>
    <xf numFmtId="0" fontId="6" fillId="0" borderId="0" xfId="0" quotePrefix="1" applyFont="1" applyFill="1" applyAlignment="1">
      <alignment horizontal="center"/>
    </xf>
    <xf numFmtId="164" fontId="6" fillId="0" borderId="0" xfId="2" applyNumberFormat="1" applyFont="1" applyFill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/>
    <xf numFmtId="164" fontId="6" fillId="0" borderId="4" xfId="2" applyNumberFormat="1" applyFont="1" applyFill="1" applyBorder="1" applyAlignment="1" applyProtection="1">
      <alignment horizontal="right"/>
    </xf>
    <xf numFmtId="10" fontId="6" fillId="0" borderId="0" xfId="3" applyNumberFormat="1" applyFont="1" applyBorder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Continuous" vertical="justify"/>
    </xf>
    <xf numFmtId="0" fontId="6" fillId="0" borderId="0" xfId="0" quotePrefix="1" applyFont="1" applyAlignment="1" applyProtection="1">
      <alignment horizontal="center"/>
    </xf>
    <xf numFmtId="15" fontId="6" fillId="0" borderId="1" xfId="0" applyNumberFormat="1" applyFont="1" applyBorder="1" applyAlignment="1">
      <alignment horizontal="center"/>
    </xf>
    <xf numFmtId="167" fontId="6" fillId="0" borderId="0" xfId="1" applyNumberFormat="1" applyFont="1" applyAlignment="1" applyProtection="1">
      <alignment horizontal="center"/>
      <protection locked="0"/>
    </xf>
    <xf numFmtId="167" fontId="6" fillId="0" borderId="0" xfId="1" applyNumberFormat="1" applyFont="1" applyBorder="1" applyAlignment="1" applyProtection="1">
      <alignment horizontal="center"/>
      <protection locked="0"/>
    </xf>
    <xf numFmtId="164" fontId="6" fillId="0" borderId="0" xfId="2" applyNumberFormat="1" applyFont="1" applyAlignment="1" applyProtection="1">
      <alignment horizontal="center"/>
      <protection locked="0"/>
    </xf>
    <xf numFmtId="15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7" fontId="6" fillId="0" borderId="0" xfId="1" applyNumberFormat="1" applyFont="1" applyAlignment="1" applyProtection="1">
      <alignment horizontal="right"/>
      <protection locked="0"/>
    </xf>
    <xf numFmtId="167" fontId="6" fillId="0" borderId="1" xfId="1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Border="1" applyProtection="1">
      <protection locked="0"/>
    </xf>
    <xf numFmtId="0" fontId="9" fillId="0" borderId="0" xfId="0" applyFont="1" applyBorder="1"/>
    <xf numFmtId="0" fontId="6" fillId="0" borderId="0" xfId="0" applyFont="1" applyAlignment="1" applyProtection="1">
      <alignment horizontal="right"/>
    </xf>
    <xf numFmtId="164" fontId="6" fillId="0" borderId="0" xfId="2" applyNumberFormat="1" applyFont="1" applyBorder="1" applyAlignment="1" applyProtection="1">
      <alignment horizontal="right"/>
      <protection locked="0"/>
    </xf>
    <xf numFmtId="0" fontId="12" fillId="0" borderId="0" xfId="0" applyFont="1"/>
    <xf numFmtId="5" fontId="6" fillId="0" borderId="0" xfId="0" applyNumberFormat="1" applyFont="1" applyAlignment="1">
      <alignment horizontal="right"/>
    </xf>
    <xf numFmtId="10" fontId="6" fillId="0" borderId="0" xfId="0" applyNumberFormat="1" applyFont="1" applyBorder="1" applyProtection="1">
      <protection locked="0"/>
    </xf>
    <xf numFmtId="0" fontId="0" fillId="0" borderId="0" xfId="0" applyBorder="1"/>
    <xf numFmtId="167" fontId="6" fillId="0" borderId="0" xfId="1" applyNumberFormat="1" applyFont="1" applyBorder="1" applyAlignment="1" applyProtection="1">
      <alignment horizontal="right"/>
      <protection locked="0"/>
    </xf>
    <xf numFmtId="10" fontId="6" fillId="0" borderId="0" xfId="3" applyNumberFormat="1" applyFont="1" applyFill="1" applyBorder="1" applyAlignment="1" applyProtection="1">
      <alignment horizontal="right"/>
    </xf>
    <xf numFmtId="0" fontId="6" fillId="0" borderId="0" xfId="0" quotePrefix="1" applyFont="1" applyAlignment="1" applyProtection="1">
      <alignment horizontal="centerContinuous" vertical="justify"/>
    </xf>
    <xf numFmtId="0" fontId="6" fillId="0" borderId="0" xfId="0" applyFont="1" applyAlignment="1" applyProtection="1">
      <alignment horizontal="centerContinuous" vertical="justify"/>
    </xf>
    <xf numFmtId="0" fontId="6" fillId="0" borderId="0" xfId="0" applyFont="1" applyFill="1" applyAlignment="1" applyProtection="1">
      <alignment horizontal="center"/>
    </xf>
    <xf numFmtId="5" fontId="6" fillId="0" borderId="0" xfId="0" applyNumberFormat="1" applyFont="1" applyFill="1" applyAlignment="1" applyProtection="1">
      <alignment horizontal="center"/>
      <protection locked="0"/>
    </xf>
    <xf numFmtId="164" fontId="6" fillId="0" borderId="0" xfId="2" applyNumberFormat="1" applyFont="1" applyFill="1" applyProtection="1">
      <protection locked="0"/>
    </xf>
    <xf numFmtId="5" fontId="6" fillId="0" borderId="0" xfId="0" applyNumberFormat="1" applyFont="1" applyFill="1" applyAlignment="1">
      <alignment horizontal="center"/>
    </xf>
    <xf numFmtId="0" fontId="13" fillId="0" borderId="0" xfId="0" applyFont="1" applyFill="1"/>
    <xf numFmtId="167" fontId="6" fillId="0" borderId="0" xfId="1" applyNumberFormat="1" applyFont="1" applyFill="1" applyProtection="1">
      <protection locked="0"/>
    </xf>
    <xf numFmtId="5" fontId="6" fillId="0" borderId="0" xfId="0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Alignment="1" applyProtection="1">
      <alignment horizontal="center"/>
    </xf>
    <xf numFmtId="0" fontId="7" fillId="0" borderId="0" xfId="0" applyFont="1"/>
    <xf numFmtId="167" fontId="5" fillId="0" borderId="0" xfId="1" applyNumberFormat="1" applyFont="1" applyBorder="1" applyProtection="1">
      <protection locked="0"/>
    </xf>
    <xf numFmtId="0" fontId="6" fillId="0" borderId="6" xfId="0" applyFont="1" applyBorder="1"/>
    <xf numFmtId="0" fontId="6" fillId="0" borderId="0" xfId="0" applyFont="1" applyBorder="1" applyAlignment="1">
      <alignment horizontal="right"/>
    </xf>
    <xf numFmtId="5" fontId="6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Protection="1"/>
    <xf numFmtId="0" fontId="0" fillId="0" borderId="0" xfId="0" applyAlignment="1">
      <alignment horizontal="center"/>
    </xf>
    <xf numFmtId="164" fontId="6" fillId="0" borderId="0" xfId="2" quotePrefix="1" applyNumberFormat="1" applyFont="1" applyFill="1" applyBorder="1" applyAlignment="1">
      <alignment horizontal="right"/>
    </xf>
    <xf numFmtId="164" fontId="6" fillId="0" borderId="0" xfId="0" applyNumberFormat="1" applyFont="1" applyBorder="1"/>
    <xf numFmtId="167" fontId="6" fillId="0" borderId="2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167" fontId="6" fillId="0" borderId="0" xfId="0" applyNumberFormat="1" applyFont="1"/>
    <xf numFmtId="167" fontId="6" fillId="0" borderId="0" xfId="1" applyNumberFormat="1" applyFont="1" applyBorder="1" applyAlignment="1">
      <alignment horizontal="center"/>
    </xf>
    <xf numFmtId="164" fontId="6" fillId="0" borderId="0" xfId="2" applyNumberFormat="1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/>
    <xf numFmtId="5" fontId="6" fillId="0" borderId="0" xfId="0" applyNumberFormat="1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9" fillId="0" borderId="8" xfId="0" applyFont="1" applyBorder="1"/>
    <xf numFmtId="167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11" xfId="0" applyFont="1" applyBorder="1"/>
    <xf numFmtId="167" fontId="6" fillId="0" borderId="10" xfId="0" applyNumberFormat="1" applyFont="1" applyBorder="1" applyAlignment="1">
      <alignment horizontal="center"/>
    </xf>
    <xf numFmtId="0" fontId="6" fillId="0" borderId="10" xfId="0" applyFont="1" applyBorder="1"/>
    <xf numFmtId="167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/>
    <xf numFmtId="167" fontId="6" fillId="0" borderId="13" xfId="0" applyNumberFormat="1" applyFont="1" applyBorder="1" applyAlignment="1">
      <alignment horizontal="center"/>
    </xf>
    <xf numFmtId="167" fontId="6" fillId="0" borderId="15" xfId="0" applyNumberFormat="1" applyFont="1" applyBorder="1" applyAlignment="1">
      <alignment horizontal="center"/>
    </xf>
    <xf numFmtId="0" fontId="6" fillId="0" borderId="14" xfId="0" applyFont="1" applyBorder="1"/>
    <xf numFmtId="164" fontId="6" fillId="0" borderId="13" xfId="2" applyNumberFormat="1" applyFont="1" applyBorder="1"/>
    <xf numFmtId="164" fontId="6" fillId="0" borderId="15" xfId="2" applyNumberFormat="1" applyFont="1" applyBorder="1"/>
    <xf numFmtId="167" fontId="6" fillId="0" borderId="13" xfId="0" applyNumberFormat="1" applyFont="1" applyBorder="1"/>
    <xf numFmtId="167" fontId="6" fillId="0" borderId="15" xfId="0" applyNumberFormat="1" applyFont="1" applyBorder="1"/>
    <xf numFmtId="0" fontId="6" fillId="0" borderId="11" xfId="0" applyFont="1" applyBorder="1"/>
    <xf numFmtId="0" fontId="6" fillId="0" borderId="12" xfId="0" applyFont="1" applyBorder="1"/>
    <xf numFmtId="10" fontId="6" fillId="0" borderId="13" xfId="3" applyNumberFormat="1" applyFont="1" applyBorder="1"/>
    <xf numFmtId="0" fontId="6" fillId="0" borderId="0" xfId="0" applyFont="1" applyFill="1" applyBorder="1" applyAlignment="1"/>
    <xf numFmtId="167" fontId="6" fillId="0" borderId="13" xfId="1" applyNumberFormat="1" applyFont="1" applyBorder="1"/>
    <xf numFmtId="167" fontId="6" fillId="0" borderId="0" xfId="0" applyNumberFormat="1" applyFont="1" applyAlignment="1">
      <alignment horizontal="centerContinuous" vertical="justify"/>
    </xf>
    <xf numFmtId="0" fontId="17" fillId="0" borderId="0" xfId="0" applyFont="1" applyAlignment="1">
      <alignment horizontal="centerContinuous" vertical="justify"/>
    </xf>
    <xf numFmtId="0" fontId="19" fillId="0" borderId="0" xfId="0" applyFont="1"/>
    <xf numFmtId="0" fontId="19" fillId="0" borderId="0" xfId="0" applyFont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Alignment="1" applyProtection="1">
      <alignment horizontal="centerContinuous" vertical="justify"/>
    </xf>
    <xf numFmtId="0" fontId="5" fillId="0" borderId="0" xfId="0" applyFont="1" applyAlignment="1" applyProtection="1">
      <alignment horizontal="centerContinuous" vertical="justify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7" fontId="6" fillId="0" borderId="2" xfId="1" applyNumberFormat="1" applyFont="1" applyFill="1" applyBorder="1" applyProtection="1">
      <protection locked="0"/>
    </xf>
    <xf numFmtId="164" fontId="6" fillId="0" borderId="0" xfId="2" applyNumberFormat="1" applyFont="1" applyFill="1" applyBorder="1" applyProtection="1">
      <protection locked="0"/>
    </xf>
    <xf numFmtId="0" fontId="6" fillId="0" borderId="6" xfId="0" applyFont="1" applyBorder="1" applyAlignment="1">
      <alignment horizontal="right"/>
    </xf>
    <xf numFmtId="0" fontId="6" fillId="0" borderId="0" xfId="0" applyNumberFormat="1" applyFont="1"/>
    <xf numFmtId="0" fontId="22" fillId="0" borderId="0" xfId="0" applyFont="1"/>
    <xf numFmtId="0" fontId="21" fillId="0" borderId="0" xfId="0" applyFont="1" applyAlignment="1" applyProtection="1">
      <alignment horizontal="center"/>
    </xf>
    <xf numFmtId="5" fontId="19" fillId="0" borderId="0" xfId="0" applyNumberFormat="1" applyFont="1" applyAlignment="1">
      <alignment horizontal="center"/>
    </xf>
    <xf numFmtId="0" fontId="21" fillId="0" borderId="0" xfId="0" quotePrefix="1" applyFont="1" applyAlignment="1">
      <alignment horizontal="center"/>
    </xf>
    <xf numFmtId="164" fontId="19" fillId="0" borderId="0" xfId="2" applyNumberFormat="1" applyFont="1" applyAlignment="1">
      <alignment horizontal="center"/>
    </xf>
    <xf numFmtId="0" fontId="5" fillId="0" borderId="0" xfId="0" quotePrefix="1" applyFont="1" applyAlignment="1" applyProtection="1">
      <alignment horizontal="center" vertical="justify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Continuous" vertical="justify"/>
    </xf>
    <xf numFmtId="0" fontId="23" fillId="0" borderId="0" xfId="0" applyFont="1"/>
    <xf numFmtId="0" fontId="0" fillId="0" borderId="0" xfId="0" applyAlignment="1"/>
    <xf numFmtId="0" fontId="5" fillId="0" borderId="0" xfId="0" quotePrefix="1" applyFont="1" applyAlignment="1">
      <alignment horizontal="centerContinuous" vertical="justify"/>
    </xf>
    <xf numFmtId="164" fontId="6" fillId="0" borderId="15" xfId="2" applyNumberFormat="1" applyFont="1" applyBorder="1" applyAlignment="1">
      <alignment horizontal="center"/>
    </xf>
    <xf numFmtId="167" fontId="6" fillId="0" borderId="0" xfId="1" applyNumberFormat="1" applyFont="1" applyFill="1" applyBorder="1" applyAlignment="1" applyProtection="1">
      <alignment horizontal="center"/>
    </xf>
    <xf numFmtId="0" fontId="24" fillId="0" borderId="0" xfId="0" applyFont="1" applyAlignment="1"/>
    <xf numFmtId="0" fontId="23" fillId="0" borderId="0" xfId="0" applyFont="1" applyAlignment="1"/>
    <xf numFmtId="6" fontId="23" fillId="0" borderId="0" xfId="0" applyNumberFormat="1" applyFont="1"/>
    <xf numFmtId="10" fontId="23" fillId="0" borderId="0" xfId="3" applyNumberFormat="1" applyFont="1"/>
    <xf numFmtId="164" fontId="23" fillId="0" borderId="0" xfId="0" applyNumberFormat="1" applyFont="1"/>
    <xf numFmtId="0" fontId="22" fillId="0" borderId="0" xfId="0" applyFont="1" applyFill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4" fontId="5" fillId="0" borderId="0" xfId="2" applyNumberFormat="1" applyFont="1" applyBorder="1"/>
    <xf numFmtId="0" fontId="27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0" fillId="0" borderId="6" xfId="0" applyBorder="1"/>
    <xf numFmtId="0" fontId="21" fillId="0" borderId="0" xfId="0" quotePrefix="1" applyFont="1" applyFill="1" applyAlignment="1">
      <alignment horizontal="center"/>
    </xf>
    <xf numFmtId="5" fontId="19" fillId="0" borderId="0" xfId="0" applyNumberFormat="1" applyFont="1" applyProtection="1">
      <protection locked="0"/>
    </xf>
    <xf numFmtId="5" fontId="19" fillId="0" borderId="0" xfId="0" applyNumberFormat="1" applyFont="1" applyAlignment="1" applyProtection="1">
      <alignment horizontal="center"/>
      <protection locked="0"/>
    </xf>
    <xf numFmtId="0" fontId="19" fillId="0" borderId="0" xfId="0" quotePrefix="1" applyFont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28" fillId="0" borderId="0" xfId="0" applyNumberFormat="1" applyFont="1" applyAlignment="1" applyProtection="1">
      <alignment horizontal="center"/>
      <protection locked="0"/>
    </xf>
    <xf numFmtId="166" fontId="6" fillId="0" borderId="3" xfId="0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center"/>
    </xf>
    <xf numFmtId="0" fontId="10" fillId="0" borderId="0" xfId="0" applyFont="1" applyFill="1" applyBorder="1"/>
    <xf numFmtId="0" fontId="7" fillId="0" borderId="0" xfId="0" applyFont="1" applyAlignment="1"/>
    <xf numFmtId="0" fontId="6" fillId="0" borderId="0" xfId="4" applyFont="1"/>
    <xf numFmtId="0" fontId="6" fillId="0" borderId="0" xfId="4" applyFont="1" applyAlignment="1">
      <alignment horizontal="center"/>
    </xf>
    <xf numFmtId="0" fontId="7" fillId="0" borderId="0" xfId="4" applyFont="1"/>
    <xf numFmtId="0" fontId="6" fillId="0" borderId="0" xfId="4" applyFont="1" applyFill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4" quotePrefix="1" applyFont="1" applyFill="1" applyAlignment="1">
      <alignment horizontal="center"/>
    </xf>
    <xf numFmtId="0" fontId="24" fillId="0" borderId="0" xfId="4" applyFont="1" applyAlignment="1"/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/>
    <xf numFmtId="165" fontId="6" fillId="0" borderId="0" xfId="4" applyNumberFormat="1" applyFont="1" applyFill="1" applyAlignment="1" applyProtection="1">
      <alignment horizontal="center"/>
    </xf>
    <xf numFmtId="0" fontId="5" fillId="0" borderId="0" xfId="4" applyFont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5" fillId="0" borderId="0" xfId="4" applyFont="1" applyFill="1"/>
    <xf numFmtId="0" fontId="6" fillId="0" borderId="0" xfId="4" applyFont="1" applyFill="1"/>
    <xf numFmtId="5" fontId="6" fillId="0" borderId="1" xfId="4" applyNumberFormat="1" applyFont="1" applyFill="1" applyBorder="1" applyAlignment="1" applyProtection="1">
      <alignment horizontal="center"/>
    </xf>
    <xf numFmtId="0" fontId="6" fillId="0" borderId="0" xfId="4" applyFont="1" applyBorder="1"/>
    <xf numFmtId="0" fontId="10" fillId="0" borderId="0" xfId="4" applyFont="1" applyFill="1" applyAlignment="1" applyProtection="1">
      <alignment horizontal="left"/>
    </xf>
    <xf numFmtId="3" fontId="6" fillId="0" borderId="0" xfId="4" applyNumberFormat="1" applyFont="1" applyFill="1"/>
    <xf numFmtId="164" fontId="6" fillId="0" borderId="0" xfId="5" applyNumberFormat="1" applyFont="1" applyFill="1" applyAlignment="1">
      <alignment horizontal="right"/>
    </xf>
    <xf numFmtId="0" fontId="6" fillId="0" borderId="0" xfId="4" applyFont="1" applyAlignment="1">
      <alignment horizontal="left"/>
    </xf>
    <xf numFmtId="0" fontId="10" fillId="0" borderId="0" xfId="4" applyFont="1" applyFill="1" applyBorder="1" applyAlignment="1" applyProtection="1">
      <alignment horizontal="left"/>
    </xf>
    <xf numFmtId="167" fontId="6" fillId="0" borderId="0" xfId="6" applyNumberFormat="1" applyFont="1" applyFill="1" applyAlignment="1">
      <alignment horizontal="right"/>
    </xf>
    <xf numFmtId="0" fontId="6" fillId="0" borderId="0" xfId="4" applyFont="1" applyFill="1" applyAlignment="1" applyProtection="1">
      <alignment horizontal="left"/>
    </xf>
    <xf numFmtId="0" fontId="6" fillId="0" borderId="0" xfId="4" applyFont="1" applyFill="1" applyBorder="1" applyAlignment="1" applyProtection="1">
      <alignment horizontal="left"/>
    </xf>
    <xf numFmtId="3" fontId="6" fillId="0" borderId="0" xfId="4" applyNumberFormat="1" applyFont="1" applyFill="1" applyBorder="1"/>
    <xf numFmtId="167" fontId="6" fillId="0" borderId="0" xfId="6" applyNumberFormat="1" applyFont="1" applyFill="1" applyBorder="1" applyAlignment="1" applyProtection="1">
      <alignment horizontal="right"/>
    </xf>
    <xf numFmtId="0" fontId="5" fillId="0" borderId="0" xfId="4" quotePrefix="1" applyFont="1"/>
    <xf numFmtId="167" fontId="6" fillId="0" borderId="0" xfId="6" applyNumberFormat="1" applyFont="1" applyFill="1"/>
    <xf numFmtId="3" fontId="5" fillId="0" borderId="0" xfId="4" applyNumberFormat="1" applyFont="1" applyFill="1"/>
    <xf numFmtId="167" fontId="6" fillId="0" borderId="0" xfId="6" applyNumberFormat="1" applyFont="1" applyFill="1" applyAlignment="1" applyProtection="1">
      <alignment horizontal="center"/>
    </xf>
    <xf numFmtId="0" fontId="5" fillId="0" borderId="0" xfId="4" applyFont="1"/>
    <xf numFmtId="164" fontId="6" fillId="0" borderId="0" xfId="5" applyNumberFormat="1" applyFont="1" applyFill="1" applyBorder="1" applyAlignment="1" applyProtection="1">
      <alignment horizontal="right"/>
    </xf>
    <xf numFmtId="0" fontId="6" fillId="0" borderId="0" xfId="4" applyFont="1" applyBorder="1" applyAlignment="1">
      <alignment horizontal="center"/>
    </xf>
    <xf numFmtId="0" fontId="10" fillId="0" borderId="0" xfId="4" applyFont="1" applyFill="1" applyAlignment="1"/>
    <xf numFmtId="164" fontId="6" fillId="0" borderId="1" xfId="5" applyNumberFormat="1" applyFont="1" applyFill="1" applyBorder="1" applyAlignment="1" applyProtection="1">
      <alignment horizontal="center"/>
    </xf>
    <xf numFmtId="0" fontId="6" fillId="0" borderId="1" xfId="4" applyFont="1" applyBorder="1" applyAlignment="1">
      <alignment horizontal="center"/>
    </xf>
    <xf numFmtId="0" fontId="10" fillId="0" borderId="0" xfId="4" applyFont="1" applyFill="1"/>
    <xf numFmtId="0" fontId="6" fillId="0" borderId="0" xfId="4" quotePrefix="1" applyFont="1" applyAlignment="1">
      <alignment horizontal="center"/>
    </xf>
    <xf numFmtId="164" fontId="6" fillId="0" borderId="0" xfId="5" applyNumberFormat="1" applyFont="1"/>
    <xf numFmtId="0" fontId="10" fillId="0" borderId="0" xfId="4" applyFont="1"/>
    <xf numFmtId="6" fontId="6" fillId="0" borderId="0" xfId="4" applyNumberFormat="1" applyFont="1" applyAlignment="1">
      <alignment horizontal="center"/>
    </xf>
    <xf numFmtId="164" fontId="6" fillId="0" borderId="0" xfId="5" applyNumberFormat="1" applyFont="1" applyBorder="1"/>
    <xf numFmtId="0" fontId="6" fillId="0" borderId="0" xfId="4" applyFont="1" applyBorder="1" applyAlignment="1">
      <alignment horizontal="left" vertical="center" indent="7"/>
    </xf>
    <xf numFmtId="0" fontId="7" fillId="0" borderId="0" xfId="4" applyFont="1" applyBorder="1" applyAlignment="1">
      <alignment horizontal="left" vertical="center" indent="7"/>
    </xf>
    <xf numFmtId="5" fontId="6" fillId="0" borderId="0" xfId="4" applyNumberFormat="1" applyFont="1" applyFill="1" applyBorder="1" applyAlignment="1" applyProtection="1">
      <alignment horizontal="center"/>
    </xf>
    <xf numFmtId="164" fontId="6" fillId="0" borderId="0" xfId="5" applyNumberFormat="1" applyFont="1" applyFill="1" applyBorder="1" applyAlignment="1" applyProtection="1">
      <alignment horizontal="center"/>
    </xf>
    <xf numFmtId="0" fontId="6" fillId="0" borderId="0" xfId="4" applyFont="1" applyFill="1" applyAlignment="1"/>
    <xf numFmtId="164" fontId="6" fillId="0" borderId="0" xfId="5" applyNumberFormat="1" applyFont="1" applyFill="1"/>
    <xf numFmtId="10" fontId="6" fillId="0" borderId="0" xfId="7" applyNumberFormat="1" applyFont="1" applyFill="1" applyAlignment="1">
      <alignment horizontal="right"/>
    </xf>
    <xf numFmtId="164" fontId="6" fillId="0" borderId="0" xfId="4" applyNumberFormat="1" applyFont="1" applyFill="1"/>
    <xf numFmtId="0" fontId="6" fillId="0" borderId="0" xfId="4" applyFont="1" applyFill="1" applyAlignment="1">
      <alignment horizontal="right"/>
    </xf>
    <xf numFmtId="167" fontId="6" fillId="0" borderId="0" xfId="6" applyNumberFormat="1" applyFont="1" applyFill="1" applyBorder="1" applyAlignment="1" applyProtection="1">
      <alignment horizontal="center"/>
    </xf>
    <xf numFmtId="167" fontId="6" fillId="0" borderId="17" xfId="0" applyNumberFormat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167" fontId="6" fillId="0" borderId="17" xfId="0" quotePrefix="1" applyNumberFormat="1" applyFont="1" applyBorder="1" applyAlignment="1">
      <alignment horizontal="center"/>
    </xf>
    <xf numFmtId="167" fontId="6" fillId="0" borderId="9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4" fontId="5" fillId="0" borderId="0" xfId="5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5" fontId="6" fillId="0" borderId="0" xfId="0" applyNumberFormat="1" applyFont="1" applyAlignment="1" applyProtection="1">
      <alignment horizontal="center" vertical="top"/>
      <protection locked="0"/>
    </xf>
    <xf numFmtId="164" fontId="6" fillId="0" borderId="0" xfId="2" applyNumberFormat="1" applyFont="1" applyAlignment="1" applyProtection="1">
      <alignment vertical="top"/>
      <protection locked="0"/>
    </xf>
    <xf numFmtId="164" fontId="6" fillId="0" borderId="0" xfId="2" applyNumberFormat="1" applyFont="1" applyAlignment="1">
      <alignment horizontal="center" vertical="top" wrapText="1"/>
    </xf>
    <xf numFmtId="5" fontId="30" fillId="0" borderId="0" xfId="0" applyNumberFormat="1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</xf>
    <xf numFmtId="0" fontId="32" fillId="0" borderId="0" xfId="0" applyFont="1" applyAlignment="1">
      <alignment horizontal="center"/>
    </xf>
    <xf numFmtId="166" fontId="31" fillId="0" borderId="0" xfId="3" applyNumberFormat="1" applyFont="1" applyAlignment="1" applyProtection="1">
      <alignment horizontal="center"/>
    </xf>
    <xf numFmtId="166" fontId="31" fillId="0" borderId="0" xfId="3" applyNumberFormat="1" applyFont="1"/>
    <xf numFmtId="166" fontId="31" fillId="0" borderId="0" xfId="3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6" fillId="0" borderId="0" xfId="0" applyFont="1" applyAlignment="1"/>
    <xf numFmtId="0" fontId="6" fillId="0" borderId="0" xfId="0" applyFont="1" applyAlignment="1" applyProtection="1">
      <alignment horizontal="center" wrapText="1"/>
    </xf>
    <xf numFmtId="15" fontId="6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 applyAlignment="1">
      <alignment horizontal="right"/>
    </xf>
    <xf numFmtId="164" fontId="5" fillId="0" borderId="0" xfId="5" applyNumberFormat="1" applyFont="1" applyFill="1" applyBorder="1"/>
    <xf numFmtId="10" fontId="6" fillId="0" borderId="0" xfId="0" applyNumberFormat="1" applyFont="1" applyFill="1" applyBorder="1"/>
    <xf numFmtId="0" fontId="33" fillId="0" borderId="0" xfId="0" applyFont="1" applyAlignment="1">
      <alignment horizontal="center"/>
    </xf>
    <xf numFmtId="0" fontId="6" fillId="0" borderId="0" xfId="0" applyFont="1" applyBorder="1" applyProtection="1"/>
    <xf numFmtId="0" fontId="6" fillId="0" borderId="0" xfId="0" applyFont="1" applyAlignment="1" applyProtection="1"/>
    <xf numFmtId="164" fontId="6" fillId="2" borderId="0" xfId="2" applyNumberFormat="1" applyFont="1" applyFill="1" applyAlignment="1">
      <alignment horizontal="right"/>
    </xf>
    <xf numFmtId="167" fontId="6" fillId="2" borderId="0" xfId="1" applyNumberFormat="1" applyFont="1" applyFill="1" applyAlignment="1">
      <alignment horizontal="right"/>
    </xf>
    <xf numFmtId="167" fontId="6" fillId="2" borderId="0" xfId="1" applyNumberFormat="1" applyFont="1" applyFill="1" applyAlignment="1" applyProtection="1">
      <alignment horizontal="right"/>
    </xf>
    <xf numFmtId="167" fontId="6" fillId="2" borderId="1" xfId="1" applyNumberFormat="1" applyFont="1" applyFill="1" applyBorder="1" applyAlignment="1">
      <alignment horizontal="right"/>
    </xf>
    <xf numFmtId="167" fontId="6" fillId="2" borderId="0" xfId="1" applyNumberFormat="1" applyFont="1" applyFill="1" applyAlignment="1" applyProtection="1">
      <alignment horizontal="center"/>
    </xf>
    <xf numFmtId="167" fontId="6" fillId="2" borderId="0" xfId="1" applyNumberFormat="1" applyFont="1" applyFill="1" applyBorder="1" applyAlignment="1" applyProtection="1">
      <alignment horizontal="right"/>
    </xf>
    <xf numFmtId="167" fontId="6" fillId="2" borderId="1" xfId="1" applyNumberFormat="1" applyFont="1" applyFill="1" applyBorder="1" applyAlignment="1" applyProtection="1">
      <alignment horizontal="right"/>
    </xf>
    <xf numFmtId="164" fontId="6" fillId="2" borderId="1" xfId="2" applyNumberFormat="1" applyFont="1" applyFill="1" applyBorder="1" applyAlignment="1" applyProtection="1">
      <alignment horizontal="right"/>
    </xf>
    <xf numFmtId="167" fontId="6" fillId="2" borderId="0" xfId="1" applyNumberFormat="1" applyFont="1" applyFill="1"/>
    <xf numFmtId="164" fontId="6" fillId="2" borderId="0" xfId="2" applyNumberFormat="1" applyFont="1" applyFill="1" applyBorder="1" applyAlignment="1" applyProtection="1">
      <alignment horizontal="right"/>
      <protection locked="0"/>
    </xf>
    <xf numFmtId="167" fontId="6" fillId="2" borderId="0" xfId="1" applyNumberFormat="1" applyFont="1" applyFill="1" applyBorder="1" applyAlignment="1" applyProtection="1">
      <alignment horizontal="right"/>
      <protection locked="0"/>
    </xf>
    <xf numFmtId="167" fontId="6" fillId="2" borderId="1" xfId="1" applyNumberFormat="1" applyFont="1" applyFill="1" applyBorder="1" applyAlignment="1" applyProtection="1">
      <alignment horizontal="right"/>
      <protection locked="0"/>
    </xf>
    <xf numFmtId="164" fontId="6" fillId="0" borderId="4" xfId="2" applyNumberFormat="1" applyFont="1" applyFill="1" applyBorder="1" applyAlignment="1" applyProtection="1">
      <alignment horizontal="center"/>
    </xf>
    <xf numFmtId="164" fontId="6" fillId="2" borderId="0" xfId="2" applyNumberFormat="1" applyFont="1" applyFill="1" applyBorder="1" applyAlignment="1" applyProtection="1">
      <alignment horizontal="center"/>
    </xf>
    <xf numFmtId="164" fontId="6" fillId="2" borderId="0" xfId="2" applyNumberFormat="1" applyFont="1" applyFill="1" applyBorder="1" applyAlignment="1" applyProtection="1">
      <alignment horizontal="right"/>
    </xf>
    <xf numFmtId="164" fontId="6" fillId="2" borderId="0" xfId="2" applyNumberFormat="1" applyFont="1" applyFill="1" applyAlignment="1" applyProtection="1">
      <alignment horizontal="right"/>
    </xf>
    <xf numFmtId="164" fontId="6" fillId="0" borderId="5" xfId="2" applyNumberFormat="1" applyFont="1" applyFill="1" applyBorder="1" applyAlignment="1" applyProtection="1">
      <alignment horizontal="right"/>
    </xf>
    <xf numFmtId="164" fontId="6" fillId="2" borderId="0" xfId="2" applyNumberFormat="1" applyFont="1" applyFill="1"/>
    <xf numFmtId="167" fontId="6" fillId="2" borderId="1" xfId="1" applyNumberFormat="1" applyFont="1" applyFill="1" applyBorder="1"/>
    <xf numFmtId="164" fontId="6" fillId="2" borderId="0" xfId="2" applyNumberFormat="1" applyFont="1" applyFill="1" applyProtection="1">
      <protection locked="0"/>
    </xf>
    <xf numFmtId="0" fontId="3" fillId="0" borderId="0" xfId="0" applyFont="1" applyAlignment="1"/>
    <xf numFmtId="167" fontId="6" fillId="2" borderId="0" xfId="1" applyNumberFormat="1" applyFont="1" applyFill="1" applyProtection="1">
      <protection locked="0"/>
    </xf>
    <xf numFmtId="164" fontId="6" fillId="0" borderId="3" xfId="2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right"/>
    </xf>
    <xf numFmtId="0" fontId="3" fillId="0" borderId="0" xfId="0" applyFont="1"/>
    <xf numFmtId="167" fontId="6" fillId="2" borderId="1" xfId="1" applyNumberFormat="1" applyFont="1" applyFill="1" applyBorder="1" applyProtection="1">
      <protection locked="0"/>
    </xf>
    <xf numFmtId="164" fontId="6" fillId="2" borderId="1" xfId="2" applyNumberFormat="1" applyFont="1" applyFill="1" applyBorder="1" applyProtection="1">
      <protection locked="0"/>
    </xf>
    <xf numFmtId="164" fontId="6" fillId="2" borderId="0" xfId="2" applyNumberFormat="1" applyFont="1" applyFill="1" applyBorder="1" applyProtection="1">
      <protection locked="0"/>
    </xf>
    <xf numFmtId="167" fontId="6" fillId="2" borderId="0" xfId="1" applyNumberFormat="1" applyFont="1" applyFill="1" applyBorder="1" applyProtection="1">
      <protection locked="0"/>
    </xf>
    <xf numFmtId="164" fontId="6" fillId="2" borderId="3" xfId="2" applyNumberFormat="1" applyFont="1" applyFill="1" applyBorder="1" applyProtection="1">
      <protection locked="0"/>
    </xf>
    <xf numFmtId="164" fontId="6" fillId="2" borderId="3" xfId="0" applyNumberFormat="1" applyFont="1" applyFill="1" applyBorder="1"/>
    <xf numFmtId="164" fontId="19" fillId="2" borderId="3" xfId="2" applyNumberFormat="1" applyFont="1" applyFill="1" applyBorder="1" applyProtection="1">
      <protection locked="0"/>
    </xf>
    <xf numFmtId="10" fontId="6" fillId="2" borderId="3" xfId="3" applyNumberFormat="1" applyFont="1" applyFill="1" applyBorder="1"/>
    <xf numFmtId="10" fontId="6" fillId="2" borderId="1" xfId="0" applyNumberFormat="1" applyFont="1" applyFill="1" applyBorder="1"/>
    <xf numFmtId="10" fontId="6" fillId="2" borderId="0" xfId="3" applyNumberFormat="1" applyFont="1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166" fontId="6" fillId="2" borderId="0" xfId="3" applyNumberFormat="1" applyFont="1" applyFill="1" applyAlignment="1">
      <alignment horizontal="right"/>
    </xf>
    <xf numFmtId="0" fontId="19" fillId="0" borderId="0" xfId="0" applyFont="1" applyAlignment="1">
      <alignment horizontal="center" wrapText="1"/>
    </xf>
    <xf numFmtId="0" fontId="6" fillId="0" borderId="0" xfId="0" quotePrefix="1" applyFont="1" applyAlignment="1"/>
    <xf numFmtId="0" fontId="6" fillId="0" borderId="0" xfId="0" applyFont="1" applyFill="1" applyAlignment="1">
      <alignment horizontal="right"/>
    </xf>
    <xf numFmtId="10" fontId="6" fillId="0" borderId="5" xfId="3" applyNumberFormat="1" applyFont="1" applyBorder="1" applyAlignment="1">
      <alignment horizontal="right"/>
    </xf>
    <xf numFmtId="10" fontId="6" fillId="2" borderId="0" xfId="0" applyNumberFormat="1" applyFont="1" applyFill="1" applyAlignment="1">
      <alignment horizontal="right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5" fontId="6" fillId="0" borderId="0" xfId="0" applyNumberFormat="1" applyFont="1" applyAlignment="1" applyProtection="1">
      <alignment horizontal="right"/>
      <protection locked="0"/>
    </xf>
    <xf numFmtId="10" fontId="6" fillId="0" borderId="0" xfId="0" applyNumberFormat="1" applyFont="1" applyAlignment="1" applyProtection="1">
      <alignment horizontal="right"/>
      <protection locked="0"/>
    </xf>
    <xf numFmtId="164" fontId="6" fillId="0" borderId="1" xfId="2" applyNumberFormat="1" applyFont="1" applyFill="1" applyBorder="1" applyAlignment="1" applyProtection="1">
      <alignment horizontal="right"/>
      <protection locked="0"/>
    </xf>
    <xf numFmtId="10" fontId="6" fillId="0" borderId="3" xfId="3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</xf>
    <xf numFmtId="164" fontId="6" fillId="0" borderId="5" xfId="2" applyNumberFormat="1" applyFont="1" applyBorder="1" applyAlignment="1">
      <alignment horizontal="right"/>
    </xf>
    <xf numFmtId="164" fontId="6" fillId="0" borderId="0" xfId="0" applyNumberFormat="1" applyFont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right"/>
      <protection locked="0"/>
    </xf>
    <xf numFmtId="164" fontId="8" fillId="0" borderId="0" xfId="0" applyNumberFormat="1" applyFont="1" applyBorder="1" applyAlignment="1" applyProtection="1">
      <alignment horizontal="right"/>
      <protection locked="0"/>
    </xf>
    <xf numFmtId="5" fontId="4" fillId="0" borderId="0" xfId="0" applyNumberFormat="1" applyFont="1" applyBorder="1" applyAlignment="1" applyProtection="1">
      <alignment horizontal="right"/>
      <protection locked="0"/>
    </xf>
    <xf numFmtId="164" fontId="6" fillId="0" borderId="0" xfId="2" applyNumberFormat="1" applyFont="1" applyAlignment="1" applyProtection="1">
      <alignment horizontal="right"/>
      <protection locked="0"/>
    </xf>
    <xf numFmtId="167" fontId="6" fillId="0" borderId="0" xfId="1" applyNumberFormat="1" applyFont="1" applyAlignment="1">
      <alignment horizontal="right"/>
    </xf>
    <xf numFmtId="167" fontId="6" fillId="0" borderId="1" xfId="1" applyNumberFormat="1" applyFont="1" applyBorder="1" applyAlignment="1">
      <alignment horizontal="right"/>
    </xf>
    <xf numFmtId="167" fontId="6" fillId="0" borderId="0" xfId="1" applyNumberFormat="1" applyFont="1" applyAlignment="1" applyProtection="1">
      <alignment horizontal="right"/>
    </xf>
    <xf numFmtId="5" fontId="6" fillId="0" borderId="0" xfId="3" applyNumberFormat="1" applyFont="1" applyAlignment="1" applyProtection="1">
      <alignment horizontal="right"/>
    </xf>
    <xf numFmtId="10" fontId="6" fillId="2" borderId="1" xfId="3" applyNumberFormat="1" applyFont="1" applyFill="1" applyBorder="1" applyAlignment="1" applyProtection="1">
      <alignment horizontal="right"/>
      <protection locked="0"/>
    </xf>
    <xf numFmtId="5" fontId="6" fillId="0" borderId="0" xfId="0" applyNumberFormat="1" applyFont="1" applyBorder="1" applyAlignment="1">
      <alignment horizontal="right"/>
    </xf>
    <xf numFmtId="10" fontId="6" fillId="2" borderId="0" xfId="3" applyNumberFormat="1" applyFont="1" applyFill="1" applyBorder="1" applyAlignment="1" applyProtection="1">
      <alignment horizontal="right"/>
      <protection locked="0"/>
    </xf>
    <xf numFmtId="10" fontId="6" fillId="0" borderId="0" xfId="3" applyNumberFormat="1" applyFont="1" applyBorder="1" applyAlignment="1" applyProtection="1">
      <alignment horizontal="right"/>
      <protection locked="0"/>
    </xf>
    <xf numFmtId="164" fontId="6" fillId="0" borderId="1" xfId="2" applyNumberFormat="1" applyFont="1" applyBorder="1" applyAlignment="1" applyProtection="1">
      <alignment horizontal="right"/>
      <protection locked="0"/>
    </xf>
    <xf numFmtId="164" fontId="4" fillId="0" borderId="0" xfId="2" applyNumberFormat="1" applyFont="1" applyAlignment="1" applyProtection="1">
      <alignment horizontal="right"/>
      <protection locked="0"/>
    </xf>
    <xf numFmtId="164" fontId="6" fillId="2" borderId="0" xfId="2" applyNumberFormat="1" applyFont="1" applyFill="1" applyAlignment="1" applyProtection="1">
      <alignment horizontal="right"/>
      <protection locked="0"/>
    </xf>
    <xf numFmtId="10" fontId="6" fillId="0" borderId="3" xfId="3" applyNumberFormat="1" applyFont="1" applyBorder="1" applyAlignment="1">
      <alignment horizontal="right"/>
    </xf>
    <xf numFmtId="10" fontId="6" fillId="0" borderId="5" xfId="3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>
      <alignment horizontal="right"/>
    </xf>
    <xf numFmtId="10" fontId="6" fillId="0" borderId="0" xfId="3" applyNumberFormat="1" applyFont="1" applyFill="1" applyAlignment="1">
      <alignment horizontal="right"/>
    </xf>
    <xf numFmtId="0" fontId="0" fillId="0" borderId="0" xfId="0" applyFill="1"/>
    <xf numFmtId="164" fontId="6" fillId="0" borderId="3" xfId="2" applyNumberFormat="1" applyFont="1" applyFill="1" applyBorder="1" applyAlignment="1" applyProtection="1">
      <alignment horizontal="right"/>
      <protection locked="0"/>
    </xf>
    <xf numFmtId="10" fontId="6" fillId="0" borderId="0" xfId="7" applyNumberFormat="1" applyFont="1" applyFill="1" applyBorder="1" applyAlignment="1">
      <alignment horizontal="right"/>
    </xf>
    <xf numFmtId="10" fontId="6" fillId="0" borderId="0" xfId="3" applyNumberFormat="1" applyFont="1" applyFill="1" applyBorder="1" applyAlignment="1">
      <alignment horizontal="right"/>
    </xf>
    <xf numFmtId="164" fontId="6" fillId="3" borderId="0" xfId="2" applyNumberFormat="1" applyFont="1" applyFill="1" applyBorder="1" applyAlignment="1" applyProtection="1">
      <alignment vertical="top"/>
      <protection locked="0"/>
    </xf>
    <xf numFmtId="167" fontId="6" fillId="3" borderId="0" xfId="1" applyNumberFormat="1" applyFont="1" applyFill="1" applyBorder="1" applyProtection="1">
      <protection locked="0"/>
    </xf>
    <xf numFmtId="167" fontId="6" fillId="3" borderId="1" xfId="1" applyNumberFormat="1" applyFont="1" applyFill="1" applyBorder="1" applyProtection="1">
      <protection locked="0"/>
    </xf>
    <xf numFmtId="167" fontId="6" fillId="3" borderId="0" xfId="1" applyNumberFormat="1" applyFont="1" applyFill="1" applyProtection="1">
      <protection locked="0"/>
    </xf>
    <xf numFmtId="164" fontId="6" fillId="3" borderId="0" xfId="2" applyNumberFormat="1" applyFont="1" applyFill="1" applyBorder="1" applyProtection="1">
      <protection locked="0"/>
    </xf>
    <xf numFmtId="164" fontId="6" fillId="3" borderId="0" xfId="2" applyNumberFormat="1" applyFont="1" applyFill="1" applyBorder="1"/>
    <xf numFmtId="167" fontId="6" fillId="3" borderId="1" xfId="1" applyNumberFormat="1" applyFont="1" applyFill="1" applyBorder="1"/>
    <xf numFmtId="164" fontId="6" fillId="3" borderId="0" xfId="2" applyNumberFormat="1" applyFont="1" applyFill="1" applyProtection="1">
      <protection locked="0"/>
    </xf>
    <xf numFmtId="167" fontId="6" fillId="3" borderId="0" xfId="1" applyNumberFormat="1" applyFont="1" applyFill="1"/>
    <xf numFmtId="164" fontId="6" fillId="3" borderId="3" xfId="2" applyNumberFormat="1" applyFont="1" applyFill="1" applyBorder="1" applyProtection="1">
      <protection locked="0"/>
    </xf>
    <xf numFmtId="164" fontId="6" fillId="3" borderId="1" xfId="2" applyNumberFormat="1" applyFont="1" applyFill="1" applyBorder="1" applyAlignment="1" applyProtection="1">
      <alignment horizontal="center"/>
      <protection locked="0"/>
    </xf>
    <xf numFmtId="164" fontId="6" fillId="3" borderId="3" xfId="0" applyNumberFormat="1" applyFont="1" applyFill="1" applyBorder="1"/>
    <xf numFmtId="164" fontId="6" fillId="3" borderId="0" xfId="2" applyNumberFormat="1" applyFont="1" applyFill="1"/>
    <xf numFmtId="164" fontId="6" fillId="3" borderId="0" xfId="2" applyNumberFormat="1" applyFont="1" applyFill="1" applyProtection="1"/>
    <xf numFmtId="164" fontId="6" fillId="3" borderId="0" xfId="2" applyNumberFormat="1" applyFont="1" applyFill="1" applyAlignment="1">
      <alignment horizontal="center"/>
    </xf>
    <xf numFmtId="10" fontId="6" fillId="3" borderId="0" xfId="3" applyNumberFormat="1" applyFont="1" applyFill="1" applyAlignment="1">
      <alignment horizontal="right"/>
    </xf>
    <xf numFmtId="10" fontId="6" fillId="3" borderId="0" xfId="3" applyNumberFormat="1" applyFont="1" applyFill="1"/>
    <xf numFmtId="164" fontId="6" fillId="3" borderId="13" xfId="2" applyNumberFormat="1" applyFont="1" applyFill="1" applyBorder="1"/>
    <xf numFmtId="167" fontId="6" fillId="3" borderId="13" xfId="1" applyNumberFormat="1" applyFont="1" applyFill="1" applyBorder="1"/>
    <xf numFmtId="167" fontId="6" fillId="3" borderId="10" xfId="1" applyNumberFormat="1" applyFont="1" applyFill="1" applyBorder="1"/>
    <xf numFmtId="167" fontId="6" fillId="3" borderId="15" xfId="1" applyNumberFormat="1" applyFont="1" applyFill="1" applyBorder="1"/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5" fillId="0" borderId="0" xfId="0" quotePrefix="1" applyFont="1" applyAlignment="1" applyProtection="1">
      <alignment horizontal="center" vertical="justify"/>
    </xf>
    <xf numFmtId="43" fontId="6" fillId="0" borderId="0" xfId="1" applyFont="1" applyBorder="1" applyProtection="1">
      <protection locked="0"/>
    </xf>
    <xf numFmtId="167" fontId="5" fillId="2" borderId="1" xfId="1" applyNumberFormat="1" applyFont="1" applyFill="1" applyBorder="1" applyAlignment="1" applyProtection="1">
      <alignment horizontal="center"/>
    </xf>
    <xf numFmtId="43" fontId="6" fillId="2" borderId="0" xfId="1" applyFont="1" applyFill="1" applyBorder="1" applyAlignment="1" applyProtection="1">
      <alignment horizontal="center"/>
    </xf>
    <xf numFmtId="44" fontId="6" fillId="2" borderId="3" xfId="2" applyFont="1" applyFill="1" applyBorder="1"/>
    <xf numFmtId="43" fontId="6" fillId="2" borderId="0" xfId="1" applyFont="1" applyFill="1" applyBorder="1" applyAlignment="1" applyProtection="1">
      <alignment horizontal="right"/>
    </xf>
    <xf numFmtId="164" fontId="6" fillId="3" borderId="3" xfId="2" applyNumberFormat="1" applyFont="1" applyFill="1" applyBorder="1"/>
    <xf numFmtId="0" fontId="10" fillId="0" borderId="0" xfId="0" applyFont="1" applyFill="1" applyBorder="1" applyAlignment="1"/>
    <xf numFmtId="164" fontId="6" fillId="0" borderId="0" xfId="0" applyNumberFormat="1" applyFont="1" applyFill="1" applyBorder="1"/>
    <xf numFmtId="0" fontId="6" fillId="0" borderId="0" xfId="4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5" fontId="6" fillId="0" borderId="0" xfId="0" applyNumberFormat="1" applyFont="1" applyFill="1" applyProtection="1">
      <protection locked="0"/>
    </xf>
    <xf numFmtId="44" fontId="6" fillId="0" borderId="0" xfId="2" applyFont="1" applyFill="1" applyBorder="1" applyProtection="1">
      <protection locked="0"/>
    </xf>
    <xf numFmtId="44" fontId="6" fillId="0" borderId="0" xfId="2" applyFont="1" applyFill="1" applyBorder="1"/>
    <xf numFmtId="9" fontId="6" fillId="2" borderId="0" xfId="3" applyFont="1" applyFill="1" applyAlignment="1">
      <alignment horizontal="right"/>
    </xf>
    <xf numFmtId="164" fontId="6" fillId="0" borderId="0" xfId="2" applyNumberFormat="1" applyFont="1" applyBorder="1" applyAlignment="1">
      <alignment horizontal="right"/>
    </xf>
    <xf numFmtId="167" fontId="6" fillId="0" borderId="13" xfId="1" applyNumberFormat="1" applyFont="1" applyFill="1" applyBorder="1"/>
    <xf numFmtId="167" fontId="6" fillId="0" borderId="15" xfId="1" applyNumberFormat="1" applyFont="1" applyFill="1" applyBorder="1"/>
    <xf numFmtId="167" fontId="6" fillId="0" borderId="10" xfId="1" applyNumberFormat="1" applyFont="1" applyFill="1" applyBorder="1"/>
    <xf numFmtId="0" fontId="17" fillId="0" borderId="0" xfId="0" applyFont="1" applyFill="1" applyAlignment="1">
      <alignment horizontal="centerContinuous" vertical="justify"/>
    </xf>
    <xf numFmtId="0" fontId="6" fillId="0" borderId="0" xfId="0" applyFont="1" applyFill="1" applyAlignment="1">
      <alignment horizontal="centerContinuous" vertical="justify"/>
    </xf>
    <xf numFmtId="0" fontId="6" fillId="0" borderId="7" xfId="0" applyFont="1" applyFill="1" applyBorder="1"/>
    <xf numFmtId="0" fontId="6" fillId="0" borderId="13" xfId="0" applyFont="1" applyFill="1" applyBorder="1"/>
    <xf numFmtId="0" fontId="6" fillId="0" borderId="10" xfId="0" applyFont="1" applyFill="1" applyBorder="1"/>
    <xf numFmtId="5" fontId="30" fillId="0" borderId="0" xfId="0" applyNumberFormat="1" applyFont="1" applyFill="1" applyAlignment="1" applyProtection="1">
      <alignment horizontal="center"/>
      <protection locked="0"/>
    </xf>
    <xf numFmtId="164" fontId="6" fillId="0" borderId="13" xfId="2" applyNumberFormat="1" applyFont="1" applyFill="1" applyBorder="1"/>
    <xf numFmtId="0" fontId="10" fillId="0" borderId="14" xfId="0" applyFont="1" applyBorder="1"/>
    <xf numFmtId="0" fontId="6" fillId="0" borderId="14" xfId="0" applyFont="1" applyBorder="1" applyAlignment="1">
      <alignment wrapText="1"/>
    </xf>
    <xf numFmtId="0" fontId="5" fillId="3" borderId="0" xfId="0" applyFont="1" applyFill="1" applyAlignment="1">
      <alignment horizontal="centerContinuous" vertical="justify"/>
    </xf>
    <xf numFmtId="0" fontId="6" fillId="3" borderId="0" xfId="0" applyFont="1" applyFill="1" applyAlignment="1">
      <alignment horizontal="centerContinuous" vertical="justify"/>
    </xf>
    <xf numFmtId="167" fontId="6" fillId="3" borderId="0" xfId="0" applyNumberFormat="1" applyFont="1" applyFill="1" applyAlignment="1">
      <alignment horizontal="centerContinuous" vertical="justify"/>
    </xf>
    <xf numFmtId="0" fontId="25" fillId="0" borderId="0" xfId="0" applyFont="1" applyFill="1" applyAlignment="1">
      <alignment horizontal="center"/>
    </xf>
    <xf numFmtId="0" fontId="6" fillId="0" borderId="0" xfId="0" applyFont="1" applyFill="1" applyBorder="1" applyAlignment="1" applyProtection="1"/>
    <xf numFmtId="43" fontId="6" fillId="0" borderId="0" xfId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15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164" fontId="6" fillId="0" borderId="0" xfId="2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>
      <alignment vertical="top"/>
    </xf>
    <xf numFmtId="15" fontId="6" fillId="3" borderId="1" xfId="0" applyNumberFormat="1" applyFont="1" applyFill="1" applyBorder="1" applyAlignment="1">
      <alignment horizontal="center"/>
    </xf>
    <xf numFmtId="15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19" xfId="0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7" fontId="6" fillId="0" borderId="10" xfId="0" applyNumberFormat="1" applyFont="1" applyFill="1" applyBorder="1" applyAlignment="1">
      <alignment horizontal="center"/>
    </xf>
    <xf numFmtId="0" fontId="6" fillId="0" borderId="20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38" fontId="6" fillId="0" borderId="13" xfId="0" applyNumberFormat="1" applyFont="1" applyBorder="1"/>
    <xf numFmtId="38" fontId="6" fillId="0" borderId="13" xfId="0" applyNumberFormat="1" applyFont="1" applyFill="1" applyBorder="1"/>
    <xf numFmtId="164" fontId="6" fillId="3" borderId="10" xfId="2" applyNumberFormat="1" applyFont="1" applyFill="1" applyBorder="1"/>
    <xf numFmtId="167" fontId="6" fillId="0" borderId="1" xfId="1" applyNumberFormat="1" applyFont="1" applyFill="1" applyBorder="1"/>
    <xf numFmtId="167" fontId="6" fillId="0" borderId="10" xfId="1" applyNumberFormat="1" applyFont="1" applyBorder="1"/>
    <xf numFmtId="164" fontId="6" fillId="2" borderId="13" xfId="2" applyNumberFormat="1" applyFont="1" applyFill="1" applyBorder="1"/>
    <xf numFmtId="0" fontId="6" fillId="0" borderId="21" xfId="0" applyFont="1" applyBorder="1" applyAlignment="1">
      <alignment horizontal="center"/>
    </xf>
    <xf numFmtId="37" fontId="6" fillId="0" borderId="22" xfId="0" applyNumberFormat="1" applyFont="1" applyBorder="1"/>
    <xf numFmtId="37" fontId="6" fillId="0" borderId="22" xfId="0" applyNumberFormat="1" applyFont="1" applyFill="1" applyBorder="1"/>
    <xf numFmtId="37" fontId="6" fillId="0" borderId="13" xfId="0" applyNumberFormat="1" applyFont="1" applyBorder="1"/>
    <xf numFmtId="37" fontId="6" fillId="0" borderId="13" xfId="0" applyNumberFormat="1" applyFont="1" applyFill="1" applyBorder="1"/>
    <xf numFmtId="170" fontId="6" fillId="0" borderId="22" xfId="0" applyNumberFormat="1" applyFont="1" applyBorder="1"/>
    <xf numFmtId="0" fontId="6" fillId="0" borderId="22" xfId="0" applyFont="1" applyFill="1" applyBorder="1"/>
    <xf numFmtId="0" fontId="6" fillId="0" borderId="22" xfId="0" applyFont="1" applyBorder="1"/>
    <xf numFmtId="10" fontId="6" fillId="3" borderId="13" xfId="3" applyNumberFormat="1" applyFont="1" applyFill="1" applyBorder="1"/>
    <xf numFmtId="0" fontId="6" fillId="3" borderId="13" xfId="0" applyFont="1" applyFill="1" applyBorder="1"/>
    <xf numFmtId="0" fontId="6" fillId="0" borderId="0" xfId="0" applyFont="1" applyAlignment="1">
      <alignment wrapText="1"/>
    </xf>
    <xf numFmtId="0" fontId="6" fillId="0" borderId="0" xfId="4" applyFont="1" applyAlignment="1">
      <alignment horizontal="center"/>
    </xf>
    <xf numFmtId="10" fontId="6" fillId="0" borderId="0" xfId="0" applyNumberFormat="1" applyFont="1" applyFill="1" applyBorder="1" applyAlignment="1">
      <alignment horizontal="right"/>
    </xf>
    <xf numFmtId="10" fontId="6" fillId="0" borderId="13" xfId="3" applyNumberFormat="1" applyFont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164" fontId="6" fillId="2" borderId="1" xfId="2" applyNumberFormat="1" applyFont="1" applyFill="1" applyBorder="1" applyAlignment="1" applyProtection="1">
      <alignment horizontal="center"/>
    </xf>
    <xf numFmtId="0" fontId="6" fillId="0" borderId="0" xfId="0" applyFont="1" applyBorder="1" applyAlignment="1"/>
    <xf numFmtId="43" fontId="6" fillId="0" borderId="0" xfId="1" quotePrefix="1" applyFont="1" applyFill="1" applyBorder="1" applyAlignment="1" applyProtection="1">
      <alignment horizontal="center"/>
    </xf>
    <xf numFmtId="164" fontId="6" fillId="2" borderId="1" xfId="2" quotePrefix="1" applyNumberFormat="1" applyFont="1" applyFill="1" applyBorder="1" applyAlignment="1" applyProtection="1">
      <alignment horizontal="center"/>
    </xf>
    <xf numFmtId="164" fontId="6" fillId="3" borderId="1" xfId="2" applyNumberFormat="1" applyFont="1" applyFill="1" applyBorder="1" applyProtection="1">
      <protection locked="0"/>
    </xf>
    <xf numFmtId="0" fontId="36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0" fontId="18" fillId="0" borderId="0" xfId="0" applyFont="1" applyBorder="1"/>
    <xf numFmtId="0" fontId="6" fillId="0" borderId="24" xfId="0" applyFont="1" applyBorder="1" applyAlignment="1">
      <alignment horizontal="center"/>
    </xf>
    <xf numFmtId="0" fontId="5" fillId="0" borderId="25" xfId="0" applyFont="1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7" fontId="6" fillId="0" borderId="12" xfId="0" applyNumberFormat="1" applyFont="1" applyBorder="1" applyAlignment="1">
      <alignment horizontal="center"/>
    </xf>
    <xf numFmtId="17" fontId="6" fillId="0" borderId="11" xfId="0" applyNumberFormat="1" applyFont="1" applyFill="1" applyBorder="1" applyAlignment="1">
      <alignment horizontal="center"/>
    </xf>
    <xf numFmtId="17" fontId="6" fillId="0" borderId="33" xfId="0" applyNumberFormat="1" applyFont="1" applyFill="1" applyBorder="1" applyAlignment="1">
      <alignment horizontal="center"/>
    </xf>
    <xf numFmtId="17" fontId="6" fillId="0" borderId="34" xfId="0" applyNumberFormat="1" applyFont="1" applyFill="1" applyBorder="1" applyAlignment="1">
      <alignment horizontal="center"/>
    </xf>
    <xf numFmtId="17" fontId="6" fillId="0" borderId="33" xfId="0" applyNumberFormat="1" applyFont="1" applyBorder="1" applyAlignment="1">
      <alignment horizontal="center"/>
    </xf>
    <xf numFmtId="17" fontId="6" fillId="0" borderId="35" xfId="0" applyNumberFormat="1" applyFont="1" applyBorder="1" applyAlignment="1">
      <alignment horizontal="center"/>
    </xf>
    <xf numFmtId="17" fontId="6" fillId="0" borderId="34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7" fontId="6" fillId="0" borderId="1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7" fontId="6" fillId="0" borderId="14" xfId="0" applyNumberFormat="1" applyFont="1" applyFill="1" applyBorder="1" applyAlignment="1">
      <alignment horizontal="center"/>
    </xf>
    <xf numFmtId="17" fontId="6" fillId="0" borderId="37" xfId="0" applyNumberFormat="1" applyFont="1" applyFill="1" applyBorder="1" applyAlignment="1">
      <alignment horizontal="center"/>
    </xf>
    <xf numFmtId="17" fontId="6" fillId="0" borderId="13" xfId="0" applyNumberFormat="1" applyFont="1" applyFill="1" applyBorder="1" applyAlignment="1">
      <alignment horizontal="center"/>
    </xf>
    <xf numFmtId="17" fontId="6" fillId="0" borderId="38" xfId="0" applyNumberFormat="1" applyFont="1" applyFill="1" applyBorder="1" applyAlignment="1">
      <alignment horizontal="center"/>
    </xf>
    <xf numFmtId="17" fontId="6" fillId="0" borderId="37" xfId="0" applyNumberFormat="1" applyFont="1" applyBorder="1" applyAlignment="1">
      <alignment horizontal="center"/>
    </xf>
    <xf numFmtId="17" fontId="6" fillId="0" borderId="39" xfId="0" applyNumberFormat="1" applyFont="1" applyBorder="1" applyAlignment="1">
      <alignment horizontal="center"/>
    </xf>
    <xf numFmtId="17" fontId="6" fillId="0" borderId="38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5" fillId="0" borderId="21" xfId="0" applyFont="1" applyBorder="1"/>
    <xf numFmtId="164" fontId="4" fillId="2" borderId="41" xfId="2" applyNumberFormat="1" applyFont="1" applyFill="1" applyBorder="1"/>
    <xf numFmtId="164" fontId="6" fillId="2" borderId="22" xfId="2" applyNumberFormat="1" applyFont="1" applyFill="1" applyBorder="1"/>
    <xf numFmtId="164" fontId="6" fillId="2" borderId="42" xfId="2" applyNumberFormat="1" applyFont="1" applyFill="1" applyBorder="1"/>
    <xf numFmtId="164" fontId="6" fillId="2" borderId="43" xfId="2" applyNumberFormat="1" applyFont="1" applyFill="1" applyBorder="1"/>
    <xf numFmtId="164" fontId="6" fillId="2" borderId="44" xfId="2" applyNumberFormat="1" applyFont="1" applyFill="1" applyBorder="1"/>
    <xf numFmtId="164" fontId="6" fillId="2" borderId="45" xfId="2" applyNumberFormat="1" applyFont="1" applyFill="1" applyBorder="1"/>
    <xf numFmtId="164" fontId="6" fillId="0" borderId="21" xfId="2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8" fontId="6" fillId="0" borderId="15" xfId="0" applyNumberFormat="1" applyFont="1" applyBorder="1"/>
    <xf numFmtId="38" fontId="6" fillId="0" borderId="14" xfId="0" applyNumberFormat="1" applyFont="1" applyFill="1" applyBorder="1"/>
    <xf numFmtId="38" fontId="6" fillId="0" borderId="37" xfId="0" applyNumberFormat="1" applyFont="1" applyFill="1" applyBorder="1"/>
    <xf numFmtId="38" fontId="6" fillId="0" borderId="38" xfId="0" applyNumberFormat="1" applyFont="1" applyFill="1" applyBorder="1"/>
    <xf numFmtId="38" fontId="6" fillId="0" borderId="37" xfId="0" applyNumberFormat="1" applyFont="1" applyBorder="1"/>
    <xf numFmtId="38" fontId="6" fillId="0" borderId="39" xfId="0" applyNumberFormat="1" applyFont="1" applyBorder="1"/>
    <xf numFmtId="38" fontId="6" fillId="0" borderId="38" xfId="0" applyNumberFormat="1" applyFont="1" applyBorder="1"/>
    <xf numFmtId="38" fontId="6" fillId="0" borderId="0" xfId="0" applyNumberFormat="1" applyFont="1" applyBorder="1"/>
    <xf numFmtId="38" fontId="6" fillId="0" borderId="20" xfId="0" applyNumberFormat="1" applyFont="1" applyBorder="1" applyAlignment="1">
      <alignment horizontal="center"/>
    </xf>
    <xf numFmtId="0" fontId="10" fillId="0" borderId="20" xfId="0" applyFont="1" applyBorder="1"/>
    <xf numFmtId="167" fontId="6" fillId="3" borderId="14" xfId="1" applyNumberFormat="1" applyFont="1" applyFill="1" applyBorder="1"/>
    <xf numFmtId="167" fontId="6" fillId="3" borderId="37" xfId="1" applyNumberFormat="1" applyFont="1" applyFill="1" applyBorder="1"/>
    <xf numFmtId="167" fontId="4" fillId="3" borderId="38" xfId="1" applyNumberFormat="1" applyFont="1" applyFill="1" applyBorder="1"/>
    <xf numFmtId="167" fontId="4" fillId="3" borderId="37" xfId="1" applyNumberFormat="1" applyFont="1" applyFill="1" applyBorder="1"/>
    <xf numFmtId="167" fontId="4" fillId="3" borderId="13" xfId="1" applyNumberFormat="1" applyFont="1" applyFill="1" applyBorder="1"/>
    <xf numFmtId="38" fontId="19" fillId="0" borderId="20" xfId="0" applyNumberFormat="1" applyFont="1" applyBorder="1" applyAlignment="1">
      <alignment horizontal="center"/>
    </xf>
    <xf numFmtId="167" fontId="0" fillId="0" borderId="0" xfId="0" applyNumberFormat="1"/>
    <xf numFmtId="171" fontId="6" fillId="3" borderId="12" xfId="2" applyNumberFormat="1" applyFont="1" applyFill="1" applyBorder="1"/>
    <xf numFmtId="171" fontId="6" fillId="3" borderId="10" xfId="2" applyNumberFormat="1" applyFont="1" applyFill="1" applyBorder="1"/>
    <xf numFmtId="171" fontId="6" fillId="3" borderId="11" xfId="2" applyNumberFormat="1" applyFont="1" applyFill="1" applyBorder="1"/>
    <xf numFmtId="171" fontId="6" fillId="3" borderId="33" xfId="2" applyNumberFormat="1" applyFont="1" applyFill="1" applyBorder="1"/>
    <xf numFmtId="171" fontId="6" fillId="3" borderId="34" xfId="2" applyNumberFormat="1" applyFont="1" applyFill="1" applyBorder="1"/>
    <xf numFmtId="171" fontId="6" fillId="3" borderId="35" xfId="2" applyNumberFormat="1" applyFont="1" applyFill="1" applyBorder="1"/>
    <xf numFmtId="37" fontId="6" fillId="0" borderId="0" xfId="0" applyNumberFormat="1" applyFont="1" applyBorder="1"/>
    <xf numFmtId="0" fontId="6" fillId="0" borderId="2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164" fontId="6" fillId="0" borderId="14" xfId="2" applyNumberFormat="1" applyFont="1" applyFill="1" applyBorder="1"/>
    <xf numFmtId="164" fontId="6" fillId="0" borderId="37" xfId="2" applyNumberFormat="1" applyFont="1" applyFill="1" applyBorder="1"/>
    <xf numFmtId="164" fontId="6" fillId="0" borderId="38" xfId="2" applyNumberFormat="1" applyFont="1" applyFill="1" applyBorder="1"/>
    <xf numFmtId="164" fontId="6" fillId="0" borderId="37" xfId="2" applyNumberFormat="1" applyFont="1" applyBorder="1"/>
    <xf numFmtId="164" fontId="6" fillId="0" borderId="39" xfId="2" applyNumberFormat="1" applyFont="1" applyBorder="1"/>
    <xf numFmtId="164" fontId="6" fillId="0" borderId="38" xfId="2" applyNumberFormat="1" applyFont="1" applyBorder="1"/>
    <xf numFmtId="164" fontId="6" fillId="0" borderId="20" xfId="2" applyNumberFormat="1" applyFont="1" applyBorder="1" applyAlignment="1">
      <alignment horizontal="center"/>
    </xf>
    <xf numFmtId="37" fontId="6" fillId="0" borderId="15" xfId="0" applyNumberFormat="1" applyFont="1" applyBorder="1"/>
    <xf numFmtId="37" fontId="6" fillId="0" borderId="14" xfId="0" applyNumberFormat="1" applyFont="1" applyFill="1" applyBorder="1"/>
    <xf numFmtId="37" fontId="6" fillId="0" borderId="37" xfId="0" applyNumberFormat="1" applyFont="1" applyFill="1" applyBorder="1"/>
    <xf numFmtId="37" fontId="6" fillId="0" borderId="38" xfId="0" applyNumberFormat="1" applyFont="1" applyFill="1" applyBorder="1"/>
    <xf numFmtId="37" fontId="6" fillId="0" borderId="37" xfId="0" applyNumberFormat="1" applyFont="1" applyBorder="1"/>
    <xf numFmtId="37" fontId="6" fillId="0" borderId="39" xfId="0" applyNumberFormat="1" applyFont="1" applyBorder="1"/>
    <xf numFmtId="37" fontId="6" fillId="0" borderId="38" xfId="0" applyNumberFormat="1" applyFont="1" applyBorder="1"/>
    <xf numFmtId="37" fontId="6" fillId="0" borderId="20" xfId="0" applyNumberFormat="1" applyFont="1" applyBorder="1" applyAlignment="1">
      <alignment horizontal="center"/>
    </xf>
    <xf numFmtId="164" fontId="6" fillId="2" borderId="15" xfId="2" applyNumberFormat="1" applyFont="1" applyFill="1" applyBorder="1"/>
    <xf numFmtId="164" fontId="6" fillId="2" borderId="14" xfId="2" applyNumberFormat="1" applyFont="1" applyFill="1" applyBorder="1"/>
    <xf numFmtId="164" fontId="6" fillId="2" borderId="37" xfId="2" applyNumberFormat="1" applyFont="1" applyFill="1" applyBorder="1"/>
    <xf numFmtId="164" fontId="6" fillId="2" borderId="38" xfId="2" applyNumberFormat="1" applyFont="1" applyFill="1" applyBorder="1"/>
    <xf numFmtId="164" fontId="6" fillId="2" borderId="39" xfId="2" applyNumberFormat="1" applyFont="1" applyFill="1" applyBorder="1"/>
    <xf numFmtId="37" fontId="19" fillId="0" borderId="20" xfId="0" applyNumberFormat="1" applyFont="1" applyBorder="1" applyAlignment="1">
      <alignment horizontal="center"/>
    </xf>
    <xf numFmtId="37" fontId="6" fillId="0" borderId="1" xfId="0" applyNumberFormat="1" applyFont="1" applyBorder="1"/>
    <xf numFmtId="10" fontId="6" fillId="2" borderId="12" xfId="3" applyNumberFormat="1" applyFont="1" applyFill="1" applyBorder="1"/>
    <xf numFmtId="10" fontId="6" fillId="2" borderId="10" xfId="3" applyNumberFormat="1" applyFont="1" applyFill="1" applyBorder="1"/>
    <xf numFmtId="10" fontId="6" fillId="2" borderId="11" xfId="3" applyNumberFormat="1" applyFont="1" applyFill="1" applyBorder="1"/>
    <xf numFmtId="10" fontId="6" fillId="2" borderId="33" xfId="3" applyNumberFormat="1" applyFont="1" applyFill="1" applyBorder="1"/>
    <xf numFmtId="10" fontId="6" fillId="2" borderId="34" xfId="3" applyNumberFormat="1" applyFont="1" applyFill="1" applyBorder="1"/>
    <xf numFmtId="10" fontId="6" fillId="2" borderId="35" xfId="3" applyNumberFormat="1" applyFont="1" applyFill="1" applyBorder="1"/>
    <xf numFmtId="0" fontId="6" fillId="0" borderId="21" xfId="0" applyFont="1" applyBorder="1"/>
    <xf numFmtId="164" fontId="19" fillId="0" borderId="21" xfId="2" applyNumberFormat="1" applyFont="1" applyBorder="1" applyAlignment="1">
      <alignment horizontal="center"/>
    </xf>
    <xf numFmtId="0" fontId="0" fillId="0" borderId="20" xfId="0" applyBorder="1"/>
    <xf numFmtId="17" fontId="6" fillId="0" borderId="11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0" fontId="6" fillId="3" borderId="14" xfId="3" applyNumberFormat="1" applyFont="1" applyFill="1" applyBorder="1"/>
    <xf numFmtId="10" fontId="6" fillId="3" borderId="37" xfId="3" applyNumberFormat="1" applyFont="1" applyFill="1" applyBorder="1"/>
    <xf numFmtId="10" fontId="6" fillId="3" borderId="38" xfId="3" applyNumberFormat="1" applyFont="1" applyFill="1" applyBorder="1"/>
    <xf numFmtId="10" fontId="6" fillId="3" borderId="10" xfId="3" applyNumberFormat="1" applyFont="1" applyFill="1" applyBorder="1"/>
    <xf numFmtId="10" fontId="6" fillId="3" borderId="11" xfId="3" applyNumberFormat="1" applyFont="1" applyFill="1" applyBorder="1"/>
    <xf numFmtId="10" fontId="6" fillId="3" borderId="33" xfId="3" applyNumberFormat="1" applyFont="1" applyFill="1" applyBorder="1"/>
    <xf numFmtId="10" fontId="6" fillId="3" borderId="34" xfId="3" applyNumberFormat="1" applyFont="1" applyFill="1" applyBorder="1"/>
    <xf numFmtId="170" fontId="6" fillId="0" borderId="0" xfId="0" applyNumberFormat="1" applyFont="1"/>
    <xf numFmtId="0" fontId="37" fillId="0" borderId="0" xfId="0" applyFont="1" applyBorder="1" applyAlignment="1">
      <alignment horizontal="center"/>
    </xf>
    <xf numFmtId="0" fontId="10" fillId="0" borderId="0" xfId="0" applyFont="1" applyBorder="1"/>
    <xf numFmtId="0" fontId="38" fillId="0" borderId="0" xfId="0" quotePrefix="1" applyFont="1" applyBorder="1" applyAlignment="1">
      <alignment horizontal="center" vertical="top"/>
    </xf>
    <xf numFmtId="0" fontId="39" fillId="0" borderId="0" xfId="0" applyFont="1" applyBorder="1" applyAlignment="1">
      <alignment vertical="top" wrapText="1"/>
    </xf>
    <xf numFmtId="0" fontId="39" fillId="0" borderId="0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39" fillId="0" borderId="0" xfId="0" applyFont="1" applyAlignment="1">
      <alignment horizontal="justify" vertical="justify"/>
    </xf>
    <xf numFmtId="0" fontId="39" fillId="0" borderId="0" xfId="0" applyFont="1" applyAlignment="1">
      <alignment vertical="top" wrapText="1"/>
    </xf>
    <xf numFmtId="0" fontId="41" fillId="0" borderId="0" xfId="0" applyFont="1" applyBorder="1"/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justify" vertical="justify" wrapText="1"/>
    </xf>
    <xf numFmtId="0" fontId="6" fillId="0" borderId="0" xfId="0" applyFont="1" applyFill="1" applyBorder="1" applyAlignment="1">
      <alignment horizontal="justify" vertical="justify"/>
    </xf>
    <xf numFmtId="167" fontId="6" fillId="3" borderId="38" xfId="1" applyNumberFormat="1" applyFont="1" applyFill="1" applyBorder="1"/>
    <xf numFmtId="37" fontId="17" fillId="0" borderId="20" xfId="0" applyNumberFormat="1" applyFont="1" applyBorder="1" applyAlignment="1">
      <alignment horizontal="center"/>
    </xf>
    <xf numFmtId="10" fontId="6" fillId="3" borderId="39" xfId="3" applyNumberFormat="1" applyFont="1" applyFill="1" applyBorder="1"/>
    <xf numFmtId="10" fontId="6" fillId="3" borderId="35" xfId="3" applyNumberFormat="1" applyFont="1" applyFill="1" applyBorder="1"/>
    <xf numFmtId="37" fontId="6" fillId="0" borderId="0" xfId="1" applyNumberFormat="1" applyFont="1" applyFill="1"/>
    <xf numFmtId="37" fontId="6" fillId="0" borderId="0" xfId="2" applyNumberFormat="1" applyFont="1" applyFill="1"/>
    <xf numFmtId="169" fontId="6" fillId="0" borderId="0" xfId="3" applyNumberFormat="1" applyFont="1" applyBorder="1" applyAlignment="1">
      <alignment horizontal="right"/>
    </xf>
    <xf numFmtId="37" fontId="6" fillId="0" borderId="0" xfId="1" applyNumberFormat="1" applyFont="1" applyFill="1" applyAlignment="1">
      <alignment horizontal="right"/>
    </xf>
    <xf numFmtId="37" fontId="6" fillId="2" borderId="1" xfId="0" applyNumberFormat="1" applyFont="1" applyFill="1" applyBorder="1" applyAlignment="1" applyProtection="1">
      <alignment horizontal="right"/>
    </xf>
    <xf numFmtId="166" fontId="6" fillId="2" borderId="1" xfId="3" applyNumberFormat="1" applyFont="1" applyFill="1" applyBorder="1" applyAlignment="1">
      <alignment horizontal="right"/>
    </xf>
    <xf numFmtId="0" fontId="21" fillId="0" borderId="0" xfId="0" applyFont="1"/>
    <xf numFmtId="37" fontId="6" fillId="0" borderId="0" xfId="2" applyNumberFormat="1" applyFont="1" applyFill="1" applyAlignment="1">
      <alignment horizontal="right"/>
    </xf>
    <xf numFmtId="164" fontId="6" fillId="0" borderId="6" xfId="2" applyNumberFormat="1" applyFont="1" applyFill="1" applyBorder="1"/>
    <xf numFmtId="167" fontId="6" fillId="0" borderId="38" xfId="1" applyNumberFormat="1" applyFont="1" applyFill="1" applyBorder="1"/>
    <xf numFmtId="171" fontId="6" fillId="0" borderId="34" xfId="2" applyNumberFormat="1" applyFont="1" applyFill="1" applyBorder="1"/>
    <xf numFmtId="164" fontId="6" fillId="3" borderId="34" xfId="2" applyNumberFormat="1" applyFont="1" applyFill="1" applyBorder="1"/>
    <xf numFmtId="164" fontId="4" fillId="3" borderId="41" xfId="2" applyNumberFormat="1" applyFont="1" applyFill="1" applyBorder="1"/>
    <xf numFmtId="164" fontId="6" fillId="0" borderId="1" xfId="2" applyNumberFormat="1" applyFont="1" applyFill="1" applyBorder="1"/>
    <xf numFmtId="167" fontId="5" fillId="0" borderId="0" xfId="1" applyNumberFormat="1" applyFont="1"/>
    <xf numFmtId="0" fontId="24" fillId="0" borderId="0" xfId="0" applyFont="1"/>
    <xf numFmtId="0" fontId="6" fillId="0" borderId="0" xfId="4" applyFont="1" applyAlignment="1">
      <alignment horizontal="center"/>
    </xf>
    <xf numFmtId="164" fontId="6" fillId="0" borderId="0" xfId="2" applyNumberFormat="1" applyFont="1" applyFill="1" applyBorder="1"/>
    <xf numFmtId="0" fontId="5" fillId="0" borderId="17" xfId="4" applyFont="1" applyFill="1" applyBorder="1" applyAlignment="1">
      <alignment horizontal="center"/>
    </xf>
    <xf numFmtId="0" fontId="9" fillId="0" borderId="0" xfId="4" applyFont="1"/>
    <xf numFmtId="164" fontId="6" fillId="0" borderId="17" xfId="5" applyNumberFormat="1" applyFont="1" applyFill="1" applyBorder="1"/>
    <xf numFmtId="167" fontId="6" fillId="0" borderId="17" xfId="6" applyNumberFormat="1" applyFont="1" applyFill="1" applyBorder="1"/>
    <xf numFmtId="164" fontId="6" fillId="3" borderId="17" xfId="5" applyNumberFormat="1" applyFont="1" applyFill="1" applyBorder="1"/>
    <xf numFmtId="167" fontId="6" fillId="3" borderId="17" xfId="6" applyNumberFormat="1" applyFont="1" applyFill="1" applyBorder="1"/>
    <xf numFmtId="164" fontId="6" fillId="0" borderId="57" xfId="2" applyNumberFormat="1" applyFont="1" applyFill="1" applyBorder="1"/>
    <xf numFmtId="164" fontId="6" fillId="0" borderId="1" xfId="2" applyNumberFormat="1" applyFont="1" applyFill="1" applyBorder="1" applyAlignment="1" applyProtection="1">
      <alignment horizontal="right"/>
    </xf>
    <xf numFmtId="164" fontId="6" fillId="0" borderId="1" xfId="0" applyNumberFormat="1" applyFont="1" applyFill="1" applyBorder="1" applyProtection="1">
      <protection locked="0"/>
    </xf>
    <xf numFmtId="164" fontId="6" fillId="2" borderId="3" xfId="2" applyNumberFormat="1" applyFont="1" applyFill="1" applyBorder="1"/>
    <xf numFmtId="10" fontId="6" fillId="0" borderId="3" xfId="3" applyNumberFormat="1" applyFont="1" applyFill="1" applyBorder="1"/>
    <xf numFmtId="0" fontId="6" fillId="2" borderId="0" xfId="0" applyFont="1" applyFill="1"/>
    <xf numFmtId="164" fontId="6" fillId="0" borderId="7" xfId="2" applyNumberFormat="1" applyFont="1" applyFill="1" applyBorder="1"/>
    <xf numFmtId="37" fontId="6" fillId="0" borderId="10" xfId="0" applyNumberFormat="1" applyFont="1" applyFill="1" applyBorder="1"/>
    <xf numFmtId="10" fontId="6" fillId="0" borderId="15" xfId="3" applyNumberFormat="1" applyFont="1" applyFill="1" applyBorder="1"/>
    <xf numFmtId="10" fontId="6" fillId="0" borderId="13" xfId="3" applyNumberFormat="1" applyFont="1" applyFill="1" applyBorder="1"/>
    <xf numFmtId="164" fontId="6" fillId="0" borderId="12" xfId="2" applyNumberFormat="1" applyFont="1" applyFill="1" applyBorder="1"/>
    <xf numFmtId="164" fontId="6" fillId="0" borderId="10" xfId="2" applyNumberFormat="1" applyFont="1" applyFill="1" applyBorder="1"/>
    <xf numFmtId="164" fontId="6" fillId="0" borderId="11" xfId="2" applyNumberFormat="1" applyFont="1" applyFill="1" applyBorder="1"/>
    <xf numFmtId="164" fontId="6" fillId="0" borderId="33" xfId="2" applyNumberFormat="1" applyFont="1" applyFill="1" applyBorder="1"/>
    <xf numFmtId="164" fontId="6" fillId="0" borderId="34" xfId="2" applyNumberFormat="1" applyFont="1" applyFill="1" applyBorder="1"/>
    <xf numFmtId="164" fontId="6" fillId="0" borderId="35" xfId="2" applyNumberFormat="1" applyFont="1" applyFill="1" applyBorder="1"/>
    <xf numFmtId="37" fontId="6" fillId="0" borderId="12" xfId="0" applyNumberFormat="1" applyFont="1" applyFill="1" applyBorder="1"/>
    <xf numFmtId="37" fontId="6" fillId="0" borderId="11" xfId="0" applyNumberFormat="1" applyFont="1" applyFill="1" applyBorder="1"/>
    <xf numFmtId="37" fontId="6" fillId="0" borderId="33" xfId="0" applyNumberFormat="1" applyFont="1" applyFill="1" applyBorder="1"/>
    <xf numFmtId="37" fontId="6" fillId="0" borderId="34" xfId="0" applyNumberFormat="1" applyFont="1" applyFill="1" applyBorder="1"/>
    <xf numFmtId="37" fontId="6" fillId="0" borderId="35" xfId="0" applyNumberFormat="1" applyFont="1" applyFill="1" applyBorder="1"/>
    <xf numFmtId="164" fontId="6" fillId="0" borderId="41" xfId="2" applyNumberFormat="1" applyFont="1" applyFill="1" applyBorder="1"/>
    <xf numFmtId="164" fontId="6" fillId="0" borderId="22" xfId="2" applyNumberFormat="1" applyFont="1" applyFill="1" applyBorder="1"/>
    <xf numFmtId="164" fontId="6" fillId="0" borderId="42" xfId="2" applyNumberFormat="1" applyFont="1" applyFill="1" applyBorder="1"/>
    <xf numFmtId="164" fontId="6" fillId="0" borderId="43" xfId="2" applyNumberFormat="1" applyFont="1" applyFill="1" applyBorder="1"/>
    <xf numFmtId="164" fontId="6" fillId="0" borderId="44" xfId="2" applyNumberFormat="1" applyFont="1" applyFill="1" applyBorder="1"/>
    <xf numFmtId="164" fontId="6" fillId="0" borderId="45" xfId="2" applyNumberFormat="1" applyFont="1" applyFill="1" applyBorder="1"/>
    <xf numFmtId="164" fontId="5" fillId="0" borderId="51" xfId="2" applyNumberFormat="1" applyFont="1" applyFill="1" applyBorder="1"/>
    <xf numFmtId="10" fontId="6" fillId="0" borderId="37" xfId="3" applyNumberFormat="1" applyFont="1" applyFill="1" applyBorder="1"/>
    <xf numFmtId="10" fontId="6" fillId="0" borderId="38" xfId="3" applyNumberFormat="1" applyFont="1" applyFill="1" applyBorder="1"/>
    <xf numFmtId="10" fontId="6" fillId="0" borderId="23" xfId="0" applyNumberFormat="1" applyFont="1" applyFill="1" applyBorder="1"/>
    <xf numFmtId="10" fontId="6" fillId="0" borderId="52" xfId="0" applyNumberFormat="1" applyFont="1" applyFill="1" applyBorder="1"/>
    <xf numFmtId="10" fontId="6" fillId="0" borderId="53" xfId="0" applyNumberFormat="1" applyFont="1" applyFill="1" applyBorder="1"/>
    <xf numFmtId="10" fontId="6" fillId="0" borderId="54" xfId="0" applyNumberFormat="1" applyFont="1" applyFill="1" applyBorder="1"/>
    <xf numFmtId="10" fontId="6" fillId="0" borderId="55" xfId="0" applyNumberFormat="1" applyFont="1" applyFill="1" applyBorder="1"/>
    <xf numFmtId="10" fontId="6" fillId="0" borderId="1" xfId="3" applyNumberFormat="1" applyFont="1" applyFill="1" applyBorder="1"/>
    <xf numFmtId="10" fontId="6" fillId="0" borderId="20" xfId="0" applyNumberFormat="1" applyFont="1" applyFill="1" applyBorder="1"/>
    <xf numFmtId="167" fontId="6" fillId="0" borderId="20" xfId="1" applyNumberFormat="1" applyFont="1" applyFill="1" applyBorder="1"/>
    <xf numFmtId="10" fontId="6" fillId="0" borderId="56" xfId="0" applyNumberFormat="1" applyFont="1" applyFill="1" applyBorder="1"/>
    <xf numFmtId="0" fontId="6" fillId="2" borderId="13" xfId="0" applyFont="1" applyFill="1" applyBorder="1"/>
    <xf numFmtId="0" fontId="6" fillId="4" borderId="13" xfId="0" applyFont="1" applyFill="1" applyBorder="1"/>
    <xf numFmtId="0" fontId="6" fillId="2" borderId="38" xfId="0" applyFont="1" applyFill="1" applyBorder="1"/>
    <xf numFmtId="0" fontId="6" fillId="2" borderId="37" xfId="0" applyFont="1" applyFill="1" applyBorder="1"/>
    <xf numFmtId="0" fontId="6" fillId="4" borderId="38" xfId="0" applyFont="1" applyFill="1" applyBorder="1"/>
    <xf numFmtId="0" fontId="6" fillId="4" borderId="37" xfId="0" applyFont="1" applyFill="1" applyBorder="1"/>
    <xf numFmtId="0" fontId="6" fillId="2" borderId="20" xfId="0" applyFont="1" applyFill="1" applyBorder="1"/>
    <xf numFmtId="0" fontId="6" fillId="0" borderId="20" xfId="0" applyFont="1" applyFill="1" applyBorder="1"/>
    <xf numFmtId="164" fontId="6" fillId="0" borderId="15" xfId="2" applyNumberFormat="1" applyFont="1" applyFill="1" applyBorder="1"/>
    <xf numFmtId="167" fontId="6" fillId="0" borderId="12" xfId="1" applyNumberFormat="1" applyFont="1" applyFill="1" applyBorder="1"/>
    <xf numFmtId="164" fontId="5" fillId="0" borderId="0" xfId="2" applyNumberFormat="1" applyFont="1" applyFill="1" applyProtection="1">
      <protection locked="0"/>
    </xf>
    <xf numFmtId="164" fontId="5" fillId="0" borderId="0" xfId="2" applyNumberFormat="1" applyFont="1" applyFill="1" applyBorder="1" applyAlignment="1" applyProtection="1">
      <alignment horizontal="right"/>
      <protection locked="0"/>
    </xf>
    <xf numFmtId="5" fontId="28" fillId="0" borderId="0" xfId="0" applyNumberFormat="1" applyFont="1" applyFill="1" applyAlignment="1" applyProtection="1">
      <alignment horizontal="center"/>
      <protection locked="0"/>
    </xf>
    <xf numFmtId="10" fontId="6" fillId="2" borderId="1" xfId="3" applyNumberFormat="1" applyFont="1" applyFill="1" applyBorder="1"/>
    <xf numFmtId="164" fontId="6" fillId="0" borderId="17" xfId="2" applyNumberFormat="1" applyFont="1" applyFill="1" applyBorder="1"/>
    <xf numFmtId="164" fontId="6" fillId="0" borderId="16" xfId="2" applyNumberFormat="1" applyFont="1" applyFill="1" applyBorder="1"/>
    <xf numFmtId="164" fontId="6" fillId="0" borderId="59" xfId="2" applyNumberFormat="1" applyFont="1" applyFill="1" applyBorder="1"/>
    <xf numFmtId="164" fontId="19" fillId="0" borderId="0" xfId="2" applyNumberFormat="1" applyFont="1" applyBorder="1" applyAlignment="1">
      <alignment horizontal="center"/>
    </xf>
    <xf numFmtId="164" fontId="6" fillId="0" borderId="18" xfId="2" applyNumberFormat="1" applyFont="1" applyFill="1" applyBorder="1"/>
    <xf numFmtId="164" fontId="6" fillId="0" borderId="47" xfId="2" applyNumberFormat="1" applyFont="1" applyFill="1" applyBorder="1"/>
    <xf numFmtId="164" fontId="6" fillId="0" borderId="48" xfId="2" applyNumberFormat="1" applyFont="1" applyFill="1" applyBorder="1"/>
    <xf numFmtId="164" fontId="6" fillId="0" borderId="49" xfId="2" applyNumberFormat="1" applyFont="1" applyFill="1" applyBorder="1"/>
    <xf numFmtId="164" fontId="6" fillId="0" borderId="50" xfId="2" applyNumberFormat="1" applyFont="1" applyFill="1" applyBorder="1"/>
    <xf numFmtId="164" fontId="6" fillId="0" borderId="3" xfId="2" quotePrefix="1" applyNumberFormat="1" applyFont="1" applyFill="1" applyBorder="1" applyAlignment="1">
      <alignment horizontal="right"/>
    </xf>
    <xf numFmtId="164" fontId="6" fillId="2" borderId="1" xfId="2" quotePrefix="1" applyNumberFormat="1" applyFont="1" applyFill="1" applyBorder="1" applyAlignment="1">
      <alignment horizontal="right"/>
    </xf>
    <xf numFmtId="164" fontId="6" fillId="2" borderId="0" xfId="2" quotePrefix="1" applyNumberFormat="1" applyFont="1" applyFill="1" applyBorder="1" applyAlignment="1">
      <alignment horizontal="right"/>
    </xf>
    <xf numFmtId="164" fontId="6" fillId="0" borderId="4" xfId="2" quotePrefix="1" applyNumberFormat="1" applyFont="1" applyFill="1" applyBorder="1" applyAlignment="1">
      <alignment horizontal="right"/>
    </xf>
    <xf numFmtId="164" fontId="6" fillId="0" borderId="3" xfId="2" applyNumberFormat="1" applyFont="1" applyFill="1" applyBorder="1" applyAlignment="1" applyProtection="1">
      <alignment horizontal="right"/>
    </xf>
    <xf numFmtId="164" fontId="6" fillId="2" borderId="3" xfId="2" applyNumberFormat="1" applyFont="1" applyFill="1" applyBorder="1" applyAlignment="1" applyProtection="1">
      <alignment horizontal="right"/>
    </xf>
    <xf numFmtId="164" fontId="6" fillId="2" borderId="1" xfId="2" applyNumberFormat="1" applyFont="1" applyFill="1" applyBorder="1" applyAlignment="1">
      <alignment horizontal="right"/>
    </xf>
    <xf numFmtId="164" fontId="6" fillId="0" borderId="1" xfId="5" applyNumberFormat="1" applyFont="1" applyFill="1" applyBorder="1" applyAlignment="1" applyProtection="1">
      <alignment horizontal="right"/>
    </xf>
    <xf numFmtId="164" fontId="6" fillId="0" borderId="1" xfId="2" applyNumberFormat="1" applyFont="1" applyBorder="1"/>
    <xf numFmtId="164" fontId="6" fillId="0" borderId="3" xfId="2" applyNumberFormat="1" applyFont="1" applyBorder="1" applyAlignment="1" applyProtection="1">
      <alignment horizontal="right"/>
    </xf>
    <xf numFmtId="10" fontId="6" fillId="0" borderId="3" xfId="3" applyNumberFormat="1" applyFont="1" applyBorder="1" applyAlignment="1" applyProtection="1">
      <alignment horizontal="right"/>
    </xf>
    <xf numFmtId="10" fontId="6" fillId="0" borderId="3" xfId="2" applyNumberFormat="1" applyFont="1" applyBorder="1" applyAlignment="1">
      <alignment horizontal="right"/>
    </xf>
    <xf numFmtId="10" fontId="6" fillId="0" borderId="1" xfId="3" applyNumberFormat="1" applyFont="1" applyBorder="1" applyAlignment="1" applyProtection="1">
      <alignment horizontal="right"/>
      <protection locked="0"/>
    </xf>
    <xf numFmtId="166" fontId="6" fillId="2" borderId="1" xfId="0" applyNumberFormat="1" applyFont="1" applyFill="1" applyBorder="1" applyAlignment="1">
      <alignment horizontal="right"/>
    </xf>
    <xf numFmtId="10" fontId="6" fillId="0" borderId="3" xfId="2" applyNumberFormat="1" applyFont="1" applyBorder="1" applyAlignment="1" applyProtection="1">
      <alignment horizontal="right"/>
    </xf>
    <xf numFmtId="167" fontId="6" fillId="0" borderId="1" xfId="1" applyNumberFormat="1" applyFont="1" applyFill="1" applyBorder="1" applyProtection="1">
      <protection locked="0"/>
    </xf>
    <xf numFmtId="10" fontId="6" fillId="3" borderId="3" xfId="3" applyNumberFormat="1" applyFont="1" applyFill="1" applyBorder="1"/>
    <xf numFmtId="10" fontId="6" fillId="0" borderId="1" xfId="3" applyNumberFormat="1" applyFont="1" applyBorder="1" applyAlignment="1">
      <alignment horizontal="right"/>
    </xf>
    <xf numFmtId="0" fontId="6" fillId="0" borderId="0" xfId="4" applyFont="1" applyAlignment="1">
      <alignment horizontal="center"/>
    </xf>
    <xf numFmtId="164" fontId="6" fillId="2" borderId="3" xfId="2" quotePrefix="1" applyNumberFormat="1" applyFont="1" applyFill="1" applyBorder="1" applyAlignment="1" applyProtection="1"/>
    <xf numFmtId="164" fontId="6" fillId="2" borderId="0" xfId="5" applyNumberFormat="1" applyFont="1" applyFill="1"/>
    <xf numFmtId="0" fontId="43" fillId="0" borderId="0" xfId="0" quotePrefix="1" applyFont="1" applyAlignment="1">
      <alignment horizontal="center" vertical="top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justify" vertical="justify"/>
    </xf>
    <xf numFmtId="44" fontId="6" fillId="3" borderId="3" xfId="2" applyFont="1" applyFill="1" applyBorder="1"/>
    <xf numFmtId="44" fontId="6" fillId="0" borderId="3" xfId="2" applyFont="1" applyBorder="1"/>
    <xf numFmtId="172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Fill="1"/>
    <xf numFmtId="0" fontId="3" fillId="0" borderId="0" xfId="4" applyFont="1" applyFill="1" applyAlignment="1">
      <alignment horizontal="center"/>
    </xf>
    <xf numFmtId="0" fontId="45" fillId="0" borderId="7" xfId="4" applyFont="1" applyBorder="1" applyAlignment="1">
      <alignment horizontal="center"/>
    </xf>
    <xf numFmtId="0" fontId="46" fillId="0" borderId="7" xfId="4" applyFont="1" applyFill="1" applyBorder="1" applyAlignment="1">
      <alignment horizontal="center"/>
    </xf>
    <xf numFmtId="0" fontId="46" fillId="0" borderId="7" xfId="4" quotePrefix="1" applyFont="1" applyFill="1" applyBorder="1" applyAlignment="1">
      <alignment horizontal="center"/>
    </xf>
    <xf numFmtId="0" fontId="45" fillId="0" borderId="0" xfId="4" applyFont="1" applyBorder="1" applyAlignment="1">
      <alignment horizontal="center"/>
    </xf>
    <xf numFmtId="0" fontId="45" fillId="0" borderId="13" xfId="4" applyFont="1" applyBorder="1" applyAlignment="1">
      <alignment horizontal="center"/>
    </xf>
    <xf numFmtId="0" fontId="46" fillId="0" borderId="13" xfId="4" applyFont="1" applyFill="1" applyBorder="1" applyAlignment="1">
      <alignment horizontal="center"/>
    </xf>
    <xf numFmtId="0" fontId="3" fillId="0" borderId="17" xfId="4" applyFont="1" applyBorder="1" applyAlignment="1">
      <alignment horizontal="center"/>
    </xf>
    <xf numFmtId="10" fontId="3" fillId="0" borderId="17" xfId="4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46" fillId="0" borderId="17" xfId="4" applyFont="1" applyFill="1" applyBorder="1" applyAlignment="1">
      <alignment horizontal="left"/>
    </xf>
    <xf numFmtId="0" fontId="3" fillId="0" borderId="47" xfId="4" applyFont="1" applyFill="1" applyBorder="1" applyAlignment="1">
      <alignment horizontal="left"/>
    </xf>
    <xf numFmtId="10" fontId="3" fillId="0" borderId="17" xfId="4" applyNumberFormat="1" applyFont="1" applyFill="1" applyBorder="1" applyAlignment="1">
      <alignment horizontal="center"/>
    </xf>
    <xf numFmtId="10" fontId="3" fillId="0" borderId="18" xfId="4" applyNumberFormat="1" applyFont="1" applyFill="1" applyBorder="1" applyAlignment="1">
      <alignment horizontal="center"/>
    </xf>
    <xf numFmtId="0" fontId="3" fillId="0" borderId="0" xfId="4" quotePrefix="1" applyFont="1" applyAlignment="1">
      <alignment horizontal="center"/>
    </xf>
    <xf numFmtId="10" fontId="3" fillId="0" borderId="0" xfId="4" applyNumberFormat="1" applyFont="1" applyAlignment="1">
      <alignment horizontal="center"/>
    </xf>
    <xf numFmtId="0" fontId="44" fillId="0" borderId="0" xfId="8" applyAlignment="1">
      <alignment horizontal="center"/>
    </xf>
    <xf numFmtId="0" fontId="3" fillId="0" borderId="0" xfId="8" applyFont="1" applyFill="1" applyAlignment="1">
      <alignment horizontal="center"/>
    </xf>
    <xf numFmtId="0" fontId="3" fillId="0" borderId="0" xfId="8" applyFont="1"/>
    <xf numFmtId="0" fontId="48" fillId="0" borderId="0" xfId="8" applyFont="1" applyFill="1" applyAlignment="1" applyProtection="1">
      <alignment horizontal="center"/>
      <protection locked="0"/>
    </xf>
    <xf numFmtId="0" fontId="25" fillId="0" borderId="0" xfId="0" applyFont="1"/>
    <xf numFmtId="0" fontId="0" fillId="0" borderId="2" xfId="0" applyBorder="1"/>
    <xf numFmtId="0" fontId="0" fillId="0" borderId="14" xfId="0" applyBorder="1" applyAlignment="1">
      <alignment horizontal="center"/>
    </xf>
    <xf numFmtId="0" fontId="3" fillId="0" borderId="0" xfId="8" applyFont="1" applyBorder="1" applyAlignment="1">
      <alignment horizontal="left"/>
    </xf>
    <xf numFmtId="0" fontId="3" fillId="0" borderId="1" xfId="8" applyFont="1" applyBorder="1"/>
    <xf numFmtId="0" fontId="25" fillId="0" borderId="1" xfId="8" applyFont="1" applyBorder="1" applyAlignment="1">
      <alignment horizontal="centerContinuous" wrapText="1"/>
    </xf>
    <xf numFmtId="0" fontId="45" fillId="0" borderId="8" xfId="4" applyFont="1" applyBorder="1" applyAlignment="1">
      <alignment horizontal="center"/>
    </xf>
    <xf numFmtId="0" fontId="45" fillId="0" borderId="11" xfId="4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8" applyFont="1" applyBorder="1" applyAlignment="1">
      <alignment horizontal="center"/>
    </xf>
    <xf numFmtId="0" fontId="3" fillId="0" borderId="10" xfId="8" applyFont="1" applyFill="1" applyBorder="1" applyAlignment="1">
      <alignment horizontal="center"/>
    </xf>
    <xf numFmtId="0" fontId="45" fillId="0" borderId="9" xfId="4" applyFont="1" applyBorder="1" applyAlignment="1">
      <alignment horizontal="center"/>
    </xf>
    <xf numFmtId="0" fontId="45" fillId="0" borderId="12" xfId="4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7" xfId="8" applyFont="1" applyBorder="1" applyAlignment="1">
      <alignment horizontal="center" wrapText="1"/>
    </xf>
    <xf numFmtId="0" fontId="25" fillId="0" borderId="10" xfId="8" applyFont="1" applyBorder="1" applyAlignment="1">
      <alignment horizontal="center" wrapText="1"/>
    </xf>
    <xf numFmtId="0" fontId="47" fillId="0" borderId="13" xfId="0" applyFont="1" applyBorder="1" applyAlignment="1">
      <alignment horizontal="center"/>
    </xf>
    <xf numFmtId="0" fontId="48" fillId="0" borderId="10" xfId="8" applyFon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3" fillId="0" borderId="17" xfId="8" applyFont="1" applyFill="1" applyBorder="1" applyAlignment="1">
      <alignment horizontal="center" wrapText="1"/>
    </xf>
    <xf numFmtId="0" fontId="3" fillId="0" borderId="4" xfId="8" applyFont="1" applyBorder="1" applyAlignment="1">
      <alignment horizontal="centerContinuous" wrapText="1"/>
    </xf>
    <xf numFmtId="0" fontId="3" fillId="0" borderId="17" xfId="8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3" fillId="0" borderId="17" xfId="8" applyFont="1" applyFill="1" applyBorder="1" applyAlignment="1">
      <alignment horizontal="center"/>
    </xf>
    <xf numFmtId="0" fontId="3" fillId="0" borderId="4" xfId="8" applyFont="1" applyBorder="1"/>
    <xf numFmtId="0" fontId="0" fillId="0" borderId="17" xfId="0" applyBorder="1" applyAlignment="1">
      <alignment horizontal="center"/>
    </xf>
    <xf numFmtId="0" fontId="3" fillId="0" borderId="4" xfId="8" applyFont="1" applyFill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5" fillId="0" borderId="13" xfId="4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10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45" fillId="0" borderId="10" xfId="4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13" xfId="0" applyFont="1" applyFill="1" applyBorder="1"/>
    <xf numFmtId="0" fontId="25" fillId="0" borderId="13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9" fillId="0" borderId="13" xfId="0" applyFont="1" applyFill="1" applyBorder="1"/>
    <xf numFmtId="0" fontId="45" fillId="0" borderId="17" xfId="4" applyFont="1" applyFill="1" applyBorder="1" applyAlignment="1">
      <alignment horizontal="center"/>
    </xf>
    <xf numFmtId="0" fontId="49" fillId="0" borderId="17" xfId="0" applyFont="1" applyFill="1" applyBorder="1"/>
    <xf numFmtId="0" fontId="51" fillId="0" borderId="0" xfId="0" applyFont="1" applyFill="1" applyAlignment="1">
      <alignment horizontal="center"/>
    </xf>
    <xf numFmtId="10" fontId="3" fillId="3" borderId="4" xfId="0" applyNumberFormat="1" applyFont="1" applyFill="1" applyBorder="1" applyAlignment="1">
      <alignment horizontal="center"/>
    </xf>
    <xf numFmtId="10" fontId="3" fillId="3" borderId="17" xfId="0" applyNumberFormat="1" applyFont="1" applyFill="1" applyBorder="1" applyAlignment="1">
      <alignment horizontal="center"/>
    </xf>
    <xf numFmtId="10" fontId="3" fillId="3" borderId="0" xfId="0" applyNumberFormat="1" applyFont="1" applyFill="1" applyBorder="1" applyAlignment="1">
      <alignment horizontal="center"/>
    </xf>
    <xf numFmtId="10" fontId="3" fillId="3" borderId="13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3" fillId="3" borderId="13" xfId="8" applyFont="1" applyFill="1" applyBorder="1" applyAlignment="1" applyProtection="1">
      <alignment horizontal="center"/>
      <protection locked="0"/>
    </xf>
    <xf numFmtId="0" fontId="3" fillId="3" borderId="17" xfId="8" applyFont="1" applyFill="1" applyBorder="1" applyAlignment="1" applyProtection="1">
      <alignment horizontal="center"/>
      <protection locked="0"/>
    </xf>
    <xf numFmtId="0" fontId="51" fillId="0" borderId="0" xfId="4" applyFont="1" applyAlignment="1">
      <alignment horizontal="center"/>
    </xf>
    <xf numFmtId="10" fontId="46" fillId="3" borderId="17" xfId="4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21" fillId="0" borderId="0" xfId="2" applyNumberFormat="1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6" fillId="0" borderId="0" xfId="0" applyFont="1" applyAlignment="1" applyProtection="1">
      <alignment horizontal="left" vertical="top"/>
    </xf>
    <xf numFmtId="167" fontId="6" fillId="3" borderId="0" xfId="1" applyNumberFormat="1" applyFont="1" applyFill="1" applyBorder="1" applyAlignment="1" applyProtection="1">
      <alignment vertical="top"/>
      <protection locked="0"/>
    </xf>
    <xf numFmtId="5" fontId="28" fillId="0" borderId="0" xfId="0" applyNumberFormat="1" applyFont="1" applyAlignment="1" applyProtection="1">
      <alignment horizontal="center" vertical="top"/>
      <protection locked="0"/>
    </xf>
    <xf numFmtId="5" fontId="19" fillId="0" borderId="0" xfId="0" applyNumberFormat="1" applyFont="1" applyAlignment="1">
      <alignment horizontal="center" vertical="top" wrapText="1"/>
    </xf>
    <xf numFmtId="5" fontId="17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>
      <alignment horizontal="centerContinuous" vertical="justify"/>
    </xf>
    <xf numFmtId="0" fontId="5" fillId="0" borderId="25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6" fillId="3" borderId="12" xfId="2" applyNumberFormat="1" applyFont="1" applyFill="1" applyBorder="1"/>
    <xf numFmtId="164" fontId="6" fillId="3" borderId="15" xfId="2" applyNumberFormat="1" applyFont="1" applyFill="1" applyBorder="1"/>
    <xf numFmtId="164" fontId="6" fillId="0" borderId="9" xfId="2" applyNumberFormat="1" applyFont="1" applyFill="1" applyBorder="1"/>
    <xf numFmtId="37" fontId="6" fillId="0" borderId="41" xfId="0" applyNumberFormat="1" applyFont="1" applyBorder="1"/>
    <xf numFmtId="37" fontId="6" fillId="0" borderId="15" xfId="0" applyNumberFormat="1" applyFont="1" applyFill="1" applyBorder="1"/>
    <xf numFmtId="164" fontId="6" fillId="0" borderId="62" xfId="2" applyNumberFormat="1" applyFont="1" applyFill="1" applyBorder="1"/>
    <xf numFmtId="10" fontId="6" fillId="3" borderId="15" xfId="3" applyNumberFormat="1" applyFont="1" applyFill="1" applyBorder="1"/>
    <xf numFmtId="0" fontId="6" fillId="2" borderId="0" xfId="0" applyFont="1" applyFill="1" applyBorder="1"/>
    <xf numFmtId="0" fontId="6" fillId="4" borderId="15" xfId="0" applyFont="1" applyFill="1" applyBorder="1"/>
    <xf numFmtId="10" fontId="6" fillId="3" borderId="12" xfId="3" applyNumberFormat="1" applyFont="1" applyFill="1" applyBorder="1"/>
    <xf numFmtId="10" fontId="6" fillId="0" borderId="63" xfId="0" applyNumberFormat="1" applyFont="1" applyFill="1" applyBorder="1"/>
    <xf numFmtId="0" fontId="5" fillId="0" borderId="64" xfId="0" applyFont="1" applyBorder="1" applyAlignment="1">
      <alignment horizontal="center"/>
    </xf>
    <xf numFmtId="0" fontId="5" fillId="0" borderId="20" xfId="0" applyFont="1" applyBorder="1"/>
    <xf numFmtId="0" fontId="22" fillId="0" borderId="20" xfId="0" applyFont="1" applyBorder="1"/>
    <xf numFmtId="0" fontId="35" fillId="0" borderId="20" xfId="0" applyFont="1" applyBorder="1"/>
    <xf numFmtId="0" fontId="10" fillId="0" borderId="20" xfId="0" applyFont="1" applyBorder="1" applyAlignment="1">
      <alignment horizontal="left"/>
    </xf>
    <xf numFmtId="0" fontId="0" fillId="0" borderId="25" xfId="0" applyBorder="1"/>
    <xf numFmtId="0" fontId="6" fillId="0" borderId="41" xfId="0" applyFont="1" applyBorder="1"/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4" fontId="5" fillId="0" borderId="37" xfId="2" applyNumberFormat="1" applyFont="1" applyFill="1" applyBorder="1"/>
    <xf numFmtId="164" fontId="6" fillId="3" borderId="33" xfId="2" applyNumberFormat="1" applyFont="1" applyFill="1" applyBorder="1"/>
    <xf numFmtId="164" fontId="6" fillId="3" borderId="37" xfId="2" applyNumberFormat="1" applyFont="1" applyFill="1" applyBorder="1"/>
    <xf numFmtId="164" fontId="6" fillId="3" borderId="38" xfId="2" applyNumberFormat="1" applyFont="1" applyFill="1" applyBorder="1"/>
    <xf numFmtId="167" fontId="6" fillId="0" borderId="32" xfId="1" applyNumberFormat="1" applyFont="1" applyFill="1" applyBorder="1"/>
    <xf numFmtId="167" fontId="6" fillId="0" borderId="35" xfId="1" applyNumberFormat="1" applyFont="1" applyFill="1" applyBorder="1"/>
    <xf numFmtId="164" fontId="6" fillId="0" borderId="46" xfId="2" applyNumberFormat="1" applyFont="1" applyFill="1" applyBorder="1"/>
    <xf numFmtId="167" fontId="6" fillId="0" borderId="37" xfId="1" applyNumberFormat="1" applyFont="1" applyFill="1" applyBorder="1"/>
    <xf numFmtId="164" fontId="6" fillId="0" borderId="67" xfId="2" applyNumberFormat="1" applyFont="1" applyFill="1" applyBorder="1"/>
    <xf numFmtId="164" fontId="6" fillId="0" borderId="68" xfId="2" applyNumberFormat="1" applyFont="1" applyFill="1" applyBorder="1"/>
    <xf numFmtId="37" fontId="6" fillId="0" borderId="43" xfId="0" applyNumberFormat="1" applyFont="1" applyBorder="1"/>
    <xf numFmtId="37" fontId="6" fillId="0" borderId="44" xfId="0" applyNumberFormat="1" applyFont="1" applyBorder="1"/>
    <xf numFmtId="164" fontId="6" fillId="0" borderId="69" xfId="2" applyNumberFormat="1" applyFont="1" applyFill="1" applyBorder="1"/>
    <xf numFmtId="164" fontId="6" fillId="0" borderId="70" xfId="2" applyNumberFormat="1" applyFont="1" applyFill="1" applyBorder="1"/>
    <xf numFmtId="170" fontId="6" fillId="0" borderId="43" xfId="0" applyNumberFormat="1" applyFont="1" applyBorder="1"/>
    <xf numFmtId="0" fontId="6" fillId="0" borderId="44" xfId="0" applyFont="1" applyBorder="1"/>
    <xf numFmtId="0" fontId="6" fillId="2" borderId="46" xfId="0" applyFont="1" applyFill="1" applyBorder="1"/>
    <xf numFmtId="0" fontId="5" fillId="0" borderId="14" xfId="0" applyFont="1" applyFill="1" applyBorder="1" applyAlignment="1">
      <alignment horizontal="center"/>
    </xf>
    <xf numFmtId="164" fontId="6" fillId="3" borderId="11" xfId="2" applyNumberFormat="1" applyFont="1" applyFill="1" applyBorder="1"/>
    <xf numFmtId="164" fontId="6" fillId="3" borderId="14" xfId="2" applyNumberFormat="1" applyFont="1" applyFill="1" applyBorder="1"/>
    <xf numFmtId="167" fontId="6" fillId="0" borderId="11" xfId="1" applyNumberFormat="1" applyFont="1" applyFill="1" applyBorder="1"/>
    <xf numFmtId="167" fontId="6" fillId="0" borderId="14" xfId="1" applyNumberFormat="1" applyFont="1" applyFill="1" applyBorder="1"/>
    <xf numFmtId="164" fontId="6" fillId="0" borderId="8" xfId="2" applyNumberFormat="1" applyFont="1" applyFill="1" applyBorder="1"/>
    <xf numFmtId="37" fontId="6" fillId="0" borderId="42" xfId="0" applyNumberFormat="1" applyFont="1" applyFill="1" applyBorder="1"/>
    <xf numFmtId="0" fontId="6" fillId="0" borderId="42" xfId="0" applyFont="1" applyFill="1" applyBorder="1"/>
    <xf numFmtId="0" fontId="6" fillId="2" borderId="14" xfId="0" applyFont="1" applyFill="1" applyBorder="1"/>
    <xf numFmtId="0" fontId="6" fillId="4" borderId="14" xfId="0" applyFont="1" applyFill="1" applyBorder="1"/>
    <xf numFmtId="10" fontId="6" fillId="0" borderId="14" xfId="3" applyNumberFormat="1" applyFont="1" applyFill="1" applyBorder="1"/>
    <xf numFmtId="164" fontId="6" fillId="0" borderId="67" xfId="2" applyNumberFormat="1" applyFont="1" applyBorder="1"/>
    <xf numFmtId="164" fontId="6" fillId="3" borderId="39" xfId="2" applyNumberFormat="1" applyFont="1" applyFill="1" applyBorder="1"/>
    <xf numFmtId="164" fontId="6" fillId="0" borderId="39" xfId="2" applyNumberFormat="1" applyFont="1" applyFill="1" applyBorder="1"/>
    <xf numFmtId="167" fontId="6" fillId="0" borderId="33" xfId="1" applyNumberFormat="1" applyFont="1" applyBorder="1"/>
    <xf numFmtId="0" fontId="6" fillId="0" borderId="43" xfId="0" applyFont="1" applyBorder="1"/>
    <xf numFmtId="0" fontId="5" fillId="0" borderId="14" xfId="0" applyFont="1" applyBorder="1" applyAlignment="1">
      <alignment horizontal="center"/>
    </xf>
    <xf numFmtId="38" fontId="6" fillId="0" borderId="14" xfId="0" applyNumberFormat="1" applyFont="1" applyBorder="1"/>
    <xf numFmtId="164" fontId="6" fillId="0" borderId="14" xfId="2" applyNumberFormat="1" applyFont="1" applyBorder="1"/>
    <xf numFmtId="37" fontId="6" fillId="0" borderId="14" xfId="0" applyNumberFormat="1" applyFont="1" applyBorder="1"/>
    <xf numFmtId="0" fontId="5" fillId="0" borderId="71" xfId="0" applyFont="1" applyBorder="1" applyAlignment="1">
      <alignment horizontal="center"/>
    </xf>
    <xf numFmtId="38" fontId="19" fillId="0" borderId="0" xfId="0" applyNumberFormat="1" applyFont="1" applyBorder="1" applyAlignment="1">
      <alignment horizontal="center"/>
    </xf>
    <xf numFmtId="38" fontId="34" fillId="0" borderId="0" xfId="0" applyNumberFormat="1" applyFont="1" applyBorder="1" applyAlignment="1">
      <alignment horizontal="center"/>
    </xf>
    <xf numFmtId="38" fontId="19" fillId="0" borderId="0" xfId="0" applyNumberFormat="1" applyFont="1" applyBorder="1" applyAlignment="1">
      <alignment horizontal="left"/>
    </xf>
    <xf numFmtId="37" fontId="6" fillId="0" borderId="6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37" fontId="19" fillId="0" borderId="0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5" fillId="0" borderId="20" xfId="2" applyNumberFormat="1" applyFont="1" applyFill="1" applyBorder="1"/>
    <xf numFmtId="38" fontId="6" fillId="0" borderId="20" xfId="0" applyNumberFormat="1" applyFont="1" applyBorder="1"/>
    <xf numFmtId="164" fontId="6" fillId="0" borderId="19" xfId="2" applyNumberFormat="1" applyFont="1" applyFill="1" applyBorder="1"/>
    <xf numFmtId="164" fontId="6" fillId="0" borderId="20" xfId="2" applyNumberFormat="1" applyFont="1" applyBorder="1"/>
    <xf numFmtId="164" fontId="6" fillId="0" borderId="20" xfId="2" applyNumberFormat="1" applyFont="1" applyFill="1" applyBorder="1"/>
    <xf numFmtId="167" fontId="6" fillId="0" borderId="19" xfId="1" applyNumberFormat="1" applyFont="1" applyBorder="1"/>
    <xf numFmtId="37" fontId="6" fillId="0" borderId="20" xfId="0" applyNumberFormat="1" applyFont="1" applyBorder="1"/>
    <xf numFmtId="37" fontId="6" fillId="0" borderId="19" xfId="0" applyNumberFormat="1" applyFont="1" applyBorder="1"/>
    <xf numFmtId="10" fontId="6" fillId="0" borderId="19" xfId="3" applyNumberFormat="1" applyFont="1" applyFill="1" applyBorder="1"/>
    <xf numFmtId="10" fontId="6" fillId="0" borderId="73" xfId="0" applyNumberFormat="1" applyFont="1" applyFill="1" applyBorder="1"/>
    <xf numFmtId="0" fontId="5" fillId="0" borderId="21" xfId="0" applyFont="1" applyBorder="1" applyAlignment="1">
      <alignment horizontal="center"/>
    </xf>
    <xf numFmtId="17" fontId="5" fillId="0" borderId="43" xfId="0" applyNumberFormat="1" applyFont="1" applyBorder="1" applyAlignment="1">
      <alignment horizontal="center"/>
    </xf>
    <xf numFmtId="17" fontId="5" fillId="0" borderId="22" xfId="0" applyNumberFormat="1" applyFont="1" applyBorder="1" applyAlignment="1">
      <alignment horizontal="center"/>
    </xf>
    <xf numFmtId="17" fontId="5" fillId="0" borderId="44" xfId="0" applyNumberFormat="1" applyFont="1" applyBorder="1" applyAlignment="1">
      <alignment horizontal="center"/>
    </xf>
    <xf numFmtId="17" fontId="5" fillId="0" borderId="41" xfId="0" applyNumberFormat="1" applyFont="1" applyBorder="1" applyAlignment="1">
      <alignment horizontal="center"/>
    </xf>
    <xf numFmtId="17" fontId="5" fillId="0" borderId="22" xfId="0" applyNumberFormat="1" applyFont="1" applyFill="1" applyBorder="1" applyAlignment="1">
      <alignment horizontal="center"/>
    </xf>
    <xf numFmtId="17" fontId="5" fillId="0" borderId="42" xfId="0" applyNumberFormat="1" applyFont="1" applyFill="1" applyBorder="1" applyAlignment="1">
      <alignment horizontal="center"/>
    </xf>
    <xf numFmtId="17" fontId="5" fillId="0" borderId="4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10" fontId="6" fillId="3" borderId="67" xfId="3" applyNumberFormat="1" applyFont="1" applyFill="1" applyBorder="1"/>
    <xf numFmtId="167" fontId="6" fillId="2" borderId="1" xfId="6" applyNumberFormat="1" applyFont="1" applyFill="1" applyBorder="1" applyAlignment="1" applyProtection="1">
      <alignment horizontal="right"/>
    </xf>
    <xf numFmtId="167" fontId="6" fillId="2" borderId="0" xfId="6" applyNumberFormat="1" applyFont="1" applyFill="1" applyAlignment="1">
      <alignment horizontal="right"/>
    </xf>
    <xf numFmtId="167" fontId="6" fillId="2" borderId="1" xfId="6" applyNumberFormat="1" applyFont="1" applyFill="1" applyBorder="1" applyAlignment="1">
      <alignment horizontal="right"/>
    </xf>
    <xf numFmtId="0" fontId="6" fillId="0" borderId="0" xfId="4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7" fontId="5" fillId="3" borderId="0" xfId="1" applyNumberFormat="1" applyFont="1" applyFill="1" applyBorder="1" applyProtection="1">
      <protection locked="0"/>
    </xf>
    <xf numFmtId="38" fontId="53" fillId="0" borderId="14" xfId="0" applyNumberFormat="1" applyFont="1" applyBorder="1" applyAlignment="1">
      <alignment horizontal="center"/>
    </xf>
    <xf numFmtId="38" fontId="53" fillId="0" borderId="7" xfId="0" applyNumberFormat="1" applyFont="1" applyBorder="1" applyAlignment="1">
      <alignment horizontal="center"/>
    </xf>
    <xf numFmtId="167" fontId="6" fillId="0" borderId="11" xfId="1" applyNumberFormat="1" applyFont="1" applyBorder="1"/>
    <xf numFmtId="0" fontId="5" fillId="0" borderId="76" xfId="0" applyFont="1" applyBorder="1" applyAlignment="1">
      <alignment horizontal="center"/>
    </xf>
    <xf numFmtId="38" fontId="53" fillId="0" borderId="46" xfId="0" applyNumberFormat="1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38" fontId="53" fillId="0" borderId="0" xfId="0" applyNumberFormat="1" applyFont="1" applyBorder="1" applyAlignment="1">
      <alignment horizontal="center"/>
    </xf>
    <xf numFmtId="38" fontId="53" fillId="0" borderId="37" xfId="0" applyNumberFormat="1" applyFont="1" applyBorder="1" applyAlignment="1">
      <alignment horizontal="center"/>
    </xf>
    <xf numFmtId="38" fontId="53" fillId="0" borderId="15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38" fontId="53" fillId="0" borderId="13" xfId="0" applyNumberFormat="1" applyFont="1" applyBorder="1" applyAlignment="1">
      <alignment horizontal="center"/>
    </xf>
    <xf numFmtId="167" fontId="6" fillId="2" borderId="0" xfId="1" applyNumberFormat="1" applyFont="1" applyFill="1" applyAlignment="1" applyProtection="1">
      <alignment horizontal="right"/>
      <protection locked="0"/>
    </xf>
    <xf numFmtId="164" fontId="6" fillId="0" borderId="0" xfId="2" applyNumberFormat="1" applyFont="1" applyAlignment="1">
      <alignment horizontal="right"/>
    </xf>
    <xf numFmtId="164" fontId="6" fillId="0" borderId="3" xfId="2" applyNumberFormat="1" applyFont="1" applyBorder="1" applyAlignment="1">
      <alignment horizontal="right"/>
    </xf>
    <xf numFmtId="37" fontId="6" fillId="2" borderId="0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>
      <alignment horizontal="center"/>
    </xf>
    <xf numFmtId="164" fontId="6" fillId="0" borderId="16" xfId="2" applyNumberFormat="1" applyFont="1" applyBorder="1"/>
    <xf numFmtId="10" fontId="6" fillId="0" borderId="16" xfId="3" applyNumberFormat="1" applyFont="1" applyBorder="1"/>
    <xf numFmtId="166" fontId="6" fillId="2" borderId="0" xfId="3" quotePrefix="1" applyNumberFormat="1" applyFont="1" applyFill="1" applyBorder="1" applyAlignment="1">
      <alignment horizontal="right"/>
    </xf>
    <xf numFmtId="166" fontId="6" fillId="0" borderId="0" xfId="3" applyNumberFormat="1" applyFont="1" applyFill="1" applyBorder="1" applyAlignment="1" applyProtection="1">
      <alignment horizontal="right"/>
    </xf>
    <xf numFmtId="166" fontId="6" fillId="2" borderId="1" xfId="3" applyNumberFormat="1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0" borderId="0" xfId="2" applyNumberFormat="1" applyFont="1" applyFill="1" applyAlignment="1">
      <alignment horizontal="right"/>
    </xf>
    <xf numFmtId="167" fontId="6" fillId="3" borderId="0" xfId="1" applyNumberFormat="1" applyFont="1" applyFill="1" applyAlignment="1" applyProtection="1">
      <alignment horizontal="right"/>
    </xf>
    <xf numFmtId="167" fontId="6" fillId="3" borderId="1" xfId="1" applyNumberFormat="1" applyFont="1" applyFill="1" applyBorder="1" applyAlignment="1" applyProtection="1">
      <alignment horizontal="right"/>
    </xf>
    <xf numFmtId="164" fontId="6" fillId="2" borderId="1" xfId="5" applyNumberFormat="1" applyFont="1" applyFill="1" applyBorder="1" applyAlignment="1">
      <alignment horizontal="right"/>
    </xf>
    <xf numFmtId="167" fontId="6" fillId="0" borderId="0" xfId="6" applyNumberFormat="1" applyFont="1" applyFill="1" applyAlignment="1" applyProtection="1">
      <alignment horizontal="right"/>
    </xf>
    <xf numFmtId="167" fontId="6" fillId="2" borderId="0" xfId="6" applyNumberFormat="1" applyFont="1" applyFill="1" applyBorder="1" applyAlignment="1" applyProtection="1">
      <alignment horizontal="right"/>
    </xf>
    <xf numFmtId="164" fontId="6" fillId="0" borderId="3" xfId="5" applyNumberFormat="1" applyFont="1" applyFill="1" applyBorder="1" applyAlignment="1" applyProtection="1">
      <alignment horizontal="right"/>
    </xf>
    <xf numFmtId="164" fontId="6" fillId="2" borderId="0" xfId="5" applyNumberFormat="1" applyFont="1" applyFill="1" applyBorder="1" applyAlignment="1" applyProtection="1">
      <alignment horizontal="right"/>
    </xf>
    <xf numFmtId="164" fontId="6" fillId="2" borderId="4" xfId="5" applyNumberFormat="1" applyFont="1" applyFill="1" applyBorder="1" applyAlignment="1">
      <alignment horizontal="right"/>
    </xf>
    <xf numFmtId="164" fontId="6" fillId="0" borderId="4" xfId="5" applyNumberFormat="1" applyFont="1" applyFill="1" applyBorder="1" applyAlignment="1">
      <alignment horizontal="right"/>
    </xf>
    <xf numFmtId="164" fontId="6" fillId="2" borderId="0" xfId="5" applyNumberFormat="1" applyFont="1" applyFill="1" applyAlignment="1">
      <alignment horizontal="right"/>
    </xf>
    <xf numFmtId="167" fontId="6" fillId="3" borderId="0" xfId="1" applyNumberFormat="1" applyFont="1" applyFill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164" fontId="6" fillId="0" borderId="3" xfId="5" applyNumberFormat="1" applyFont="1" applyFill="1" applyBorder="1" applyAlignment="1">
      <alignment horizontal="right"/>
    </xf>
    <xf numFmtId="166" fontId="6" fillId="2" borderId="1" xfId="3" applyNumberFormat="1" applyFont="1" applyFill="1" applyBorder="1" applyAlignment="1" applyProtection="1">
      <alignment horizontal="right"/>
      <protection locked="0"/>
    </xf>
    <xf numFmtId="166" fontId="6" fillId="0" borderId="3" xfId="3" applyNumberFormat="1" applyFont="1" applyBorder="1" applyAlignment="1">
      <alignment horizontal="right"/>
    </xf>
    <xf numFmtId="164" fontId="6" fillId="3" borderId="78" xfId="0" applyNumberFormat="1" applyFont="1" applyFill="1" applyBorder="1" applyAlignment="1" applyProtection="1"/>
    <xf numFmtId="164" fontId="6" fillId="3" borderId="79" xfId="0" applyNumberFormat="1" applyFont="1" applyFill="1" applyBorder="1" applyAlignment="1" applyProtection="1"/>
    <xf numFmtId="164" fontId="6" fillId="3" borderId="80" xfId="0" applyNumberFormat="1" applyFont="1" applyFill="1" applyBorder="1" applyAlignment="1" applyProtection="1"/>
    <xf numFmtId="164" fontId="6" fillId="0" borderId="72" xfId="2" applyNumberFormat="1" applyFont="1" applyFill="1" applyBorder="1"/>
    <xf numFmtId="38" fontId="54" fillId="0" borderId="14" xfId="0" applyNumberFormat="1" applyFont="1" applyBorder="1" applyAlignment="1">
      <alignment horizontal="center"/>
    </xf>
    <xf numFmtId="38" fontId="54" fillId="0" borderId="46" xfId="0" applyNumberFormat="1" applyFont="1" applyBorder="1" applyAlignment="1">
      <alignment horizontal="center"/>
    </xf>
    <xf numFmtId="38" fontId="54" fillId="0" borderId="7" xfId="0" applyNumberFormat="1" applyFont="1" applyBorder="1" applyAlignment="1">
      <alignment horizontal="center"/>
    </xf>
    <xf numFmtId="38" fontId="54" fillId="0" borderId="0" xfId="0" applyNumberFormat="1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75" xfId="0" applyFont="1" applyBorder="1" applyAlignment="1">
      <alignment horizontal="center"/>
    </xf>
    <xf numFmtId="0" fontId="30" fillId="0" borderId="77" xfId="0" applyFont="1" applyBorder="1" applyAlignment="1">
      <alignment horizontal="center"/>
    </xf>
    <xf numFmtId="38" fontId="54" fillId="0" borderId="20" xfId="0" applyNumberFormat="1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164" fontId="5" fillId="0" borderId="58" xfId="2" applyNumberFormat="1" applyFont="1" applyFill="1" applyBorder="1"/>
    <xf numFmtId="0" fontId="5" fillId="0" borderId="0" xfId="0" applyFont="1" applyBorder="1" applyAlignment="1">
      <alignment horizontal="left"/>
    </xf>
    <xf numFmtId="0" fontId="3" fillId="0" borderId="18" xfId="4" applyFont="1" applyFill="1" applyBorder="1" applyAlignment="1">
      <alignment horizontal="left"/>
    </xf>
    <xf numFmtId="0" fontId="80" fillId="0" borderId="0" xfId="4" applyFont="1"/>
    <xf numFmtId="0" fontId="46" fillId="0" borderId="80" xfId="4" applyFont="1" applyBorder="1" applyAlignment="1">
      <alignment horizontal="center"/>
    </xf>
    <xf numFmtId="10" fontId="3" fillId="0" borderId="0" xfId="571" applyNumberFormat="1" applyFont="1" applyAlignment="1">
      <alignment horizontal="center"/>
    </xf>
    <xf numFmtId="173" fontId="3" fillId="0" borderId="0" xfId="571" applyNumberFormat="1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 applyProtection="1">
      <alignment horizontal="left" vertical="top"/>
    </xf>
    <xf numFmtId="164" fontId="6" fillId="2" borderId="1" xfId="2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164" fontId="6" fillId="2" borderId="0" xfId="2" applyNumberFormat="1" applyFont="1" applyFill="1" applyBorder="1" applyAlignment="1" applyProtection="1">
      <alignment vertical="top"/>
    </xf>
    <xf numFmtId="164" fontId="6" fillId="2" borderId="0" xfId="2" applyNumberFormat="1" applyFont="1" applyFill="1" applyBorder="1" applyAlignment="1" applyProtection="1">
      <alignment horizontal="right" vertical="top"/>
    </xf>
    <xf numFmtId="0" fontId="6" fillId="0" borderId="0" xfId="0" applyFont="1" applyBorder="1" applyAlignment="1">
      <alignment vertical="top"/>
    </xf>
    <xf numFmtId="167" fontId="6" fillId="2" borderId="1" xfId="1" applyNumberFormat="1" applyFont="1" applyFill="1" applyBorder="1" applyAlignment="1">
      <alignment vertical="top"/>
    </xf>
    <xf numFmtId="0" fontId="38" fillId="0" borderId="0" xfId="0" quotePrefix="1" applyFont="1" applyAlignment="1">
      <alignment horizontal="center" vertical="top"/>
    </xf>
    <xf numFmtId="164" fontId="6" fillId="3" borderId="11" xfId="0" applyNumberFormat="1" applyFont="1" applyFill="1" applyBorder="1" applyAlignment="1" applyProtection="1"/>
    <xf numFmtId="0" fontId="5" fillId="0" borderId="3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64" fontId="5" fillId="0" borderId="39" xfId="2" applyNumberFormat="1" applyFont="1" applyFill="1" applyBorder="1"/>
    <xf numFmtId="167" fontId="6" fillId="0" borderId="35" xfId="1" applyNumberFormat="1" applyFont="1" applyBorder="1"/>
    <xf numFmtId="38" fontId="53" fillId="0" borderId="39" xfId="0" applyNumberFormat="1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37" fontId="6" fillId="0" borderId="35" xfId="0" applyNumberFormat="1" applyFont="1" applyBorder="1"/>
    <xf numFmtId="0" fontId="30" fillId="0" borderId="45" xfId="0" applyFont="1" applyBorder="1" applyAlignment="1">
      <alignment horizontal="center"/>
    </xf>
    <xf numFmtId="0" fontId="0" fillId="0" borderId="31" xfId="0" applyBorder="1"/>
    <xf numFmtId="0" fontId="6" fillId="0" borderId="39" xfId="0" applyFont="1" applyBorder="1"/>
    <xf numFmtId="0" fontId="6" fillId="2" borderId="39" xfId="0" applyFont="1" applyFill="1" applyBorder="1"/>
    <xf numFmtId="0" fontId="6" fillId="0" borderId="39" xfId="0" applyFont="1" applyFill="1" applyBorder="1"/>
    <xf numFmtId="10" fontId="6" fillId="0" borderId="39" xfId="0" applyNumberFormat="1" applyFont="1" applyFill="1" applyBorder="1"/>
    <xf numFmtId="10" fontId="6" fillId="0" borderId="35" xfId="3" applyNumberFormat="1" applyFont="1" applyFill="1" applyBorder="1"/>
    <xf numFmtId="164" fontId="6" fillId="2" borderId="46" xfId="2" applyNumberFormat="1" applyFont="1" applyFill="1" applyBorder="1"/>
    <xf numFmtId="164" fontId="6" fillId="3" borderId="33" xfId="0" applyNumberFormat="1" applyFont="1" applyFill="1" applyBorder="1" applyAlignment="1" applyProtection="1"/>
    <xf numFmtId="164" fontId="6" fillId="3" borderId="34" xfId="0" applyNumberFormat="1" applyFont="1" applyFill="1" applyBorder="1" applyAlignment="1" applyProtection="1"/>
    <xf numFmtId="167" fontId="6" fillId="0" borderId="80" xfId="1" applyNumberFormat="1" applyFont="1" applyFill="1" applyBorder="1"/>
    <xf numFmtId="164" fontId="6" fillId="0" borderId="80" xfId="2" applyNumberFormat="1" applyFont="1" applyFill="1" applyBorder="1"/>
    <xf numFmtId="0" fontId="28" fillId="0" borderId="44" xfId="0" applyFont="1" applyBorder="1" applyAlignment="1">
      <alignment horizontal="center"/>
    </xf>
    <xf numFmtId="37" fontId="6" fillId="0" borderId="80" xfId="0" applyNumberFormat="1" applyFont="1" applyFill="1" applyBorder="1"/>
    <xf numFmtId="10" fontId="6" fillId="2" borderId="80" xfId="3" applyNumberFormat="1" applyFont="1" applyFill="1" applyBorder="1"/>
    <xf numFmtId="38" fontId="54" fillId="0" borderId="39" xfId="0" applyNumberFormat="1" applyFont="1" applyBorder="1" applyAlignment="1">
      <alignment horizontal="center"/>
    </xf>
    <xf numFmtId="0" fontId="30" fillId="0" borderId="93" xfId="0" applyFont="1" applyBorder="1" applyAlignment="1">
      <alignment horizontal="center"/>
    </xf>
    <xf numFmtId="17" fontId="6" fillId="0" borderId="80" xfId="0" applyNumberFormat="1" applyFont="1" applyBorder="1" applyAlignment="1">
      <alignment horizontal="center"/>
    </xf>
    <xf numFmtId="10" fontId="6" fillId="3" borderId="80" xfId="3" applyNumberFormat="1" applyFont="1" applyFill="1" applyBorder="1"/>
    <xf numFmtId="164" fontId="5" fillId="0" borderId="92" xfId="2" applyNumberFormat="1" applyFont="1" applyFill="1" applyBorder="1"/>
    <xf numFmtId="0" fontId="25" fillId="0" borderId="0" xfId="4" applyFont="1" applyFill="1" applyAlignment="1">
      <alignment horizontal="center"/>
    </xf>
    <xf numFmtId="0" fontId="81" fillId="0" borderId="0" xfId="0" applyFont="1"/>
    <xf numFmtId="0" fontId="0" fillId="0" borderId="0" xfId="0" applyFill="1" applyAlignment="1"/>
    <xf numFmtId="0" fontId="6" fillId="0" borderId="13" xfId="0" applyFont="1" applyBorder="1" applyAlignment="1">
      <alignment horizontal="center" vertical="top"/>
    </xf>
    <xf numFmtId="164" fontId="6" fillId="0" borderId="15" xfId="2" applyNumberFormat="1" applyFont="1" applyBorder="1" applyAlignment="1">
      <alignment horizontal="center" vertical="top"/>
    </xf>
    <xf numFmtId="0" fontId="5" fillId="0" borderId="65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6" fillId="0" borderId="94" xfId="0" applyFont="1" applyFill="1" applyBorder="1"/>
    <xf numFmtId="0" fontId="6" fillId="0" borderId="94" xfId="0" applyFont="1" applyBorder="1"/>
    <xf numFmtId="38" fontId="6" fillId="0" borderId="20" xfId="0" applyNumberFormat="1" applyFont="1" applyFill="1" applyBorder="1" applyAlignment="1">
      <alignment horizontal="center"/>
    </xf>
    <xf numFmtId="38" fontId="19" fillId="0" borderId="20" xfId="9" applyNumberFormat="1" applyFont="1" applyFill="1" applyBorder="1" applyAlignment="1">
      <alignment horizontal="center"/>
    </xf>
    <xf numFmtId="38" fontId="19" fillId="0" borderId="20" xfId="0" applyNumberFormat="1" applyFont="1" applyFill="1" applyBorder="1" applyAlignment="1">
      <alignment horizontal="center"/>
    </xf>
    <xf numFmtId="38" fontId="19" fillId="0" borderId="20" xfId="396" applyNumberFormat="1" applyFont="1" applyFill="1" applyBorder="1" applyAlignment="1">
      <alignment horizontal="center"/>
    </xf>
    <xf numFmtId="0" fontId="5" fillId="0" borderId="94" xfId="0" applyFont="1" applyBorder="1"/>
    <xf numFmtId="0" fontId="22" fillId="0" borderId="94" xfId="0" applyFont="1" applyFill="1" applyBorder="1"/>
    <xf numFmtId="0" fontId="35" fillId="0" borderId="94" xfId="0" applyFont="1" applyFill="1" applyBorder="1"/>
    <xf numFmtId="0" fontId="82" fillId="0" borderId="94" xfId="0" applyFont="1" applyBorder="1" applyAlignment="1">
      <alignment horizontal="right"/>
    </xf>
    <xf numFmtId="0" fontId="5" fillId="0" borderId="95" xfId="0" applyFont="1" applyBorder="1"/>
    <xf numFmtId="0" fontId="10" fillId="0" borderId="94" xfId="0" applyFont="1" applyBorder="1" applyAlignment="1">
      <alignment horizontal="left"/>
    </xf>
    <xf numFmtId="0" fontId="10" fillId="0" borderId="94" xfId="0" applyFont="1" applyBorder="1"/>
    <xf numFmtId="0" fontId="6" fillId="0" borderId="96" xfId="0" applyFont="1" applyBorder="1"/>
    <xf numFmtId="0" fontId="19" fillId="0" borderId="97" xfId="0" applyFont="1" applyFill="1" applyBorder="1" applyAlignment="1">
      <alignment horizontal="center"/>
    </xf>
    <xf numFmtId="0" fontId="10" fillId="0" borderId="20" xfId="0" applyFont="1" applyFill="1" applyBorder="1"/>
    <xf numFmtId="0" fontId="6" fillId="0" borderId="21" xfId="0" applyFont="1" applyFill="1" applyBorder="1" applyAlignment="1">
      <alignment horizontal="left"/>
    </xf>
    <xf numFmtId="0" fontId="6" fillId="0" borderId="21" xfId="0" applyFont="1" applyFill="1" applyBorder="1"/>
    <xf numFmtId="167" fontId="6" fillId="4" borderId="14" xfId="1" applyNumberFormat="1" applyFont="1" applyFill="1" applyBorder="1"/>
    <xf numFmtId="171" fontId="6" fillId="4" borderId="11" xfId="2" applyNumberFormat="1" applyFont="1" applyFill="1" applyBorder="1"/>
    <xf numFmtId="38" fontId="6" fillId="0" borderId="25" xfId="0" applyNumberFormat="1" applyFont="1" applyBorder="1"/>
    <xf numFmtId="164" fontId="6" fillId="0" borderId="21" xfId="2" applyNumberFormat="1" applyFont="1" applyFill="1" applyBorder="1"/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67" fontId="6" fillId="3" borderId="15" xfId="628" applyNumberFormat="1" applyFont="1" applyFill="1" applyBorder="1"/>
    <xf numFmtId="167" fontId="6" fillId="3" borderId="13" xfId="628" applyNumberFormat="1" applyFont="1" applyFill="1" applyBorder="1"/>
    <xf numFmtId="167" fontId="6" fillId="3" borderId="38" xfId="628" applyNumberFormat="1" applyFont="1" applyFill="1" applyBorder="1"/>
    <xf numFmtId="167" fontId="7" fillId="0" borderId="0" xfId="4" applyNumberFormat="1" applyFont="1"/>
    <xf numFmtId="0" fontId="5" fillId="0" borderId="0" xfId="0" quotePrefix="1" applyFont="1" applyFill="1" applyAlignment="1">
      <alignment horizontal="center"/>
    </xf>
    <xf numFmtId="0" fontId="24" fillId="0" borderId="0" xfId="0" applyFont="1" applyAlignment="1"/>
    <xf numFmtId="0" fontId="5" fillId="3" borderId="0" xfId="0" applyFont="1" applyFill="1" applyAlignment="1">
      <alignment horizontal="center"/>
    </xf>
    <xf numFmtId="0" fontId="24" fillId="3" borderId="0" xfId="0" applyFont="1" applyFill="1" applyAlignment="1"/>
    <xf numFmtId="0" fontId="5" fillId="0" borderId="0" xfId="0" applyFont="1" applyFill="1" applyAlignment="1">
      <alignment horizontal="center"/>
    </xf>
    <xf numFmtId="0" fontId="23" fillId="0" borderId="0" xfId="0" applyFont="1" applyAlignment="1"/>
    <xf numFmtId="0" fontId="5" fillId="2" borderId="0" xfId="0" applyFont="1" applyFill="1" applyAlignment="1">
      <alignment horizontal="center"/>
    </xf>
    <xf numFmtId="0" fontId="24" fillId="2" borderId="0" xfId="0" applyFont="1" applyFill="1" applyAlignment="1"/>
    <xf numFmtId="0" fontId="23" fillId="3" borderId="0" xfId="0" applyFont="1" applyFill="1" applyAlignment="1"/>
    <xf numFmtId="0" fontId="5" fillId="0" borderId="0" xfId="4" applyFont="1" applyFill="1" applyAlignment="1">
      <alignment horizontal="center"/>
    </xf>
    <xf numFmtId="0" fontId="24" fillId="0" borderId="0" xfId="4" applyFont="1" applyAlignment="1"/>
    <xf numFmtId="0" fontId="5" fillId="2" borderId="0" xfId="4" applyFont="1" applyFill="1" applyAlignment="1">
      <alignment horizontal="center"/>
    </xf>
    <xf numFmtId="0" fontId="24" fillId="2" borderId="0" xfId="4" applyFont="1" applyFill="1" applyAlignment="1"/>
    <xf numFmtId="0" fontId="5" fillId="0" borderId="0" xfId="4" quotePrefix="1" applyFont="1" applyFill="1" applyAlignment="1">
      <alignment horizontal="center"/>
    </xf>
    <xf numFmtId="0" fontId="6" fillId="0" borderId="0" xfId="4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5" fillId="0" borderId="0" xfId="0" quotePrefix="1" applyFont="1" applyAlignment="1" applyProtection="1">
      <alignment horizontal="center" vertical="justify"/>
    </xf>
    <xf numFmtId="0" fontId="0" fillId="0" borderId="0" xfId="0" applyAlignment="1"/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Alignme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2" borderId="0" xfId="0" applyFont="1" applyFill="1" applyAlignment="1"/>
    <xf numFmtId="0" fontId="25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46" fillId="0" borderId="47" xfId="4" applyFont="1" applyFill="1" applyBorder="1" applyAlignment="1">
      <alignment horizontal="left"/>
    </xf>
    <xf numFmtId="0" fontId="3" fillId="0" borderId="18" xfId="4" applyFont="1" applyFill="1" applyBorder="1" applyAlignment="1">
      <alignment horizontal="left"/>
    </xf>
    <xf numFmtId="0" fontId="25" fillId="0" borderId="0" xfId="4" applyFont="1" applyAlignment="1">
      <alignment horizontal="center"/>
    </xf>
    <xf numFmtId="0" fontId="25" fillId="3" borderId="0" xfId="4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45" fillId="0" borderId="18" xfId="0" applyFont="1" applyFill="1" applyBorder="1" applyAlignment="1">
      <alignment horizontal="center"/>
    </xf>
    <xf numFmtId="0" fontId="25" fillId="0" borderId="0" xfId="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justify"/>
    </xf>
    <xf numFmtId="0" fontId="6" fillId="0" borderId="0" xfId="0" applyFont="1" applyAlignment="1">
      <alignment horizontal="left" vertical="justify"/>
    </xf>
    <xf numFmtId="0" fontId="6" fillId="0" borderId="0" xfId="0" applyFont="1" applyBorder="1" applyAlignment="1">
      <alignment horizontal="left" vertical="top"/>
    </xf>
  </cellXfs>
  <cellStyles count="1228">
    <cellStyle name="20% - Accent1 2" xfId="14"/>
    <cellStyle name="20% - Accent1 2 2" xfId="15"/>
    <cellStyle name="20% - Accent1 2 2 2" xfId="16"/>
    <cellStyle name="20% - Accent1 2 2 2 2" xfId="634"/>
    <cellStyle name="20% - Accent1 2 2 3" xfId="633"/>
    <cellStyle name="20% - Accent1 2 3" xfId="17"/>
    <cellStyle name="20% - Accent1 2 3 2" xfId="18"/>
    <cellStyle name="20% - Accent1 2 3 2 2" xfId="636"/>
    <cellStyle name="20% - Accent1 2 3 3" xfId="635"/>
    <cellStyle name="20% - Accent1 2 4" xfId="19"/>
    <cellStyle name="20% - Accent1 2 4 2" xfId="20"/>
    <cellStyle name="20% - Accent1 2 4 2 2" xfId="638"/>
    <cellStyle name="20% - Accent1 2 4 3" xfId="637"/>
    <cellStyle name="20% - Accent1 2 5" xfId="21"/>
    <cellStyle name="20% - Accent1 2 5 2" xfId="22"/>
    <cellStyle name="20% - Accent1 2 5 2 2" xfId="640"/>
    <cellStyle name="20% - Accent1 2 5 3" xfId="639"/>
    <cellStyle name="20% - Accent1 2 6" xfId="23"/>
    <cellStyle name="20% - Accent1 2 6 2" xfId="24"/>
    <cellStyle name="20% - Accent1 2 6 2 2" xfId="642"/>
    <cellStyle name="20% - Accent1 2 6 3" xfId="641"/>
    <cellStyle name="20% - Accent1 2 7" xfId="25"/>
    <cellStyle name="20% - Accent1 2 7 2" xfId="643"/>
    <cellStyle name="20% - Accent1 2 8" xfId="26"/>
    <cellStyle name="20% - Accent1 2 8 2" xfId="644"/>
    <cellStyle name="20% - Accent1 2 9" xfId="632"/>
    <cellStyle name="20% - Accent1 3" xfId="27"/>
    <cellStyle name="20% - Accent1 3 2" xfId="28"/>
    <cellStyle name="20% - Accent1 3 2 2" xfId="29"/>
    <cellStyle name="20% - Accent1 3 2 2 2" xfId="647"/>
    <cellStyle name="20% - Accent1 3 2 3" xfId="646"/>
    <cellStyle name="20% - Accent1 3 3" xfId="30"/>
    <cellStyle name="20% - Accent1 3 3 2" xfId="648"/>
    <cellStyle name="20% - Accent1 3 4" xfId="645"/>
    <cellStyle name="20% - Accent1 4" xfId="31"/>
    <cellStyle name="20% - Accent1 4 2" xfId="32"/>
    <cellStyle name="20% - Accent1 4 2 2" xfId="650"/>
    <cellStyle name="20% - Accent1 4 3" xfId="649"/>
    <cellStyle name="20% - Accent1 5" xfId="33"/>
    <cellStyle name="20% - Accent1 5 2" xfId="34"/>
    <cellStyle name="20% - Accent1 5 2 2" xfId="652"/>
    <cellStyle name="20% - Accent1 5 3" xfId="651"/>
    <cellStyle name="20% - Accent1 6" xfId="35"/>
    <cellStyle name="20% - Accent1 6 2" xfId="36"/>
    <cellStyle name="20% - Accent1 6 2 2" xfId="654"/>
    <cellStyle name="20% - Accent1 6 3" xfId="653"/>
    <cellStyle name="20% - Accent1 7" xfId="37"/>
    <cellStyle name="20% - Accent1 7 2" xfId="655"/>
    <cellStyle name="20% - Accent1 8" xfId="1171"/>
    <cellStyle name="20% - Accent2 2" xfId="38"/>
    <cellStyle name="20% - Accent2 2 2" xfId="39"/>
    <cellStyle name="20% - Accent2 2 2 2" xfId="40"/>
    <cellStyle name="20% - Accent2 2 2 2 2" xfId="658"/>
    <cellStyle name="20% - Accent2 2 2 3" xfId="657"/>
    <cellStyle name="20% - Accent2 2 3" xfId="41"/>
    <cellStyle name="20% - Accent2 2 3 2" xfId="42"/>
    <cellStyle name="20% - Accent2 2 3 2 2" xfId="660"/>
    <cellStyle name="20% - Accent2 2 3 3" xfId="659"/>
    <cellStyle name="20% - Accent2 2 4" xfId="43"/>
    <cellStyle name="20% - Accent2 2 4 2" xfId="44"/>
    <cellStyle name="20% - Accent2 2 4 2 2" xfId="662"/>
    <cellStyle name="20% - Accent2 2 4 3" xfId="661"/>
    <cellStyle name="20% - Accent2 2 5" xfId="45"/>
    <cellStyle name="20% - Accent2 2 5 2" xfId="46"/>
    <cellStyle name="20% - Accent2 2 5 2 2" xfId="664"/>
    <cellStyle name="20% - Accent2 2 5 3" xfId="663"/>
    <cellStyle name="20% - Accent2 2 6" xfId="47"/>
    <cellStyle name="20% - Accent2 2 6 2" xfId="48"/>
    <cellStyle name="20% - Accent2 2 6 2 2" xfId="666"/>
    <cellStyle name="20% - Accent2 2 6 3" xfId="665"/>
    <cellStyle name="20% - Accent2 2 7" xfId="49"/>
    <cellStyle name="20% - Accent2 2 7 2" xfId="667"/>
    <cellStyle name="20% - Accent2 2 8" xfId="50"/>
    <cellStyle name="20% - Accent2 2 8 2" xfId="668"/>
    <cellStyle name="20% - Accent2 2 9" xfId="656"/>
    <cellStyle name="20% - Accent2 3" xfId="51"/>
    <cellStyle name="20% - Accent2 3 2" xfId="52"/>
    <cellStyle name="20% - Accent2 3 2 2" xfId="53"/>
    <cellStyle name="20% - Accent2 3 2 2 2" xfId="671"/>
    <cellStyle name="20% - Accent2 3 2 3" xfId="670"/>
    <cellStyle name="20% - Accent2 3 3" xfId="54"/>
    <cellStyle name="20% - Accent2 3 3 2" xfId="672"/>
    <cellStyle name="20% - Accent2 3 4" xfId="669"/>
    <cellStyle name="20% - Accent2 4" xfId="55"/>
    <cellStyle name="20% - Accent2 4 2" xfId="56"/>
    <cellStyle name="20% - Accent2 4 2 2" xfId="674"/>
    <cellStyle name="20% - Accent2 4 3" xfId="673"/>
    <cellStyle name="20% - Accent2 5" xfId="57"/>
    <cellStyle name="20% - Accent2 5 2" xfId="58"/>
    <cellStyle name="20% - Accent2 5 2 2" xfId="676"/>
    <cellStyle name="20% - Accent2 5 3" xfId="675"/>
    <cellStyle name="20% - Accent2 6" xfId="59"/>
    <cellStyle name="20% - Accent2 6 2" xfId="60"/>
    <cellStyle name="20% - Accent2 6 2 2" xfId="678"/>
    <cellStyle name="20% - Accent2 6 3" xfId="677"/>
    <cellStyle name="20% - Accent2 7" xfId="61"/>
    <cellStyle name="20% - Accent2 7 2" xfId="679"/>
    <cellStyle name="20% - Accent2 8" xfId="1172"/>
    <cellStyle name="20% - Accent3 2" xfId="62"/>
    <cellStyle name="20% - Accent3 2 2" xfId="63"/>
    <cellStyle name="20% - Accent3 2 2 2" xfId="64"/>
    <cellStyle name="20% - Accent3 2 2 2 2" xfId="682"/>
    <cellStyle name="20% - Accent3 2 2 3" xfId="681"/>
    <cellStyle name="20% - Accent3 2 3" xfId="65"/>
    <cellStyle name="20% - Accent3 2 3 2" xfId="66"/>
    <cellStyle name="20% - Accent3 2 3 2 2" xfId="684"/>
    <cellStyle name="20% - Accent3 2 3 3" xfId="683"/>
    <cellStyle name="20% - Accent3 2 4" xfId="67"/>
    <cellStyle name="20% - Accent3 2 4 2" xfId="68"/>
    <cellStyle name="20% - Accent3 2 4 2 2" xfId="686"/>
    <cellStyle name="20% - Accent3 2 4 3" xfId="685"/>
    <cellStyle name="20% - Accent3 2 5" xfId="69"/>
    <cellStyle name="20% - Accent3 2 5 2" xfId="70"/>
    <cellStyle name="20% - Accent3 2 5 2 2" xfId="688"/>
    <cellStyle name="20% - Accent3 2 5 3" xfId="687"/>
    <cellStyle name="20% - Accent3 2 6" xfId="71"/>
    <cellStyle name="20% - Accent3 2 6 2" xfId="72"/>
    <cellStyle name="20% - Accent3 2 6 2 2" xfId="690"/>
    <cellStyle name="20% - Accent3 2 6 3" xfId="689"/>
    <cellStyle name="20% - Accent3 2 7" xfId="73"/>
    <cellStyle name="20% - Accent3 2 7 2" xfId="691"/>
    <cellStyle name="20% - Accent3 2 8" xfId="74"/>
    <cellStyle name="20% - Accent3 2 8 2" xfId="692"/>
    <cellStyle name="20% - Accent3 2 9" xfId="680"/>
    <cellStyle name="20% - Accent3 3" xfId="75"/>
    <cellStyle name="20% - Accent3 3 2" xfId="76"/>
    <cellStyle name="20% - Accent3 3 2 2" xfId="77"/>
    <cellStyle name="20% - Accent3 3 2 2 2" xfId="695"/>
    <cellStyle name="20% - Accent3 3 2 3" xfId="694"/>
    <cellStyle name="20% - Accent3 3 3" xfId="78"/>
    <cellStyle name="20% - Accent3 3 3 2" xfId="696"/>
    <cellStyle name="20% - Accent3 3 4" xfId="693"/>
    <cellStyle name="20% - Accent3 4" xfId="79"/>
    <cellStyle name="20% - Accent3 4 2" xfId="80"/>
    <cellStyle name="20% - Accent3 4 2 2" xfId="698"/>
    <cellStyle name="20% - Accent3 4 3" xfId="697"/>
    <cellStyle name="20% - Accent3 5" xfId="81"/>
    <cellStyle name="20% - Accent3 5 2" xfId="82"/>
    <cellStyle name="20% - Accent3 5 2 2" xfId="700"/>
    <cellStyle name="20% - Accent3 5 3" xfId="699"/>
    <cellStyle name="20% - Accent3 6" xfId="83"/>
    <cellStyle name="20% - Accent3 6 2" xfId="84"/>
    <cellStyle name="20% - Accent3 6 2 2" xfId="702"/>
    <cellStyle name="20% - Accent3 6 3" xfId="701"/>
    <cellStyle name="20% - Accent3 7" xfId="85"/>
    <cellStyle name="20% - Accent3 7 2" xfId="703"/>
    <cellStyle name="20% - Accent3 8" xfId="1173"/>
    <cellStyle name="20% - Accent4 2" xfId="86"/>
    <cellStyle name="20% - Accent4 2 2" xfId="87"/>
    <cellStyle name="20% - Accent4 2 2 2" xfId="88"/>
    <cellStyle name="20% - Accent4 2 2 2 2" xfId="706"/>
    <cellStyle name="20% - Accent4 2 2 3" xfId="705"/>
    <cellStyle name="20% - Accent4 2 3" xfId="89"/>
    <cellStyle name="20% - Accent4 2 3 2" xfId="90"/>
    <cellStyle name="20% - Accent4 2 3 2 2" xfId="708"/>
    <cellStyle name="20% - Accent4 2 3 3" xfId="707"/>
    <cellStyle name="20% - Accent4 2 4" xfId="91"/>
    <cellStyle name="20% - Accent4 2 4 2" xfId="92"/>
    <cellStyle name="20% - Accent4 2 4 2 2" xfId="710"/>
    <cellStyle name="20% - Accent4 2 4 3" xfId="709"/>
    <cellStyle name="20% - Accent4 2 5" xfId="93"/>
    <cellStyle name="20% - Accent4 2 5 2" xfId="94"/>
    <cellStyle name="20% - Accent4 2 5 2 2" xfId="712"/>
    <cellStyle name="20% - Accent4 2 5 3" xfId="711"/>
    <cellStyle name="20% - Accent4 2 6" xfId="95"/>
    <cellStyle name="20% - Accent4 2 6 2" xfId="96"/>
    <cellStyle name="20% - Accent4 2 6 2 2" xfId="714"/>
    <cellStyle name="20% - Accent4 2 6 3" xfId="713"/>
    <cellStyle name="20% - Accent4 2 7" xfId="97"/>
    <cellStyle name="20% - Accent4 2 7 2" xfId="715"/>
    <cellStyle name="20% - Accent4 2 8" xfId="98"/>
    <cellStyle name="20% - Accent4 2 8 2" xfId="716"/>
    <cellStyle name="20% - Accent4 2 9" xfId="704"/>
    <cellStyle name="20% - Accent4 3" xfId="99"/>
    <cellStyle name="20% - Accent4 3 2" xfId="100"/>
    <cellStyle name="20% - Accent4 3 2 2" xfId="101"/>
    <cellStyle name="20% - Accent4 3 2 2 2" xfId="719"/>
    <cellStyle name="20% - Accent4 3 2 3" xfId="718"/>
    <cellStyle name="20% - Accent4 3 3" xfId="102"/>
    <cellStyle name="20% - Accent4 3 3 2" xfId="720"/>
    <cellStyle name="20% - Accent4 3 4" xfId="717"/>
    <cellStyle name="20% - Accent4 4" xfId="103"/>
    <cellStyle name="20% - Accent4 4 2" xfId="104"/>
    <cellStyle name="20% - Accent4 4 2 2" xfId="722"/>
    <cellStyle name="20% - Accent4 4 3" xfId="721"/>
    <cellStyle name="20% - Accent4 5" xfId="105"/>
    <cellStyle name="20% - Accent4 5 2" xfId="106"/>
    <cellStyle name="20% - Accent4 5 2 2" xfId="724"/>
    <cellStyle name="20% - Accent4 5 3" xfId="723"/>
    <cellStyle name="20% - Accent4 6" xfId="107"/>
    <cellStyle name="20% - Accent4 6 2" xfId="108"/>
    <cellStyle name="20% - Accent4 6 2 2" xfId="726"/>
    <cellStyle name="20% - Accent4 6 3" xfId="725"/>
    <cellStyle name="20% - Accent4 7" xfId="109"/>
    <cellStyle name="20% - Accent4 7 2" xfId="727"/>
    <cellStyle name="20% - Accent4 8" xfId="1174"/>
    <cellStyle name="20% - Accent5 2" xfId="110"/>
    <cellStyle name="20% - Accent5 2 2" xfId="111"/>
    <cellStyle name="20% - Accent5 2 2 2" xfId="112"/>
    <cellStyle name="20% - Accent5 2 2 2 2" xfId="730"/>
    <cellStyle name="20% - Accent5 2 2 3" xfId="729"/>
    <cellStyle name="20% - Accent5 2 3" xfId="113"/>
    <cellStyle name="20% - Accent5 2 3 2" xfId="114"/>
    <cellStyle name="20% - Accent5 2 3 2 2" xfId="732"/>
    <cellStyle name="20% - Accent5 2 3 3" xfId="731"/>
    <cellStyle name="20% - Accent5 2 4" xfId="115"/>
    <cellStyle name="20% - Accent5 2 4 2" xfId="116"/>
    <cellStyle name="20% - Accent5 2 4 2 2" xfId="734"/>
    <cellStyle name="20% - Accent5 2 4 3" xfId="733"/>
    <cellStyle name="20% - Accent5 2 5" xfId="117"/>
    <cellStyle name="20% - Accent5 2 5 2" xfId="118"/>
    <cellStyle name="20% - Accent5 2 5 2 2" xfId="736"/>
    <cellStyle name="20% - Accent5 2 5 3" xfId="735"/>
    <cellStyle name="20% - Accent5 2 6" xfId="119"/>
    <cellStyle name="20% - Accent5 2 6 2" xfId="120"/>
    <cellStyle name="20% - Accent5 2 6 2 2" xfId="738"/>
    <cellStyle name="20% - Accent5 2 6 3" xfId="737"/>
    <cellStyle name="20% - Accent5 2 7" xfId="121"/>
    <cellStyle name="20% - Accent5 2 7 2" xfId="739"/>
    <cellStyle name="20% - Accent5 2 8" xfId="122"/>
    <cellStyle name="20% - Accent5 2 8 2" xfId="740"/>
    <cellStyle name="20% - Accent5 2 9" xfId="728"/>
    <cellStyle name="20% - Accent5 3" xfId="123"/>
    <cellStyle name="20% - Accent5 3 2" xfId="124"/>
    <cellStyle name="20% - Accent5 3 2 2" xfId="125"/>
    <cellStyle name="20% - Accent5 3 2 2 2" xfId="743"/>
    <cellStyle name="20% - Accent5 3 2 3" xfId="742"/>
    <cellStyle name="20% - Accent5 3 3" xfId="126"/>
    <cellStyle name="20% - Accent5 3 3 2" xfId="744"/>
    <cellStyle name="20% - Accent5 3 4" xfId="741"/>
    <cellStyle name="20% - Accent5 4" xfId="127"/>
    <cellStyle name="20% - Accent5 4 2" xfId="128"/>
    <cellStyle name="20% - Accent5 4 2 2" xfId="746"/>
    <cellStyle name="20% - Accent5 4 3" xfId="745"/>
    <cellStyle name="20% - Accent5 5" xfId="129"/>
    <cellStyle name="20% - Accent5 5 2" xfId="130"/>
    <cellStyle name="20% - Accent5 5 2 2" xfId="748"/>
    <cellStyle name="20% - Accent5 5 3" xfId="747"/>
    <cellStyle name="20% - Accent5 6" xfId="131"/>
    <cellStyle name="20% - Accent5 6 2" xfId="132"/>
    <cellStyle name="20% - Accent5 6 2 2" xfId="750"/>
    <cellStyle name="20% - Accent5 6 3" xfId="749"/>
    <cellStyle name="20% - Accent5 7" xfId="133"/>
    <cellStyle name="20% - Accent5 7 2" xfId="751"/>
    <cellStyle name="20% - Accent5 8" xfId="1175"/>
    <cellStyle name="20% - Accent6 2" xfId="134"/>
    <cellStyle name="20% - Accent6 2 2" xfId="135"/>
    <cellStyle name="20% - Accent6 2 2 2" xfId="136"/>
    <cellStyle name="20% - Accent6 2 2 2 2" xfId="754"/>
    <cellStyle name="20% - Accent6 2 2 3" xfId="753"/>
    <cellStyle name="20% - Accent6 2 3" xfId="137"/>
    <cellStyle name="20% - Accent6 2 3 2" xfId="138"/>
    <cellStyle name="20% - Accent6 2 3 2 2" xfId="756"/>
    <cellStyle name="20% - Accent6 2 3 3" xfId="755"/>
    <cellStyle name="20% - Accent6 2 4" xfId="139"/>
    <cellStyle name="20% - Accent6 2 4 2" xfId="140"/>
    <cellStyle name="20% - Accent6 2 4 2 2" xfId="758"/>
    <cellStyle name="20% - Accent6 2 4 3" xfId="757"/>
    <cellStyle name="20% - Accent6 2 5" xfId="141"/>
    <cellStyle name="20% - Accent6 2 5 2" xfId="142"/>
    <cellStyle name="20% - Accent6 2 5 2 2" xfId="760"/>
    <cellStyle name="20% - Accent6 2 5 3" xfId="759"/>
    <cellStyle name="20% - Accent6 2 6" xfId="143"/>
    <cellStyle name="20% - Accent6 2 6 2" xfId="144"/>
    <cellStyle name="20% - Accent6 2 6 2 2" xfId="762"/>
    <cellStyle name="20% - Accent6 2 6 3" xfId="761"/>
    <cellStyle name="20% - Accent6 2 7" xfId="145"/>
    <cellStyle name="20% - Accent6 2 7 2" xfId="763"/>
    <cellStyle name="20% - Accent6 2 8" xfId="146"/>
    <cellStyle name="20% - Accent6 2 8 2" xfId="764"/>
    <cellStyle name="20% - Accent6 2 9" xfId="752"/>
    <cellStyle name="20% - Accent6 3" xfId="147"/>
    <cellStyle name="20% - Accent6 3 2" xfId="148"/>
    <cellStyle name="20% - Accent6 3 2 2" xfId="149"/>
    <cellStyle name="20% - Accent6 3 2 2 2" xfId="767"/>
    <cellStyle name="20% - Accent6 3 2 3" xfId="766"/>
    <cellStyle name="20% - Accent6 3 3" xfId="150"/>
    <cellStyle name="20% - Accent6 3 3 2" xfId="768"/>
    <cellStyle name="20% - Accent6 3 4" xfId="765"/>
    <cellStyle name="20% - Accent6 4" xfId="151"/>
    <cellStyle name="20% - Accent6 4 2" xfId="152"/>
    <cellStyle name="20% - Accent6 4 2 2" xfId="770"/>
    <cellStyle name="20% - Accent6 4 3" xfId="769"/>
    <cellStyle name="20% - Accent6 5" xfId="153"/>
    <cellStyle name="20% - Accent6 5 2" xfId="154"/>
    <cellStyle name="20% - Accent6 5 2 2" xfId="772"/>
    <cellStyle name="20% - Accent6 5 3" xfId="771"/>
    <cellStyle name="20% - Accent6 6" xfId="155"/>
    <cellStyle name="20% - Accent6 6 2" xfId="156"/>
    <cellStyle name="20% - Accent6 6 2 2" xfId="774"/>
    <cellStyle name="20% - Accent6 6 3" xfId="773"/>
    <cellStyle name="20% - Accent6 7" xfId="157"/>
    <cellStyle name="20% - Accent6 7 2" xfId="775"/>
    <cellStyle name="20% - Accent6 8" xfId="1176"/>
    <cellStyle name="40% - Accent1 2" xfId="158"/>
    <cellStyle name="40% - Accent1 2 2" xfId="159"/>
    <cellStyle name="40% - Accent1 2 2 2" xfId="160"/>
    <cellStyle name="40% - Accent1 2 2 2 2" xfId="778"/>
    <cellStyle name="40% - Accent1 2 2 3" xfId="777"/>
    <cellStyle name="40% - Accent1 2 3" xfId="161"/>
    <cellStyle name="40% - Accent1 2 3 2" xfId="162"/>
    <cellStyle name="40% - Accent1 2 3 2 2" xfId="780"/>
    <cellStyle name="40% - Accent1 2 3 3" xfId="779"/>
    <cellStyle name="40% - Accent1 2 4" xfId="163"/>
    <cellStyle name="40% - Accent1 2 4 2" xfId="164"/>
    <cellStyle name="40% - Accent1 2 4 2 2" xfId="782"/>
    <cellStyle name="40% - Accent1 2 4 3" xfId="781"/>
    <cellStyle name="40% - Accent1 2 5" xfId="165"/>
    <cellStyle name="40% - Accent1 2 5 2" xfId="166"/>
    <cellStyle name="40% - Accent1 2 5 2 2" xfId="784"/>
    <cellStyle name="40% - Accent1 2 5 3" xfId="783"/>
    <cellStyle name="40% - Accent1 2 6" xfId="167"/>
    <cellStyle name="40% - Accent1 2 6 2" xfId="168"/>
    <cellStyle name="40% - Accent1 2 6 2 2" xfId="786"/>
    <cellStyle name="40% - Accent1 2 6 3" xfId="785"/>
    <cellStyle name="40% - Accent1 2 7" xfId="169"/>
    <cellStyle name="40% - Accent1 2 7 2" xfId="787"/>
    <cellStyle name="40% - Accent1 2 8" xfId="170"/>
    <cellStyle name="40% - Accent1 2 8 2" xfId="788"/>
    <cellStyle name="40% - Accent1 2 9" xfId="776"/>
    <cellStyle name="40% - Accent1 3" xfId="171"/>
    <cellStyle name="40% - Accent1 3 2" xfId="172"/>
    <cellStyle name="40% - Accent1 3 2 2" xfId="173"/>
    <cellStyle name="40% - Accent1 3 2 2 2" xfId="791"/>
    <cellStyle name="40% - Accent1 3 2 3" xfId="790"/>
    <cellStyle name="40% - Accent1 3 3" xfId="174"/>
    <cellStyle name="40% - Accent1 3 3 2" xfId="792"/>
    <cellStyle name="40% - Accent1 3 4" xfId="789"/>
    <cellStyle name="40% - Accent1 4" xfId="175"/>
    <cellStyle name="40% - Accent1 4 2" xfId="176"/>
    <cellStyle name="40% - Accent1 4 2 2" xfId="794"/>
    <cellStyle name="40% - Accent1 4 3" xfId="793"/>
    <cellStyle name="40% - Accent1 5" xfId="177"/>
    <cellStyle name="40% - Accent1 5 2" xfId="178"/>
    <cellStyle name="40% - Accent1 5 2 2" xfId="796"/>
    <cellStyle name="40% - Accent1 5 3" xfId="795"/>
    <cellStyle name="40% - Accent1 6" xfId="179"/>
    <cellStyle name="40% - Accent1 6 2" xfId="180"/>
    <cellStyle name="40% - Accent1 6 2 2" xfId="798"/>
    <cellStyle name="40% - Accent1 6 3" xfId="797"/>
    <cellStyle name="40% - Accent1 7" xfId="181"/>
    <cellStyle name="40% - Accent1 7 2" xfId="799"/>
    <cellStyle name="40% - Accent1 8" xfId="1177"/>
    <cellStyle name="40% - Accent2 2" xfId="182"/>
    <cellStyle name="40% - Accent2 2 2" xfId="183"/>
    <cellStyle name="40% - Accent2 2 2 2" xfId="184"/>
    <cellStyle name="40% - Accent2 2 2 2 2" xfId="802"/>
    <cellStyle name="40% - Accent2 2 2 3" xfId="801"/>
    <cellStyle name="40% - Accent2 2 3" xfId="185"/>
    <cellStyle name="40% - Accent2 2 3 2" xfId="186"/>
    <cellStyle name="40% - Accent2 2 3 2 2" xfId="804"/>
    <cellStyle name="40% - Accent2 2 3 3" xfId="803"/>
    <cellStyle name="40% - Accent2 2 4" xfId="187"/>
    <cellStyle name="40% - Accent2 2 4 2" xfId="188"/>
    <cellStyle name="40% - Accent2 2 4 2 2" xfId="806"/>
    <cellStyle name="40% - Accent2 2 4 3" xfId="805"/>
    <cellStyle name="40% - Accent2 2 5" xfId="189"/>
    <cellStyle name="40% - Accent2 2 5 2" xfId="190"/>
    <cellStyle name="40% - Accent2 2 5 2 2" xfId="808"/>
    <cellStyle name="40% - Accent2 2 5 3" xfId="807"/>
    <cellStyle name="40% - Accent2 2 6" xfId="191"/>
    <cellStyle name="40% - Accent2 2 6 2" xfId="192"/>
    <cellStyle name="40% - Accent2 2 6 2 2" xfId="810"/>
    <cellStyle name="40% - Accent2 2 6 3" xfId="809"/>
    <cellStyle name="40% - Accent2 2 7" xfId="193"/>
    <cellStyle name="40% - Accent2 2 7 2" xfId="811"/>
    <cellStyle name="40% - Accent2 2 8" xfId="194"/>
    <cellStyle name="40% - Accent2 2 8 2" xfId="812"/>
    <cellStyle name="40% - Accent2 2 9" xfId="800"/>
    <cellStyle name="40% - Accent2 3" xfId="195"/>
    <cellStyle name="40% - Accent2 3 2" xfId="196"/>
    <cellStyle name="40% - Accent2 3 2 2" xfId="197"/>
    <cellStyle name="40% - Accent2 3 2 2 2" xfId="815"/>
    <cellStyle name="40% - Accent2 3 2 3" xfId="814"/>
    <cellStyle name="40% - Accent2 3 3" xfId="198"/>
    <cellStyle name="40% - Accent2 3 3 2" xfId="816"/>
    <cellStyle name="40% - Accent2 3 4" xfId="813"/>
    <cellStyle name="40% - Accent2 4" xfId="199"/>
    <cellStyle name="40% - Accent2 4 2" xfId="200"/>
    <cellStyle name="40% - Accent2 4 2 2" xfId="818"/>
    <cellStyle name="40% - Accent2 4 3" xfId="817"/>
    <cellStyle name="40% - Accent2 5" xfId="201"/>
    <cellStyle name="40% - Accent2 5 2" xfId="202"/>
    <cellStyle name="40% - Accent2 5 2 2" xfId="820"/>
    <cellStyle name="40% - Accent2 5 3" xfId="819"/>
    <cellStyle name="40% - Accent2 6" xfId="203"/>
    <cellStyle name="40% - Accent2 6 2" xfId="204"/>
    <cellStyle name="40% - Accent2 6 2 2" xfId="822"/>
    <cellStyle name="40% - Accent2 6 3" xfId="821"/>
    <cellStyle name="40% - Accent2 7" xfId="205"/>
    <cellStyle name="40% - Accent2 7 2" xfId="823"/>
    <cellStyle name="40% - Accent2 8" xfId="1178"/>
    <cellStyle name="40% - Accent3 2" xfId="206"/>
    <cellStyle name="40% - Accent3 2 2" xfId="207"/>
    <cellStyle name="40% - Accent3 2 2 2" xfId="208"/>
    <cellStyle name="40% - Accent3 2 2 2 2" xfId="826"/>
    <cellStyle name="40% - Accent3 2 2 3" xfId="825"/>
    <cellStyle name="40% - Accent3 2 3" xfId="209"/>
    <cellStyle name="40% - Accent3 2 3 2" xfId="210"/>
    <cellStyle name="40% - Accent3 2 3 2 2" xfId="828"/>
    <cellStyle name="40% - Accent3 2 3 3" xfId="827"/>
    <cellStyle name="40% - Accent3 2 4" xfId="211"/>
    <cellStyle name="40% - Accent3 2 4 2" xfId="212"/>
    <cellStyle name="40% - Accent3 2 4 2 2" xfId="830"/>
    <cellStyle name="40% - Accent3 2 4 3" xfId="829"/>
    <cellStyle name="40% - Accent3 2 5" xfId="213"/>
    <cellStyle name="40% - Accent3 2 5 2" xfId="214"/>
    <cellStyle name="40% - Accent3 2 5 2 2" xfId="832"/>
    <cellStyle name="40% - Accent3 2 5 3" xfId="831"/>
    <cellStyle name="40% - Accent3 2 6" xfId="215"/>
    <cellStyle name="40% - Accent3 2 6 2" xfId="216"/>
    <cellStyle name="40% - Accent3 2 6 2 2" xfId="834"/>
    <cellStyle name="40% - Accent3 2 6 3" xfId="833"/>
    <cellStyle name="40% - Accent3 2 7" xfId="217"/>
    <cellStyle name="40% - Accent3 2 7 2" xfId="835"/>
    <cellStyle name="40% - Accent3 2 8" xfId="218"/>
    <cellStyle name="40% - Accent3 2 8 2" xfId="836"/>
    <cellStyle name="40% - Accent3 2 9" xfId="824"/>
    <cellStyle name="40% - Accent3 3" xfId="219"/>
    <cellStyle name="40% - Accent3 3 2" xfId="220"/>
    <cellStyle name="40% - Accent3 3 2 2" xfId="221"/>
    <cellStyle name="40% - Accent3 3 2 2 2" xfId="839"/>
    <cellStyle name="40% - Accent3 3 2 3" xfId="838"/>
    <cellStyle name="40% - Accent3 3 3" xfId="222"/>
    <cellStyle name="40% - Accent3 3 3 2" xfId="840"/>
    <cellStyle name="40% - Accent3 3 4" xfId="837"/>
    <cellStyle name="40% - Accent3 4" xfId="223"/>
    <cellStyle name="40% - Accent3 4 2" xfId="224"/>
    <cellStyle name="40% - Accent3 4 2 2" xfId="842"/>
    <cellStyle name="40% - Accent3 4 3" xfId="841"/>
    <cellStyle name="40% - Accent3 5" xfId="225"/>
    <cellStyle name="40% - Accent3 5 2" xfId="226"/>
    <cellStyle name="40% - Accent3 5 2 2" xfId="844"/>
    <cellStyle name="40% - Accent3 5 3" xfId="843"/>
    <cellStyle name="40% - Accent3 6" xfId="227"/>
    <cellStyle name="40% - Accent3 6 2" xfId="228"/>
    <cellStyle name="40% - Accent3 6 2 2" xfId="846"/>
    <cellStyle name="40% - Accent3 6 3" xfId="845"/>
    <cellStyle name="40% - Accent3 7" xfId="229"/>
    <cellStyle name="40% - Accent3 7 2" xfId="847"/>
    <cellStyle name="40% - Accent3 8" xfId="1179"/>
    <cellStyle name="40% - Accent4 2" xfId="230"/>
    <cellStyle name="40% - Accent4 2 2" xfId="231"/>
    <cellStyle name="40% - Accent4 2 2 2" xfId="232"/>
    <cellStyle name="40% - Accent4 2 2 2 2" xfId="850"/>
    <cellStyle name="40% - Accent4 2 2 3" xfId="849"/>
    <cellStyle name="40% - Accent4 2 3" xfId="233"/>
    <cellStyle name="40% - Accent4 2 3 2" xfId="234"/>
    <cellStyle name="40% - Accent4 2 3 2 2" xfId="852"/>
    <cellStyle name="40% - Accent4 2 3 3" xfId="851"/>
    <cellStyle name="40% - Accent4 2 4" xfId="235"/>
    <cellStyle name="40% - Accent4 2 4 2" xfId="236"/>
    <cellStyle name="40% - Accent4 2 4 2 2" xfId="854"/>
    <cellStyle name="40% - Accent4 2 4 3" xfId="853"/>
    <cellStyle name="40% - Accent4 2 5" xfId="237"/>
    <cellStyle name="40% - Accent4 2 5 2" xfId="238"/>
    <cellStyle name="40% - Accent4 2 5 2 2" xfId="856"/>
    <cellStyle name="40% - Accent4 2 5 3" xfId="855"/>
    <cellStyle name="40% - Accent4 2 6" xfId="239"/>
    <cellStyle name="40% - Accent4 2 6 2" xfId="240"/>
    <cellStyle name="40% - Accent4 2 6 2 2" xfId="858"/>
    <cellStyle name="40% - Accent4 2 6 3" xfId="857"/>
    <cellStyle name="40% - Accent4 2 7" xfId="241"/>
    <cellStyle name="40% - Accent4 2 7 2" xfId="859"/>
    <cellStyle name="40% - Accent4 2 8" xfId="242"/>
    <cellStyle name="40% - Accent4 2 8 2" xfId="860"/>
    <cellStyle name="40% - Accent4 2 9" xfId="848"/>
    <cellStyle name="40% - Accent4 3" xfId="243"/>
    <cellStyle name="40% - Accent4 3 2" xfId="244"/>
    <cellStyle name="40% - Accent4 3 2 2" xfId="245"/>
    <cellStyle name="40% - Accent4 3 2 2 2" xfId="863"/>
    <cellStyle name="40% - Accent4 3 2 3" xfId="862"/>
    <cellStyle name="40% - Accent4 3 3" xfId="246"/>
    <cellStyle name="40% - Accent4 3 3 2" xfId="864"/>
    <cellStyle name="40% - Accent4 3 4" xfId="861"/>
    <cellStyle name="40% - Accent4 4" xfId="247"/>
    <cellStyle name="40% - Accent4 4 2" xfId="248"/>
    <cellStyle name="40% - Accent4 4 2 2" xfId="866"/>
    <cellStyle name="40% - Accent4 4 3" xfId="865"/>
    <cellStyle name="40% - Accent4 5" xfId="249"/>
    <cellStyle name="40% - Accent4 5 2" xfId="250"/>
    <cellStyle name="40% - Accent4 5 2 2" xfId="868"/>
    <cellStyle name="40% - Accent4 5 3" xfId="867"/>
    <cellStyle name="40% - Accent4 6" xfId="251"/>
    <cellStyle name="40% - Accent4 6 2" xfId="252"/>
    <cellStyle name="40% - Accent4 6 2 2" xfId="870"/>
    <cellStyle name="40% - Accent4 6 3" xfId="869"/>
    <cellStyle name="40% - Accent4 7" xfId="253"/>
    <cellStyle name="40% - Accent4 7 2" xfId="871"/>
    <cellStyle name="40% - Accent4 8" xfId="1180"/>
    <cellStyle name="40% - Accent5 2" xfId="254"/>
    <cellStyle name="40% - Accent5 2 2" xfId="255"/>
    <cellStyle name="40% - Accent5 2 2 2" xfId="256"/>
    <cellStyle name="40% - Accent5 2 2 2 2" xfId="874"/>
    <cellStyle name="40% - Accent5 2 2 3" xfId="873"/>
    <cellStyle name="40% - Accent5 2 3" xfId="257"/>
    <cellStyle name="40% - Accent5 2 3 2" xfId="258"/>
    <cellStyle name="40% - Accent5 2 3 2 2" xfId="876"/>
    <cellStyle name="40% - Accent5 2 3 3" xfId="875"/>
    <cellStyle name="40% - Accent5 2 4" xfId="259"/>
    <cellStyle name="40% - Accent5 2 4 2" xfId="260"/>
    <cellStyle name="40% - Accent5 2 4 2 2" xfId="878"/>
    <cellStyle name="40% - Accent5 2 4 3" xfId="877"/>
    <cellStyle name="40% - Accent5 2 5" xfId="261"/>
    <cellStyle name="40% - Accent5 2 5 2" xfId="262"/>
    <cellStyle name="40% - Accent5 2 5 2 2" xfId="880"/>
    <cellStyle name="40% - Accent5 2 5 3" xfId="879"/>
    <cellStyle name="40% - Accent5 2 6" xfId="263"/>
    <cellStyle name="40% - Accent5 2 6 2" xfId="264"/>
    <cellStyle name="40% - Accent5 2 6 2 2" xfId="882"/>
    <cellStyle name="40% - Accent5 2 6 3" xfId="881"/>
    <cellStyle name="40% - Accent5 2 7" xfId="265"/>
    <cellStyle name="40% - Accent5 2 7 2" xfId="883"/>
    <cellStyle name="40% - Accent5 2 8" xfId="266"/>
    <cellStyle name="40% - Accent5 2 8 2" xfId="884"/>
    <cellStyle name="40% - Accent5 2 9" xfId="872"/>
    <cellStyle name="40% - Accent5 3" xfId="267"/>
    <cellStyle name="40% - Accent5 3 2" xfId="268"/>
    <cellStyle name="40% - Accent5 3 2 2" xfId="269"/>
    <cellStyle name="40% - Accent5 3 2 2 2" xfId="887"/>
    <cellStyle name="40% - Accent5 3 2 3" xfId="886"/>
    <cellStyle name="40% - Accent5 3 3" xfId="270"/>
    <cellStyle name="40% - Accent5 3 3 2" xfId="888"/>
    <cellStyle name="40% - Accent5 3 4" xfId="885"/>
    <cellStyle name="40% - Accent5 4" xfId="271"/>
    <cellStyle name="40% - Accent5 4 2" xfId="272"/>
    <cellStyle name="40% - Accent5 4 2 2" xfId="890"/>
    <cellStyle name="40% - Accent5 4 3" xfId="889"/>
    <cellStyle name="40% - Accent5 5" xfId="273"/>
    <cellStyle name="40% - Accent5 5 2" xfId="274"/>
    <cellStyle name="40% - Accent5 5 2 2" xfId="892"/>
    <cellStyle name="40% - Accent5 5 3" xfId="891"/>
    <cellStyle name="40% - Accent5 6" xfId="275"/>
    <cellStyle name="40% - Accent5 6 2" xfId="276"/>
    <cellStyle name="40% - Accent5 6 2 2" xfId="894"/>
    <cellStyle name="40% - Accent5 6 3" xfId="893"/>
    <cellStyle name="40% - Accent5 7" xfId="277"/>
    <cellStyle name="40% - Accent5 7 2" xfId="895"/>
    <cellStyle name="40% - Accent5 8" xfId="1181"/>
    <cellStyle name="40% - Accent6 2" xfId="278"/>
    <cellStyle name="40% - Accent6 2 2" xfId="279"/>
    <cellStyle name="40% - Accent6 2 2 2" xfId="280"/>
    <cellStyle name="40% - Accent6 2 2 2 2" xfId="898"/>
    <cellStyle name="40% - Accent6 2 2 3" xfId="897"/>
    <cellStyle name="40% - Accent6 2 3" xfId="281"/>
    <cellStyle name="40% - Accent6 2 3 2" xfId="282"/>
    <cellStyle name="40% - Accent6 2 3 2 2" xfId="900"/>
    <cellStyle name="40% - Accent6 2 3 3" xfId="899"/>
    <cellStyle name="40% - Accent6 2 4" xfId="283"/>
    <cellStyle name="40% - Accent6 2 4 2" xfId="284"/>
    <cellStyle name="40% - Accent6 2 4 2 2" xfId="902"/>
    <cellStyle name="40% - Accent6 2 4 3" xfId="901"/>
    <cellStyle name="40% - Accent6 2 5" xfId="285"/>
    <cellStyle name="40% - Accent6 2 5 2" xfId="286"/>
    <cellStyle name="40% - Accent6 2 5 2 2" xfId="904"/>
    <cellStyle name="40% - Accent6 2 5 3" xfId="903"/>
    <cellStyle name="40% - Accent6 2 6" xfId="287"/>
    <cellStyle name="40% - Accent6 2 6 2" xfId="288"/>
    <cellStyle name="40% - Accent6 2 6 2 2" xfId="906"/>
    <cellStyle name="40% - Accent6 2 6 3" xfId="905"/>
    <cellStyle name="40% - Accent6 2 7" xfId="289"/>
    <cellStyle name="40% - Accent6 2 7 2" xfId="907"/>
    <cellStyle name="40% - Accent6 2 8" xfId="290"/>
    <cellStyle name="40% - Accent6 2 8 2" xfId="908"/>
    <cellStyle name="40% - Accent6 2 9" xfId="896"/>
    <cellStyle name="40% - Accent6 3" xfId="291"/>
    <cellStyle name="40% - Accent6 3 2" xfId="292"/>
    <cellStyle name="40% - Accent6 3 2 2" xfId="293"/>
    <cellStyle name="40% - Accent6 3 2 2 2" xfId="911"/>
    <cellStyle name="40% - Accent6 3 2 3" xfId="910"/>
    <cellStyle name="40% - Accent6 3 3" xfId="294"/>
    <cellStyle name="40% - Accent6 3 3 2" xfId="912"/>
    <cellStyle name="40% - Accent6 3 4" xfId="909"/>
    <cellStyle name="40% - Accent6 4" xfId="295"/>
    <cellStyle name="40% - Accent6 4 2" xfId="296"/>
    <cellStyle name="40% - Accent6 4 2 2" xfId="914"/>
    <cellStyle name="40% - Accent6 4 3" xfId="913"/>
    <cellStyle name="40% - Accent6 5" xfId="297"/>
    <cellStyle name="40% - Accent6 5 2" xfId="298"/>
    <cellStyle name="40% - Accent6 5 2 2" xfId="916"/>
    <cellStyle name="40% - Accent6 5 3" xfId="915"/>
    <cellStyle name="40% - Accent6 6" xfId="299"/>
    <cellStyle name="40% - Accent6 6 2" xfId="300"/>
    <cellStyle name="40% - Accent6 6 2 2" xfId="918"/>
    <cellStyle name="40% - Accent6 6 3" xfId="917"/>
    <cellStyle name="40% - Accent6 7" xfId="301"/>
    <cellStyle name="40% - Accent6 7 2" xfId="919"/>
    <cellStyle name="40% - Accent6 8" xfId="1182"/>
    <cellStyle name="60% - Accent1 2" xfId="302"/>
    <cellStyle name="60% - Accent1 3" xfId="1183"/>
    <cellStyle name="60% - Accent2 2" xfId="303"/>
    <cellStyle name="60% - Accent2 3" xfId="1184"/>
    <cellStyle name="60% - Accent3 2" xfId="304"/>
    <cellStyle name="60% - Accent3 3" xfId="1185"/>
    <cellStyle name="60% - Accent4 2" xfId="305"/>
    <cellStyle name="60% - Accent4 3" xfId="1186"/>
    <cellStyle name="60% - Accent5 2" xfId="306"/>
    <cellStyle name="60% - Accent5 3" xfId="1187"/>
    <cellStyle name="60% - Accent6 2" xfId="307"/>
    <cellStyle name="60% - Accent6 3" xfId="1188"/>
    <cellStyle name="Accent1 2" xfId="308"/>
    <cellStyle name="Accent1 3" xfId="1189"/>
    <cellStyle name="Accent2 2" xfId="309"/>
    <cellStyle name="Accent2 3" xfId="1190"/>
    <cellStyle name="Accent3 2" xfId="310"/>
    <cellStyle name="Accent3 3" xfId="1191"/>
    <cellStyle name="Accent4 2" xfId="311"/>
    <cellStyle name="Accent4 3" xfId="1192"/>
    <cellStyle name="Accent5 2" xfId="312"/>
    <cellStyle name="Accent5 3" xfId="1193"/>
    <cellStyle name="Accent6 2" xfId="313"/>
    <cellStyle name="Accent6 3" xfId="1194"/>
    <cellStyle name="Bad 2" xfId="314"/>
    <cellStyle name="Bad 3" xfId="1195"/>
    <cellStyle name="Calculation 2" xfId="315"/>
    <cellStyle name="Calculation 3" xfId="1196"/>
    <cellStyle name="Check Cell 2" xfId="316"/>
    <cellStyle name="Check Cell 3" xfId="1197"/>
    <cellStyle name="Comma" xfId="1" builtinId="3"/>
    <cellStyle name="Comma 10" xfId="317"/>
    <cellStyle name="Comma 11" xfId="318"/>
    <cellStyle name="Comma 11 2" xfId="1217"/>
    <cellStyle name="Comma 12" xfId="319"/>
    <cellStyle name="Comma 12 2" xfId="320"/>
    <cellStyle name="Comma 12 2 2" xfId="321"/>
    <cellStyle name="Comma 12 2 2 2" xfId="922"/>
    <cellStyle name="Comma 12 2 3" xfId="921"/>
    <cellStyle name="Comma 12 3" xfId="322"/>
    <cellStyle name="Comma 12 3 2" xfId="323"/>
    <cellStyle name="Comma 12 3 2 2" xfId="924"/>
    <cellStyle name="Comma 12 3 3" xfId="923"/>
    <cellStyle name="Comma 12 4" xfId="324"/>
    <cellStyle name="Comma 12 4 2" xfId="925"/>
    <cellStyle name="Comma 12 5" xfId="325"/>
    <cellStyle name="Comma 12 5 2" xfId="926"/>
    <cellStyle name="Comma 12 6" xfId="920"/>
    <cellStyle name="Comma 13" xfId="326"/>
    <cellStyle name="Comma 13 2" xfId="1226"/>
    <cellStyle name="Comma 14" xfId="10"/>
    <cellStyle name="Comma 14 2" xfId="1167"/>
    <cellStyle name="Comma 15" xfId="628"/>
    <cellStyle name="Comma 2" xfId="6"/>
    <cellStyle name="Comma 2 2" xfId="328"/>
    <cellStyle name="Comma 2 2 2" xfId="329"/>
    <cellStyle name="Comma 2 2 2 2" xfId="330"/>
    <cellStyle name="Comma 2 2 2 2 2" xfId="930"/>
    <cellStyle name="Comma 2 2 2 3" xfId="331"/>
    <cellStyle name="Comma 2 2 2 3 2" xfId="931"/>
    <cellStyle name="Comma 2 2 2 4" xfId="929"/>
    <cellStyle name="Comma 2 2 3" xfId="332"/>
    <cellStyle name="Comma 2 2 3 2" xfId="333"/>
    <cellStyle name="Comma 2 2 3 2 2" xfId="933"/>
    <cellStyle name="Comma 2 2 3 3" xfId="334"/>
    <cellStyle name="Comma 2 2 3 3 2" xfId="934"/>
    <cellStyle name="Comma 2 2 3 4" xfId="932"/>
    <cellStyle name="Comma 2 2 4" xfId="335"/>
    <cellStyle name="Comma 2 2 4 2" xfId="935"/>
    <cellStyle name="Comma 2 2 5" xfId="336"/>
    <cellStyle name="Comma 2 2 5 2" xfId="936"/>
    <cellStyle name="Comma 2 2 6" xfId="928"/>
    <cellStyle name="Comma 2 3" xfId="337"/>
    <cellStyle name="Comma 2 3 2" xfId="338"/>
    <cellStyle name="Comma 2 3 2 2" xfId="938"/>
    <cellStyle name="Comma 2 3 3" xfId="339"/>
    <cellStyle name="Comma 2 3 3 2" xfId="939"/>
    <cellStyle name="Comma 2 3 4" xfId="340"/>
    <cellStyle name="Comma 2 3 4 2" xfId="940"/>
    <cellStyle name="Comma 2 3 5" xfId="937"/>
    <cellStyle name="Comma 2 4" xfId="341"/>
    <cellStyle name="Comma 2 4 2" xfId="342"/>
    <cellStyle name="Comma 2 4 2 2" xfId="942"/>
    <cellStyle name="Comma 2 4 3" xfId="343"/>
    <cellStyle name="Comma 2 4 3 2" xfId="943"/>
    <cellStyle name="Comma 2 4 4" xfId="941"/>
    <cellStyle name="Comma 2 5" xfId="344"/>
    <cellStyle name="Comma 2 5 2" xfId="345"/>
    <cellStyle name="Comma 2 5 2 2" xfId="945"/>
    <cellStyle name="Comma 2 5 3" xfId="346"/>
    <cellStyle name="Comma 2 5 3 2" xfId="946"/>
    <cellStyle name="Comma 2 5 4" xfId="944"/>
    <cellStyle name="Comma 2 6" xfId="347"/>
    <cellStyle name="Comma 2 6 2" xfId="947"/>
    <cellStyle name="Comma 2 7" xfId="348"/>
    <cellStyle name="Comma 2 7 2" xfId="948"/>
    <cellStyle name="Comma 2 8" xfId="327"/>
    <cellStyle name="Comma 2 8 2" xfId="1198"/>
    <cellStyle name="Comma 2 9" xfId="927"/>
    <cellStyle name="Comma 3" xfId="349"/>
    <cellStyle name="Comma 4" xfId="350"/>
    <cellStyle name="Comma 4 2" xfId="351"/>
    <cellStyle name="Comma 4 2 2" xfId="352"/>
    <cellStyle name="Comma 4 2 2 2" xfId="951"/>
    <cellStyle name="Comma 4 2 3" xfId="950"/>
    <cellStyle name="Comma 4 3" xfId="353"/>
    <cellStyle name="Comma 4 3 2" xfId="354"/>
    <cellStyle name="Comma 4 3 2 2" xfId="953"/>
    <cellStyle name="Comma 4 3 3" xfId="952"/>
    <cellStyle name="Comma 4 4" xfId="355"/>
    <cellStyle name="Comma 4 4 2" xfId="954"/>
    <cellStyle name="Comma 4 5" xfId="356"/>
    <cellStyle name="Comma 4 5 2" xfId="955"/>
    <cellStyle name="Comma 4 6" xfId="949"/>
    <cellStyle name="Comma 5" xfId="357"/>
    <cellStyle name="Comma 5 2" xfId="358"/>
    <cellStyle name="Comma 5 2 2" xfId="359"/>
    <cellStyle name="Comma 5 2 2 2" xfId="958"/>
    <cellStyle name="Comma 5 2 3" xfId="957"/>
    <cellStyle name="Comma 5 3" xfId="360"/>
    <cellStyle name="Comma 5 3 2" xfId="361"/>
    <cellStyle name="Comma 5 3 2 2" xfId="960"/>
    <cellStyle name="Comma 5 3 3" xfId="959"/>
    <cellStyle name="Comma 5 4" xfId="362"/>
    <cellStyle name="Comma 5 4 2" xfId="961"/>
    <cellStyle name="Comma 5 5" xfId="363"/>
    <cellStyle name="Comma 5 5 2" xfId="962"/>
    <cellStyle name="Comma 5 6" xfId="956"/>
    <cellStyle name="Comma 6" xfId="364"/>
    <cellStyle name="Comma 6 2" xfId="365"/>
    <cellStyle name="Comma 6 2 2" xfId="366"/>
    <cellStyle name="Comma 6 2 2 2" xfId="965"/>
    <cellStyle name="Comma 6 2 3" xfId="964"/>
    <cellStyle name="Comma 6 3" xfId="367"/>
    <cellStyle name="Comma 6 3 2" xfId="368"/>
    <cellStyle name="Comma 6 3 2 2" xfId="967"/>
    <cellStyle name="Comma 6 3 3" xfId="966"/>
    <cellStyle name="Comma 6 4" xfId="369"/>
    <cellStyle name="Comma 6 4 2" xfId="968"/>
    <cellStyle name="Comma 6 5" xfId="370"/>
    <cellStyle name="Comma 6 5 2" xfId="969"/>
    <cellStyle name="Comma 6 6" xfId="963"/>
    <cellStyle name="Comma 7" xfId="371"/>
    <cellStyle name="Comma 7 2" xfId="1218"/>
    <cellStyle name="Comma 8" xfId="372"/>
    <cellStyle name="Comma 8 2" xfId="373"/>
    <cellStyle name="Comma 8 2 2" xfId="374"/>
    <cellStyle name="Comma 8 2 2 2" xfId="972"/>
    <cellStyle name="Comma 8 2 3" xfId="971"/>
    <cellStyle name="Comma 8 3" xfId="375"/>
    <cellStyle name="Comma 8 3 2" xfId="376"/>
    <cellStyle name="Comma 8 3 2 2" xfId="974"/>
    <cellStyle name="Comma 8 3 3" xfId="973"/>
    <cellStyle name="Comma 8 4" xfId="377"/>
    <cellStyle name="Comma 8 4 2" xfId="975"/>
    <cellStyle name="Comma 8 5" xfId="378"/>
    <cellStyle name="Comma 8 5 2" xfId="976"/>
    <cellStyle name="Comma 8 6" xfId="970"/>
    <cellStyle name="Comma 9" xfId="379"/>
    <cellStyle name="Comma 9 2" xfId="380"/>
    <cellStyle name="Comma 9 2 2" xfId="381"/>
    <cellStyle name="Comma 9 2 2 2" xfId="979"/>
    <cellStyle name="Comma 9 2 3" xfId="978"/>
    <cellStyle name="Comma 9 3" xfId="382"/>
    <cellStyle name="Comma 9 3 2" xfId="383"/>
    <cellStyle name="Comma 9 3 2 2" xfId="981"/>
    <cellStyle name="Comma 9 3 3" xfId="980"/>
    <cellStyle name="Comma 9 4" xfId="384"/>
    <cellStyle name="Comma 9 4 2" xfId="982"/>
    <cellStyle name="Comma 9 5" xfId="385"/>
    <cellStyle name="Comma 9 5 2" xfId="983"/>
    <cellStyle name="Comma 9 6" xfId="977"/>
    <cellStyle name="Currency" xfId="2" builtinId="4"/>
    <cellStyle name="Currency 2" xfId="5"/>
    <cellStyle name="Currency 3" xfId="386"/>
    <cellStyle name="Currency 4" xfId="11"/>
    <cellStyle name="Currency 4 2" xfId="1168"/>
    <cellStyle name="Currency 5" xfId="629"/>
    <cellStyle name="Explanatory Text 2" xfId="387"/>
    <cellStyle name="Explanatory Text 3" xfId="1199"/>
    <cellStyle name="Good 2" xfId="388"/>
    <cellStyle name="Good 3" xfId="1200"/>
    <cellStyle name="Heading 1 2" xfId="389"/>
    <cellStyle name="Heading 1 3" xfId="1201"/>
    <cellStyle name="Heading 2 2" xfId="390"/>
    <cellStyle name="Heading 2 3" xfId="1202"/>
    <cellStyle name="Heading 3 2" xfId="391"/>
    <cellStyle name="Heading 3 3" xfId="1203"/>
    <cellStyle name="Heading 4 2" xfId="392"/>
    <cellStyle name="Heading 4 3" xfId="1204"/>
    <cellStyle name="Input 2" xfId="393"/>
    <cellStyle name="Input 3" xfId="1205"/>
    <cellStyle name="Linked Cell 2" xfId="394"/>
    <cellStyle name="Linked Cell 3" xfId="1206"/>
    <cellStyle name="Neutral 2" xfId="395"/>
    <cellStyle name="Neutral 3" xfId="1207"/>
    <cellStyle name="Normal" xfId="0" builtinId="0"/>
    <cellStyle name="Normal 10" xfId="396"/>
    <cellStyle name="Normal 10 2" xfId="397"/>
    <cellStyle name="Normal 10 2 2" xfId="398"/>
    <cellStyle name="Normal 10 2 2 2" xfId="986"/>
    <cellStyle name="Normal 10 2 3" xfId="985"/>
    <cellStyle name="Normal 10 3" xfId="399"/>
    <cellStyle name="Normal 10 3 2" xfId="400"/>
    <cellStyle name="Normal 10 3 2 2" xfId="988"/>
    <cellStyle name="Normal 10 3 3" xfId="987"/>
    <cellStyle name="Normal 10 4" xfId="401"/>
    <cellStyle name="Normal 10 4 2" xfId="989"/>
    <cellStyle name="Normal 10 5" xfId="402"/>
    <cellStyle name="Normal 10 5 2" xfId="990"/>
    <cellStyle name="Normal 10 6" xfId="984"/>
    <cellStyle name="Normal 11" xfId="403"/>
    <cellStyle name="Normal 11 2" xfId="404"/>
    <cellStyle name="Normal 11 2 2" xfId="405"/>
    <cellStyle name="Normal 11 2 2 2" xfId="993"/>
    <cellStyle name="Normal 11 2 3" xfId="992"/>
    <cellStyle name="Normal 11 3" xfId="406"/>
    <cellStyle name="Normal 11 3 2" xfId="407"/>
    <cellStyle name="Normal 11 3 2 2" xfId="995"/>
    <cellStyle name="Normal 11 3 3" xfId="994"/>
    <cellStyle name="Normal 11 4" xfId="408"/>
    <cellStyle name="Normal 11 4 2" xfId="996"/>
    <cellStyle name="Normal 11 5" xfId="409"/>
    <cellStyle name="Normal 11 5 2" xfId="997"/>
    <cellStyle name="Normal 11 6" xfId="991"/>
    <cellStyle name="Normal 12" xfId="410"/>
    <cellStyle name="Normal 12 2" xfId="1170"/>
    <cellStyle name="Normal 13" xfId="411"/>
    <cellStyle name="Normal 13 2" xfId="412"/>
    <cellStyle name="Normal 13 2 2" xfId="413"/>
    <cellStyle name="Normal 13 2 2 2" xfId="1000"/>
    <cellStyle name="Normal 13 2 3" xfId="999"/>
    <cellStyle name="Normal 13 3" xfId="414"/>
    <cellStyle name="Normal 13 3 2" xfId="415"/>
    <cellStyle name="Normal 13 3 2 2" xfId="1002"/>
    <cellStyle name="Normal 13 3 3" xfId="1001"/>
    <cellStyle name="Normal 13 4" xfId="416"/>
    <cellStyle name="Normal 13 4 2" xfId="1003"/>
    <cellStyle name="Normal 13 5" xfId="417"/>
    <cellStyle name="Normal 13 5 2" xfId="1004"/>
    <cellStyle name="Normal 13 6" xfId="998"/>
    <cellStyle name="Normal 14" xfId="418"/>
    <cellStyle name="Normal 14 2" xfId="419"/>
    <cellStyle name="Normal 14 2 2" xfId="420"/>
    <cellStyle name="Normal 14 2 2 2" xfId="1007"/>
    <cellStyle name="Normal 14 2 3" xfId="1006"/>
    <cellStyle name="Normal 14 3" xfId="421"/>
    <cellStyle name="Normal 14 3 2" xfId="422"/>
    <cellStyle name="Normal 14 3 2 2" xfId="1009"/>
    <cellStyle name="Normal 14 3 3" xfId="1008"/>
    <cellStyle name="Normal 14 4" xfId="423"/>
    <cellStyle name="Normal 14 4 2" xfId="1010"/>
    <cellStyle name="Normal 14 5" xfId="424"/>
    <cellStyle name="Normal 14 5 2" xfId="1011"/>
    <cellStyle name="Normal 14 6" xfId="1005"/>
    <cellStyle name="Normal 15" xfId="425"/>
    <cellStyle name="Normal 15 2" xfId="1219"/>
    <cellStyle name="Normal 16" xfId="426"/>
    <cellStyle name="Normal 16 2" xfId="1220"/>
    <cellStyle name="Normal 17" xfId="427"/>
    <cellStyle name="Normal 17 2" xfId="428"/>
    <cellStyle name="Normal 17 2 2" xfId="429"/>
    <cellStyle name="Normal 17 2 2 2" xfId="1014"/>
    <cellStyle name="Normal 17 2 3" xfId="1013"/>
    <cellStyle name="Normal 17 3" xfId="430"/>
    <cellStyle name="Normal 17 3 2" xfId="431"/>
    <cellStyle name="Normal 17 3 2 2" xfId="1016"/>
    <cellStyle name="Normal 17 3 3" xfId="1015"/>
    <cellStyle name="Normal 17 4" xfId="432"/>
    <cellStyle name="Normal 17 4 2" xfId="1017"/>
    <cellStyle name="Normal 17 5" xfId="433"/>
    <cellStyle name="Normal 17 5 2" xfId="1018"/>
    <cellStyle name="Normal 17 6" xfId="1012"/>
    <cellStyle name="Normal 18" xfId="434"/>
    <cellStyle name="Normal 18 2" xfId="1019"/>
    <cellStyle name="Normal 19" xfId="435"/>
    <cellStyle name="Normal 19 2" xfId="1020"/>
    <cellStyle name="Normal 2" xfId="4"/>
    <cellStyle name="Normal 2 2" xfId="436"/>
    <cellStyle name="Normal 2 2 2" xfId="437"/>
    <cellStyle name="Normal 2 2 2 2" xfId="438"/>
    <cellStyle name="Normal 2 2 2 2 2" xfId="1021"/>
    <cellStyle name="Normal 2 2 2 3" xfId="439"/>
    <cellStyle name="Normal 2 2 2 3 2" xfId="1022"/>
    <cellStyle name="Normal 2 2 2 4" xfId="1221"/>
    <cellStyle name="Normal 2 2 3" xfId="440"/>
    <cellStyle name="Normal 2 2 3 2" xfId="441"/>
    <cellStyle name="Normal 2 2 3 2 2" xfId="1023"/>
    <cellStyle name="Normal 2 2 3 3" xfId="442"/>
    <cellStyle name="Normal 2 2 3 3 2" xfId="1024"/>
    <cellStyle name="Normal 2 2 4" xfId="443"/>
    <cellStyle name="Normal 2 2 4 2" xfId="1025"/>
    <cellStyle name="Normal 2 2 5" xfId="444"/>
    <cellStyle name="Normal 2 2 5 2" xfId="1026"/>
    <cellStyle name="Normal 2 2 6" xfId="1208"/>
    <cellStyle name="Normal 2 3" xfId="445"/>
    <cellStyle name="Normal 2 3 2" xfId="446"/>
    <cellStyle name="Normal 2 3 2 10" xfId="1027"/>
    <cellStyle name="Normal 2 3 2 2" xfId="447"/>
    <cellStyle name="Normal 2 3 2 2 2" xfId="448"/>
    <cellStyle name="Normal 2 3 2 2 2 2" xfId="449"/>
    <cellStyle name="Normal 2 3 2 2 2 2 2" xfId="1030"/>
    <cellStyle name="Normal 2 3 2 2 2 3" xfId="1029"/>
    <cellStyle name="Normal 2 3 2 2 3" xfId="450"/>
    <cellStyle name="Normal 2 3 2 2 3 2" xfId="1031"/>
    <cellStyle name="Normal 2 3 2 2 4" xfId="1028"/>
    <cellStyle name="Normal 2 3 2 3" xfId="451"/>
    <cellStyle name="Normal 2 3 2 3 2" xfId="452"/>
    <cellStyle name="Normal 2 3 2 3 2 2" xfId="1033"/>
    <cellStyle name="Normal 2 3 2 3 3" xfId="1032"/>
    <cellStyle name="Normal 2 3 2 4" xfId="453"/>
    <cellStyle name="Normal 2 3 2 4 2" xfId="454"/>
    <cellStyle name="Normal 2 3 2 4 2 2" xfId="1035"/>
    <cellStyle name="Normal 2 3 2 4 3" xfId="1034"/>
    <cellStyle name="Normal 2 3 2 5" xfId="455"/>
    <cellStyle name="Normal 2 3 2 5 2" xfId="456"/>
    <cellStyle name="Normal 2 3 2 5 2 2" xfId="1037"/>
    <cellStyle name="Normal 2 3 2 5 3" xfId="1036"/>
    <cellStyle name="Normal 2 3 2 6" xfId="457"/>
    <cellStyle name="Normal 2 3 2 6 2" xfId="458"/>
    <cellStyle name="Normal 2 3 2 6 2 2" xfId="1039"/>
    <cellStyle name="Normal 2 3 2 6 3" xfId="1038"/>
    <cellStyle name="Normal 2 3 2 7" xfId="459"/>
    <cellStyle name="Normal 2 3 2 7 2" xfId="460"/>
    <cellStyle name="Normal 2 3 2 7 2 2" xfId="1041"/>
    <cellStyle name="Normal 2 3 2 7 3" xfId="1040"/>
    <cellStyle name="Normal 2 3 2 8" xfId="461"/>
    <cellStyle name="Normal 2 3 2 8 2" xfId="1042"/>
    <cellStyle name="Normal 2 3 2 9" xfId="462"/>
    <cellStyle name="Normal 2 3 2 9 2" xfId="1043"/>
    <cellStyle name="Normal 2 3 3" xfId="463"/>
    <cellStyle name="Normal 2 3 3 2" xfId="464"/>
    <cellStyle name="Normal 2 3 3 2 2" xfId="465"/>
    <cellStyle name="Normal 2 3 3 2 2 2" xfId="1045"/>
    <cellStyle name="Normal 2 3 3 2 3" xfId="1044"/>
    <cellStyle name="Normal 2 3 4" xfId="466"/>
    <cellStyle name="Normal 2 3 4 2" xfId="467"/>
    <cellStyle name="Normal 2 3 4 2 2" xfId="468"/>
    <cellStyle name="Normal 2 3 4 2 2 2" xfId="1048"/>
    <cellStyle name="Normal 2 3 4 2 3" xfId="1047"/>
    <cellStyle name="Normal 2 3 4 3" xfId="469"/>
    <cellStyle name="Normal 2 3 4 3 2" xfId="1049"/>
    <cellStyle name="Normal 2 3 4 4" xfId="1046"/>
    <cellStyle name="Normal 2 3 5" xfId="470"/>
    <cellStyle name="Normal 2 3 5 2" xfId="471"/>
    <cellStyle name="Normal 2 3 5 2 2" xfId="1051"/>
    <cellStyle name="Normal 2 3 5 3" xfId="1050"/>
    <cellStyle name="Normal 2 3 6" xfId="472"/>
    <cellStyle name="Normal 2 3 6 2" xfId="473"/>
    <cellStyle name="Normal 2 3 6 2 2" xfId="1053"/>
    <cellStyle name="Normal 2 3 6 3" xfId="1052"/>
    <cellStyle name="Normal 2 3 7" xfId="474"/>
    <cellStyle name="Normal 2 3 7 2" xfId="1054"/>
    <cellStyle name="Normal 2 4" xfId="475"/>
    <cellStyle name="Normal 2 4 2" xfId="476"/>
    <cellStyle name="Normal 2 4 2 2" xfId="1055"/>
    <cellStyle name="Normal 2 4 3" xfId="477"/>
    <cellStyle name="Normal 2 4 3 2" xfId="1056"/>
    <cellStyle name="Normal 2 4 4" xfId="1222"/>
    <cellStyle name="Normal 2 5" xfId="478"/>
    <cellStyle name="Normal 2 5 2" xfId="479"/>
    <cellStyle name="Normal 2 5 2 2" xfId="1057"/>
    <cellStyle name="Normal 2 5 3" xfId="480"/>
    <cellStyle name="Normal 2 5 3 2" xfId="1058"/>
    <cellStyle name="Normal 2 6" xfId="481"/>
    <cellStyle name="Normal 2 6 2" xfId="1059"/>
    <cellStyle name="Normal 2 7" xfId="482"/>
    <cellStyle name="Normal 2 7 2" xfId="1060"/>
    <cellStyle name="Normal 20" xfId="13"/>
    <cellStyle name="Normal 21" xfId="9"/>
    <cellStyle name="Normal 21 2" xfId="1166"/>
    <cellStyle name="Normal 22" xfId="627"/>
    <cellStyle name="Normal 3" xfId="483"/>
    <cellStyle name="Normal 3 2" xfId="484"/>
    <cellStyle name="Normal 3 3" xfId="1209"/>
    <cellStyle name="Normal 3 4" xfId="631"/>
    <cellStyle name="Normal 4" xfId="485"/>
    <cellStyle name="Normal 4 2" xfId="486"/>
    <cellStyle name="Normal 4 2 2" xfId="487"/>
    <cellStyle name="Normal 4 2 3" xfId="488"/>
    <cellStyle name="Normal 4 2 3 2" xfId="1225"/>
    <cellStyle name="Normal 4 3" xfId="489"/>
    <cellStyle name="Normal 4 4" xfId="1210"/>
    <cellStyle name="Normal 5" xfId="8"/>
    <cellStyle name="Normal 5 2" xfId="491"/>
    <cellStyle name="Normal 5 2 2" xfId="492"/>
    <cellStyle name="Normal 5 2 2 2" xfId="493"/>
    <cellStyle name="Normal 5 2 2 2 2" xfId="494"/>
    <cellStyle name="Normal 5 2 2 2 2 2" xfId="1062"/>
    <cellStyle name="Normal 5 2 2 2 3" xfId="1061"/>
    <cellStyle name="Normal 5 2 3" xfId="495"/>
    <cellStyle name="Normal 5 2 3 2" xfId="496"/>
    <cellStyle name="Normal 5 2 3 2 2" xfId="497"/>
    <cellStyle name="Normal 5 2 3 2 2 2" xfId="1065"/>
    <cellStyle name="Normal 5 2 3 2 3" xfId="1064"/>
    <cellStyle name="Normal 5 2 3 3" xfId="498"/>
    <cellStyle name="Normal 5 2 3 3 2" xfId="1066"/>
    <cellStyle name="Normal 5 2 3 4" xfId="1063"/>
    <cellStyle name="Normal 5 2 4" xfId="499"/>
    <cellStyle name="Normal 5 2 4 2" xfId="500"/>
    <cellStyle name="Normal 5 2 4 2 2" xfId="1068"/>
    <cellStyle name="Normal 5 2 4 3" xfId="1067"/>
    <cellStyle name="Normal 5 2 5" xfId="501"/>
    <cellStyle name="Normal 5 2 5 2" xfId="502"/>
    <cellStyle name="Normal 5 2 5 2 2" xfId="1070"/>
    <cellStyle name="Normal 5 2 5 3" xfId="1069"/>
    <cellStyle name="Normal 5 2 6" xfId="503"/>
    <cellStyle name="Normal 5 2 6 2" xfId="1071"/>
    <cellStyle name="Normal 5 3" xfId="504"/>
    <cellStyle name="Normal 5 3 2" xfId="505"/>
    <cellStyle name="Normal 5 3 2 2" xfId="506"/>
    <cellStyle name="Normal 5 3 2 2 2" xfId="1074"/>
    <cellStyle name="Normal 5 3 2 3" xfId="1073"/>
    <cellStyle name="Normal 5 3 3" xfId="507"/>
    <cellStyle name="Normal 5 3 3 2" xfId="508"/>
    <cellStyle name="Normal 5 3 3 2 2" xfId="1076"/>
    <cellStyle name="Normal 5 3 3 3" xfId="1075"/>
    <cellStyle name="Normal 5 3 4" xfId="509"/>
    <cellStyle name="Normal 5 3 4 2" xfId="1077"/>
    <cellStyle name="Normal 5 3 5" xfId="510"/>
    <cellStyle name="Normal 5 3 5 2" xfId="1078"/>
    <cellStyle name="Normal 5 3 6" xfId="1072"/>
    <cellStyle name="Normal 5 4" xfId="511"/>
    <cellStyle name="Normal 5 4 2" xfId="512"/>
    <cellStyle name="Normal 5 4 2 2" xfId="513"/>
    <cellStyle name="Normal 5 4 2 2 2" xfId="1081"/>
    <cellStyle name="Normal 5 4 2 3" xfId="1080"/>
    <cellStyle name="Normal 5 4 3" xfId="514"/>
    <cellStyle name="Normal 5 4 3 2" xfId="1082"/>
    <cellStyle name="Normal 5 4 4" xfId="1079"/>
    <cellStyle name="Normal 5 5" xfId="515"/>
    <cellStyle name="Normal 5 5 2" xfId="516"/>
    <cellStyle name="Normal 5 5 2 2" xfId="1084"/>
    <cellStyle name="Normal 5 5 3" xfId="1083"/>
    <cellStyle name="Normal 5 6" xfId="517"/>
    <cellStyle name="Normal 5 6 2" xfId="518"/>
    <cellStyle name="Normal 5 6 2 2" xfId="1086"/>
    <cellStyle name="Normal 5 6 3" xfId="1085"/>
    <cellStyle name="Normal 5 7" xfId="519"/>
    <cellStyle name="Normal 5 7 2" xfId="520"/>
    <cellStyle name="Normal 5 7 2 2" xfId="1088"/>
    <cellStyle name="Normal 5 7 3" xfId="1087"/>
    <cellStyle name="Normal 5 8" xfId="521"/>
    <cellStyle name="Normal 5 8 2" xfId="1089"/>
    <cellStyle name="Normal 5 9" xfId="490"/>
    <cellStyle name="Normal 6" xfId="522"/>
    <cellStyle name="Normal 7" xfId="523"/>
    <cellStyle name="Normal 7 2" xfId="524"/>
    <cellStyle name="Normal 7 2 2" xfId="525"/>
    <cellStyle name="Normal 7 2 3" xfId="526"/>
    <cellStyle name="Normal 7 2 3 2" xfId="527"/>
    <cellStyle name="Normal 7 2 3 2 2" xfId="1093"/>
    <cellStyle name="Normal 7 2 3 3" xfId="1092"/>
    <cellStyle name="Normal 7 2 4" xfId="528"/>
    <cellStyle name="Normal 7 2 4 2" xfId="1094"/>
    <cellStyle name="Normal 7 2 5" xfId="529"/>
    <cellStyle name="Normal 7 2 5 2" xfId="1095"/>
    <cellStyle name="Normal 7 2 6" xfId="1091"/>
    <cellStyle name="Normal 7 3" xfId="530"/>
    <cellStyle name="Normal 7 4" xfId="531"/>
    <cellStyle name="Normal 7 4 2" xfId="1096"/>
    <cellStyle name="Normal 7 5" xfId="1090"/>
    <cellStyle name="Normal 8" xfId="532"/>
    <cellStyle name="Normal 9" xfId="533"/>
    <cellStyle name="Normal 9 2" xfId="534"/>
    <cellStyle name="Normal 9 2 2" xfId="535"/>
    <cellStyle name="Normal 9 2 2 2" xfId="1099"/>
    <cellStyle name="Normal 9 2 3" xfId="1098"/>
    <cellStyle name="Normal 9 3" xfId="536"/>
    <cellStyle name="Normal 9 3 2" xfId="537"/>
    <cellStyle name="Normal 9 3 2 2" xfId="1101"/>
    <cellStyle name="Normal 9 3 3" xfId="1100"/>
    <cellStyle name="Normal 9 4" xfId="538"/>
    <cellStyle name="Normal 9 4 2" xfId="1102"/>
    <cellStyle name="Normal 9 5" xfId="539"/>
    <cellStyle name="Normal 9 5 2" xfId="1103"/>
    <cellStyle name="Normal 9 6" xfId="1097"/>
    <cellStyle name="Note 2" xfId="540"/>
    <cellStyle name="Note 2 10" xfId="1104"/>
    <cellStyle name="Note 2 2" xfId="541"/>
    <cellStyle name="Note 2 2 2" xfId="542"/>
    <cellStyle name="Note 2 2 2 2" xfId="543"/>
    <cellStyle name="Note 2 2 2 2 2" xfId="1107"/>
    <cellStyle name="Note 2 2 2 3" xfId="1106"/>
    <cellStyle name="Note 2 2 3" xfId="544"/>
    <cellStyle name="Note 2 2 3 2" xfId="545"/>
    <cellStyle name="Note 2 2 3 2 2" xfId="1109"/>
    <cellStyle name="Note 2 2 3 3" xfId="1108"/>
    <cellStyle name="Note 2 2 4" xfId="546"/>
    <cellStyle name="Note 2 2 4 2" xfId="547"/>
    <cellStyle name="Note 2 2 4 2 2" xfId="1111"/>
    <cellStyle name="Note 2 2 4 3" xfId="1110"/>
    <cellStyle name="Note 2 2 5" xfId="548"/>
    <cellStyle name="Note 2 2 5 2" xfId="549"/>
    <cellStyle name="Note 2 2 5 2 2" xfId="1113"/>
    <cellStyle name="Note 2 2 5 3" xfId="1112"/>
    <cellStyle name="Note 2 2 6" xfId="550"/>
    <cellStyle name="Note 2 2 6 2" xfId="1114"/>
    <cellStyle name="Note 2 2 7" xfId="551"/>
    <cellStyle name="Note 2 2 7 2" xfId="1115"/>
    <cellStyle name="Note 2 2 8" xfId="1105"/>
    <cellStyle name="Note 2 3" xfId="552"/>
    <cellStyle name="Note 2 3 2" xfId="553"/>
    <cellStyle name="Note 2 3 2 2" xfId="554"/>
    <cellStyle name="Note 2 3 2 2 2" xfId="1118"/>
    <cellStyle name="Note 2 3 2 3" xfId="1117"/>
    <cellStyle name="Note 2 3 3" xfId="555"/>
    <cellStyle name="Note 2 3 3 2" xfId="1119"/>
    <cellStyle name="Note 2 3 4" xfId="556"/>
    <cellStyle name="Note 2 3 4 2" xfId="1120"/>
    <cellStyle name="Note 2 3 5" xfId="1116"/>
    <cellStyle name="Note 2 4" xfId="557"/>
    <cellStyle name="Note 2 4 2" xfId="558"/>
    <cellStyle name="Note 2 4 2 2" xfId="559"/>
    <cellStyle name="Note 2 4 2 2 2" xfId="1123"/>
    <cellStyle name="Note 2 4 2 3" xfId="1122"/>
    <cellStyle name="Note 2 4 3" xfId="560"/>
    <cellStyle name="Note 2 4 3 2" xfId="1124"/>
    <cellStyle name="Note 2 4 4" xfId="1121"/>
    <cellStyle name="Note 2 5" xfId="561"/>
    <cellStyle name="Note 2 5 2" xfId="562"/>
    <cellStyle name="Note 2 5 2 2" xfId="1126"/>
    <cellStyle name="Note 2 5 3" xfId="1125"/>
    <cellStyle name="Note 2 6" xfId="563"/>
    <cellStyle name="Note 2 6 2" xfId="564"/>
    <cellStyle name="Note 2 6 2 2" xfId="1128"/>
    <cellStyle name="Note 2 6 3" xfId="1127"/>
    <cellStyle name="Note 2 7" xfId="565"/>
    <cellStyle name="Note 2 7 2" xfId="566"/>
    <cellStyle name="Note 2 7 2 2" xfId="1130"/>
    <cellStyle name="Note 2 7 3" xfId="1129"/>
    <cellStyle name="Note 2 8" xfId="567"/>
    <cellStyle name="Note 2 8 2" xfId="1131"/>
    <cellStyle name="Note 2 9" xfId="568"/>
    <cellStyle name="Note 2 9 2" xfId="1132"/>
    <cellStyle name="Note 3" xfId="569"/>
    <cellStyle name="Output 2" xfId="570"/>
    <cellStyle name="Output 3" xfId="1211"/>
    <cellStyle name="Percent" xfId="3" builtinId="5"/>
    <cellStyle name="Percent 10" xfId="630"/>
    <cellStyle name="Percent 2" xfId="7"/>
    <cellStyle name="Percent 2 2" xfId="571"/>
    <cellStyle name="Percent 2 2 2" xfId="572"/>
    <cellStyle name="Percent 2 2 2 2" xfId="573"/>
    <cellStyle name="Percent 2 2 2 2 2" xfId="1134"/>
    <cellStyle name="Percent 2 2 2 3" xfId="574"/>
    <cellStyle name="Percent 2 2 2 3 2" xfId="1135"/>
    <cellStyle name="Percent 2 2 2 4" xfId="575"/>
    <cellStyle name="Percent 2 2 2 4 2" xfId="1136"/>
    <cellStyle name="Percent 2 2 2 5" xfId="1133"/>
    <cellStyle name="Percent 2 2 3" xfId="576"/>
    <cellStyle name="Percent 2 2 3 2" xfId="577"/>
    <cellStyle name="Percent 2 2 3 2 2" xfId="1138"/>
    <cellStyle name="Percent 2 2 3 3" xfId="578"/>
    <cellStyle name="Percent 2 2 3 3 2" xfId="1139"/>
    <cellStyle name="Percent 2 2 3 4" xfId="1137"/>
    <cellStyle name="Percent 2 2 4" xfId="579"/>
    <cellStyle name="Percent 2 2 4 2" xfId="580"/>
    <cellStyle name="Percent 2 2 4 2 2" xfId="1141"/>
    <cellStyle name="Percent 2 2 4 3" xfId="581"/>
    <cellStyle name="Percent 2 2 4 3 2" xfId="1142"/>
    <cellStyle name="Percent 2 2 4 4" xfId="1140"/>
    <cellStyle name="Percent 2 2 5" xfId="582"/>
    <cellStyle name="Percent 2 2 5 2" xfId="1143"/>
    <cellStyle name="Percent 2 2 6" xfId="583"/>
    <cellStyle name="Percent 2 2 6 2" xfId="1144"/>
    <cellStyle name="Percent 2 2 7" xfId="1212"/>
    <cellStyle name="Percent 2 3" xfId="584"/>
    <cellStyle name="Percent 2 4" xfId="585"/>
    <cellStyle name="Percent 2 4 2" xfId="586"/>
    <cellStyle name="Percent 2 4 2 2" xfId="1146"/>
    <cellStyle name="Percent 2 4 3" xfId="587"/>
    <cellStyle name="Percent 2 4 3 2" xfId="1147"/>
    <cellStyle name="Percent 2 4 4" xfId="588"/>
    <cellStyle name="Percent 2 4 4 2" xfId="1148"/>
    <cellStyle name="Percent 2 4 5" xfId="1145"/>
    <cellStyle name="Percent 2 5" xfId="589"/>
    <cellStyle name="Percent 2 5 2" xfId="590"/>
    <cellStyle name="Percent 2 6" xfId="591"/>
    <cellStyle name="Percent 2 6 2" xfId="592"/>
    <cellStyle name="Percent 2 6 2 2" xfId="1150"/>
    <cellStyle name="Percent 2 6 3" xfId="593"/>
    <cellStyle name="Percent 2 6 3 2" xfId="1151"/>
    <cellStyle name="Percent 2 6 4" xfId="1149"/>
    <cellStyle name="Percent 2 7" xfId="594"/>
    <cellStyle name="Percent 2 7 2" xfId="1152"/>
    <cellStyle name="Percent 2 8" xfId="626"/>
    <cellStyle name="Percent 3" xfId="595"/>
    <cellStyle name="Percent 3 2" xfId="596"/>
    <cellStyle name="Percent 3 3" xfId="1213"/>
    <cellStyle name="Percent 4" xfId="597"/>
    <cellStyle name="Percent 4 2" xfId="598"/>
    <cellStyle name="Percent 4 2 2" xfId="599"/>
    <cellStyle name="Percent 4 2 2 2" xfId="1154"/>
    <cellStyle name="Percent 4 2 3" xfId="1153"/>
    <cellStyle name="Percent 4 3" xfId="600"/>
    <cellStyle name="Percent 4 3 2" xfId="601"/>
    <cellStyle name="Percent 4 3 2 2" xfId="1156"/>
    <cellStyle name="Percent 4 3 3" xfId="1155"/>
    <cellStyle name="Percent 4 4" xfId="602"/>
    <cellStyle name="Percent 4 4 2" xfId="1157"/>
    <cellStyle name="Percent 4 5" xfId="603"/>
    <cellStyle name="Percent 4 5 2" xfId="1158"/>
    <cellStyle name="Percent 5" xfId="604"/>
    <cellStyle name="Percent 5 2" xfId="1223"/>
    <cellStyle name="Percent 6" xfId="605"/>
    <cellStyle name="Percent 6 2" xfId="606"/>
    <cellStyle name="Percent 6 2 2" xfId="607"/>
    <cellStyle name="Percent 6 2 2 2" xfId="1161"/>
    <cellStyle name="Percent 6 2 3" xfId="1160"/>
    <cellStyle name="Percent 6 3" xfId="608"/>
    <cellStyle name="Percent 6 3 2" xfId="609"/>
    <cellStyle name="Percent 6 3 2 2" xfId="1163"/>
    <cellStyle name="Percent 6 3 3" xfId="1162"/>
    <cellStyle name="Percent 6 4" xfId="610"/>
    <cellStyle name="Percent 6 4 2" xfId="1164"/>
    <cellStyle name="Percent 6 5" xfId="611"/>
    <cellStyle name="Percent 6 5 2" xfId="1165"/>
    <cellStyle name="Percent 6 6" xfId="1159"/>
    <cellStyle name="Percent 7" xfId="612"/>
    <cellStyle name="Percent 7 2" xfId="1224"/>
    <cellStyle name="Percent 8" xfId="613"/>
    <cellStyle name="Percent 8 2" xfId="1227"/>
    <cellStyle name="Percent 9" xfId="12"/>
    <cellStyle name="Percent 9 2" xfId="1169"/>
    <cellStyle name="Pivot Table Category" xfId="614"/>
    <cellStyle name="Pivot Table Field" xfId="615"/>
    <cellStyle name="Pivot Table Value" xfId="616"/>
    <cellStyle name="SAPBEXaggData" xfId="620"/>
    <cellStyle name="SAPBEXaggItem" xfId="621"/>
    <cellStyle name="SAPBEXchaText" xfId="622"/>
    <cellStyle name="SAPBEXstdData" xfId="623"/>
    <cellStyle name="SAPBEXstdItem" xfId="624"/>
    <cellStyle name="SAPBEXstdItemX" xfId="625"/>
    <cellStyle name="Title 2" xfId="617"/>
    <cellStyle name="Title 3" xfId="1214"/>
    <cellStyle name="Total 2" xfId="618"/>
    <cellStyle name="Total 3" xfId="1215"/>
    <cellStyle name="Warning Text 2" xfId="619"/>
    <cellStyle name="Warning Text 3" xfId="121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1373189</xdr:colOff>
      <xdr:row>514</xdr:row>
      <xdr:rowOff>7938</xdr:rowOff>
    </xdr:from>
    <xdr:to>
      <xdr:col>2</xdr:col>
      <xdr:colOff>1016000</xdr:colOff>
      <xdr:row>514</xdr:row>
      <xdr:rowOff>7938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1539876</xdr:colOff>
      <xdr:row>526</xdr:row>
      <xdr:rowOff>7938</xdr:rowOff>
    </xdr:from>
    <xdr:to>
      <xdr:col>3</xdr:col>
      <xdr:colOff>595314</xdr:colOff>
      <xdr:row>526</xdr:row>
      <xdr:rowOff>7938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905001" y="106259313"/>
          <a:ext cx="2643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1373189</xdr:colOff>
      <xdr:row>556</xdr:row>
      <xdr:rowOff>7938</xdr:rowOff>
    </xdr:from>
    <xdr:to>
      <xdr:col>2</xdr:col>
      <xdr:colOff>1016000</xdr:colOff>
      <xdr:row>556</xdr:row>
      <xdr:rowOff>7938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1150939</xdr:colOff>
      <xdr:row>568</xdr:row>
      <xdr:rowOff>7938</xdr:rowOff>
    </xdr:from>
    <xdr:to>
      <xdr:col>3</xdr:col>
      <xdr:colOff>595315</xdr:colOff>
      <xdr:row>568</xdr:row>
      <xdr:rowOff>7938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1516064" y="115054063"/>
          <a:ext cx="30321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>
          <a:off x="1819275" y="182594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10249" name="Line 9"/>
        <xdr:cNvSpPr>
          <a:spLocks noChangeShapeType="1"/>
        </xdr:cNvSpPr>
      </xdr:nvSpPr>
      <xdr:spPr bwMode="auto">
        <a:xfrm>
          <a:off x="1819275" y="273558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00" y="18284825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103</xdr:row>
      <xdr:rowOff>-1</xdr:rowOff>
    </xdr:from>
    <xdr:to>
      <xdr:col>4</xdr:col>
      <xdr:colOff>793750</xdr:colOff>
      <xdr:row>103</xdr:row>
      <xdr:rowOff>7936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943100" y="21031199"/>
          <a:ext cx="278130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145</xdr:row>
      <xdr:rowOff>-1</xdr:rowOff>
    </xdr:from>
    <xdr:to>
      <xdr:col>4</xdr:col>
      <xdr:colOff>793750</xdr:colOff>
      <xdr:row>145</xdr:row>
      <xdr:rowOff>7936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936750" y="20804187"/>
          <a:ext cx="2786063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9"/>
  <sheetViews>
    <sheetView tabSelected="1" zoomScale="80" zoomScaleNormal="80" zoomScaleSheetLayoutView="80" workbookViewId="0"/>
  </sheetViews>
  <sheetFormatPr defaultColWidth="9.140625" defaultRowHeight="15"/>
  <cols>
    <col min="1" max="1" width="5.28515625" style="244" bestFit="1" customWidth="1"/>
    <col min="2" max="2" width="1.7109375" style="244" customWidth="1"/>
    <col min="3" max="3" width="70.7109375" style="244" customWidth="1"/>
    <col min="4" max="4" width="1.7109375" style="244" customWidth="1"/>
    <col min="5" max="5" width="15.7109375" style="244" customWidth="1"/>
    <col min="6" max="6" width="1.7109375" style="244" customWidth="1"/>
    <col min="7" max="7" width="14.85546875" style="244" bestFit="1" customWidth="1"/>
    <col min="8" max="8" width="1.7109375" style="244" customWidth="1"/>
    <col min="9" max="9" width="42.5703125" style="244" customWidth="1"/>
    <col min="10" max="10" width="5.28515625" style="265" customWidth="1"/>
    <col min="11" max="11" width="11.5703125" style="244" bestFit="1" customWidth="1"/>
    <col min="12" max="12" width="10.7109375" style="244" bestFit="1" customWidth="1"/>
    <col min="13" max="16384" width="9.140625" style="244"/>
  </cols>
  <sheetData>
    <row r="1" spans="1:10" ht="15.75">
      <c r="A1" s="101"/>
      <c r="B1" s="102"/>
      <c r="C1" s="1141" t="s">
        <v>61</v>
      </c>
      <c r="D1" s="1138"/>
      <c r="E1" s="1138"/>
      <c r="F1" s="1138"/>
      <c r="G1" s="1138"/>
      <c r="H1" s="1138"/>
      <c r="I1" s="1138"/>
      <c r="J1" s="10"/>
    </row>
    <row r="2" spans="1:10" ht="15.75">
      <c r="A2" s="101" t="s">
        <v>39</v>
      </c>
      <c r="B2" s="102"/>
      <c r="C2" s="1141" t="s">
        <v>81</v>
      </c>
      <c r="D2" s="1138"/>
      <c r="E2" s="1138"/>
      <c r="F2" s="1138"/>
      <c r="G2" s="1138"/>
      <c r="H2" s="1138"/>
      <c r="I2" s="1138"/>
      <c r="J2" s="10"/>
    </row>
    <row r="3" spans="1:10" ht="17.25">
      <c r="A3" s="101"/>
      <c r="B3" s="102"/>
      <c r="C3" s="1141" t="s">
        <v>285</v>
      </c>
      <c r="D3" s="1142"/>
      <c r="E3" s="1142"/>
      <c r="F3" s="1142"/>
      <c r="G3" s="1142"/>
      <c r="H3" s="1142"/>
      <c r="I3" s="1142"/>
      <c r="J3" s="10"/>
    </row>
    <row r="4" spans="1:10" ht="15.75">
      <c r="A4" s="101"/>
      <c r="B4" s="102"/>
      <c r="C4" s="1139" t="s">
        <v>1223</v>
      </c>
      <c r="D4" s="1139"/>
      <c r="E4" s="1139"/>
      <c r="F4" s="1139"/>
      <c r="G4" s="1139"/>
      <c r="H4" s="1139"/>
      <c r="I4" s="1139"/>
      <c r="J4" s="10"/>
    </row>
    <row r="5" spans="1:10" ht="15.75">
      <c r="A5" s="101"/>
      <c r="B5" s="102"/>
      <c r="C5" s="1137" t="s">
        <v>72</v>
      </c>
      <c r="D5" s="1138"/>
      <c r="E5" s="1138"/>
      <c r="F5" s="1138"/>
      <c r="G5" s="1138"/>
      <c r="H5" s="1138"/>
      <c r="I5" s="1138"/>
      <c r="J5" s="10"/>
    </row>
    <row r="6" spans="1:10" ht="15.75">
      <c r="A6" s="101"/>
      <c r="B6" s="102"/>
      <c r="C6" s="223"/>
      <c r="D6" s="249"/>
      <c r="E6" s="249"/>
      <c r="F6" s="249"/>
      <c r="G6" s="249"/>
      <c r="H6" s="249"/>
      <c r="I6" s="249"/>
      <c r="J6" s="10"/>
    </row>
    <row r="7" spans="1:10" ht="15.75">
      <c r="A7" s="103" t="s">
        <v>62</v>
      </c>
      <c r="B7" s="104"/>
      <c r="C7" s="105"/>
      <c r="D7" s="105"/>
      <c r="E7" s="105"/>
      <c r="F7" s="105"/>
      <c r="G7" s="106"/>
      <c r="H7" s="4"/>
      <c r="I7" s="10"/>
      <c r="J7" s="103" t="s">
        <v>62</v>
      </c>
    </row>
    <row r="8" spans="1:10" ht="18.75">
      <c r="A8" s="136" t="s">
        <v>63</v>
      </c>
      <c r="B8" s="102"/>
      <c r="C8" s="107" t="s">
        <v>39</v>
      </c>
      <c r="D8" s="102"/>
      <c r="E8" s="102"/>
      <c r="F8" s="102"/>
      <c r="G8" s="137" t="s">
        <v>924</v>
      </c>
      <c r="H8" s="4"/>
      <c r="I8" s="33" t="s">
        <v>65</v>
      </c>
      <c r="J8" s="136" t="s">
        <v>63</v>
      </c>
    </row>
    <row r="9" spans="1:10" ht="15.75">
      <c r="A9" s="103"/>
      <c r="B9" s="102"/>
      <c r="C9" s="107"/>
      <c r="D9" s="102"/>
      <c r="E9" s="102"/>
      <c r="F9" s="102"/>
      <c r="G9" s="196"/>
      <c r="H9" s="4"/>
      <c r="I9" s="48"/>
      <c r="J9" s="103"/>
    </row>
    <row r="10" spans="1:10" ht="15.75">
      <c r="A10" s="101">
        <v>1</v>
      </c>
      <c r="B10" s="126"/>
      <c r="C10" s="126" t="s">
        <v>303</v>
      </c>
      <c r="D10" s="108"/>
      <c r="E10" s="108"/>
      <c r="F10" s="108"/>
      <c r="G10" s="106"/>
      <c r="H10" s="4"/>
      <c r="I10" s="10"/>
      <c r="J10" s="101">
        <v>1</v>
      </c>
    </row>
    <row r="11" spans="1:10" ht="15.75">
      <c r="A11" s="101">
        <f t="shared" ref="A11:A69" si="0">A10+1</f>
        <v>2</v>
      </c>
      <c r="B11" s="110" t="s">
        <v>39</v>
      </c>
      <c r="C11" s="111" t="s">
        <v>97</v>
      </c>
      <c r="D11" s="112" t="s">
        <v>39</v>
      </c>
      <c r="E11" s="112"/>
      <c r="F11" s="112"/>
      <c r="G11" s="370">
        <f>'Cost Statements'!H150</f>
        <v>68153.710430000006</v>
      </c>
      <c r="H11" s="4"/>
      <c r="I11" s="10" t="s">
        <v>283</v>
      </c>
      <c r="J11" s="101">
        <f>J10+1</f>
        <v>2</v>
      </c>
    </row>
    <row r="12" spans="1:10" ht="15.75">
      <c r="A12" s="101">
        <f t="shared" si="0"/>
        <v>3</v>
      </c>
      <c r="B12" s="110"/>
      <c r="C12" s="111" t="s">
        <v>39</v>
      </c>
      <c r="D12" s="112"/>
      <c r="E12" s="112"/>
      <c r="F12" s="112"/>
      <c r="G12" s="113" t="s">
        <v>39</v>
      </c>
      <c r="H12" s="4"/>
      <c r="I12" s="10"/>
      <c r="J12" s="101">
        <f>J11+1</f>
        <v>3</v>
      </c>
    </row>
    <row r="13" spans="1:10" ht="15.75">
      <c r="A13" s="101">
        <f t="shared" si="0"/>
        <v>4</v>
      </c>
      <c r="B13" s="110"/>
      <c r="C13" s="117" t="s">
        <v>433</v>
      </c>
      <c r="D13" s="112"/>
      <c r="E13" s="112"/>
      <c r="F13" s="112"/>
      <c r="G13" s="371">
        <f>'Cost Statements'!H197</f>
        <v>54318</v>
      </c>
      <c r="H13" s="994"/>
      <c r="I13" s="10" t="s">
        <v>817</v>
      </c>
      <c r="J13" s="101">
        <f>J12+1</f>
        <v>4</v>
      </c>
    </row>
    <row r="14" spans="1:10" ht="15.75">
      <c r="A14" s="101">
        <f t="shared" si="0"/>
        <v>5</v>
      </c>
      <c r="B14" s="110"/>
      <c r="C14" s="111"/>
      <c r="D14" s="112"/>
      <c r="E14" s="112"/>
      <c r="F14" s="112"/>
      <c r="G14" s="113"/>
      <c r="H14" s="50"/>
      <c r="I14" s="10"/>
      <c r="J14" s="101">
        <f t="shared" ref="J14:J69" si="1">J13+1</f>
        <v>5</v>
      </c>
    </row>
    <row r="15" spans="1:10" ht="15.75">
      <c r="A15" s="101">
        <f t="shared" si="0"/>
        <v>6</v>
      </c>
      <c r="B15" s="110"/>
      <c r="C15" s="111" t="s">
        <v>885</v>
      </c>
      <c r="D15" s="112"/>
      <c r="E15" s="112"/>
      <c r="F15" s="112"/>
      <c r="G15" s="373">
        <f>-'Cost Statements'!H158</f>
        <v>0</v>
      </c>
      <c r="H15" s="4"/>
      <c r="I15" s="10" t="s">
        <v>832</v>
      </c>
      <c r="J15" s="101">
        <f t="shared" si="1"/>
        <v>6</v>
      </c>
    </row>
    <row r="16" spans="1:10" ht="15.75">
      <c r="A16" s="101">
        <f t="shared" si="0"/>
        <v>7</v>
      </c>
      <c r="B16" s="102"/>
      <c r="C16" s="111"/>
      <c r="D16" s="124" t="s">
        <v>39</v>
      </c>
      <c r="E16" s="124"/>
      <c r="F16" s="124"/>
      <c r="G16" s="187"/>
      <c r="H16" s="82"/>
      <c r="I16" s="10"/>
      <c r="J16" s="101">
        <f t="shared" si="1"/>
        <v>7</v>
      </c>
    </row>
    <row r="17" spans="1:10" ht="15.75">
      <c r="A17" s="101">
        <f>A16+1</f>
        <v>8</v>
      </c>
      <c r="B17" s="102"/>
      <c r="C17" s="111" t="s">
        <v>94</v>
      </c>
      <c r="D17" s="112" t="s">
        <v>39</v>
      </c>
      <c r="E17" s="112"/>
      <c r="F17" s="112"/>
      <c r="G17" s="139">
        <f>G11+G13+G15</f>
        <v>122471.71043000001</v>
      </c>
      <c r="H17" s="994"/>
      <c r="I17" s="10" t="s">
        <v>313</v>
      </c>
      <c r="J17" s="101">
        <f>J16+1</f>
        <v>8</v>
      </c>
    </row>
    <row r="18" spans="1:10" ht="15.75">
      <c r="A18" s="101">
        <f t="shared" si="0"/>
        <v>9</v>
      </c>
      <c r="B18" s="102"/>
      <c r="C18" s="102"/>
      <c r="D18" s="102"/>
      <c r="E18" s="102"/>
      <c r="F18" s="102"/>
      <c r="G18" s="115"/>
      <c r="H18" s="4"/>
      <c r="I18" s="10"/>
      <c r="J18" s="101">
        <f t="shared" si="1"/>
        <v>9</v>
      </c>
    </row>
    <row r="19" spans="1:10" ht="15.75">
      <c r="A19" s="101">
        <f t="shared" si="0"/>
        <v>10</v>
      </c>
      <c r="B19" s="116"/>
      <c r="C19" s="4" t="s">
        <v>656</v>
      </c>
      <c r="D19" s="112"/>
      <c r="E19" s="112"/>
      <c r="F19" s="112"/>
      <c r="G19" s="371">
        <f>'Cost Statements'!H258</f>
        <v>131586.21427441202</v>
      </c>
      <c r="H19" s="274"/>
      <c r="I19" s="10" t="s">
        <v>651</v>
      </c>
      <c r="J19" s="101">
        <f t="shared" si="1"/>
        <v>10</v>
      </c>
    </row>
    <row r="20" spans="1:10" ht="15.75">
      <c r="A20" s="101">
        <f t="shared" si="0"/>
        <v>11</v>
      </c>
      <c r="B20" s="102"/>
      <c r="C20" s="102"/>
      <c r="D20" s="102"/>
      <c r="E20" s="102"/>
      <c r="F20" s="102"/>
      <c r="G20" s="122" t="s">
        <v>39</v>
      </c>
      <c r="H20" s="4"/>
      <c r="I20" s="10"/>
      <c r="J20" s="101">
        <f t="shared" si="1"/>
        <v>11</v>
      </c>
    </row>
    <row r="21" spans="1:10" ht="15.75">
      <c r="A21" s="101">
        <f t="shared" si="0"/>
        <v>12</v>
      </c>
      <c r="B21" s="102"/>
      <c r="C21" s="4" t="s">
        <v>13</v>
      </c>
      <c r="D21" s="102"/>
      <c r="E21" s="102"/>
      <c r="F21" s="102"/>
      <c r="G21" s="374">
        <f>'Cost Statements'!H260</f>
        <v>0</v>
      </c>
      <c r="H21" s="50"/>
      <c r="I21" s="10" t="s">
        <v>672</v>
      </c>
      <c r="J21" s="101">
        <f t="shared" si="1"/>
        <v>12</v>
      </c>
    </row>
    <row r="22" spans="1:10" ht="15.75">
      <c r="A22" s="101">
        <f t="shared" si="0"/>
        <v>13</v>
      </c>
      <c r="B22" s="102"/>
      <c r="C22" s="102"/>
      <c r="D22" s="102"/>
      <c r="E22" s="102"/>
      <c r="F22" s="102"/>
      <c r="G22" s="122"/>
      <c r="H22" s="4"/>
      <c r="I22" s="10"/>
      <c r="J22" s="101">
        <f t="shared" si="1"/>
        <v>13</v>
      </c>
    </row>
    <row r="23" spans="1:10" ht="15.75">
      <c r="A23" s="101">
        <f t="shared" si="0"/>
        <v>14</v>
      </c>
      <c r="B23" s="102"/>
      <c r="C23" s="4" t="s">
        <v>574</v>
      </c>
      <c r="D23" s="102"/>
      <c r="E23" s="102"/>
      <c r="F23" s="102"/>
      <c r="G23" s="378">
        <f>'Cost Statements'!H264</f>
        <v>0</v>
      </c>
      <c r="I23" s="10" t="s">
        <v>652</v>
      </c>
      <c r="J23" s="101">
        <f t="shared" si="1"/>
        <v>14</v>
      </c>
    </row>
    <row r="24" spans="1:10" ht="15.75">
      <c r="A24" s="101">
        <f t="shared" si="0"/>
        <v>15</v>
      </c>
      <c r="B24" s="102"/>
      <c r="C24" s="102"/>
      <c r="D24" s="102"/>
      <c r="E24" s="102"/>
      <c r="F24" s="102"/>
      <c r="G24" s="122"/>
      <c r="H24" s="4"/>
      <c r="I24" s="10"/>
      <c r="J24" s="101">
        <f t="shared" si="1"/>
        <v>15</v>
      </c>
    </row>
    <row r="25" spans="1:10" ht="15.75">
      <c r="A25" s="101">
        <f t="shared" si="0"/>
        <v>16</v>
      </c>
      <c r="B25" s="105"/>
      <c r="C25" s="4" t="s">
        <v>115</v>
      </c>
      <c r="D25" s="112" t="s">
        <v>39</v>
      </c>
      <c r="E25" s="112"/>
      <c r="F25" s="112"/>
      <c r="G25" s="371">
        <f>'Cost Statements'!H304</f>
        <v>36525</v>
      </c>
      <c r="H25" s="994"/>
      <c r="I25" s="10" t="s">
        <v>134</v>
      </c>
      <c r="J25" s="101">
        <f t="shared" si="1"/>
        <v>16</v>
      </c>
    </row>
    <row r="26" spans="1:10" ht="15.75">
      <c r="A26" s="101">
        <f t="shared" si="0"/>
        <v>17</v>
      </c>
      <c r="B26" s="105"/>
      <c r="C26" s="117"/>
      <c r="D26" s="112"/>
      <c r="E26" s="112"/>
      <c r="F26" s="112"/>
      <c r="G26" s="118"/>
      <c r="H26" s="4"/>
      <c r="I26" s="10"/>
      <c r="J26" s="101">
        <f t="shared" si="1"/>
        <v>17</v>
      </c>
    </row>
    <row r="27" spans="1:10" ht="15.75">
      <c r="A27" s="101">
        <f t="shared" si="0"/>
        <v>18</v>
      </c>
      <c r="B27" s="105"/>
      <c r="C27" s="4" t="s">
        <v>157</v>
      </c>
      <c r="D27" s="112"/>
      <c r="E27" s="112"/>
      <c r="F27" s="112"/>
      <c r="G27" s="376">
        <f>'Cost Statements'!H310</f>
        <v>2574</v>
      </c>
      <c r="H27" s="994"/>
      <c r="I27" s="10" t="s">
        <v>506</v>
      </c>
      <c r="J27" s="101">
        <f t="shared" si="1"/>
        <v>18</v>
      </c>
    </row>
    <row r="28" spans="1:10" ht="15.75">
      <c r="A28" s="101">
        <f t="shared" si="0"/>
        <v>19</v>
      </c>
      <c r="B28" s="105"/>
      <c r="C28" s="117"/>
      <c r="D28" s="112"/>
      <c r="E28" s="112"/>
      <c r="F28" s="112"/>
      <c r="G28" s="118"/>
      <c r="H28" s="4"/>
      <c r="I28" s="10"/>
      <c r="J28" s="101">
        <f t="shared" si="1"/>
        <v>19</v>
      </c>
    </row>
    <row r="29" spans="1:10" ht="15.75">
      <c r="A29" s="101">
        <f t="shared" si="0"/>
        <v>20</v>
      </c>
      <c r="B29" s="105"/>
      <c r="C29" s="117" t="s">
        <v>209</v>
      </c>
      <c r="D29" s="112"/>
      <c r="E29" s="112"/>
      <c r="F29" s="112"/>
      <c r="G29" s="703">
        <f>SUM(G17:G27)</f>
        <v>293156.924704412</v>
      </c>
      <c r="H29" s="994"/>
      <c r="I29" s="10" t="s">
        <v>300</v>
      </c>
      <c r="J29" s="101">
        <f t="shared" si="1"/>
        <v>20</v>
      </c>
    </row>
    <row r="30" spans="1:10" ht="15.75">
      <c r="A30" s="103">
        <f t="shared" si="0"/>
        <v>21</v>
      </c>
      <c r="B30" s="105"/>
      <c r="C30" s="117"/>
      <c r="D30" s="124"/>
      <c r="E30" s="124"/>
      <c r="F30" s="124"/>
      <c r="G30" s="120"/>
      <c r="H30" s="133"/>
      <c r="I30" s="48"/>
      <c r="J30" s="103">
        <f t="shared" si="1"/>
        <v>21</v>
      </c>
    </row>
    <row r="31" spans="1:10" ht="18.75">
      <c r="A31" s="101">
        <f t="shared" si="0"/>
        <v>22</v>
      </c>
      <c r="B31" s="105"/>
      <c r="C31" s="117" t="s">
        <v>337</v>
      </c>
      <c r="D31" s="112"/>
      <c r="E31" s="112"/>
      <c r="F31" s="113"/>
      <c r="G31" s="407">
        <f>'Cost Statements'!H533</f>
        <v>0.11742929581372742</v>
      </c>
      <c r="H31" s="994"/>
      <c r="I31" s="10" t="s">
        <v>507</v>
      </c>
      <c r="J31" s="101">
        <f t="shared" si="1"/>
        <v>22</v>
      </c>
    </row>
    <row r="32" spans="1:10" ht="15.75">
      <c r="A32" s="101">
        <f t="shared" si="0"/>
        <v>23</v>
      </c>
      <c r="B32" s="105"/>
      <c r="C32" s="117" t="s">
        <v>84</v>
      </c>
      <c r="D32" s="112"/>
      <c r="E32" s="112"/>
      <c r="F32" s="112"/>
      <c r="G32" s="376">
        <f>G115</f>
        <v>3206999.6043226914</v>
      </c>
      <c r="H32" s="994"/>
      <c r="I32" s="10" t="s">
        <v>372</v>
      </c>
      <c r="J32" s="101">
        <f t="shared" si="1"/>
        <v>23</v>
      </c>
    </row>
    <row r="33" spans="1:10" ht="15.75">
      <c r="A33" s="101">
        <f t="shared" si="0"/>
        <v>24</v>
      </c>
      <c r="B33" s="102"/>
      <c r="C33" s="102" t="s">
        <v>93</v>
      </c>
      <c r="D33" s="102"/>
      <c r="E33" s="102"/>
      <c r="F33" s="102"/>
      <c r="G33" s="703">
        <f>ROUND(G32*G31,0)</f>
        <v>376596</v>
      </c>
      <c r="H33" s="994"/>
      <c r="I33" s="10" t="s">
        <v>564</v>
      </c>
      <c r="J33" s="101">
        <f t="shared" si="1"/>
        <v>24</v>
      </c>
    </row>
    <row r="34" spans="1:10" ht="15.75">
      <c r="A34" s="101">
        <f t="shared" si="0"/>
        <v>25</v>
      </c>
      <c r="B34" s="102"/>
      <c r="C34" s="102"/>
      <c r="D34" s="102"/>
      <c r="E34" s="102"/>
      <c r="F34" s="102"/>
      <c r="G34" s="139"/>
      <c r="H34" s="4"/>
      <c r="I34" s="10"/>
      <c r="J34" s="101">
        <f t="shared" si="1"/>
        <v>25</v>
      </c>
    </row>
    <row r="35" spans="1:10" ht="15.75">
      <c r="A35" s="101">
        <f t="shared" si="0"/>
        <v>26</v>
      </c>
      <c r="B35" s="102"/>
      <c r="C35" s="102" t="s">
        <v>95</v>
      </c>
      <c r="D35" s="102"/>
      <c r="E35" s="102"/>
      <c r="F35" s="102"/>
      <c r="G35" s="385">
        <f>'Cost Statements'!H382</f>
        <v>2333</v>
      </c>
      <c r="H35" s="4"/>
      <c r="I35" s="10" t="s">
        <v>508</v>
      </c>
      <c r="J35" s="101">
        <f t="shared" si="1"/>
        <v>26</v>
      </c>
    </row>
    <row r="36" spans="1:10" ht="15.75">
      <c r="A36" s="101">
        <f t="shared" si="0"/>
        <v>27</v>
      </c>
      <c r="B36" s="102"/>
      <c r="C36" s="117" t="s">
        <v>88</v>
      </c>
      <c r="D36" s="4"/>
      <c r="E36" s="4"/>
      <c r="F36" s="4"/>
      <c r="G36" s="378">
        <f>'Cost Statements'!H394</f>
        <v>-265</v>
      </c>
      <c r="H36" s="4"/>
      <c r="I36" s="10" t="s">
        <v>509</v>
      </c>
      <c r="J36" s="101">
        <f t="shared" si="1"/>
        <v>27</v>
      </c>
    </row>
    <row r="37" spans="1:10" ht="15.75">
      <c r="A37" s="101">
        <f t="shared" si="0"/>
        <v>28</v>
      </c>
      <c r="B37" s="102"/>
      <c r="C37" s="117" t="s">
        <v>89</v>
      </c>
      <c r="D37" s="102"/>
      <c r="E37" s="102"/>
      <c r="F37" s="102"/>
      <c r="G37" s="374">
        <f>'Cost Statements'!H396</f>
        <v>0</v>
      </c>
      <c r="H37" s="4"/>
      <c r="I37" s="10" t="s">
        <v>510</v>
      </c>
      <c r="J37" s="101">
        <f t="shared" si="1"/>
        <v>28</v>
      </c>
    </row>
    <row r="38" spans="1:10" ht="15.75">
      <c r="A38" s="101">
        <f t="shared" si="0"/>
        <v>29</v>
      </c>
      <c r="B38" s="102"/>
      <c r="C38" s="102" t="s">
        <v>90</v>
      </c>
      <c r="D38" s="102"/>
      <c r="E38" s="102"/>
      <c r="F38" s="102"/>
      <c r="G38" s="375">
        <f>-'Cost Statements'!H420</f>
        <v>-7125.694188511934</v>
      </c>
      <c r="H38" s="994"/>
      <c r="I38" s="10" t="s">
        <v>511</v>
      </c>
      <c r="J38" s="101">
        <f t="shared" si="1"/>
        <v>29</v>
      </c>
    </row>
    <row r="39" spans="1:10" ht="15.75">
      <c r="A39" s="101">
        <f t="shared" si="0"/>
        <v>30</v>
      </c>
      <c r="B39" s="102"/>
      <c r="C39" s="102" t="s">
        <v>343</v>
      </c>
      <c r="D39" s="102"/>
      <c r="E39" s="102"/>
      <c r="F39" s="102"/>
      <c r="G39" s="375">
        <f>'Cost Statements'!H590</f>
        <v>0</v>
      </c>
      <c r="H39" s="4"/>
      <c r="I39" s="10" t="s">
        <v>487</v>
      </c>
      <c r="J39" s="101">
        <f t="shared" si="1"/>
        <v>30</v>
      </c>
    </row>
    <row r="40" spans="1:10" ht="15.75">
      <c r="A40" s="101">
        <f t="shared" si="0"/>
        <v>31</v>
      </c>
      <c r="B40" s="102"/>
      <c r="C40" s="271" t="s">
        <v>288</v>
      </c>
      <c r="D40" s="102"/>
      <c r="E40" s="102"/>
      <c r="F40" s="102"/>
      <c r="G40" s="376">
        <f>-'Cost Statements'!H422</f>
        <v>0</v>
      </c>
      <c r="H40" s="4"/>
      <c r="I40" s="10" t="s">
        <v>512</v>
      </c>
      <c r="J40" s="101">
        <f t="shared" si="1"/>
        <v>31</v>
      </c>
    </row>
    <row r="41" spans="1:10" ht="15.75">
      <c r="A41" s="101">
        <f t="shared" si="0"/>
        <v>32</v>
      </c>
      <c r="B41" s="102"/>
      <c r="C41" s="4"/>
      <c r="D41" s="102"/>
      <c r="E41" s="102"/>
      <c r="F41" s="102"/>
      <c r="G41" s="122" t="s">
        <v>39</v>
      </c>
      <c r="H41" s="4"/>
      <c r="I41" s="10"/>
      <c r="J41" s="101">
        <f t="shared" si="1"/>
        <v>32</v>
      </c>
    </row>
    <row r="42" spans="1:10" ht="19.5" thickBot="1">
      <c r="A42" s="101">
        <f t="shared" si="0"/>
        <v>33</v>
      </c>
      <c r="B42" s="102"/>
      <c r="C42" s="132" t="s">
        <v>304</v>
      </c>
      <c r="D42" s="124"/>
      <c r="E42" s="124"/>
      <c r="F42" s="124"/>
      <c r="G42" s="764">
        <f>G29+SUM(G33:G40)</f>
        <v>664695.23051590007</v>
      </c>
      <c r="H42" s="994"/>
      <c r="I42" s="10" t="s">
        <v>565</v>
      </c>
      <c r="J42" s="101">
        <f t="shared" si="1"/>
        <v>33</v>
      </c>
    </row>
    <row r="43" spans="1:10" ht="16.5" thickTop="1">
      <c r="A43" s="101">
        <f t="shared" si="0"/>
        <v>34</v>
      </c>
      <c r="B43" s="105"/>
      <c r="C43" s="217"/>
      <c r="D43" s="124"/>
      <c r="E43" s="124"/>
      <c r="F43" s="124"/>
      <c r="G43" s="185"/>
      <c r="H43" s="133"/>
      <c r="I43" s="48"/>
      <c r="J43" s="101">
        <f t="shared" si="1"/>
        <v>34</v>
      </c>
    </row>
    <row r="44" spans="1:10" ht="15.75">
      <c r="A44" s="101">
        <f t="shared" si="0"/>
        <v>35</v>
      </c>
      <c r="B44" s="102"/>
      <c r="C44" s="126" t="s">
        <v>553</v>
      </c>
      <c r="D44" s="138"/>
      <c r="E44" s="102"/>
      <c r="F44" s="102"/>
      <c r="G44" s="101"/>
      <c r="H44" s="4"/>
      <c r="I44" s="10"/>
      <c r="J44" s="101">
        <f t="shared" si="1"/>
        <v>35</v>
      </c>
    </row>
    <row r="45" spans="1:10" ht="15.75">
      <c r="A45" s="101">
        <f t="shared" si="0"/>
        <v>36</v>
      </c>
      <c r="B45" s="105"/>
      <c r="C45" s="111" t="s">
        <v>301</v>
      </c>
      <c r="D45" s="124"/>
      <c r="E45" s="124"/>
      <c r="F45" s="124"/>
      <c r="G45" s="765">
        <f>'Cost Statements'!H262</f>
        <v>0</v>
      </c>
      <c r="H45" s="133"/>
      <c r="I45" s="10" t="s">
        <v>673</v>
      </c>
      <c r="J45" s="101">
        <f t="shared" si="1"/>
        <v>36</v>
      </c>
    </row>
    <row r="46" spans="1:10" ht="15.75">
      <c r="A46" s="101">
        <f t="shared" si="0"/>
        <v>37</v>
      </c>
      <c r="B46" s="105"/>
      <c r="C46" s="117"/>
      <c r="D46" s="124"/>
      <c r="E46" s="124"/>
      <c r="F46" s="124"/>
      <c r="G46" s="185"/>
      <c r="H46" s="133"/>
      <c r="I46" s="48"/>
      <c r="J46" s="101">
        <f t="shared" si="1"/>
        <v>37</v>
      </c>
    </row>
    <row r="47" spans="1:10" ht="20.25">
      <c r="A47" s="101">
        <f t="shared" si="0"/>
        <v>38</v>
      </c>
      <c r="B47" s="105"/>
      <c r="C47" s="117" t="s">
        <v>483</v>
      </c>
      <c r="D47" s="112"/>
      <c r="E47" s="112"/>
      <c r="F47" s="112"/>
      <c r="G47" s="407">
        <v>0</v>
      </c>
      <c r="H47" s="684">
        <v>4</v>
      </c>
      <c r="I47" s="10" t="s">
        <v>793</v>
      </c>
      <c r="J47" s="101">
        <f t="shared" si="1"/>
        <v>38</v>
      </c>
    </row>
    <row r="48" spans="1:10" ht="15.75">
      <c r="A48" s="101">
        <f t="shared" si="0"/>
        <v>39</v>
      </c>
      <c r="B48" s="105"/>
      <c r="C48" s="505" t="s">
        <v>571</v>
      </c>
      <c r="D48" s="112"/>
      <c r="E48" s="112"/>
      <c r="F48" s="112"/>
      <c r="G48" s="377">
        <f>'BK-1-Retail TRR'!G120</f>
        <v>0</v>
      </c>
      <c r="H48" s="4"/>
      <c r="I48" s="10" t="s">
        <v>554</v>
      </c>
      <c r="J48" s="101">
        <f t="shared" si="1"/>
        <v>39</v>
      </c>
    </row>
    <row r="49" spans="1:10" ht="15.75">
      <c r="A49" s="101">
        <f t="shared" si="0"/>
        <v>40</v>
      </c>
      <c r="B49" s="102"/>
      <c r="C49" s="102" t="s">
        <v>778</v>
      </c>
      <c r="D49" s="102"/>
      <c r="E49" s="102"/>
      <c r="F49" s="102"/>
      <c r="G49" s="703">
        <f>ROUND(G48*G47,0)</f>
        <v>0</v>
      </c>
      <c r="H49" s="4"/>
      <c r="I49" s="10" t="s">
        <v>579</v>
      </c>
      <c r="J49" s="101">
        <f t="shared" si="1"/>
        <v>40</v>
      </c>
    </row>
    <row r="50" spans="1:10" ht="15.75">
      <c r="A50" s="101">
        <f t="shared" si="0"/>
        <v>41</v>
      </c>
      <c r="B50" s="102"/>
      <c r="C50" s="102"/>
      <c r="D50" s="102"/>
      <c r="E50" s="102"/>
      <c r="F50" s="102"/>
      <c r="G50" s="140"/>
      <c r="H50" s="4"/>
      <c r="I50" s="10"/>
      <c r="J50" s="101">
        <f t="shared" si="1"/>
        <v>41</v>
      </c>
    </row>
    <row r="51" spans="1:10" ht="15.75">
      <c r="A51" s="101">
        <f t="shared" si="0"/>
        <v>42</v>
      </c>
      <c r="B51" s="102"/>
      <c r="C51" s="102" t="s">
        <v>560</v>
      </c>
      <c r="D51" s="102"/>
      <c r="E51" s="102"/>
      <c r="F51" s="102"/>
      <c r="G51" s="703">
        <f>G45+G49</f>
        <v>0</v>
      </c>
      <c r="H51" s="4"/>
      <c r="I51" s="10" t="s">
        <v>580</v>
      </c>
      <c r="J51" s="101">
        <f t="shared" si="1"/>
        <v>42</v>
      </c>
    </row>
    <row r="52" spans="1:10" ht="15.75">
      <c r="A52" s="101">
        <f t="shared" si="0"/>
        <v>43</v>
      </c>
      <c r="B52" s="102"/>
      <c r="C52" s="102"/>
      <c r="D52" s="102"/>
      <c r="E52" s="102"/>
      <c r="F52" s="102"/>
      <c r="G52" s="140"/>
      <c r="H52" s="4"/>
      <c r="I52" s="10"/>
      <c r="J52" s="101">
        <f t="shared" si="1"/>
        <v>43</v>
      </c>
    </row>
    <row r="53" spans="1:10" ht="15.75">
      <c r="A53" s="101">
        <f t="shared" si="0"/>
        <v>44</v>
      </c>
      <c r="B53" s="102"/>
      <c r="C53" s="194" t="s">
        <v>576</v>
      </c>
      <c r="D53" s="102"/>
      <c r="E53" s="102"/>
      <c r="F53" s="102"/>
      <c r="G53" s="140"/>
      <c r="H53" s="4"/>
      <c r="I53" s="10"/>
      <c r="J53" s="101">
        <f t="shared" si="1"/>
        <v>44</v>
      </c>
    </row>
    <row r="54" spans="1:10" ht="15.75">
      <c r="A54" s="101">
        <f t="shared" si="0"/>
        <v>45</v>
      </c>
      <c r="B54" s="105"/>
      <c r="C54" s="111" t="s">
        <v>575</v>
      </c>
      <c r="D54" s="102"/>
      <c r="E54" s="102"/>
      <c r="F54" s="102"/>
      <c r="G54" s="377">
        <f>'Cost Statements'!H266</f>
        <v>0</v>
      </c>
      <c r="H54" s="4"/>
      <c r="I54" s="10" t="s">
        <v>683</v>
      </c>
      <c r="J54" s="101">
        <f t="shared" si="1"/>
        <v>45</v>
      </c>
    </row>
    <row r="55" spans="1:10" ht="15.75">
      <c r="A55" s="101">
        <f t="shared" si="0"/>
        <v>46</v>
      </c>
      <c r="B55" s="105"/>
      <c r="C55" s="111"/>
      <c r="D55" s="102"/>
      <c r="E55" s="102"/>
      <c r="F55" s="102"/>
      <c r="G55" s="506"/>
      <c r="H55" s="4"/>
      <c r="I55" s="10"/>
      <c r="J55" s="101">
        <f t="shared" si="1"/>
        <v>46</v>
      </c>
    </row>
    <row r="56" spans="1:10" ht="15.75">
      <c r="A56" s="101">
        <f t="shared" si="0"/>
        <v>47</v>
      </c>
      <c r="B56" s="105"/>
      <c r="C56" s="111" t="s">
        <v>585</v>
      </c>
      <c r="D56" s="102"/>
      <c r="E56" s="102"/>
      <c r="F56" s="102"/>
      <c r="G56" s="384">
        <f>G125</f>
        <v>0</v>
      </c>
      <c r="H56" s="4"/>
      <c r="I56" s="10" t="s">
        <v>556</v>
      </c>
      <c r="J56" s="101">
        <f t="shared" si="1"/>
        <v>47</v>
      </c>
    </row>
    <row r="57" spans="1:10" ht="18.75">
      <c r="A57" s="101">
        <f t="shared" si="0"/>
        <v>48</v>
      </c>
      <c r="B57" s="102"/>
      <c r="C57" s="117" t="s">
        <v>337</v>
      </c>
      <c r="D57" s="112"/>
      <c r="E57" s="112"/>
      <c r="F57" s="113"/>
      <c r="G57" s="683">
        <f>'Cost Statements'!H533</f>
        <v>0.11742929581372742</v>
      </c>
      <c r="H57" s="994"/>
      <c r="I57" s="10" t="s">
        <v>507</v>
      </c>
      <c r="J57" s="101">
        <f t="shared" si="1"/>
        <v>48</v>
      </c>
    </row>
    <row r="58" spans="1:10" ht="15.75">
      <c r="A58" s="101">
        <f t="shared" si="0"/>
        <v>49</v>
      </c>
      <c r="B58" s="102"/>
      <c r="C58" s="102" t="s">
        <v>577</v>
      </c>
      <c r="D58" s="102"/>
      <c r="E58" s="102"/>
      <c r="F58" s="102"/>
      <c r="G58" s="142">
        <f>ROUND(G56*G57,0)</f>
        <v>0</v>
      </c>
      <c r="H58" s="4"/>
      <c r="I58" s="10" t="s">
        <v>566</v>
      </c>
      <c r="J58" s="101">
        <f t="shared" si="1"/>
        <v>49</v>
      </c>
    </row>
    <row r="59" spans="1:10" ht="15.75">
      <c r="A59" s="101">
        <f t="shared" si="0"/>
        <v>50</v>
      </c>
      <c r="B59" s="102"/>
      <c r="C59" s="102"/>
      <c r="D59" s="102"/>
      <c r="E59" s="102"/>
      <c r="F59" s="102"/>
      <c r="G59" s="140"/>
      <c r="H59" s="4"/>
      <c r="I59" s="10"/>
      <c r="J59" s="101">
        <f t="shared" si="1"/>
        <v>50</v>
      </c>
    </row>
    <row r="60" spans="1:10" ht="15.75">
      <c r="A60" s="101">
        <f t="shared" si="0"/>
        <v>51</v>
      </c>
      <c r="B60" s="102"/>
      <c r="C60" s="102" t="s">
        <v>578</v>
      </c>
      <c r="D60" s="102"/>
      <c r="E60" s="102"/>
      <c r="F60" s="102"/>
      <c r="G60" s="703">
        <f>G54+G58</f>
        <v>0</v>
      </c>
      <c r="H60" s="4"/>
      <c r="I60" s="10" t="s">
        <v>581</v>
      </c>
      <c r="J60" s="101">
        <f t="shared" si="1"/>
        <v>51</v>
      </c>
    </row>
    <row r="61" spans="1:10" ht="15.75">
      <c r="A61" s="101">
        <f t="shared" si="0"/>
        <v>52</v>
      </c>
      <c r="B61" s="102"/>
      <c r="C61" s="102"/>
      <c r="D61" s="102"/>
      <c r="E61" s="102"/>
      <c r="F61" s="102"/>
      <c r="G61" s="140"/>
      <c r="H61" s="4"/>
      <c r="I61" s="10"/>
      <c r="J61" s="101">
        <f t="shared" si="1"/>
        <v>52</v>
      </c>
    </row>
    <row r="62" spans="1:10" ht="15.75">
      <c r="A62" s="101">
        <f t="shared" si="0"/>
        <v>53</v>
      </c>
      <c r="B62" s="105"/>
      <c r="C62" s="478" t="s">
        <v>562</v>
      </c>
      <c r="D62" s="124"/>
      <c r="E62" s="124"/>
      <c r="F62" s="124"/>
      <c r="G62" s="185"/>
      <c r="H62" s="133"/>
      <c r="I62" s="48"/>
      <c r="J62" s="101">
        <f t="shared" si="1"/>
        <v>53</v>
      </c>
    </row>
    <row r="63" spans="1:10" ht="18.75">
      <c r="A63" s="101">
        <f t="shared" si="0"/>
        <v>54</v>
      </c>
      <c r="B63" s="105"/>
      <c r="C63" s="217" t="s">
        <v>528</v>
      </c>
      <c r="D63" s="124"/>
      <c r="E63" s="124"/>
      <c r="F63" s="124"/>
      <c r="G63" s="766">
        <f>G127</f>
        <v>0</v>
      </c>
      <c r="H63" s="133"/>
      <c r="I63" s="10" t="s">
        <v>557</v>
      </c>
      <c r="J63" s="101">
        <f t="shared" si="1"/>
        <v>54</v>
      </c>
    </row>
    <row r="64" spans="1:10" ht="18.75">
      <c r="A64" s="101">
        <f t="shared" si="0"/>
        <v>55</v>
      </c>
      <c r="B64" s="105"/>
      <c r="C64" s="117" t="s">
        <v>337</v>
      </c>
      <c r="D64" s="124"/>
      <c r="E64" s="124"/>
      <c r="F64" s="124"/>
      <c r="G64" s="1016">
        <f>'Cost Statements'!H533</f>
        <v>0.11742929581372742</v>
      </c>
      <c r="H64" s="994"/>
      <c r="I64" s="10" t="s">
        <v>507</v>
      </c>
      <c r="J64" s="101">
        <f t="shared" si="1"/>
        <v>55</v>
      </c>
    </row>
    <row r="65" spans="1:10" ht="15.75">
      <c r="A65" s="101">
        <f t="shared" si="0"/>
        <v>56</v>
      </c>
      <c r="B65" s="105"/>
      <c r="C65" s="102" t="s">
        <v>482</v>
      </c>
      <c r="D65" s="124"/>
      <c r="E65" s="124"/>
      <c r="F65" s="124"/>
      <c r="G65" s="767">
        <f>ROUND(G63*G64,0)</f>
        <v>0</v>
      </c>
      <c r="H65" s="133"/>
      <c r="I65" s="10" t="s">
        <v>582</v>
      </c>
      <c r="J65" s="101">
        <f t="shared" si="1"/>
        <v>56</v>
      </c>
    </row>
    <row r="66" spans="1:10" ht="15.75">
      <c r="A66" s="101">
        <f t="shared" si="0"/>
        <v>57</v>
      </c>
      <c r="B66" s="105"/>
      <c r="C66" s="102"/>
      <c r="D66" s="124"/>
      <c r="E66" s="124"/>
      <c r="F66" s="124"/>
      <c r="G66" s="185"/>
      <c r="H66" s="133"/>
      <c r="I66" s="10"/>
      <c r="J66" s="101">
        <f t="shared" si="1"/>
        <v>57</v>
      </c>
    </row>
    <row r="67" spans="1:10" ht="19.5" thickBot="1">
      <c r="A67" s="101">
        <f t="shared" si="0"/>
        <v>58</v>
      </c>
      <c r="B67" s="102"/>
      <c r="C67" s="132" t="s">
        <v>563</v>
      </c>
      <c r="D67" s="102"/>
      <c r="E67" s="102"/>
      <c r="F67" s="102"/>
      <c r="G67" s="764">
        <f>G51+G60+G65</f>
        <v>0</v>
      </c>
      <c r="H67" s="4"/>
      <c r="I67" s="10" t="s">
        <v>583</v>
      </c>
      <c r="J67" s="101">
        <f t="shared" si="1"/>
        <v>58</v>
      </c>
    </row>
    <row r="68" spans="1:10" ht="16.5" thickTop="1">
      <c r="A68" s="101">
        <f t="shared" si="0"/>
        <v>59</v>
      </c>
      <c r="B68" s="105"/>
      <c r="C68" s="217"/>
      <c r="D68" s="124"/>
      <c r="E68" s="124"/>
      <c r="F68" s="124"/>
      <c r="G68" s="185"/>
      <c r="H68" s="133"/>
      <c r="I68" s="48"/>
      <c r="J68" s="101">
        <f t="shared" si="1"/>
        <v>59</v>
      </c>
    </row>
    <row r="69" spans="1:10" ht="24.6" customHeight="1" thickBot="1">
      <c r="A69" s="101">
        <f t="shared" si="0"/>
        <v>60</v>
      </c>
      <c r="B69" s="105"/>
      <c r="C69" s="195" t="s">
        <v>662</v>
      </c>
      <c r="D69" s="124"/>
      <c r="E69" s="124"/>
      <c r="F69" s="124"/>
      <c r="G69" s="764">
        <f>+G42+G67</f>
        <v>664695.23051590007</v>
      </c>
      <c r="H69" s="994"/>
      <c r="I69" s="48" t="s">
        <v>584</v>
      </c>
      <c r="J69" s="101">
        <f t="shared" si="1"/>
        <v>60</v>
      </c>
    </row>
    <row r="70" spans="1:10" ht="16.5" thickTop="1">
      <c r="A70" s="101"/>
      <c r="B70" s="105"/>
      <c r="C70" s="195"/>
      <c r="D70" s="124"/>
      <c r="E70" s="124"/>
      <c r="F70" s="124"/>
      <c r="G70" s="185"/>
      <c r="H70" s="274"/>
      <c r="I70" s="48"/>
      <c r="J70" s="101"/>
    </row>
    <row r="71" spans="1:10" ht="18.75">
      <c r="A71" s="101"/>
      <c r="B71" s="268" t="s">
        <v>194</v>
      </c>
      <c r="C71" s="132" t="s">
        <v>1203</v>
      </c>
      <c r="D71" s="124"/>
      <c r="E71" s="124"/>
      <c r="F71" s="124"/>
      <c r="G71" s="364"/>
      <c r="H71" s="274"/>
      <c r="I71" s="48"/>
      <c r="J71" s="101"/>
    </row>
    <row r="72" spans="1:10" ht="18.75">
      <c r="A72" s="101"/>
      <c r="B72" s="268"/>
      <c r="C72" s="132" t="s">
        <v>1202</v>
      </c>
      <c r="D72" s="124"/>
      <c r="E72" s="124"/>
      <c r="F72" s="124"/>
      <c r="G72" s="364"/>
      <c r="H72" s="274"/>
      <c r="I72" s="48"/>
      <c r="J72" s="101"/>
    </row>
    <row r="73" spans="1:10" ht="18.75">
      <c r="A73" s="101"/>
      <c r="B73" s="268">
        <v>2</v>
      </c>
      <c r="C73" s="132" t="s">
        <v>1205</v>
      </c>
      <c r="D73" s="124"/>
      <c r="E73" s="124"/>
      <c r="F73" s="124"/>
      <c r="G73" s="364"/>
      <c r="H73" s="274"/>
      <c r="I73" s="48"/>
      <c r="J73" s="101"/>
    </row>
    <row r="74" spans="1:10" ht="18.75">
      <c r="A74" s="101"/>
      <c r="B74" s="268"/>
      <c r="C74" s="132" t="s">
        <v>1204</v>
      </c>
      <c r="D74" s="124"/>
      <c r="E74" s="124"/>
      <c r="F74" s="124"/>
      <c r="G74" s="364"/>
      <c r="H74" s="274"/>
      <c r="I74" s="48"/>
      <c r="J74" s="101"/>
    </row>
    <row r="75" spans="1:10" ht="18.75">
      <c r="B75" s="268">
        <v>3</v>
      </c>
      <c r="C75" s="132" t="s">
        <v>552</v>
      </c>
      <c r="D75" s="124"/>
      <c r="E75" s="124"/>
      <c r="F75" s="124"/>
      <c r="G75" s="185"/>
      <c r="H75" s="133"/>
      <c r="I75" s="48"/>
      <c r="J75" s="101"/>
    </row>
    <row r="76" spans="1:10" ht="18.75">
      <c r="B76" s="268">
        <v>4</v>
      </c>
      <c r="C76" s="5" t="s">
        <v>1207</v>
      </c>
      <c r="D76" s="124"/>
      <c r="E76" s="124"/>
      <c r="F76" s="124"/>
      <c r="G76" s="185"/>
      <c r="H76" s="133"/>
      <c r="I76" s="48"/>
      <c r="J76" s="101"/>
    </row>
    <row r="77" spans="1:10" ht="18.75">
      <c r="B77" s="268"/>
      <c r="C77" s="5" t="s">
        <v>1206</v>
      </c>
      <c r="D77" s="124"/>
      <c r="E77" s="124"/>
      <c r="F77" s="124"/>
      <c r="G77" s="185"/>
      <c r="H77" s="133"/>
      <c r="I77" s="48"/>
      <c r="J77" s="101"/>
    </row>
    <row r="78" spans="1:10" ht="18.75">
      <c r="A78" s="101"/>
      <c r="B78" s="268">
        <v>5</v>
      </c>
      <c r="C78" s="4" t="s">
        <v>923</v>
      </c>
      <c r="D78" s="124"/>
      <c r="E78" s="124"/>
      <c r="F78" s="124"/>
      <c r="G78" s="185"/>
      <c r="H78" s="4"/>
      <c r="I78" s="10"/>
      <c r="J78" s="101"/>
    </row>
    <row r="79" spans="1:10" ht="15.75">
      <c r="A79" s="101"/>
      <c r="B79" s="995"/>
      <c r="C79" s="50"/>
      <c r="D79" s="124"/>
      <c r="E79" s="124"/>
      <c r="F79" s="124"/>
      <c r="G79" s="185"/>
      <c r="H79" s="4"/>
      <c r="I79" s="10"/>
      <c r="J79" s="101"/>
    </row>
    <row r="80" spans="1:10" ht="15.75">
      <c r="A80" s="101"/>
      <c r="B80" s="102"/>
      <c r="C80" s="132"/>
      <c r="D80" s="124"/>
      <c r="E80" s="124"/>
      <c r="F80" s="124"/>
      <c r="G80" s="185"/>
      <c r="H80" s="4"/>
      <c r="I80" s="10"/>
      <c r="J80" s="101"/>
    </row>
    <row r="81" spans="1:10" ht="15.75">
      <c r="A81" s="101"/>
      <c r="B81" s="102"/>
      <c r="C81" s="1141" t="s">
        <v>61</v>
      </c>
      <c r="D81" s="1138"/>
      <c r="E81" s="1138"/>
      <c r="F81" s="1138"/>
      <c r="G81" s="1138"/>
      <c r="H81" s="1138"/>
      <c r="I81" s="1138"/>
      <c r="J81" s="101"/>
    </row>
    <row r="82" spans="1:10" ht="15.75">
      <c r="A82" s="101"/>
      <c r="B82" s="102"/>
      <c r="C82" s="1141" t="s">
        <v>81</v>
      </c>
      <c r="D82" s="1138"/>
      <c r="E82" s="1138"/>
      <c r="F82" s="1138"/>
      <c r="G82" s="1138"/>
      <c r="H82" s="1138"/>
      <c r="I82" s="1138"/>
      <c r="J82" s="10"/>
    </row>
    <row r="83" spans="1:10" ht="17.25">
      <c r="A83" s="101" t="s">
        <v>39</v>
      </c>
      <c r="B83" s="102"/>
      <c r="C83" s="1141" t="s">
        <v>285</v>
      </c>
      <c r="D83" s="1142"/>
      <c r="E83" s="1142"/>
      <c r="F83" s="1142"/>
      <c r="G83" s="1142"/>
      <c r="H83" s="1142"/>
      <c r="I83" s="1142"/>
      <c r="J83" s="101" t="s">
        <v>39</v>
      </c>
    </row>
    <row r="84" spans="1:10" ht="15.75">
      <c r="A84" s="101"/>
      <c r="B84" s="102"/>
      <c r="C84" s="1143" t="str">
        <f>C4</f>
        <v>For the Base Period &amp; True-Up Period Ending December 31, 2015</v>
      </c>
      <c r="D84" s="1144"/>
      <c r="E84" s="1144"/>
      <c r="F84" s="1144"/>
      <c r="G84" s="1144"/>
      <c r="H84" s="1144"/>
      <c r="I84" s="1144"/>
      <c r="J84" s="101"/>
    </row>
    <row r="85" spans="1:10" ht="15.75">
      <c r="A85" s="101"/>
      <c r="B85" s="102"/>
      <c r="C85" s="1137" t="s">
        <v>72</v>
      </c>
      <c r="D85" s="1138"/>
      <c r="E85" s="1138"/>
      <c r="F85" s="1138"/>
      <c r="G85" s="1138"/>
      <c r="H85" s="1138"/>
      <c r="I85" s="1138"/>
      <c r="J85" s="101"/>
    </row>
    <row r="86" spans="1:10" ht="15.75">
      <c r="A86" s="101"/>
      <c r="B86" s="102"/>
      <c r="C86" s="223"/>
      <c r="D86" s="249"/>
      <c r="E86" s="249"/>
      <c r="F86" s="249"/>
      <c r="G86" s="249"/>
      <c r="H86" s="249"/>
      <c r="I86" s="249"/>
      <c r="J86" s="101"/>
    </row>
    <row r="87" spans="1:10" ht="15.75">
      <c r="A87" s="103" t="s">
        <v>62</v>
      </c>
      <c r="B87" s="104"/>
      <c r="C87" s="105"/>
      <c r="D87" s="105"/>
      <c r="E87" s="105"/>
      <c r="F87" s="105"/>
      <c r="G87" s="106"/>
      <c r="H87" s="4"/>
      <c r="I87" s="10"/>
      <c r="J87" s="103" t="s">
        <v>62</v>
      </c>
    </row>
    <row r="88" spans="1:10" ht="15.75">
      <c r="A88" s="136" t="s">
        <v>63</v>
      </c>
      <c r="B88" s="102"/>
      <c r="C88" s="107" t="s">
        <v>39</v>
      </c>
      <c r="D88" s="102"/>
      <c r="E88" s="102"/>
      <c r="F88" s="102"/>
      <c r="G88" s="137" t="s">
        <v>69</v>
      </c>
      <c r="H88" s="4"/>
      <c r="I88" s="33" t="s">
        <v>65</v>
      </c>
      <c r="J88" s="136" t="s">
        <v>63</v>
      </c>
    </row>
    <row r="89" spans="1:10" ht="15.75">
      <c r="A89" s="101"/>
      <c r="B89" s="126"/>
      <c r="C89" s="192" t="s">
        <v>779</v>
      </c>
      <c r="D89" s="127"/>
      <c r="E89" s="127"/>
      <c r="F89" s="127"/>
      <c r="G89" s="127"/>
      <c r="H89" s="4"/>
      <c r="I89" s="10"/>
      <c r="J89" s="101"/>
    </row>
    <row r="90" spans="1:10" ht="15.75">
      <c r="A90" s="101">
        <v>1</v>
      </c>
      <c r="B90" s="126"/>
      <c r="C90" s="109" t="s">
        <v>158</v>
      </c>
      <c r="D90" s="127"/>
      <c r="E90" s="127"/>
      <c r="F90" s="127"/>
      <c r="G90" s="127"/>
      <c r="H90" s="4"/>
      <c r="I90" s="10"/>
      <c r="J90" s="101">
        <v>1</v>
      </c>
    </row>
    <row r="91" spans="1:10" ht="15.75">
      <c r="A91" s="101">
        <f t="shared" ref="A91:A127" si="2">A90+1</f>
        <v>2</v>
      </c>
      <c r="B91" s="126"/>
      <c r="C91" s="111" t="s">
        <v>64</v>
      </c>
      <c r="D91" s="127"/>
      <c r="E91" s="127"/>
      <c r="F91" s="127"/>
      <c r="G91" s="379">
        <f>G158</f>
        <v>3778612.7481261529</v>
      </c>
      <c r="H91" s="274"/>
      <c r="I91" s="10" t="s">
        <v>7</v>
      </c>
      <c r="J91" s="101">
        <f>J90+1</f>
        <v>2</v>
      </c>
    </row>
    <row r="92" spans="1:10" ht="15.75">
      <c r="A92" s="101">
        <f t="shared" si="2"/>
        <v>3</v>
      </c>
      <c r="B92" s="126"/>
      <c r="C92" s="111" t="s">
        <v>154</v>
      </c>
      <c r="D92" s="127"/>
      <c r="E92" s="127"/>
      <c r="F92" s="127"/>
      <c r="G92" s="380">
        <f>G159</f>
        <v>14784</v>
      </c>
      <c r="H92" s="274"/>
      <c r="I92" s="10" t="s">
        <v>8</v>
      </c>
      <c r="J92" s="101">
        <f>J91+1</f>
        <v>3</v>
      </c>
    </row>
    <row r="93" spans="1:10" ht="15.75">
      <c r="A93" s="101">
        <f t="shared" si="2"/>
        <v>4</v>
      </c>
      <c r="B93" s="126"/>
      <c r="C93" s="111" t="s">
        <v>98</v>
      </c>
      <c r="D93" s="127"/>
      <c r="E93" s="127"/>
      <c r="F93" s="127"/>
      <c r="G93" s="380">
        <f>G160</f>
        <v>32676</v>
      </c>
      <c r="H93" s="4"/>
      <c r="I93" s="10" t="s">
        <v>9</v>
      </c>
      <c r="J93" s="101">
        <f>J92+1</f>
        <v>4</v>
      </c>
    </row>
    <row r="94" spans="1:10" ht="15.75">
      <c r="A94" s="101">
        <f t="shared" si="2"/>
        <v>5</v>
      </c>
      <c r="B94" s="126"/>
      <c r="C94" s="117" t="s">
        <v>99</v>
      </c>
      <c r="D94" s="127"/>
      <c r="E94" s="127"/>
      <c r="F94" s="127"/>
      <c r="G94" s="381">
        <f>G161</f>
        <v>56020</v>
      </c>
      <c r="H94" s="4"/>
      <c r="I94" s="10" t="s">
        <v>10</v>
      </c>
      <c r="J94" s="101">
        <f>J93+1</f>
        <v>5</v>
      </c>
    </row>
    <row r="95" spans="1:10" ht="15.75">
      <c r="A95" s="101">
        <f t="shared" si="2"/>
        <v>6</v>
      </c>
      <c r="B95" s="102"/>
      <c r="C95" s="111" t="s">
        <v>328</v>
      </c>
      <c r="D95" s="101"/>
      <c r="E95" s="101"/>
      <c r="F95" s="101"/>
      <c r="G95" s="142">
        <f>SUM(G91:G94)</f>
        <v>3882092.7481261529</v>
      </c>
      <c r="H95" s="274"/>
      <c r="I95" s="10" t="s">
        <v>314</v>
      </c>
      <c r="J95" s="101">
        <f t="shared" ref="J95:J127" si="3">J94+1</f>
        <v>6</v>
      </c>
    </row>
    <row r="96" spans="1:10" ht="15.75">
      <c r="A96" s="101">
        <f t="shared" si="2"/>
        <v>7</v>
      </c>
      <c r="B96" s="111"/>
      <c r="C96" s="102"/>
      <c r="D96" s="101"/>
      <c r="E96" s="101"/>
      <c r="F96" s="101"/>
      <c r="G96" s="122"/>
      <c r="H96" s="4"/>
      <c r="I96" s="10"/>
      <c r="J96" s="101">
        <f t="shared" si="3"/>
        <v>7</v>
      </c>
    </row>
    <row r="97" spans="1:10" ht="15.75">
      <c r="A97" s="101">
        <f t="shared" si="2"/>
        <v>8</v>
      </c>
      <c r="B97" s="111"/>
      <c r="C97" s="109" t="s">
        <v>140</v>
      </c>
      <c r="D97" s="101"/>
      <c r="E97" s="101"/>
      <c r="F97" s="101"/>
      <c r="G97" s="122"/>
      <c r="H97" s="4"/>
      <c r="I97" s="10"/>
      <c r="J97" s="101">
        <f t="shared" si="3"/>
        <v>8</v>
      </c>
    </row>
    <row r="98" spans="1:10" ht="15.75">
      <c r="A98" s="101">
        <f t="shared" si="2"/>
        <v>9</v>
      </c>
      <c r="B98" s="111"/>
      <c r="C98" s="111" t="s">
        <v>104</v>
      </c>
      <c r="D98" s="101"/>
      <c r="E98" s="101"/>
      <c r="F98" s="101"/>
      <c r="G98" s="383">
        <f>'Cost Statements'!H127</f>
        <v>5859.8561965384633</v>
      </c>
      <c r="H98" s="274"/>
      <c r="I98" s="10" t="s">
        <v>834</v>
      </c>
      <c r="J98" s="101">
        <f t="shared" si="3"/>
        <v>9</v>
      </c>
    </row>
    <row r="99" spans="1:10" ht="15.75">
      <c r="A99" s="101">
        <f t="shared" si="2"/>
        <v>10</v>
      </c>
      <c r="B99" s="111"/>
      <c r="C99" s="111" t="s">
        <v>586</v>
      </c>
      <c r="D99" s="101"/>
      <c r="E99" s="101"/>
      <c r="F99" s="101"/>
      <c r="G99" s="474">
        <f>'Cost Statements'!H593</f>
        <v>0</v>
      </c>
      <c r="H99" s="4"/>
      <c r="I99" s="10" t="s">
        <v>476</v>
      </c>
      <c r="J99" s="101">
        <f t="shared" si="3"/>
        <v>10</v>
      </c>
    </row>
    <row r="100" spans="1:10" ht="15.75">
      <c r="A100" s="101">
        <f t="shared" si="2"/>
        <v>11</v>
      </c>
      <c r="B100" s="111"/>
      <c r="C100" s="111" t="s">
        <v>345</v>
      </c>
      <c r="D100" s="101"/>
      <c r="E100" s="101"/>
      <c r="F100" s="101"/>
      <c r="G100" s="382">
        <f>SUM(G98:G99)</f>
        <v>5859.8561965384633</v>
      </c>
      <c r="H100" s="274"/>
      <c r="I100" s="10" t="s">
        <v>344</v>
      </c>
      <c r="J100" s="101">
        <f t="shared" si="3"/>
        <v>11</v>
      </c>
    </row>
    <row r="101" spans="1:10" ht="15.75">
      <c r="A101" s="101">
        <f t="shared" si="2"/>
        <v>12</v>
      </c>
      <c r="B101" s="111"/>
      <c r="C101" s="111"/>
      <c r="D101" s="101"/>
      <c r="E101" s="101"/>
      <c r="F101" s="101"/>
      <c r="G101" s="185"/>
      <c r="H101" s="4"/>
      <c r="I101" s="10"/>
      <c r="J101" s="101">
        <f t="shared" si="3"/>
        <v>12</v>
      </c>
    </row>
    <row r="102" spans="1:10" ht="15.75">
      <c r="A102" s="101">
        <f t="shared" si="2"/>
        <v>13</v>
      </c>
      <c r="B102" s="102"/>
      <c r="C102" s="109" t="s">
        <v>159</v>
      </c>
      <c r="D102" s="102"/>
      <c r="E102" s="102"/>
      <c r="F102" s="102"/>
      <c r="G102" s="122"/>
      <c r="H102" s="4"/>
      <c r="I102" s="10"/>
      <c r="J102" s="101">
        <f t="shared" si="3"/>
        <v>13</v>
      </c>
    </row>
    <row r="103" spans="1:10" ht="15.75">
      <c r="A103" s="101">
        <f t="shared" si="2"/>
        <v>14</v>
      </c>
      <c r="B103" s="111"/>
      <c r="C103" s="102" t="s">
        <v>305</v>
      </c>
      <c r="D103" s="103"/>
      <c r="E103" s="103"/>
      <c r="F103" s="103"/>
      <c r="G103" s="384">
        <f>'Cost Statements'!H109</f>
        <v>-745603</v>
      </c>
      <c r="H103" s="4"/>
      <c r="I103" s="10" t="s">
        <v>293</v>
      </c>
      <c r="J103" s="101">
        <f t="shared" si="3"/>
        <v>14</v>
      </c>
    </row>
    <row r="104" spans="1:10" ht="15.75">
      <c r="A104" s="101">
        <f t="shared" si="2"/>
        <v>15</v>
      </c>
      <c r="B104" s="111"/>
      <c r="C104" s="102" t="s">
        <v>587</v>
      </c>
      <c r="D104" s="103"/>
      <c r="E104" s="103"/>
      <c r="F104" s="103"/>
      <c r="G104" s="476">
        <f>'Cost Statements'!H113</f>
        <v>0</v>
      </c>
      <c r="H104" s="4"/>
      <c r="I104" s="10" t="s">
        <v>481</v>
      </c>
      <c r="J104" s="101">
        <f t="shared" si="3"/>
        <v>15</v>
      </c>
    </row>
    <row r="105" spans="1:10" ht="15.75">
      <c r="A105" s="101">
        <f t="shared" si="2"/>
        <v>16</v>
      </c>
      <c r="B105" s="111"/>
      <c r="C105" s="111" t="s">
        <v>346</v>
      </c>
      <c r="D105" s="103"/>
      <c r="E105" s="103"/>
      <c r="F105" s="103"/>
      <c r="G105" s="142">
        <f>SUM(G103:G104)</f>
        <v>-745603</v>
      </c>
      <c r="H105" s="4"/>
      <c r="I105" s="10" t="s">
        <v>347</v>
      </c>
      <c r="J105" s="101">
        <f t="shared" si="3"/>
        <v>16</v>
      </c>
    </row>
    <row r="106" spans="1:10" ht="15.75">
      <c r="A106" s="101">
        <f t="shared" si="2"/>
        <v>17</v>
      </c>
      <c r="B106" s="111"/>
      <c r="C106" s="102"/>
      <c r="D106" s="103"/>
      <c r="E106" s="103"/>
      <c r="F106" s="103"/>
      <c r="G106" s="121"/>
      <c r="H106" s="4"/>
      <c r="I106" s="10"/>
      <c r="J106" s="101">
        <f t="shared" si="3"/>
        <v>17</v>
      </c>
    </row>
    <row r="107" spans="1:10" ht="15.75">
      <c r="A107" s="101">
        <f t="shared" si="2"/>
        <v>18</v>
      </c>
      <c r="B107" s="102"/>
      <c r="C107" s="109" t="s">
        <v>160</v>
      </c>
      <c r="D107" s="101"/>
      <c r="E107" s="101"/>
      <c r="F107" s="101"/>
      <c r="G107" s="121"/>
      <c r="H107" s="4"/>
      <c r="I107" s="10"/>
      <c r="J107" s="101">
        <f t="shared" si="3"/>
        <v>18</v>
      </c>
    </row>
    <row r="108" spans="1:10" ht="15.75">
      <c r="A108" s="101">
        <f t="shared" si="2"/>
        <v>19</v>
      </c>
      <c r="B108" s="102"/>
      <c r="C108" s="111" t="s">
        <v>514</v>
      </c>
      <c r="D108" s="101" t="s">
        <v>39</v>
      </c>
      <c r="E108" s="101"/>
      <c r="F108" s="101"/>
      <c r="G108" s="379">
        <f>'Cost Statements'!H326</f>
        <v>35424</v>
      </c>
      <c r="H108" s="274"/>
      <c r="I108" s="10" t="s">
        <v>135</v>
      </c>
      <c r="J108" s="101">
        <f t="shared" si="3"/>
        <v>19</v>
      </c>
    </row>
    <row r="109" spans="1:10" ht="15.75">
      <c r="A109" s="101">
        <f t="shared" si="2"/>
        <v>20</v>
      </c>
      <c r="B109" s="102"/>
      <c r="C109" s="111" t="s">
        <v>284</v>
      </c>
      <c r="D109" s="101" t="s">
        <v>39</v>
      </c>
      <c r="E109" s="101"/>
      <c r="F109" s="101"/>
      <c r="G109" s="380">
        <f>'Cost Statements'!H330</f>
        <v>13917</v>
      </c>
      <c r="H109" s="274"/>
      <c r="I109" s="10" t="s">
        <v>136</v>
      </c>
      <c r="J109" s="101">
        <f t="shared" si="3"/>
        <v>20</v>
      </c>
    </row>
    <row r="110" spans="1:10" ht="15.75">
      <c r="A110" s="101">
        <f t="shared" si="2"/>
        <v>21</v>
      </c>
      <c r="B110" s="102"/>
      <c r="C110" s="117" t="s">
        <v>151</v>
      </c>
      <c r="D110" s="103" t="s">
        <v>39</v>
      </c>
      <c r="E110" s="103"/>
      <c r="F110" s="103"/>
      <c r="G110" s="381">
        <f>'Cost Statements'!H340</f>
        <v>15309</v>
      </c>
      <c r="H110" s="994"/>
      <c r="I110" s="10" t="s">
        <v>137</v>
      </c>
      <c r="J110" s="101">
        <f t="shared" si="3"/>
        <v>21</v>
      </c>
    </row>
    <row r="111" spans="1:10" ht="15.75">
      <c r="A111" s="101">
        <f t="shared" si="2"/>
        <v>22</v>
      </c>
      <c r="B111" s="102"/>
      <c r="C111" s="111" t="s">
        <v>102</v>
      </c>
      <c r="D111" s="102"/>
      <c r="E111" s="102"/>
      <c r="F111" s="102"/>
      <c r="G111" s="142">
        <f>SUM(G108:G110)</f>
        <v>64650</v>
      </c>
      <c r="H111" s="994"/>
      <c r="I111" s="10" t="s">
        <v>349</v>
      </c>
      <c r="J111" s="101">
        <f t="shared" si="3"/>
        <v>22</v>
      </c>
    </row>
    <row r="112" spans="1:10" ht="15.75">
      <c r="A112" s="101">
        <f t="shared" si="2"/>
        <v>23</v>
      </c>
      <c r="B112" s="102"/>
      <c r="C112" s="111"/>
      <c r="D112" s="102"/>
      <c r="E112" s="102"/>
      <c r="F112" s="102"/>
      <c r="G112" s="248"/>
      <c r="H112" s="4"/>
      <c r="I112" s="10"/>
      <c r="J112" s="101">
        <f t="shared" si="3"/>
        <v>23</v>
      </c>
    </row>
    <row r="113" spans="1:10" ht="15.75">
      <c r="A113" s="101">
        <f t="shared" si="2"/>
        <v>24</v>
      </c>
      <c r="B113" s="102"/>
      <c r="C113" s="111" t="s">
        <v>348</v>
      </c>
      <c r="D113" s="102"/>
      <c r="E113" s="102"/>
      <c r="F113" s="102"/>
      <c r="G113" s="473">
        <f>'Cost Statements'!H596</f>
        <v>0</v>
      </c>
      <c r="H113" s="4"/>
      <c r="I113" s="10" t="s">
        <v>490</v>
      </c>
      <c r="J113" s="101">
        <f t="shared" si="3"/>
        <v>24</v>
      </c>
    </row>
    <row r="114" spans="1:10" ht="15.75">
      <c r="A114" s="101">
        <f t="shared" si="2"/>
        <v>25</v>
      </c>
      <c r="B114" s="102"/>
      <c r="C114" s="111"/>
      <c r="D114" s="102"/>
      <c r="E114" s="102"/>
      <c r="F114" s="102"/>
      <c r="G114" s="248"/>
      <c r="H114" s="4"/>
      <c r="I114" s="10"/>
      <c r="J114" s="101">
        <f t="shared" si="3"/>
        <v>25</v>
      </c>
    </row>
    <row r="115" spans="1:10" ht="16.5" thickBot="1">
      <c r="A115" s="101">
        <f t="shared" si="2"/>
        <v>26</v>
      </c>
      <c r="B115" s="102"/>
      <c r="C115" s="111" t="s">
        <v>83</v>
      </c>
      <c r="D115" s="102"/>
      <c r="E115" s="102"/>
      <c r="F115" s="102"/>
      <c r="G115" s="768">
        <f>G113+G111+G105+G100+G95</f>
        <v>3206999.6043226914</v>
      </c>
      <c r="H115" s="994"/>
      <c r="I115" s="10" t="s">
        <v>350</v>
      </c>
      <c r="J115" s="101">
        <f t="shared" si="3"/>
        <v>26</v>
      </c>
    </row>
    <row r="116" spans="1:10" ht="16.5" thickTop="1">
      <c r="A116" s="101">
        <f t="shared" si="2"/>
        <v>27</v>
      </c>
      <c r="B116" s="105"/>
      <c r="C116" s="117"/>
      <c r="D116" s="105"/>
      <c r="E116" s="105"/>
      <c r="F116" s="105"/>
      <c r="G116" s="140"/>
      <c r="H116" s="133"/>
      <c r="I116" s="48"/>
      <c r="J116" s="101">
        <f t="shared" si="3"/>
        <v>27</v>
      </c>
    </row>
    <row r="117" spans="1:10" ht="15.75">
      <c r="A117" s="101">
        <f t="shared" si="2"/>
        <v>28</v>
      </c>
      <c r="B117" s="102"/>
      <c r="C117" s="192" t="s">
        <v>780</v>
      </c>
      <c r="D117" s="102"/>
      <c r="E117" s="102"/>
      <c r="F117" s="102"/>
      <c r="G117" s="140"/>
      <c r="H117" s="4"/>
      <c r="I117" s="10"/>
      <c r="J117" s="101">
        <f t="shared" si="3"/>
        <v>28</v>
      </c>
    </row>
    <row r="118" spans="1:10" ht="18.75">
      <c r="A118" s="101">
        <f t="shared" si="2"/>
        <v>29</v>
      </c>
      <c r="B118" s="102"/>
      <c r="C118" s="111" t="s">
        <v>484</v>
      </c>
      <c r="D118" s="102"/>
      <c r="E118" s="102"/>
      <c r="F118" s="102"/>
      <c r="G118" s="384">
        <f>G167</f>
        <v>0</v>
      </c>
      <c r="H118" s="4"/>
      <c r="I118" s="10" t="s">
        <v>11</v>
      </c>
      <c r="J118" s="101">
        <f t="shared" si="3"/>
        <v>29</v>
      </c>
    </row>
    <row r="119" spans="1:10" ht="15.75">
      <c r="A119" s="101">
        <f t="shared" si="2"/>
        <v>30</v>
      </c>
      <c r="B119" s="102"/>
      <c r="C119" s="111" t="s">
        <v>431</v>
      </c>
      <c r="D119" s="102"/>
      <c r="E119" s="102"/>
      <c r="F119" s="102"/>
      <c r="G119" s="375">
        <f>'Cost Statements'!H111</f>
        <v>0</v>
      </c>
      <c r="H119" s="4"/>
      <c r="I119" s="10" t="s">
        <v>12</v>
      </c>
      <c r="J119" s="101">
        <f t="shared" si="3"/>
        <v>30</v>
      </c>
    </row>
    <row r="120" spans="1:10" ht="15.75">
      <c r="A120" s="101">
        <f t="shared" si="2"/>
        <v>31</v>
      </c>
      <c r="B120" s="102"/>
      <c r="C120" s="102" t="s">
        <v>561</v>
      </c>
      <c r="D120" s="102"/>
      <c r="E120" s="102"/>
      <c r="F120" s="102"/>
      <c r="G120" s="142">
        <f>SUM(G118:G119)</f>
        <v>0</v>
      </c>
      <c r="H120" s="4"/>
      <c r="I120" s="10" t="s">
        <v>457</v>
      </c>
      <c r="J120" s="101">
        <f t="shared" si="3"/>
        <v>31</v>
      </c>
    </row>
    <row r="121" spans="1:10" ht="15.75">
      <c r="A121" s="101">
        <f t="shared" si="2"/>
        <v>32</v>
      </c>
      <c r="B121" s="102"/>
      <c r="C121" s="111"/>
      <c r="D121" s="102"/>
      <c r="E121" s="102"/>
      <c r="F121" s="102"/>
      <c r="G121" s="140"/>
      <c r="H121" s="4"/>
      <c r="I121" s="10"/>
      <c r="J121" s="101">
        <f t="shared" si="3"/>
        <v>32</v>
      </c>
    </row>
    <row r="122" spans="1:10" ht="15.75">
      <c r="A122" s="101">
        <f t="shared" si="2"/>
        <v>33</v>
      </c>
      <c r="B122" s="102"/>
      <c r="C122" s="126" t="s">
        <v>692</v>
      </c>
      <c r="D122" s="102"/>
      <c r="E122" s="102"/>
      <c r="F122" s="102"/>
      <c r="G122" s="140"/>
      <c r="H122" s="4"/>
      <c r="I122" s="10"/>
      <c r="J122" s="101">
        <f t="shared" si="3"/>
        <v>33</v>
      </c>
    </row>
    <row r="123" spans="1:10" ht="15.75">
      <c r="A123" s="101">
        <f t="shared" si="2"/>
        <v>34</v>
      </c>
      <c r="B123" s="102"/>
      <c r="C123" s="111" t="s">
        <v>588</v>
      </c>
      <c r="D123" s="102"/>
      <c r="E123" s="102"/>
      <c r="F123" s="102"/>
      <c r="G123" s="384">
        <f>'Cost Statements'!H599</f>
        <v>0</v>
      </c>
      <c r="H123" s="4"/>
      <c r="I123" s="10" t="s">
        <v>489</v>
      </c>
      <c r="J123" s="101">
        <f t="shared" si="3"/>
        <v>34</v>
      </c>
    </row>
    <row r="124" spans="1:10" ht="15.75">
      <c r="A124" s="101">
        <f t="shared" si="2"/>
        <v>35</v>
      </c>
      <c r="B124" s="102"/>
      <c r="C124" s="102" t="s">
        <v>589</v>
      </c>
      <c r="D124" s="102"/>
      <c r="E124" s="102"/>
      <c r="F124" s="102"/>
      <c r="G124" s="376">
        <f>'Cost Statements'!H115</f>
        <v>0</v>
      </c>
      <c r="H124" s="4"/>
      <c r="I124" s="10" t="s">
        <v>789</v>
      </c>
      <c r="J124" s="101">
        <f t="shared" si="3"/>
        <v>35</v>
      </c>
    </row>
    <row r="125" spans="1:10" ht="15.75">
      <c r="A125" s="101">
        <f t="shared" si="2"/>
        <v>36</v>
      </c>
      <c r="B125" s="102"/>
      <c r="C125" s="102" t="s">
        <v>590</v>
      </c>
      <c r="D125" s="102"/>
      <c r="E125" s="102"/>
      <c r="F125" s="102"/>
      <c r="G125" s="142">
        <f>SUM(G123:G124)</f>
        <v>0</v>
      </c>
      <c r="H125" s="4"/>
      <c r="I125" s="10" t="s">
        <v>555</v>
      </c>
      <c r="J125" s="101">
        <f t="shared" si="3"/>
        <v>36</v>
      </c>
    </row>
    <row r="126" spans="1:10" ht="15.75">
      <c r="A126" s="101">
        <f t="shared" si="2"/>
        <v>37</v>
      </c>
      <c r="B126" s="102"/>
      <c r="C126" s="111"/>
      <c r="D126" s="102"/>
      <c r="E126" s="102"/>
      <c r="F126" s="102"/>
      <c r="G126" s="140"/>
      <c r="H126" s="4"/>
      <c r="I126" s="10"/>
      <c r="J126" s="101">
        <f t="shared" si="3"/>
        <v>37</v>
      </c>
    </row>
    <row r="127" spans="1:10" ht="19.5" thickBot="1">
      <c r="A127" s="101">
        <f t="shared" si="2"/>
        <v>38</v>
      </c>
      <c r="B127" s="102"/>
      <c r="C127" s="126" t="s">
        <v>745</v>
      </c>
      <c r="D127" s="102"/>
      <c r="E127" s="102"/>
      <c r="F127" s="102"/>
      <c r="G127" s="769">
        <f>'Cost Statements'!H367</f>
        <v>0</v>
      </c>
      <c r="H127" s="4"/>
      <c r="I127" s="10" t="s">
        <v>488</v>
      </c>
      <c r="J127" s="101">
        <f t="shared" si="3"/>
        <v>38</v>
      </c>
    </row>
    <row r="128" spans="1:10" ht="16.5" thickTop="1">
      <c r="A128" s="101"/>
      <c r="B128" s="102"/>
      <c r="C128" s="111"/>
      <c r="D128" s="102"/>
      <c r="E128" s="102"/>
      <c r="F128" s="102"/>
      <c r="G128" s="140"/>
      <c r="H128" s="4"/>
      <c r="I128" s="10"/>
      <c r="J128" s="101"/>
    </row>
    <row r="129" spans="1:11" ht="15.75">
      <c r="A129" s="101"/>
      <c r="B129" s="102"/>
      <c r="C129" s="111"/>
      <c r="D129" s="102"/>
      <c r="E129" s="102"/>
      <c r="F129" s="102"/>
      <c r="G129" s="140"/>
      <c r="H129" s="4"/>
      <c r="I129" s="10"/>
      <c r="J129" s="101"/>
    </row>
    <row r="130" spans="1:11" ht="18.75">
      <c r="A130" s="101"/>
      <c r="B130" s="268" t="s">
        <v>194</v>
      </c>
      <c r="C130" s="132" t="s">
        <v>744</v>
      </c>
      <c r="D130" s="102"/>
      <c r="E130" s="102"/>
      <c r="F130" s="102"/>
      <c r="G130" s="140"/>
      <c r="H130" s="4"/>
      <c r="I130" s="10"/>
      <c r="J130" s="101"/>
    </row>
    <row r="131" spans="1:11" ht="18.75">
      <c r="A131" s="101"/>
      <c r="B131" s="268">
        <v>2</v>
      </c>
      <c r="C131" s="132" t="s">
        <v>746</v>
      </c>
      <c r="D131" s="102"/>
      <c r="E131" s="102"/>
      <c r="F131" s="102"/>
      <c r="G131" s="140"/>
      <c r="H131" s="4"/>
      <c r="I131" s="10"/>
      <c r="J131" s="101"/>
    </row>
    <row r="132" spans="1:11" ht="15.75">
      <c r="A132" s="101"/>
      <c r="B132" s="995"/>
      <c r="C132" s="50"/>
      <c r="D132" s="102"/>
      <c r="E132" s="102"/>
      <c r="F132" s="102"/>
      <c r="G132" s="140"/>
      <c r="H132" s="4"/>
      <c r="I132" s="10"/>
      <c r="J132" s="101"/>
    </row>
    <row r="133" spans="1:11" ht="15.75">
      <c r="A133" s="101"/>
      <c r="B133" s="274"/>
      <c r="C133" s="50"/>
      <c r="D133" s="102"/>
      <c r="E133" s="102"/>
      <c r="F133" s="102"/>
      <c r="G133" s="140"/>
      <c r="H133" s="4"/>
      <c r="I133" s="10"/>
      <c r="J133" s="101"/>
    </row>
    <row r="134" spans="1:11" ht="15.75">
      <c r="A134" s="101"/>
      <c r="B134" s="102"/>
      <c r="C134" s="1141" t="s">
        <v>61</v>
      </c>
      <c r="D134" s="1138"/>
      <c r="E134" s="1138"/>
      <c r="F134" s="1138"/>
      <c r="G134" s="1138"/>
      <c r="H134" s="1138"/>
      <c r="I134" s="1138"/>
      <c r="J134" s="101"/>
    </row>
    <row r="135" spans="1:11" ht="15.75">
      <c r="A135" s="101" t="s">
        <v>39</v>
      </c>
      <c r="B135" s="102"/>
      <c r="C135" s="1141" t="s">
        <v>81</v>
      </c>
      <c r="D135" s="1138"/>
      <c r="E135" s="1138"/>
      <c r="F135" s="1138"/>
      <c r="G135" s="1138"/>
      <c r="H135" s="1138"/>
      <c r="I135" s="1138"/>
      <c r="J135" s="10"/>
    </row>
    <row r="136" spans="1:11" ht="17.25">
      <c r="A136" s="101"/>
      <c r="B136" s="111"/>
      <c r="C136" s="1141" t="s">
        <v>285</v>
      </c>
      <c r="D136" s="1142"/>
      <c r="E136" s="1142"/>
      <c r="F136" s="1142"/>
      <c r="G136" s="1142"/>
      <c r="H136" s="1142"/>
      <c r="I136" s="1142"/>
      <c r="J136" s="101"/>
    </row>
    <row r="137" spans="1:11" ht="15.75">
      <c r="A137" s="101"/>
      <c r="B137" s="111"/>
      <c r="C137" s="1143" t="str">
        <f>C4</f>
        <v>For the Base Period &amp; True-Up Period Ending December 31, 2015</v>
      </c>
      <c r="D137" s="1144"/>
      <c r="E137" s="1144"/>
      <c r="F137" s="1144"/>
      <c r="G137" s="1144"/>
      <c r="H137" s="1144"/>
      <c r="I137" s="1144"/>
      <c r="J137" s="101"/>
    </row>
    <row r="138" spans="1:11" ht="15.75">
      <c r="A138" s="101"/>
      <c r="B138" s="125"/>
      <c r="C138" s="1137" t="s">
        <v>72</v>
      </c>
      <c r="D138" s="1138"/>
      <c r="E138" s="1138"/>
      <c r="F138" s="1138"/>
      <c r="G138" s="1138"/>
      <c r="H138" s="1138"/>
      <c r="I138" s="1138"/>
      <c r="J138" s="101"/>
    </row>
    <row r="139" spans="1:11" ht="15.75">
      <c r="A139" s="101"/>
      <c r="B139" s="125"/>
      <c r="C139" s="138"/>
      <c r="D139" s="250"/>
      <c r="E139" s="250"/>
      <c r="F139" s="250"/>
      <c r="G139" s="250"/>
      <c r="H139" s="250"/>
      <c r="I139" s="250"/>
      <c r="J139" s="101"/>
    </row>
    <row r="140" spans="1:11" ht="15.75">
      <c r="A140" s="103" t="s">
        <v>62</v>
      </c>
      <c r="B140" s="104"/>
      <c r="C140" s="105"/>
      <c r="D140" s="105"/>
      <c r="E140" s="105"/>
      <c r="F140" s="105"/>
      <c r="G140" s="106"/>
      <c r="H140" s="4"/>
      <c r="I140" s="10"/>
      <c r="J140" s="103" t="s">
        <v>62</v>
      </c>
    </row>
    <row r="141" spans="1:11" ht="15.75">
      <c r="A141" s="136" t="s">
        <v>63</v>
      </c>
      <c r="B141" s="102"/>
      <c r="C141" s="107" t="s">
        <v>39</v>
      </c>
      <c r="D141" s="102"/>
      <c r="E141" s="102"/>
      <c r="F141" s="102"/>
      <c r="G141" s="137" t="s">
        <v>69</v>
      </c>
      <c r="H141" s="4"/>
      <c r="I141" s="33" t="s">
        <v>65</v>
      </c>
      <c r="J141" s="136" t="s">
        <v>63</v>
      </c>
    </row>
    <row r="142" spans="1:11" ht="15.75">
      <c r="A142" s="103"/>
      <c r="B142" s="102"/>
      <c r="C142" s="192" t="s">
        <v>781</v>
      </c>
      <c r="D142" s="102"/>
      <c r="E142" s="102"/>
      <c r="F142" s="102"/>
      <c r="G142" s="106"/>
      <c r="H142" s="4"/>
      <c r="I142" s="10"/>
      <c r="J142" s="103"/>
    </row>
    <row r="143" spans="1:11" ht="15.75">
      <c r="A143" s="101">
        <v>1</v>
      </c>
      <c r="B143" s="102"/>
      <c r="C143" s="109" t="s">
        <v>161</v>
      </c>
      <c r="D143" s="102"/>
      <c r="E143" s="102"/>
      <c r="F143" s="102"/>
      <c r="G143" s="106"/>
      <c r="H143" s="4"/>
      <c r="I143" s="10"/>
      <c r="J143" s="101">
        <v>1</v>
      </c>
    </row>
    <row r="144" spans="1:11" ht="15.75">
      <c r="A144" s="101">
        <f t="shared" ref="A144:A167" si="4">A143+1</f>
        <v>2</v>
      </c>
      <c r="B144" s="126"/>
      <c r="C144" s="111" t="s">
        <v>64</v>
      </c>
      <c r="D144" s="102"/>
      <c r="E144" s="102"/>
      <c r="F144" s="102"/>
      <c r="G144" s="385">
        <f>'Cost Statements'!H25</f>
        <v>4574357.6782376915</v>
      </c>
      <c r="H144" s="274"/>
      <c r="I144" s="10" t="s">
        <v>396</v>
      </c>
      <c r="J144" s="101">
        <f t="shared" ref="J144:J149" si="5">J143+1</f>
        <v>2</v>
      </c>
      <c r="K144" s="251"/>
    </row>
    <row r="145" spans="1:12" ht="15.75">
      <c r="A145" s="101">
        <f t="shared" si="4"/>
        <v>3</v>
      </c>
      <c r="B145" s="126"/>
      <c r="C145" s="111" t="s">
        <v>684</v>
      </c>
      <c r="D145" s="102"/>
      <c r="E145" s="102"/>
      <c r="F145" s="102"/>
      <c r="G145" s="372">
        <f>'Cost Statements'!H41</f>
        <v>23257</v>
      </c>
      <c r="H145" s="274"/>
      <c r="I145" s="10" t="s">
        <v>397</v>
      </c>
      <c r="J145" s="101">
        <f t="shared" si="5"/>
        <v>3</v>
      </c>
      <c r="K145" s="251"/>
    </row>
    <row r="146" spans="1:12" ht="15.75">
      <c r="A146" s="101">
        <f t="shared" si="4"/>
        <v>4</v>
      </c>
      <c r="B146" s="126"/>
      <c r="C146" s="111" t="s">
        <v>98</v>
      </c>
      <c r="D146" s="102"/>
      <c r="E146" s="102"/>
      <c r="F146" s="102"/>
      <c r="G146" s="372">
        <f>'Cost Statements'!H43</f>
        <v>52855</v>
      </c>
      <c r="H146" s="50"/>
      <c r="I146" s="10" t="s">
        <v>398</v>
      </c>
      <c r="J146" s="101">
        <f t="shared" si="5"/>
        <v>4</v>
      </c>
      <c r="K146" s="251"/>
      <c r="L146" s="252"/>
    </row>
    <row r="147" spans="1:12" ht="15.75">
      <c r="A147" s="101">
        <f t="shared" si="4"/>
        <v>5</v>
      </c>
      <c r="B147" s="117"/>
      <c r="C147" s="117" t="s">
        <v>99</v>
      </c>
      <c r="D147" s="103" t="s">
        <v>39</v>
      </c>
      <c r="E147" s="103"/>
      <c r="F147" s="103"/>
      <c r="G147" s="376">
        <f>'Cost Statements'!H45</f>
        <v>113784</v>
      </c>
      <c r="H147" s="50"/>
      <c r="I147" s="10" t="s">
        <v>138</v>
      </c>
      <c r="J147" s="101">
        <f t="shared" si="5"/>
        <v>5</v>
      </c>
    </row>
    <row r="148" spans="1:12" ht="15.75">
      <c r="A148" s="101">
        <f t="shared" si="4"/>
        <v>6</v>
      </c>
      <c r="B148" s="105"/>
      <c r="C148" s="111" t="s">
        <v>339</v>
      </c>
      <c r="D148" s="105"/>
      <c r="E148" s="105"/>
      <c r="F148" s="105"/>
      <c r="G148" s="142">
        <f>SUM(G144:G147)</f>
        <v>4764253.6782376915</v>
      </c>
      <c r="H148" s="274"/>
      <c r="I148" s="10" t="s">
        <v>314</v>
      </c>
      <c r="J148" s="101">
        <f t="shared" si="5"/>
        <v>6</v>
      </c>
      <c r="K148" s="251"/>
    </row>
    <row r="149" spans="1:12" ht="15.75">
      <c r="A149" s="101">
        <f t="shared" si="4"/>
        <v>7</v>
      </c>
      <c r="B149" s="117"/>
      <c r="C149" s="102"/>
      <c r="D149" s="101"/>
      <c r="E149" s="101"/>
      <c r="F149" s="101"/>
      <c r="G149" s="106"/>
      <c r="H149" s="4"/>
      <c r="I149" s="10"/>
      <c r="J149" s="101">
        <f t="shared" si="5"/>
        <v>7</v>
      </c>
    </row>
    <row r="150" spans="1:12" ht="15.75">
      <c r="A150" s="101">
        <f t="shared" si="4"/>
        <v>8</v>
      </c>
      <c r="B150" s="105" t="s">
        <v>39</v>
      </c>
      <c r="C150" s="141" t="s">
        <v>777</v>
      </c>
      <c r="D150" s="102"/>
      <c r="E150" s="102"/>
      <c r="F150" s="102"/>
      <c r="G150" s="106"/>
      <c r="H150" s="4"/>
      <c r="I150" s="10"/>
      <c r="J150" s="101">
        <f t="shared" ref="J150:J167" si="6">J149+1</f>
        <v>8</v>
      </c>
    </row>
    <row r="151" spans="1:12" ht="15.75">
      <c r="A151" s="101">
        <f t="shared" si="4"/>
        <v>9</v>
      </c>
      <c r="B151" s="105"/>
      <c r="C151" s="102" t="s">
        <v>306</v>
      </c>
      <c r="D151" s="102"/>
      <c r="E151" s="102"/>
      <c r="F151" s="102"/>
      <c r="G151" s="385">
        <f>'Cost Statements'!H69</f>
        <v>795744.9301115385</v>
      </c>
      <c r="H151" s="274"/>
      <c r="I151" s="10" t="s">
        <v>201</v>
      </c>
      <c r="J151" s="101">
        <f t="shared" si="6"/>
        <v>9</v>
      </c>
    </row>
    <row r="152" spans="1:12" ht="15.75">
      <c r="A152" s="101">
        <f t="shared" si="4"/>
        <v>10</v>
      </c>
      <c r="B152" s="105"/>
      <c r="C152" s="4" t="s">
        <v>515</v>
      </c>
      <c r="D152" s="102"/>
      <c r="E152" s="102"/>
      <c r="F152" s="102"/>
      <c r="G152" s="372">
        <f>'Cost Statements'!H79</f>
        <v>8473</v>
      </c>
      <c r="H152" s="274"/>
      <c r="I152" s="10" t="s">
        <v>685</v>
      </c>
      <c r="J152" s="101">
        <f t="shared" si="6"/>
        <v>10</v>
      </c>
    </row>
    <row r="153" spans="1:12" ht="15.75">
      <c r="A153" s="101">
        <f t="shared" si="4"/>
        <v>11</v>
      </c>
      <c r="B153" s="105"/>
      <c r="C153" s="105" t="s">
        <v>100</v>
      </c>
      <c r="D153" s="102"/>
      <c r="E153" s="102"/>
      <c r="F153" s="102"/>
      <c r="G153" s="372">
        <f>'Cost Statements'!H81</f>
        <v>20179</v>
      </c>
      <c r="H153" s="50"/>
      <c r="I153" s="10" t="s">
        <v>686</v>
      </c>
      <c r="J153" s="101">
        <f t="shared" si="6"/>
        <v>11</v>
      </c>
    </row>
    <row r="154" spans="1:12" ht="15.75">
      <c r="A154" s="101">
        <f t="shared" si="4"/>
        <v>12</v>
      </c>
      <c r="B154" s="105"/>
      <c r="C154" s="105" t="s">
        <v>101</v>
      </c>
      <c r="D154" s="102"/>
      <c r="E154" s="102"/>
      <c r="F154" s="102"/>
      <c r="G154" s="376">
        <f>'Cost Statements'!H83</f>
        <v>57764</v>
      </c>
      <c r="H154" s="50"/>
      <c r="I154" s="10" t="s">
        <v>202</v>
      </c>
      <c r="J154" s="101">
        <f t="shared" si="6"/>
        <v>12</v>
      </c>
    </row>
    <row r="155" spans="1:12" ht="15.75">
      <c r="A155" s="101">
        <f t="shared" si="4"/>
        <v>13</v>
      </c>
      <c r="B155" s="129"/>
      <c r="C155" s="130" t="s">
        <v>671</v>
      </c>
      <c r="D155" s="130"/>
      <c r="E155" s="130"/>
      <c r="F155" s="130"/>
      <c r="G155" s="142">
        <f>SUM(G151:G154)</f>
        <v>882160.9301115385</v>
      </c>
      <c r="H155" s="274"/>
      <c r="I155" s="10" t="s">
        <v>265</v>
      </c>
      <c r="J155" s="101">
        <f t="shared" si="6"/>
        <v>13</v>
      </c>
    </row>
    <row r="156" spans="1:12" ht="15.75">
      <c r="A156" s="101">
        <f t="shared" si="4"/>
        <v>14</v>
      </c>
      <c r="B156" s="129"/>
      <c r="C156" s="130"/>
      <c r="D156" s="130"/>
      <c r="E156" s="130"/>
      <c r="F156" s="130"/>
      <c r="G156" s="121"/>
      <c r="H156" s="4"/>
      <c r="I156" s="10"/>
      <c r="J156" s="101">
        <f t="shared" si="6"/>
        <v>14</v>
      </c>
    </row>
    <row r="157" spans="1:12" ht="15.75">
      <c r="A157" s="101">
        <f t="shared" si="4"/>
        <v>15</v>
      </c>
      <c r="B157" s="105" t="s">
        <v>39</v>
      </c>
      <c r="C157" s="109" t="s">
        <v>158</v>
      </c>
      <c r="D157" s="130"/>
      <c r="E157" s="130"/>
      <c r="F157" s="130"/>
      <c r="G157" s="121"/>
      <c r="H157" s="4"/>
      <c r="I157" s="10"/>
      <c r="J157" s="101">
        <f t="shared" si="6"/>
        <v>15</v>
      </c>
    </row>
    <row r="158" spans="1:12" ht="15.75">
      <c r="A158" s="101">
        <f t="shared" si="4"/>
        <v>16</v>
      </c>
      <c r="B158" s="105"/>
      <c r="C158" s="111" t="s">
        <v>64</v>
      </c>
      <c r="D158" s="102"/>
      <c r="E158" s="102"/>
      <c r="F158" s="102"/>
      <c r="G158" s="139">
        <f>+G144-G151</f>
        <v>3778612.7481261529</v>
      </c>
      <c r="H158" s="274"/>
      <c r="I158" s="10" t="s">
        <v>213</v>
      </c>
      <c r="J158" s="101">
        <f t="shared" si="6"/>
        <v>16</v>
      </c>
    </row>
    <row r="159" spans="1:12" ht="15.75">
      <c r="A159" s="101">
        <f t="shared" si="4"/>
        <v>17</v>
      </c>
      <c r="B159" s="105"/>
      <c r="C159" s="111" t="s">
        <v>154</v>
      </c>
      <c r="D159" s="102"/>
      <c r="E159" s="102"/>
      <c r="F159" s="102"/>
      <c r="G159" s="121">
        <f>+G145-G152</f>
        <v>14784</v>
      </c>
      <c r="H159" s="274"/>
      <c r="I159" s="10" t="s">
        <v>214</v>
      </c>
      <c r="J159" s="101">
        <f t="shared" si="6"/>
        <v>17</v>
      </c>
    </row>
    <row r="160" spans="1:12" ht="15.75">
      <c r="A160" s="101">
        <f t="shared" si="4"/>
        <v>18</v>
      </c>
      <c r="B160" s="129"/>
      <c r="C160" s="111" t="s">
        <v>98</v>
      </c>
      <c r="D160" s="102"/>
      <c r="E160" s="102"/>
      <c r="F160" s="102"/>
      <c r="G160" s="121">
        <f>+G146-G153</f>
        <v>32676</v>
      </c>
      <c r="H160" s="4"/>
      <c r="I160" s="10" t="s">
        <v>215</v>
      </c>
      <c r="J160" s="101">
        <f t="shared" si="6"/>
        <v>18</v>
      </c>
    </row>
    <row r="161" spans="1:10" ht="15.75">
      <c r="A161" s="101">
        <f t="shared" si="4"/>
        <v>19</v>
      </c>
      <c r="B161" s="129"/>
      <c r="C161" s="117" t="s">
        <v>99</v>
      </c>
      <c r="D161" s="105"/>
      <c r="E161" s="105"/>
      <c r="F161" s="105"/>
      <c r="G161" s="119">
        <f>+G147-G154</f>
        <v>56020</v>
      </c>
      <c r="H161" s="4"/>
      <c r="I161" s="10" t="s">
        <v>216</v>
      </c>
      <c r="J161" s="101">
        <f t="shared" si="6"/>
        <v>19</v>
      </c>
    </row>
    <row r="162" spans="1:10" ht="16.5" thickBot="1">
      <c r="A162" s="101">
        <f t="shared" si="4"/>
        <v>20</v>
      </c>
      <c r="B162" s="129"/>
      <c r="C162" s="102" t="s">
        <v>328</v>
      </c>
      <c r="D162" s="102"/>
      <c r="E162" s="102"/>
      <c r="F162" s="102"/>
      <c r="G162" s="386">
        <f>SUM(G158:G161)</f>
        <v>3882092.7481261529</v>
      </c>
      <c r="H162" s="274"/>
      <c r="I162" s="10" t="s">
        <v>315</v>
      </c>
      <c r="J162" s="101">
        <f t="shared" si="6"/>
        <v>20</v>
      </c>
    </row>
    <row r="163" spans="1:10" ht="16.5" thickTop="1">
      <c r="A163" s="103">
        <f t="shared" si="4"/>
        <v>21</v>
      </c>
      <c r="B163" s="129"/>
      <c r="C163" s="105"/>
      <c r="D163" s="105"/>
      <c r="E163" s="105"/>
      <c r="F163" s="105"/>
      <c r="G163" s="140"/>
      <c r="H163" s="133"/>
      <c r="I163" s="48"/>
      <c r="J163" s="103">
        <f t="shared" si="6"/>
        <v>21</v>
      </c>
    </row>
    <row r="164" spans="1:10" ht="15.75">
      <c r="A164" s="101">
        <f t="shared" si="4"/>
        <v>22</v>
      </c>
      <c r="B164" s="129"/>
      <c r="C164" s="193" t="s">
        <v>782</v>
      </c>
      <c r="D164" s="102"/>
      <c r="E164" s="102"/>
      <c r="F164" s="102"/>
      <c r="G164" s="140"/>
      <c r="H164" s="4"/>
      <c r="I164" s="10"/>
      <c r="J164" s="101">
        <f t="shared" si="6"/>
        <v>22</v>
      </c>
    </row>
    <row r="165" spans="1:10" ht="18.75">
      <c r="A165" s="101">
        <f t="shared" si="4"/>
        <v>23</v>
      </c>
      <c r="B165" s="129"/>
      <c r="C165" s="111" t="s">
        <v>491</v>
      </c>
      <c r="D165" s="102"/>
      <c r="E165" s="102"/>
      <c r="F165" s="102"/>
      <c r="G165" s="384">
        <f>'Cost Statements'!H27</f>
        <v>0</v>
      </c>
      <c r="H165" s="4"/>
      <c r="I165" s="10" t="s">
        <v>399</v>
      </c>
      <c r="J165" s="101">
        <f t="shared" si="6"/>
        <v>23</v>
      </c>
    </row>
    <row r="166" spans="1:10" ht="18.75">
      <c r="A166" s="101">
        <f t="shared" si="4"/>
        <v>24</v>
      </c>
      <c r="B166" s="129"/>
      <c r="C166" s="102" t="s">
        <v>747</v>
      </c>
      <c r="D166" s="102"/>
      <c r="E166" s="102"/>
      <c r="F166" s="102"/>
      <c r="G166" s="376">
        <f>'Cost Statements'!H87</f>
        <v>0</v>
      </c>
      <c r="H166" s="4"/>
      <c r="I166" s="10" t="s">
        <v>390</v>
      </c>
      <c r="J166" s="101">
        <f t="shared" si="6"/>
        <v>24</v>
      </c>
    </row>
    <row r="167" spans="1:10" ht="16.5" thickBot="1">
      <c r="A167" s="101">
        <f t="shared" si="4"/>
        <v>25</v>
      </c>
      <c r="B167" s="129"/>
      <c r="C167" s="111" t="s">
        <v>302</v>
      </c>
      <c r="D167" s="102"/>
      <c r="E167" s="102"/>
      <c r="F167" s="102"/>
      <c r="G167" s="768">
        <f>G165-G166</f>
        <v>0</v>
      </c>
      <c r="H167" s="4"/>
      <c r="I167" s="10" t="s">
        <v>103</v>
      </c>
      <c r="J167" s="101">
        <f t="shared" si="6"/>
        <v>25</v>
      </c>
    </row>
    <row r="168" spans="1:10" ht="16.5" thickTop="1">
      <c r="A168" s="101"/>
      <c r="B168" s="129"/>
      <c r="C168" s="111"/>
      <c r="D168" s="102"/>
      <c r="E168" s="102"/>
      <c r="F168" s="102"/>
      <c r="G168" s="140"/>
      <c r="H168" s="4"/>
      <c r="I168" s="10"/>
      <c r="J168" s="101"/>
    </row>
    <row r="169" spans="1:10" ht="15.75">
      <c r="A169" s="101"/>
      <c r="B169" s="129"/>
      <c r="C169" s="111"/>
      <c r="D169" s="102"/>
      <c r="E169" s="102"/>
      <c r="F169" s="102"/>
      <c r="G169" s="140"/>
      <c r="H169" s="4"/>
      <c r="I169" s="10"/>
      <c r="J169" s="101"/>
    </row>
    <row r="170" spans="1:10" ht="18.75">
      <c r="A170" s="101"/>
      <c r="B170" s="268" t="s">
        <v>194</v>
      </c>
      <c r="C170" s="132" t="s">
        <v>1209</v>
      </c>
      <c r="D170" s="102"/>
      <c r="E170" s="102"/>
      <c r="F170" s="102"/>
      <c r="G170" s="140"/>
      <c r="H170" s="4"/>
      <c r="I170" s="10"/>
      <c r="J170" s="101"/>
    </row>
    <row r="171" spans="1:10" ht="18.75">
      <c r="A171" s="101"/>
      <c r="B171" s="268"/>
      <c r="C171" s="132" t="s">
        <v>1208</v>
      </c>
      <c r="D171" s="102"/>
      <c r="E171" s="102"/>
      <c r="F171" s="102"/>
      <c r="G171" s="140"/>
      <c r="H171" s="4"/>
      <c r="I171" s="10"/>
      <c r="J171" s="101"/>
    </row>
    <row r="172" spans="1:10" ht="18.75">
      <c r="A172" s="101"/>
      <c r="B172" s="268"/>
      <c r="C172" s="132"/>
      <c r="D172" s="102"/>
      <c r="E172" s="102"/>
      <c r="F172" s="102"/>
      <c r="G172" s="140"/>
      <c r="H172" s="4"/>
      <c r="I172" s="10"/>
      <c r="J172" s="101"/>
    </row>
    <row r="173" spans="1:10" ht="15.75">
      <c r="A173" s="274"/>
      <c r="B173" s="50"/>
      <c r="C173" s="102"/>
      <c r="D173" s="102"/>
      <c r="E173" s="102"/>
      <c r="F173" s="102"/>
      <c r="G173" s="140"/>
      <c r="H173" s="4"/>
      <c r="I173" s="10"/>
      <c r="J173" s="101"/>
    </row>
    <row r="174" spans="1:10" ht="15.75">
      <c r="A174" s="101"/>
      <c r="B174" s="114"/>
      <c r="C174" s="1141" t="s">
        <v>61</v>
      </c>
      <c r="D174" s="1138"/>
      <c r="E174" s="1138"/>
      <c r="F174" s="1138"/>
      <c r="G174" s="1138"/>
      <c r="H174" s="1138"/>
      <c r="I174" s="1138"/>
      <c r="J174" s="101"/>
    </row>
    <row r="175" spans="1:10" ht="15.75">
      <c r="A175" s="101"/>
      <c r="B175" s="114"/>
      <c r="C175" s="1141" t="s">
        <v>81</v>
      </c>
      <c r="D175" s="1138"/>
      <c r="E175" s="1138"/>
      <c r="F175" s="1138"/>
      <c r="G175" s="1138"/>
      <c r="H175" s="1138"/>
      <c r="I175" s="1138"/>
      <c r="J175" s="10"/>
    </row>
    <row r="176" spans="1:10" ht="17.25">
      <c r="A176" s="101"/>
      <c r="B176" s="114"/>
      <c r="C176" s="1141" t="s">
        <v>286</v>
      </c>
      <c r="D176" s="1142"/>
      <c r="E176" s="1142"/>
      <c r="F176" s="1142"/>
      <c r="G176" s="1142"/>
      <c r="H176" s="1142"/>
      <c r="I176" s="1142"/>
      <c r="J176" s="101"/>
    </row>
    <row r="177" spans="1:10" ht="15.75">
      <c r="A177" s="101"/>
      <c r="B177" s="114"/>
      <c r="C177" s="1139" t="s">
        <v>1224</v>
      </c>
      <c r="D177" s="1140"/>
      <c r="E177" s="1140"/>
      <c r="F177" s="1140"/>
      <c r="G177" s="1140"/>
      <c r="H177" s="1140"/>
      <c r="I177" s="1140"/>
      <c r="J177" s="101"/>
    </row>
    <row r="178" spans="1:10" ht="15.75">
      <c r="A178" s="101"/>
      <c r="B178" s="114"/>
      <c r="C178" s="1137" t="s">
        <v>72</v>
      </c>
      <c r="D178" s="1138"/>
      <c r="E178" s="1138"/>
      <c r="F178" s="1138"/>
      <c r="G178" s="1138"/>
      <c r="H178" s="1138"/>
      <c r="I178" s="1138"/>
      <c r="J178" s="101"/>
    </row>
    <row r="179" spans="1:10" ht="15.75">
      <c r="A179" s="101"/>
      <c r="B179" s="114"/>
      <c r="C179" s="223"/>
      <c r="D179" s="249"/>
      <c r="E179" s="249"/>
      <c r="F179" s="249"/>
      <c r="G179" s="249"/>
      <c r="H179" s="249"/>
      <c r="I179" s="249"/>
      <c r="J179" s="101"/>
    </row>
    <row r="180" spans="1:10" ht="15.75">
      <c r="A180" s="103" t="s">
        <v>62</v>
      </c>
      <c r="B180" s="104"/>
      <c r="C180" s="105"/>
      <c r="D180" s="105"/>
      <c r="E180" s="105"/>
      <c r="F180" s="105"/>
      <c r="G180" s="106"/>
      <c r="H180" s="4"/>
      <c r="I180" s="10"/>
      <c r="J180" s="103" t="s">
        <v>62</v>
      </c>
    </row>
    <row r="181" spans="1:10" ht="15.75">
      <c r="A181" s="136" t="s">
        <v>63</v>
      </c>
      <c r="B181" s="102"/>
      <c r="C181" s="107" t="s">
        <v>39</v>
      </c>
      <c r="D181" s="102"/>
      <c r="E181" s="102"/>
      <c r="F181" s="102"/>
      <c r="G181" s="137" t="s">
        <v>69</v>
      </c>
      <c r="H181" s="4"/>
      <c r="I181" s="33" t="s">
        <v>65</v>
      </c>
      <c r="J181" s="136" t="s">
        <v>63</v>
      </c>
    </row>
    <row r="182" spans="1:10" ht="15.75">
      <c r="A182" s="103"/>
      <c r="B182" s="114"/>
      <c r="C182" s="194" t="s">
        <v>307</v>
      </c>
      <c r="D182" s="102"/>
      <c r="E182" s="102"/>
      <c r="F182" s="102"/>
      <c r="G182" s="131"/>
      <c r="H182" s="4"/>
      <c r="I182" s="10"/>
      <c r="J182" s="103"/>
    </row>
    <row r="183" spans="1:10" ht="17.25">
      <c r="A183" s="101">
        <v>1</v>
      </c>
      <c r="B183" s="114"/>
      <c r="C183" s="194" t="s">
        <v>308</v>
      </c>
      <c r="D183" s="102"/>
      <c r="E183" s="102"/>
      <c r="F183" s="102"/>
      <c r="G183" s="128"/>
      <c r="H183" s="4"/>
      <c r="I183" s="10"/>
      <c r="J183" s="101">
        <v>1</v>
      </c>
    </row>
    <row r="184" spans="1:10" ht="15.75">
      <c r="A184" s="101">
        <f>A183+1</f>
        <v>2</v>
      </c>
      <c r="B184" s="114"/>
      <c r="C184" s="194" t="s">
        <v>309</v>
      </c>
      <c r="D184" s="102"/>
      <c r="E184" s="102"/>
      <c r="F184" s="102"/>
      <c r="G184" s="128"/>
      <c r="H184" s="4"/>
      <c r="I184" s="10"/>
      <c r="J184" s="101">
        <f>J183+1</f>
        <v>2</v>
      </c>
    </row>
    <row r="185" spans="1:10" ht="18.75">
      <c r="A185" s="101">
        <f>A184+1</f>
        <v>3</v>
      </c>
      <c r="B185" s="114"/>
      <c r="C185" s="132" t="s">
        <v>331</v>
      </c>
      <c r="D185" s="102"/>
      <c r="E185" s="102"/>
      <c r="F185" s="102"/>
      <c r="G185" s="385">
        <f>G42</f>
        <v>664695.23051590007</v>
      </c>
      <c r="H185" s="995"/>
      <c r="I185" s="10" t="s">
        <v>352</v>
      </c>
      <c r="J185" s="101">
        <f>J184+1</f>
        <v>3</v>
      </c>
    </row>
    <row r="186" spans="1:10" ht="15.75">
      <c r="A186" s="101">
        <f t="shared" ref="A186:A189" si="7">A185+1</f>
        <v>4</v>
      </c>
      <c r="B186" s="114"/>
      <c r="C186" s="132" t="s">
        <v>863</v>
      </c>
      <c r="D186" s="102"/>
      <c r="E186" s="102"/>
      <c r="F186" s="102"/>
      <c r="G186" s="121">
        <f>ROUND(-G11*0.5,0)</f>
        <v>-34077</v>
      </c>
      <c r="H186" s="274"/>
      <c r="I186" s="10" t="s">
        <v>441</v>
      </c>
      <c r="J186" s="101">
        <f t="shared" ref="J186:J189" si="8">J185+1</f>
        <v>4</v>
      </c>
    </row>
    <row r="187" spans="1:10" ht="15.75">
      <c r="A187" s="101">
        <f t="shared" si="7"/>
        <v>5</v>
      </c>
      <c r="B187" s="114"/>
      <c r="C187" s="132" t="s">
        <v>864</v>
      </c>
      <c r="D187" s="102"/>
      <c r="E187" s="102"/>
      <c r="F187" s="102"/>
      <c r="G187" s="121">
        <f>ROUND(-G13*0.5,0)</f>
        <v>-27159</v>
      </c>
      <c r="H187" s="995"/>
      <c r="I187" s="10" t="s">
        <v>442</v>
      </c>
      <c r="J187" s="101">
        <f t="shared" si="8"/>
        <v>5</v>
      </c>
    </row>
    <row r="188" spans="1:10" ht="15.75">
      <c r="A188" s="101">
        <f t="shared" si="7"/>
        <v>6</v>
      </c>
      <c r="B188" s="114"/>
      <c r="C188" s="111" t="s">
        <v>885</v>
      </c>
      <c r="D188" s="102"/>
      <c r="E188" s="102"/>
      <c r="F188" s="102"/>
      <c r="G188" s="121">
        <f>-G15</f>
        <v>0</v>
      </c>
      <c r="I188" s="10" t="s">
        <v>287</v>
      </c>
      <c r="J188" s="101">
        <f t="shared" si="8"/>
        <v>6</v>
      </c>
    </row>
    <row r="189" spans="1:10" ht="15.75">
      <c r="A189" s="101">
        <f t="shared" si="7"/>
        <v>7</v>
      </c>
      <c r="B189" s="114"/>
      <c r="C189" s="102" t="s">
        <v>13</v>
      </c>
      <c r="D189" s="102"/>
      <c r="E189" s="102"/>
      <c r="F189" s="102"/>
      <c r="G189" s="121">
        <f>-G21</f>
        <v>0</v>
      </c>
      <c r="H189" s="4"/>
      <c r="I189" s="10" t="s">
        <v>203</v>
      </c>
      <c r="J189" s="101">
        <f t="shared" si="8"/>
        <v>7</v>
      </c>
    </row>
    <row r="190" spans="1:10" ht="15.75">
      <c r="A190" s="101">
        <f t="shared" ref="A190:A194" si="9">A189+1</f>
        <v>8</v>
      </c>
      <c r="B190" s="114"/>
      <c r="C190" s="102" t="s">
        <v>95</v>
      </c>
      <c r="D190" s="102"/>
      <c r="E190" s="102"/>
      <c r="F190" s="102"/>
      <c r="G190" s="118">
        <f>-G35</f>
        <v>-2333</v>
      </c>
      <c r="H190" s="4"/>
      <c r="I190" s="10" t="s">
        <v>567</v>
      </c>
      <c r="J190" s="101">
        <f t="shared" ref="J190:J194" si="10">J189+1</f>
        <v>8</v>
      </c>
    </row>
    <row r="191" spans="1:10" ht="15.75">
      <c r="A191" s="101">
        <f t="shared" si="9"/>
        <v>9</v>
      </c>
      <c r="B191" s="114"/>
      <c r="C191" s="117" t="s">
        <v>865</v>
      </c>
      <c r="D191" s="4"/>
      <c r="E191" s="4"/>
      <c r="F191" s="4"/>
      <c r="G191" s="115">
        <f>-G36</f>
        <v>265</v>
      </c>
      <c r="H191" s="4"/>
      <c r="I191" s="10" t="s">
        <v>568</v>
      </c>
      <c r="J191" s="101">
        <f t="shared" si="10"/>
        <v>9</v>
      </c>
    </row>
    <row r="192" spans="1:10" ht="15.75">
      <c r="A192" s="101">
        <f t="shared" si="9"/>
        <v>10</v>
      </c>
      <c r="B192" s="114"/>
      <c r="C192" s="117" t="s">
        <v>89</v>
      </c>
      <c r="D192" s="102"/>
      <c r="E192" s="102"/>
      <c r="F192" s="102"/>
      <c r="G192" s="248">
        <f>-G37</f>
        <v>0</v>
      </c>
      <c r="H192" s="4"/>
      <c r="I192" s="10" t="s">
        <v>295</v>
      </c>
      <c r="J192" s="101">
        <f t="shared" si="10"/>
        <v>10</v>
      </c>
    </row>
    <row r="193" spans="1:10" ht="15.75">
      <c r="A193" s="101">
        <f t="shared" si="9"/>
        <v>11</v>
      </c>
      <c r="B193" s="114"/>
      <c r="C193" s="271" t="s">
        <v>288</v>
      </c>
      <c r="D193" s="102"/>
      <c r="E193" s="102"/>
      <c r="F193" s="102"/>
      <c r="G193" s="248">
        <f>-G40</f>
        <v>0</v>
      </c>
      <c r="H193" s="4"/>
      <c r="I193" s="10" t="s">
        <v>569</v>
      </c>
      <c r="J193" s="101">
        <f t="shared" si="10"/>
        <v>11</v>
      </c>
    </row>
    <row r="194" spans="1:10" ht="18.75">
      <c r="A194" s="101">
        <f t="shared" si="9"/>
        <v>12</v>
      </c>
      <c r="B194" s="114"/>
      <c r="C194" s="102" t="s">
        <v>866</v>
      </c>
      <c r="D194" s="102"/>
      <c r="E194" s="102"/>
      <c r="F194" s="102"/>
      <c r="G194" s="142">
        <f>SUM(G185:G193)</f>
        <v>601391.23051590007</v>
      </c>
      <c r="H194" s="995"/>
      <c r="I194" s="10" t="s">
        <v>443</v>
      </c>
      <c r="J194" s="101">
        <f t="shared" si="10"/>
        <v>12</v>
      </c>
    </row>
    <row r="195" spans="1:10" ht="15.75">
      <c r="A195" s="101">
        <f t="shared" ref="A195:A198" si="11">A194+1</f>
        <v>13</v>
      </c>
      <c r="B195" s="114"/>
      <c r="C195" s="102"/>
      <c r="D195" s="102"/>
      <c r="E195" s="102"/>
      <c r="F195" s="102"/>
      <c r="G195" s="121"/>
      <c r="H195" s="4"/>
      <c r="I195" s="10"/>
      <c r="J195" s="101">
        <f t="shared" ref="J195:J198" si="12">J194+1</f>
        <v>13</v>
      </c>
    </row>
    <row r="196" spans="1:10" ht="15.75">
      <c r="A196" s="101">
        <f t="shared" si="11"/>
        <v>14</v>
      </c>
      <c r="B196" s="114"/>
      <c r="C196" s="117" t="s">
        <v>220</v>
      </c>
      <c r="D196" s="102"/>
      <c r="E196" s="102"/>
      <c r="F196" s="102"/>
      <c r="G196" s="377">
        <f>G148</f>
        <v>4764253.6782376915</v>
      </c>
      <c r="H196" s="274"/>
      <c r="I196" s="10" t="s">
        <v>162</v>
      </c>
      <c r="J196" s="101">
        <f t="shared" si="12"/>
        <v>14</v>
      </c>
    </row>
    <row r="197" spans="1:10" ht="15.75">
      <c r="A197" s="101">
        <f t="shared" si="11"/>
        <v>15</v>
      </c>
      <c r="B197" s="114"/>
      <c r="C197" s="102"/>
      <c r="D197" s="102"/>
      <c r="E197" s="102"/>
      <c r="F197" s="102"/>
      <c r="G197" s="128"/>
      <c r="H197" s="4"/>
      <c r="I197" s="10"/>
      <c r="J197" s="101">
        <f t="shared" si="12"/>
        <v>15</v>
      </c>
    </row>
    <row r="198" spans="1:10" ht="18.75">
      <c r="A198" s="101">
        <f t="shared" si="11"/>
        <v>16</v>
      </c>
      <c r="B198" s="114"/>
      <c r="C198" s="102" t="s">
        <v>338</v>
      </c>
      <c r="D198" s="102"/>
      <c r="E198" s="102"/>
      <c r="F198" s="102"/>
      <c r="G198" s="1017">
        <f>ROUND(G194/G196,6)</f>
        <v>0.12623000000000001</v>
      </c>
      <c r="H198" s="995"/>
      <c r="I198" s="10" t="s">
        <v>444</v>
      </c>
      <c r="J198" s="101">
        <f t="shared" si="12"/>
        <v>16</v>
      </c>
    </row>
    <row r="199" spans="1:10" ht="15.75">
      <c r="A199" s="101">
        <f t="shared" ref="A199:A202" si="13">+A198+1</f>
        <v>17</v>
      </c>
      <c r="B199" s="114"/>
      <c r="C199" s="102"/>
      <c r="D199" s="102"/>
      <c r="E199" s="102"/>
      <c r="F199" s="102"/>
      <c r="G199" s="164"/>
      <c r="H199" s="4"/>
      <c r="I199" s="10"/>
      <c r="J199" s="101">
        <f t="shared" ref="J199:J202" si="14">+J198+1</f>
        <v>17</v>
      </c>
    </row>
    <row r="200" spans="1:10" s="359" customFormat="1" ht="31.5">
      <c r="A200" s="1059">
        <f t="shared" si="13"/>
        <v>18</v>
      </c>
      <c r="B200" s="1060"/>
      <c r="C200" s="337" t="s">
        <v>310</v>
      </c>
      <c r="D200" s="132"/>
      <c r="E200" s="132"/>
      <c r="F200" s="132"/>
      <c r="G200" s="1061">
        <f>'Forecast Plant Adds HV-LV Split'!I15</f>
        <v>579773</v>
      </c>
      <c r="H200" s="995"/>
      <c r="I200" s="336" t="s">
        <v>532</v>
      </c>
      <c r="J200" s="1059">
        <f t="shared" si="14"/>
        <v>18</v>
      </c>
    </row>
    <row r="201" spans="1:10" ht="15.75">
      <c r="A201" s="101">
        <f t="shared" si="13"/>
        <v>19</v>
      </c>
      <c r="B201" s="114"/>
      <c r="C201" s="88"/>
      <c r="D201" s="102"/>
      <c r="E201" s="102"/>
      <c r="F201" s="102"/>
      <c r="G201" s="164"/>
      <c r="H201" s="4"/>
      <c r="I201" s="10"/>
      <c r="J201" s="101">
        <f t="shared" si="14"/>
        <v>19</v>
      </c>
    </row>
    <row r="202" spans="1:10" ht="16.5" thickBot="1">
      <c r="A202" s="101">
        <f t="shared" si="13"/>
        <v>20</v>
      </c>
      <c r="B202" s="114"/>
      <c r="C202" s="4" t="s">
        <v>311</v>
      </c>
      <c r="D202" s="4"/>
      <c r="E202" s="4"/>
      <c r="F202" s="4"/>
      <c r="G202" s="768">
        <f>ROUND(G198*G200,0)</f>
        <v>73185</v>
      </c>
      <c r="H202" s="995"/>
      <c r="I202" s="10" t="s">
        <v>255</v>
      </c>
      <c r="J202" s="101">
        <f t="shared" si="14"/>
        <v>20</v>
      </c>
    </row>
    <row r="203" spans="1:10" ht="16.5" thickTop="1">
      <c r="A203" s="101"/>
      <c r="B203" s="114"/>
      <c r="C203" s="4"/>
      <c r="D203" s="4"/>
      <c r="E203" s="4"/>
      <c r="F203" s="4"/>
      <c r="G203" s="140"/>
      <c r="H203" s="4"/>
      <c r="I203" s="10"/>
      <c r="J203" s="101"/>
    </row>
    <row r="204" spans="1:10" ht="15.75">
      <c r="A204" s="101"/>
      <c r="B204" s="995"/>
      <c r="C204" s="50"/>
      <c r="D204" s="102"/>
      <c r="E204" s="102"/>
      <c r="F204" s="102"/>
      <c r="G204" s="164"/>
      <c r="H204" s="4"/>
      <c r="I204" s="10"/>
      <c r="J204" s="101"/>
    </row>
    <row r="205" spans="1:10" ht="15.75">
      <c r="A205" s="101"/>
      <c r="B205" s="102"/>
      <c r="C205" s="1141" t="s">
        <v>61</v>
      </c>
      <c r="D205" s="1138"/>
      <c r="E205" s="1138"/>
      <c r="F205" s="1138"/>
      <c r="G205" s="1138"/>
      <c r="H205" s="1138"/>
      <c r="I205" s="1138"/>
      <c r="J205" s="10"/>
    </row>
    <row r="206" spans="1:10" ht="15.75">
      <c r="A206" s="101" t="s">
        <v>39</v>
      </c>
      <c r="B206" s="102"/>
      <c r="C206" s="1141" t="s">
        <v>81</v>
      </c>
      <c r="D206" s="1138"/>
      <c r="E206" s="1138"/>
      <c r="F206" s="1138"/>
      <c r="G206" s="1138"/>
      <c r="H206" s="1138"/>
      <c r="I206" s="1138"/>
      <c r="J206" s="10"/>
    </row>
    <row r="207" spans="1:10" ht="17.25">
      <c r="A207" s="101"/>
      <c r="B207" s="102"/>
      <c r="C207" s="1141" t="s">
        <v>286</v>
      </c>
      <c r="D207" s="1142"/>
      <c r="E207" s="1142"/>
      <c r="F207" s="1142"/>
      <c r="G207" s="1142"/>
      <c r="H207" s="1142"/>
      <c r="I207" s="1142"/>
      <c r="J207" s="10"/>
    </row>
    <row r="208" spans="1:10" ht="15.75">
      <c r="A208" s="101"/>
      <c r="B208" s="102"/>
      <c r="C208" s="1143" t="str">
        <f>C177</f>
        <v>For the Forecast Period January 1, 2016 - December 31, 2017</v>
      </c>
      <c r="D208" s="1144"/>
      <c r="E208" s="1144"/>
      <c r="F208" s="1144"/>
      <c r="G208" s="1144"/>
      <c r="H208" s="1144"/>
      <c r="I208" s="1144"/>
      <c r="J208" s="10"/>
    </row>
    <row r="209" spans="1:10" ht="15.75">
      <c r="A209" s="101"/>
      <c r="B209" s="102"/>
      <c r="C209" s="1137" t="s">
        <v>72</v>
      </c>
      <c r="D209" s="1138"/>
      <c r="E209" s="1138"/>
      <c r="F209" s="1138"/>
      <c r="G209" s="1138"/>
      <c r="H209" s="1138"/>
      <c r="I209" s="1138"/>
      <c r="J209" s="10"/>
    </row>
    <row r="210" spans="1:10" ht="15.75">
      <c r="A210" s="101"/>
      <c r="B210" s="102"/>
      <c r="C210" s="223"/>
      <c r="D210" s="249"/>
      <c r="E210" s="249"/>
      <c r="F210" s="249"/>
      <c r="G210" s="249"/>
      <c r="H210" s="249"/>
      <c r="I210" s="249"/>
      <c r="J210" s="10"/>
    </row>
    <row r="211" spans="1:10" ht="15.75">
      <c r="A211" s="103" t="s">
        <v>62</v>
      </c>
      <c r="B211" s="104"/>
      <c r="C211" s="105"/>
      <c r="D211" s="105"/>
      <c r="E211" s="105"/>
      <c r="F211" s="105"/>
      <c r="G211" s="106"/>
      <c r="H211" s="4"/>
      <c r="I211" s="10"/>
      <c r="J211" s="103" t="s">
        <v>62</v>
      </c>
    </row>
    <row r="212" spans="1:10" ht="15.75">
      <c r="A212" s="136" t="s">
        <v>63</v>
      </c>
      <c r="B212" s="102"/>
      <c r="C212" s="107" t="s">
        <v>39</v>
      </c>
      <c r="D212" s="102"/>
      <c r="E212" s="102"/>
      <c r="F212" s="102"/>
      <c r="G212" s="137" t="s">
        <v>69</v>
      </c>
      <c r="H212" s="4"/>
      <c r="I212" s="33" t="s">
        <v>65</v>
      </c>
      <c r="J212" s="136" t="s">
        <v>63</v>
      </c>
    </row>
    <row r="213" spans="1:10" ht="15.75">
      <c r="A213" s="103"/>
      <c r="B213" s="102"/>
      <c r="C213" s="194" t="s">
        <v>386</v>
      </c>
      <c r="D213" s="102"/>
      <c r="E213" s="102"/>
      <c r="F213" s="102"/>
      <c r="G213" s="196"/>
      <c r="H213" s="4"/>
      <c r="I213" s="48"/>
      <c r="J213" s="103"/>
    </row>
    <row r="214" spans="1:10" ht="15.75">
      <c r="A214" s="103"/>
      <c r="B214" s="102"/>
      <c r="C214" s="277" t="s">
        <v>387</v>
      </c>
      <c r="D214" s="102"/>
      <c r="E214" s="102"/>
      <c r="F214" s="102"/>
      <c r="G214" s="196"/>
      <c r="H214" s="4"/>
      <c r="I214" s="48"/>
      <c r="J214" s="103"/>
    </row>
    <row r="215" spans="1:10" ht="17.25">
      <c r="A215" s="101">
        <v>1</v>
      </c>
      <c r="B215" s="114"/>
      <c r="C215" s="194" t="s">
        <v>152</v>
      </c>
      <c r="D215" s="102"/>
      <c r="E215" s="102"/>
      <c r="F215" s="102"/>
      <c r="G215" s="164"/>
      <c r="H215" s="4"/>
      <c r="I215" s="10"/>
      <c r="J215" s="101">
        <v>1</v>
      </c>
    </row>
    <row r="216" spans="1:10" ht="15.75">
      <c r="A216" s="101">
        <f t="shared" ref="A216:A251" si="15">+A215+1</f>
        <v>2</v>
      </c>
      <c r="B216" s="188"/>
      <c r="C216" s="194" t="s">
        <v>153</v>
      </c>
      <c r="D216" s="105"/>
      <c r="E216" s="105"/>
      <c r="F216" s="105"/>
      <c r="G216" s="164"/>
      <c r="H216" s="133"/>
      <c r="I216" s="48"/>
      <c r="J216" s="101">
        <f t="shared" ref="J216:J251" si="16">+J215+1</f>
        <v>2</v>
      </c>
    </row>
    <row r="217" spans="1:10" ht="18.75">
      <c r="A217" s="101">
        <f t="shared" si="15"/>
        <v>3</v>
      </c>
      <c r="B217" s="188"/>
      <c r="C217" s="132" t="s">
        <v>332</v>
      </c>
      <c r="D217" s="102"/>
      <c r="E217" s="102"/>
      <c r="F217" s="102"/>
      <c r="G217" s="385">
        <f>G42+G51</f>
        <v>664695.23051590007</v>
      </c>
      <c r="H217" s="995"/>
      <c r="I217" s="10" t="s">
        <v>591</v>
      </c>
      <c r="J217" s="101">
        <f t="shared" si="16"/>
        <v>3</v>
      </c>
    </row>
    <row r="218" spans="1:10" ht="15.75">
      <c r="A218" s="101">
        <f t="shared" si="15"/>
        <v>4</v>
      </c>
      <c r="B218" s="188"/>
      <c r="C218" s="132" t="s">
        <v>863</v>
      </c>
      <c r="D218" s="102"/>
      <c r="E218" s="102"/>
      <c r="F218" s="102"/>
      <c r="G218" s="121">
        <f>ROUND(-G11*0.5,0)</f>
        <v>-34077</v>
      </c>
      <c r="H218" s="274"/>
      <c r="I218" s="10" t="s">
        <v>441</v>
      </c>
      <c r="J218" s="101">
        <f t="shared" si="16"/>
        <v>4</v>
      </c>
    </row>
    <row r="219" spans="1:10" ht="15.75">
      <c r="A219" s="101">
        <f t="shared" si="15"/>
        <v>5</v>
      </c>
      <c r="B219" s="188"/>
      <c r="C219" s="132" t="s">
        <v>864</v>
      </c>
      <c r="D219" s="102"/>
      <c r="E219" s="102"/>
      <c r="F219" s="102"/>
      <c r="G219" s="121">
        <f>ROUND(-G13*0.5,0)</f>
        <v>-27159</v>
      </c>
      <c r="H219" s="995"/>
      <c r="I219" s="10" t="s">
        <v>442</v>
      </c>
      <c r="J219" s="101">
        <f t="shared" si="16"/>
        <v>5</v>
      </c>
    </row>
    <row r="220" spans="1:10" ht="15.75">
      <c r="A220" s="101">
        <f t="shared" si="15"/>
        <v>6</v>
      </c>
      <c r="B220" s="188"/>
      <c r="C220" s="111" t="s">
        <v>885</v>
      </c>
      <c r="D220" s="102"/>
      <c r="E220" s="102"/>
      <c r="F220" s="102"/>
      <c r="G220" s="121">
        <f>-G15</f>
        <v>0</v>
      </c>
      <c r="I220" s="10" t="s">
        <v>287</v>
      </c>
      <c r="J220" s="101">
        <f t="shared" si="16"/>
        <v>6</v>
      </c>
    </row>
    <row r="221" spans="1:10" ht="15.75">
      <c r="A221" s="101">
        <f t="shared" si="15"/>
        <v>7</v>
      </c>
      <c r="B221" s="188"/>
      <c r="C221" s="102" t="s">
        <v>13</v>
      </c>
      <c r="D221" s="102"/>
      <c r="E221" s="102"/>
      <c r="F221" s="102"/>
      <c r="G221" s="121">
        <f>-G21</f>
        <v>0</v>
      </c>
      <c r="H221" s="133"/>
      <c r="I221" s="10" t="s">
        <v>203</v>
      </c>
      <c r="J221" s="101">
        <f t="shared" si="16"/>
        <v>7</v>
      </c>
    </row>
    <row r="222" spans="1:10" ht="15.75">
      <c r="A222" s="101">
        <f t="shared" si="15"/>
        <v>8</v>
      </c>
      <c r="B222" s="188"/>
      <c r="C222" s="102" t="s">
        <v>95</v>
      </c>
      <c r="D222" s="102"/>
      <c r="E222" s="102"/>
      <c r="F222" s="102"/>
      <c r="G222" s="118">
        <f>-G35</f>
        <v>-2333</v>
      </c>
      <c r="H222" s="133"/>
      <c r="I222" s="10" t="s">
        <v>567</v>
      </c>
      <c r="J222" s="101">
        <f t="shared" si="16"/>
        <v>8</v>
      </c>
    </row>
    <row r="223" spans="1:10" ht="15.75">
      <c r="A223" s="101">
        <f t="shared" si="15"/>
        <v>9</v>
      </c>
      <c r="B223" s="188"/>
      <c r="C223" s="117" t="s">
        <v>865</v>
      </c>
      <c r="D223" s="4"/>
      <c r="E223" s="4"/>
      <c r="F223" s="4"/>
      <c r="G223" s="115">
        <f>-G36</f>
        <v>265</v>
      </c>
      <c r="H223" s="133"/>
      <c r="I223" s="10" t="s">
        <v>568</v>
      </c>
      <c r="J223" s="101">
        <f t="shared" si="16"/>
        <v>9</v>
      </c>
    </row>
    <row r="224" spans="1:10" ht="15.75">
      <c r="A224" s="101">
        <f t="shared" si="15"/>
        <v>10</v>
      </c>
      <c r="B224" s="188"/>
      <c r="C224" s="117" t="s">
        <v>89</v>
      </c>
      <c r="D224" s="102"/>
      <c r="E224" s="102"/>
      <c r="F224" s="102"/>
      <c r="G224" s="248">
        <f>-G37</f>
        <v>0</v>
      </c>
      <c r="H224" s="133"/>
      <c r="I224" s="10" t="s">
        <v>295</v>
      </c>
      <c r="J224" s="101">
        <f t="shared" si="16"/>
        <v>10</v>
      </c>
    </row>
    <row r="225" spans="1:11" ht="15.75">
      <c r="A225" s="101">
        <f t="shared" si="15"/>
        <v>11</v>
      </c>
      <c r="B225" s="188"/>
      <c r="C225" s="271" t="s">
        <v>288</v>
      </c>
      <c r="D225" s="102"/>
      <c r="E225" s="102"/>
      <c r="F225" s="102"/>
      <c r="G225" s="248">
        <f>-G85</f>
        <v>0</v>
      </c>
      <c r="H225" s="4"/>
      <c r="I225" s="10" t="s">
        <v>569</v>
      </c>
      <c r="J225" s="101">
        <f t="shared" si="16"/>
        <v>11</v>
      </c>
    </row>
    <row r="226" spans="1:11" ht="18.75">
      <c r="A226" s="101">
        <f t="shared" si="15"/>
        <v>12</v>
      </c>
      <c r="B226" s="114"/>
      <c r="C226" s="102" t="s">
        <v>867</v>
      </c>
      <c r="D226" s="102"/>
      <c r="E226" s="102"/>
      <c r="F226" s="102"/>
      <c r="G226" s="142">
        <f>SUM(G217:G224)</f>
        <v>601391.23051590007</v>
      </c>
      <c r="H226" s="995"/>
      <c r="I226" s="10" t="s">
        <v>443</v>
      </c>
      <c r="J226" s="101">
        <f t="shared" si="16"/>
        <v>12</v>
      </c>
    </row>
    <row r="227" spans="1:11" ht="15.75">
      <c r="A227" s="101">
        <f t="shared" si="15"/>
        <v>13</v>
      </c>
      <c r="B227" s="114"/>
      <c r="C227" s="102"/>
      <c r="D227" s="102"/>
      <c r="E227" s="102"/>
      <c r="F227" s="102"/>
      <c r="G227" s="164"/>
      <c r="H227" s="4"/>
      <c r="I227" s="10"/>
      <c r="J227" s="101">
        <f t="shared" si="16"/>
        <v>13</v>
      </c>
    </row>
    <row r="228" spans="1:11" ht="15.75">
      <c r="A228" s="101">
        <f t="shared" si="15"/>
        <v>14</v>
      </c>
      <c r="B228" s="114"/>
      <c r="C228" s="117" t="s">
        <v>687</v>
      </c>
      <c r="D228" s="102"/>
      <c r="E228" s="102"/>
      <c r="F228" s="102"/>
      <c r="G228" s="703">
        <f>+G148+G165</f>
        <v>4764253.6782376915</v>
      </c>
      <c r="H228" s="274"/>
      <c r="I228" s="10" t="s">
        <v>592</v>
      </c>
      <c r="J228" s="101">
        <f t="shared" si="16"/>
        <v>14</v>
      </c>
    </row>
    <row r="229" spans="1:11" ht="15.75">
      <c r="A229" s="101">
        <f t="shared" si="15"/>
        <v>15</v>
      </c>
      <c r="B229" s="114"/>
      <c r="C229" s="102"/>
      <c r="D229" s="102"/>
      <c r="E229" s="102"/>
      <c r="F229" s="102"/>
      <c r="G229" s="128"/>
      <c r="H229" s="4"/>
      <c r="I229" s="10"/>
      <c r="J229" s="101">
        <f t="shared" si="16"/>
        <v>15</v>
      </c>
    </row>
    <row r="230" spans="1:11" ht="20.25">
      <c r="A230" s="101">
        <f t="shared" si="15"/>
        <v>16</v>
      </c>
      <c r="B230" s="114"/>
      <c r="C230" s="102" t="s">
        <v>492</v>
      </c>
      <c r="D230" s="102"/>
      <c r="E230" s="102"/>
      <c r="F230" s="102"/>
      <c r="G230" s="1017">
        <f>ROUND(G226/G228,6)</f>
        <v>0.12623000000000001</v>
      </c>
      <c r="H230" s="995"/>
      <c r="I230" s="10" t="s">
        <v>444</v>
      </c>
      <c r="J230" s="101">
        <f t="shared" si="16"/>
        <v>16</v>
      </c>
    </row>
    <row r="231" spans="1:11" ht="15.75">
      <c r="A231" s="103">
        <f t="shared" si="15"/>
        <v>17</v>
      </c>
      <c r="B231" s="188"/>
      <c r="C231" s="102"/>
      <c r="D231" s="102"/>
      <c r="E231" s="102"/>
      <c r="F231" s="102"/>
      <c r="G231" s="164"/>
      <c r="H231" s="133"/>
      <c r="I231" s="10"/>
      <c r="J231" s="103">
        <f t="shared" si="16"/>
        <v>17</v>
      </c>
    </row>
    <row r="232" spans="1:11" ht="31.5">
      <c r="A232" s="1062">
        <f t="shared" si="15"/>
        <v>18</v>
      </c>
      <c r="B232" s="1063"/>
      <c r="C232" s="337" t="s">
        <v>290</v>
      </c>
      <c r="D232" s="102"/>
      <c r="E232" s="102"/>
      <c r="F232" s="102"/>
      <c r="G232" s="1061">
        <f>'Forecast Plant Adds HV-LV Split'!I18</f>
        <v>0</v>
      </c>
      <c r="H232" s="4"/>
      <c r="I232" s="336" t="s">
        <v>655</v>
      </c>
      <c r="J232" s="1062">
        <f t="shared" si="16"/>
        <v>18</v>
      </c>
    </row>
    <row r="233" spans="1:11" ht="15.75">
      <c r="A233" s="103">
        <f t="shared" si="15"/>
        <v>19</v>
      </c>
      <c r="B233" s="188"/>
      <c r="C233" s="88"/>
      <c r="D233" s="102"/>
      <c r="E233" s="102"/>
      <c r="F233" s="102"/>
      <c r="G233" s="164"/>
      <c r="H233" s="4"/>
      <c r="I233" s="10"/>
      <c r="J233" s="103">
        <f t="shared" si="16"/>
        <v>19</v>
      </c>
    </row>
    <row r="234" spans="1:11" ht="19.5" thickBot="1">
      <c r="A234" s="103">
        <f t="shared" si="15"/>
        <v>20</v>
      </c>
      <c r="B234" s="188"/>
      <c r="C234" s="4" t="s">
        <v>499</v>
      </c>
      <c r="D234" s="4"/>
      <c r="E234" s="4"/>
      <c r="F234" s="4"/>
      <c r="G234" s="768">
        <f>ROUND(G230*G232,0)</f>
        <v>0</v>
      </c>
      <c r="H234" s="4"/>
      <c r="I234" s="10" t="s">
        <v>255</v>
      </c>
      <c r="J234" s="103">
        <f t="shared" si="16"/>
        <v>20</v>
      </c>
    </row>
    <row r="235" spans="1:11" ht="16.5" thickTop="1">
      <c r="A235" s="103">
        <f t="shared" si="15"/>
        <v>21</v>
      </c>
      <c r="B235" s="4"/>
      <c r="C235" s="4"/>
      <c r="D235" s="4"/>
      <c r="E235" s="4"/>
      <c r="F235" s="4"/>
      <c r="G235" s="140"/>
      <c r="H235" s="4"/>
      <c r="I235" s="10"/>
      <c r="J235" s="103">
        <f t="shared" si="16"/>
        <v>21</v>
      </c>
      <c r="K235" s="253"/>
    </row>
    <row r="236" spans="1:11" ht="15.75">
      <c r="A236" s="103">
        <f t="shared" si="15"/>
        <v>22</v>
      </c>
      <c r="B236" s="4"/>
      <c r="C236" s="76" t="s">
        <v>529</v>
      </c>
      <c r="D236" s="4"/>
      <c r="E236" s="4"/>
      <c r="F236" s="4"/>
      <c r="G236" s="140"/>
      <c r="H236" s="4"/>
      <c r="I236" s="10"/>
      <c r="J236" s="103">
        <f t="shared" si="16"/>
        <v>22</v>
      </c>
      <c r="K236" s="253"/>
    </row>
    <row r="237" spans="1:11" ht="15.75">
      <c r="A237" s="103">
        <f t="shared" si="15"/>
        <v>23</v>
      </c>
      <c r="B237" s="4"/>
      <c r="C237" s="76" t="s">
        <v>533</v>
      </c>
      <c r="D237" s="4"/>
      <c r="E237" s="4"/>
      <c r="F237" s="4"/>
      <c r="G237" s="140"/>
      <c r="H237" s="4"/>
      <c r="I237" s="10"/>
      <c r="J237" s="103">
        <f t="shared" si="16"/>
        <v>23</v>
      </c>
      <c r="K237" s="253"/>
    </row>
    <row r="238" spans="1:11" ht="31.5">
      <c r="A238" s="1062">
        <f t="shared" si="15"/>
        <v>24</v>
      </c>
      <c r="B238" s="337"/>
      <c r="C238" s="337" t="s">
        <v>550</v>
      </c>
      <c r="D238" s="337"/>
      <c r="E238" s="337"/>
      <c r="F238" s="337"/>
      <c r="G238" s="1064">
        <f>'Forecast Plant Adds HV-LV Split'!I20</f>
        <v>0</v>
      </c>
      <c r="H238" s="4"/>
      <c r="I238" s="336" t="s">
        <v>653</v>
      </c>
      <c r="J238" s="1062">
        <f t="shared" si="16"/>
        <v>24</v>
      </c>
      <c r="K238" s="253"/>
    </row>
    <row r="239" spans="1:11" ht="15.75">
      <c r="A239" s="103">
        <f t="shared" si="15"/>
        <v>25</v>
      </c>
      <c r="B239" s="4"/>
      <c r="C239" s="4"/>
      <c r="D239" s="4"/>
      <c r="E239" s="4"/>
      <c r="F239" s="4"/>
      <c r="G239" s="140"/>
      <c r="H239" s="4"/>
      <c r="I239" s="10"/>
      <c r="J239" s="103">
        <f t="shared" si="16"/>
        <v>25</v>
      </c>
      <c r="K239" s="253"/>
    </row>
    <row r="240" spans="1:11" ht="18.75">
      <c r="A240" s="103">
        <f t="shared" si="15"/>
        <v>26</v>
      </c>
      <c r="B240" s="4"/>
      <c r="C240" s="4" t="s">
        <v>337</v>
      </c>
      <c r="D240" s="4"/>
      <c r="E240" s="4"/>
      <c r="F240" s="4"/>
      <c r="G240" s="1018">
        <f>'Cost Statements'!H533</f>
        <v>0.11742929581372742</v>
      </c>
      <c r="H240" s="995"/>
      <c r="I240" s="10" t="s">
        <v>507</v>
      </c>
      <c r="J240" s="103">
        <f t="shared" si="16"/>
        <v>26</v>
      </c>
      <c r="K240" s="253"/>
    </row>
    <row r="241" spans="1:11" ht="15.75">
      <c r="A241" s="103">
        <f t="shared" si="15"/>
        <v>27</v>
      </c>
      <c r="B241" s="4"/>
      <c r="C241" s="4"/>
      <c r="D241" s="4"/>
      <c r="E241" s="4"/>
      <c r="F241" s="4"/>
      <c r="G241" s="140"/>
      <c r="H241" s="4"/>
      <c r="I241" s="10"/>
      <c r="J241" s="103">
        <f t="shared" si="16"/>
        <v>27</v>
      </c>
      <c r="K241" s="253"/>
    </row>
    <row r="242" spans="1:11" ht="15.75">
      <c r="A242" s="103">
        <f t="shared" si="15"/>
        <v>28</v>
      </c>
      <c r="B242" s="4"/>
      <c r="C242" s="4" t="s">
        <v>500</v>
      </c>
      <c r="D242" s="4"/>
      <c r="E242" s="4"/>
      <c r="F242" s="4"/>
      <c r="G242" s="703">
        <f>ROUND(G238*G240,0)</f>
        <v>0</v>
      </c>
      <c r="H242" s="4"/>
      <c r="I242" s="10" t="s">
        <v>445</v>
      </c>
      <c r="J242" s="103">
        <f t="shared" si="16"/>
        <v>28</v>
      </c>
      <c r="K242" s="253"/>
    </row>
    <row r="243" spans="1:11" ht="15.75">
      <c r="A243" s="103">
        <f t="shared" si="15"/>
        <v>29</v>
      </c>
      <c r="B243" s="4"/>
      <c r="C243" s="4"/>
      <c r="D243" s="4"/>
      <c r="E243" s="4"/>
      <c r="F243" s="4"/>
      <c r="G243" s="140"/>
      <c r="H243" s="4"/>
      <c r="I243" s="10"/>
      <c r="J243" s="103">
        <f t="shared" si="16"/>
        <v>29</v>
      </c>
      <c r="K243" s="253"/>
    </row>
    <row r="244" spans="1:11" ht="15.75">
      <c r="A244" s="103">
        <f t="shared" si="15"/>
        <v>30</v>
      </c>
      <c r="B244" s="4"/>
      <c r="C244" s="76" t="s">
        <v>534</v>
      </c>
      <c r="D244" s="4"/>
      <c r="E244" s="4"/>
      <c r="F244" s="4"/>
      <c r="G244" s="140"/>
      <c r="H244" s="4"/>
      <c r="I244" s="10"/>
      <c r="J244" s="103">
        <f t="shared" si="16"/>
        <v>30</v>
      </c>
      <c r="K244" s="253"/>
    </row>
    <row r="245" spans="1:11" ht="31.5">
      <c r="A245" s="1062">
        <f t="shared" si="15"/>
        <v>31</v>
      </c>
      <c r="B245" s="337"/>
      <c r="C245" s="337" t="s">
        <v>550</v>
      </c>
      <c r="D245" s="337"/>
      <c r="E245" s="337"/>
      <c r="F245" s="337"/>
      <c r="G245" s="1065">
        <f>'Forecast Plant Adds HV-LV Split'!I22</f>
        <v>0</v>
      </c>
      <c r="H245" s="4"/>
      <c r="I245" s="336" t="s">
        <v>654</v>
      </c>
      <c r="J245" s="1062">
        <f t="shared" si="16"/>
        <v>31</v>
      </c>
      <c r="K245" s="253"/>
    </row>
    <row r="246" spans="1:11" ht="15.75">
      <c r="A246" s="103">
        <f t="shared" si="15"/>
        <v>32</v>
      </c>
      <c r="B246" s="4"/>
      <c r="C246" s="4"/>
      <c r="D246" s="4"/>
      <c r="E246" s="4"/>
      <c r="F246" s="4"/>
      <c r="G246" s="140"/>
      <c r="H246" s="4"/>
      <c r="I246" s="10"/>
      <c r="J246" s="103">
        <f t="shared" si="16"/>
        <v>32</v>
      </c>
      <c r="K246" s="253"/>
    </row>
    <row r="247" spans="1:11" ht="18.75">
      <c r="A247" s="103">
        <f t="shared" si="15"/>
        <v>33</v>
      </c>
      <c r="B247" s="4"/>
      <c r="C247" s="4" t="s">
        <v>337</v>
      </c>
      <c r="D247" s="4"/>
      <c r="E247" s="4"/>
      <c r="F247" s="4"/>
      <c r="G247" s="1018">
        <f>'Cost Statements'!H533</f>
        <v>0.11742929581372742</v>
      </c>
      <c r="H247" s="995"/>
      <c r="I247" s="10" t="s">
        <v>507</v>
      </c>
      <c r="J247" s="103">
        <f t="shared" si="16"/>
        <v>33</v>
      </c>
      <c r="K247" s="253"/>
    </row>
    <row r="248" spans="1:11" ht="15.75">
      <c r="A248" s="103">
        <f t="shared" si="15"/>
        <v>34</v>
      </c>
      <c r="B248" s="4"/>
      <c r="C248" s="4"/>
      <c r="D248" s="4"/>
      <c r="E248" s="4"/>
      <c r="F248" s="4"/>
      <c r="G248" s="140"/>
      <c r="H248" s="4"/>
      <c r="I248" s="10"/>
      <c r="J248" s="103">
        <f t="shared" si="16"/>
        <v>34</v>
      </c>
      <c r="K248" s="253"/>
    </row>
    <row r="249" spans="1:11" ht="15.75">
      <c r="A249" s="103">
        <f t="shared" si="15"/>
        <v>35</v>
      </c>
      <c r="B249" s="4"/>
      <c r="C249" s="4" t="s">
        <v>500</v>
      </c>
      <c r="D249" s="4"/>
      <c r="E249" s="4"/>
      <c r="F249" s="4"/>
      <c r="G249" s="703">
        <f>ROUND(G245*G247,0)</f>
        <v>0</v>
      </c>
      <c r="H249" s="4"/>
      <c r="I249" s="10" t="s">
        <v>493</v>
      </c>
      <c r="J249" s="103">
        <f t="shared" si="16"/>
        <v>35</v>
      </c>
      <c r="K249" s="253"/>
    </row>
    <row r="250" spans="1:11" ht="15.75">
      <c r="A250" s="103">
        <f t="shared" si="15"/>
        <v>36</v>
      </c>
      <c r="B250" s="4"/>
      <c r="C250" s="4"/>
      <c r="D250" s="4"/>
      <c r="E250" s="4"/>
      <c r="F250" s="4"/>
      <c r="G250" s="140"/>
      <c r="H250" s="4"/>
      <c r="I250" s="10"/>
      <c r="J250" s="103">
        <f t="shared" si="16"/>
        <v>36</v>
      </c>
      <c r="K250" s="253"/>
    </row>
    <row r="251" spans="1:11" ht="16.5" thickBot="1">
      <c r="A251" s="103">
        <f t="shared" si="15"/>
        <v>37</v>
      </c>
      <c r="B251" s="4"/>
      <c r="C251" s="4" t="s">
        <v>519</v>
      </c>
      <c r="D251" s="4"/>
      <c r="E251" s="4"/>
      <c r="F251" s="4"/>
      <c r="G251" s="768">
        <f>G242+G249</f>
        <v>0</v>
      </c>
      <c r="H251" s="4"/>
      <c r="I251" s="10" t="s">
        <v>862</v>
      </c>
      <c r="J251" s="103">
        <f t="shared" si="16"/>
        <v>37</v>
      </c>
      <c r="K251" s="253"/>
    </row>
    <row r="252" spans="1:11" ht="16.5" thickTop="1">
      <c r="A252" s="103"/>
      <c r="B252" s="4"/>
      <c r="C252" s="4"/>
      <c r="D252" s="4"/>
      <c r="E252" s="4"/>
      <c r="F252" s="4"/>
      <c r="G252" s="140"/>
      <c r="H252" s="4"/>
      <c r="I252" s="10"/>
      <c r="J252" s="103"/>
      <c r="K252" s="253"/>
    </row>
    <row r="253" spans="1:11" ht="15.75">
      <c r="A253" s="103"/>
      <c r="B253" s="4"/>
      <c r="C253" s="4"/>
      <c r="D253" s="4"/>
      <c r="E253" s="4"/>
      <c r="F253" s="4"/>
      <c r="G253" s="140"/>
      <c r="H253" s="4"/>
      <c r="I253" s="10"/>
      <c r="J253" s="103"/>
      <c r="K253" s="253"/>
    </row>
    <row r="254" spans="1:11" ht="18.75">
      <c r="A254" s="103"/>
      <c r="B254" s="268" t="s">
        <v>194</v>
      </c>
      <c r="C254" s="132" t="s">
        <v>748</v>
      </c>
      <c r="D254" s="4"/>
      <c r="E254" s="4"/>
      <c r="F254" s="4"/>
      <c r="G254" s="140"/>
      <c r="H254" s="4"/>
      <c r="I254" s="10"/>
      <c r="J254" s="103"/>
      <c r="K254" s="253"/>
    </row>
    <row r="255" spans="1:11" ht="15.75">
      <c r="A255" s="103"/>
      <c r="B255" s="4"/>
      <c r="C255" s="4"/>
      <c r="D255" s="4"/>
      <c r="E255" s="4"/>
      <c r="F255" s="4"/>
      <c r="G255" s="140"/>
      <c r="H255" s="4"/>
      <c r="I255" s="10"/>
      <c r="J255" s="103"/>
      <c r="K255" s="253"/>
    </row>
    <row r="256" spans="1:11" ht="15.75">
      <c r="A256" s="103"/>
      <c r="B256" s="4"/>
      <c r="C256" s="4"/>
      <c r="D256" s="4"/>
      <c r="E256" s="4"/>
      <c r="F256" s="4"/>
      <c r="G256" s="140"/>
      <c r="H256" s="4"/>
      <c r="I256" s="10"/>
      <c r="J256" s="101"/>
      <c r="K256" s="253"/>
    </row>
    <row r="257" spans="1:11" ht="15.75">
      <c r="A257" s="101"/>
      <c r="B257" s="4"/>
      <c r="C257" s="1141" t="s">
        <v>61</v>
      </c>
      <c r="D257" s="1138"/>
      <c r="E257" s="1138"/>
      <c r="F257" s="1138"/>
      <c r="G257" s="1138"/>
      <c r="H257" s="1138"/>
      <c r="I257" s="1138"/>
      <c r="J257" s="101"/>
      <c r="K257" s="253"/>
    </row>
    <row r="258" spans="1:11" ht="15.75">
      <c r="A258" s="101"/>
      <c r="B258" s="4"/>
      <c r="C258" s="1141" t="s">
        <v>81</v>
      </c>
      <c r="D258" s="1138"/>
      <c r="E258" s="1138"/>
      <c r="F258" s="1138"/>
      <c r="G258" s="1138"/>
      <c r="H258" s="1138"/>
      <c r="I258" s="1138"/>
      <c r="J258" s="10"/>
      <c r="K258" s="253"/>
    </row>
    <row r="259" spans="1:11" ht="17.25">
      <c r="A259" s="101"/>
      <c r="B259" s="4"/>
      <c r="C259" s="1141" t="s">
        <v>289</v>
      </c>
      <c r="D259" s="1142"/>
      <c r="E259" s="1142"/>
      <c r="F259" s="1142"/>
      <c r="G259" s="1142"/>
      <c r="H259" s="1142"/>
      <c r="I259" s="1142"/>
      <c r="J259" s="101"/>
      <c r="K259" s="253"/>
    </row>
    <row r="260" spans="1:11" ht="15.75">
      <c r="A260" s="101"/>
      <c r="B260" s="4"/>
      <c r="C260" s="1139" t="s">
        <v>1225</v>
      </c>
      <c r="D260" s="1145"/>
      <c r="E260" s="1145"/>
      <c r="F260" s="1145"/>
      <c r="G260" s="1145"/>
      <c r="H260" s="1145"/>
      <c r="I260" s="1145"/>
      <c r="J260" s="101"/>
      <c r="K260" s="253"/>
    </row>
    <row r="261" spans="1:11" ht="15.75">
      <c r="A261" s="103"/>
      <c r="B261" s="4"/>
      <c r="C261" s="1137" t="s">
        <v>72</v>
      </c>
      <c r="D261" s="1138"/>
      <c r="E261" s="1138"/>
      <c r="F261" s="1138"/>
      <c r="G261" s="1138"/>
      <c r="H261" s="1138"/>
      <c r="I261" s="1138"/>
      <c r="J261" s="103"/>
      <c r="K261" s="253"/>
    </row>
    <row r="262" spans="1:11" ht="15.75">
      <c r="A262" s="103"/>
      <c r="B262" s="4"/>
      <c r="C262" s="138"/>
      <c r="D262" s="250"/>
      <c r="E262" s="250"/>
      <c r="F262" s="250"/>
      <c r="G262" s="250"/>
      <c r="H262" s="250"/>
      <c r="I262" s="250"/>
      <c r="J262" s="103"/>
      <c r="K262" s="253"/>
    </row>
    <row r="263" spans="1:11" ht="15.75">
      <c r="A263" s="103" t="s">
        <v>62</v>
      </c>
      <c r="B263" s="104"/>
      <c r="C263" s="105"/>
      <c r="D263" s="105"/>
      <c r="E263" s="105"/>
      <c r="F263" s="105"/>
      <c r="G263" s="106"/>
      <c r="H263" s="4"/>
      <c r="I263" s="10"/>
      <c r="J263" s="103" t="s">
        <v>62</v>
      </c>
      <c r="K263" s="253"/>
    </row>
    <row r="264" spans="1:11" ht="15.75">
      <c r="A264" s="136" t="s">
        <v>63</v>
      </c>
      <c r="B264" s="102"/>
      <c r="C264" s="107" t="s">
        <v>39</v>
      </c>
      <c r="D264" s="102"/>
      <c r="E264" s="102"/>
      <c r="F264" s="102"/>
      <c r="G264" s="137" t="s">
        <v>69</v>
      </c>
      <c r="H264" s="4"/>
      <c r="I264" s="33" t="s">
        <v>65</v>
      </c>
      <c r="J264" s="136" t="s">
        <v>63</v>
      </c>
      <c r="K264" s="253"/>
    </row>
    <row r="265" spans="1:11" ht="15.75">
      <c r="A265" s="103"/>
      <c r="B265" s="4"/>
      <c r="C265" s="4"/>
      <c r="D265" s="4"/>
      <c r="E265" s="4"/>
      <c r="F265" s="4"/>
      <c r="G265" s="131"/>
      <c r="H265" s="4"/>
      <c r="I265" s="34"/>
      <c r="J265" s="103"/>
      <c r="K265" s="253"/>
    </row>
    <row r="266" spans="1:11" ht="17.25">
      <c r="A266" s="101">
        <v>1</v>
      </c>
      <c r="B266" s="4"/>
      <c r="C266" s="195" t="s">
        <v>783</v>
      </c>
      <c r="D266" s="4"/>
      <c r="E266" s="4"/>
      <c r="F266" s="4"/>
      <c r="G266" s="102"/>
      <c r="H266" s="4"/>
      <c r="I266" s="10"/>
      <c r="J266" s="101">
        <v>1</v>
      </c>
      <c r="K266" s="251"/>
    </row>
    <row r="267" spans="1:11" ht="15.75">
      <c r="A267" s="101">
        <f t="shared" ref="A267:A297" si="17">+A266+1</f>
        <v>2</v>
      </c>
      <c r="B267" s="4"/>
      <c r="C267" s="4"/>
      <c r="D267" s="4"/>
      <c r="E267" s="4"/>
      <c r="F267" s="4"/>
      <c r="G267" s="102"/>
      <c r="H267" s="4"/>
      <c r="I267" s="10"/>
      <c r="J267" s="101">
        <f t="shared" ref="J267:J297" si="18">+J266+1</f>
        <v>2</v>
      </c>
    </row>
    <row r="268" spans="1:11" ht="18.75">
      <c r="A268" s="101">
        <f t="shared" si="17"/>
        <v>3</v>
      </c>
      <c r="B268" s="4"/>
      <c r="C268" s="132" t="s">
        <v>304</v>
      </c>
      <c r="D268" s="4"/>
      <c r="E268" s="4"/>
      <c r="F268" s="4"/>
      <c r="G268" s="370">
        <f>G42</f>
        <v>664695.23051590007</v>
      </c>
      <c r="H268" s="995"/>
      <c r="I268" s="10" t="s">
        <v>352</v>
      </c>
      <c r="J268" s="101">
        <f t="shared" si="18"/>
        <v>3</v>
      </c>
      <c r="K268" s="253"/>
    </row>
    <row r="269" spans="1:11" ht="15.75">
      <c r="A269" s="101">
        <f t="shared" si="17"/>
        <v>4</v>
      </c>
      <c r="B269" s="4"/>
      <c r="C269" s="4"/>
      <c r="D269" s="4"/>
      <c r="E269" s="4"/>
      <c r="F269" s="4"/>
      <c r="G269" s="410"/>
      <c r="H269" s="4"/>
      <c r="I269" s="10"/>
      <c r="J269" s="101">
        <f t="shared" si="18"/>
        <v>4</v>
      </c>
    </row>
    <row r="270" spans="1:11" ht="18.75">
      <c r="A270" s="101">
        <f t="shared" si="17"/>
        <v>5</v>
      </c>
      <c r="B270" s="4"/>
      <c r="C270" s="132" t="s">
        <v>188</v>
      </c>
      <c r="D270" s="4"/>
      <c r="E270" s="4"/>
      <c r="F270" s="4"/>
      <c r="G270" s="373">
        <f>G67</f>
        <v>0</v>
      </c>
      <c r="H270" s="4"/>
      <c r="I270" s="10" t="s">
        <v>570</v>
      </c>
      <c r="J270" s="101">
        <f t="shared" si="18"/>
        <v>5</v>
      </c>
    </row>
    <row r="271" spans="1:11" ht="15.75">
      <c r="A271" s="101">
        <f t="shared" si="17"/>
        <v>6</v>
      </c>
      <c r="B271" s="4"/>
      <c r="C271" s="132"/>
      <c r="D271" s="4"/>
      <c r="E271" s="4"/>
      <c r="F271" s="4"/>
      <c r="G271" s="113"/>
      <c r="H271" s="4"/>
      <c r="I271" s="10"/>
      <c r="J271" s="101">
        <f t="shared" si="18"/>
        <v>6</v>
      </c>
    </row>
    <row r="272" spans="1:11" ht="15.75">
      <c r="A272" s="101">
        <f t="shared" si="17"/>
        <v>7</v>
      </c>
      <c r="B272" s="4"/>
      <c r="C272" s="132" t="s">
        <v>127</v>
      </c>
      <c r="D272" s="4"/>
      <c r="E272" s="4"/>
      <c r="F272" s="4"/>
      <c r="G272" s="1019">
        <f>G268+G270</f>
        <v>664695.23051590007</v>
      </c>
      <c r="H272" s="995"/>
      <c r="I272" s="10" t="s">
        <v>329</v>
      </c>
      <c r="J272" s="101">
        <f t="shared" si="18"/>
        <v>7</v>
      </c>
    </row>
    <row r="273" spans="1:10" ht="15.75">
      <c r="A273" s="101">
        <f t="shared" si="17"/>
        <v>8</v>
      </c>
      <c r="B273" s="4"/>
      <c r="C273" s="4"/>
      <c r="D273" s="4"/>
      <c r="E273" s="4"/>
      <c r="F273" s="4"/>
      <c r="G273" s="102"/>
      <c r="H273" s="4"/>
      <c r="I273" s="10"/>
      <c r="J273" s="101">
        <f t="shared" si="18"/>
        <v>8</v>
      </c>
    </row>
    <row r="274" spans="1:10" ht="15.75">
      <c r="A274" s="101">
        <f t="shared" si="17"/>
        <v>9</v>
      </c>
      <c r="B274" s="133"/>
      <c r="C274" s="133" t="s">
        <v>448</v>
      </c>
      <c r="D274" s="133"/>
      <c r="E274" s="133"/>
      <c r="F274" s="133"/>
      <c r="G274" s="1020">
        <f>('Retail TU Adj'!O34)/1000</f>
        <v>37049.00928068025</v>
      </c>
      <c r="H274" s="995"/>
      <c r="I274" s="48" t="s">
        <v>791</v>
      </c>
      <c r="J274" s="101">
        <f t="shared" si="18"/>
        <v>9</v>
      </c>
    </row>
    <row r="275" spans="1:10" ht="15.75">
      <c r="A275" s="101">
        <f t="shared" si="17"/>
        <v>10</v>
      </c>
      <c r="B275" s="133"/>
      <c r="C275" s="133"/>
      <c r="D275" s="133"/>
      <c r="E275" s="133"/>
      <c r="F275" s="133"/>
      <c r="G275" s="123"/>
      <c r="H275" s="133"/>
      <c r="I275" s="48"/>
      <c r="J275" s="101">
        <f t="shared" si="18"/>
        <v>10</v>
      </c>
    </row>
    <row r="276" spans="1:10" ht="31.5">
      <c r="A276" s="1059">
        <f t="shared" si="17"/>
        <v>11</v>
      </c>
      <c r="B276" s="1066"/>
      <c r="C276" s="1066" t="s">
        <v>1342</v>
      </c>
      <c r="D276" s="1066"/>
      <c r="E276" s="1066"/>
      <c r="F276" s="1066"/>
      <c r="G276" s="1067">
        <f>('Retail Int TU-1'!O25+'Retail Int TU-2'!O25)/1000</f>
        <v>1421.951</v>
      </c>
      <c r="H276" s="133"/>
      <c r="I276" s="1058" t="s">
        <v>1343</v>
      </c>
      <c r="J276" s="1059">
        <f t="shared" si="18"/>
        <v>11</v>
      </c>
    </row>
    <row r="277" spans="1:10" ht="15.75">
      <c r="A277" s="101">
        <f t="shared" si="17"/>
        <v>12</v>
      </c>
      <c r="B277" s="133"/>
      <c r="C277" s="133"/>
      <c r="D277" s="133"/>
      <c r="E277" s="133"/>
      <c r="F277" s="133"/>
      <c r="G277" s="123"/>
      <c r="H277" s="133"/>
      <c r="I277" s="48"/>
      <c r="J277" s="101">
        <f t="shared" si="18"/>
        <v>12</v>
      </c>
    </row>
    <row r="278" spans="1:10" ht="15.75">
      <c r="A278" s="101">
        <f t="shared" si="17"/>
        <v>13</v>
      </c>
      <c r="B278" s="133"/>
      <c r="C278" s="132" t="s">
        <v>340</v>
      </c>
      <c r="D278" s="133"/>
      <c r="E278" s="133"/>
      <c r="F278" s="133"/>
      <c r="G278" s="691">
        <f>SUM(G274:G276)</f>
        <v>38470.96028068025</v>
      </c>
      <c r="H278" s="995"/>
      <c r="I278" s="10" t="s">
        <v>341</v>
      </c>
      <c r="J278" s="101">
        <f t="shared" si="18"/>
        <v>13</v>
      </c>
    </row>
    <row r="279" spans="1:10" ht="15.75">
      <c r="A279" s="101">
        <f t="shared" si="17"/>
        <v>14</v>
      </c>
      <c r="B279" s="4"/>
      <c r="C279" s="4"/>
      <c r="D279" s="4"/>
      <c r="E279" s="4"/>
      <c r="F279" s="4"/>
      <c r="G279" s="115"/>
      <c r="H279" s="995"/>
      <c r="I279" s="10"/>
      <c r="J279" s="101">
        <f t="shared" si="18"/>
        <v>14</v>
      </c>
    </row>
    <row r="280" spans="1:10" ht="15.75">
      <c r="A280" s="101">
        <f t="shared" si="17"/>
        <v>15</v>
      </c>
      <c r="B280" s="4"/>
      <c r="C280" s="76" t="s">
        <v>312</v>
      </c>
      <c r="D280" s="4"/>
      <c r="E280" s="4"/>
      <c r="F280" s="4"/>
      <c r="G280" s="115"/>
      <c r="H280" s="4"/>
      <c r="I280" s="10"/>
      <c r="J280" s="101">
        <f t="shared" si="18"/>
        <v>15</v>
      </c>
    </row>
    <row r="281" spans="1:10" ht="15.75">
      <c r="A281" s="101">
        <f t="shared" si="17"/>
        <v>16</v>
      </c>
      <c r="B281" s="4"/>
      <c r="C281" s="4"/>
      <c r="D281" s="4"/>
      <c r="E281" s="4"/>
      <c r="F281" s="4"/>
      <c r="G281" s="115"/>
      <c r="H281" s="4"/>
      <c r="I281" s="10"/>
      <c r="J281" s="101">
        <f t="shared" si="18"/>
        <v>16</v>
      </c>
    </row>
    <row r="282" spans="1:10" ht="15.75">
      <c r="A282" s="101">
        <f t="shared" si="17"/>
        <v>17</v>
      </c>
      <c r="B282" s="4"/>
      <c r="C282" s="4" t="s">
        <v>311</v>
      </c>
      <c r="D282" s="4"/>
      <c r="E282" s="4"/>
      <c r="F282" s="4"/>
      <c r="G282" s="770">
        <f>G202</f>
        <v>73185</v>
      </c>
      <c r="H282" s="995"/>
      <c r="I282" s="10" t="s">
        <v>446</v>
      </c>
      <c r="J282" s="101">
        <f t="shared" si="18"/>
        <v>17</v>
      </c>
    </row>
    <row r="283" spans="1:10" ht="15.75">
      <c r="A283" s="101">
        <f t="shared" si="17"/>
        <v>18</v>
      </c>
      <c r="B283" s="4"/>
      <c r="C283" s="4"/>
      <c r="D283" s="4"/>
      <c r="E283" s="4"/>
      <c r="F283" s="4"/>
      <c r="G283" s="73"/>
      <c r="H283" s="4"/>
      <c r="I283" s="10"/>
      <c r="J283" s="101">
        <f t="shared" si="18"/>
        <v>18</v>
      </c>
    </row>
    <row r="284" spans="1:10" ht="15.75">
      <c r="A284" s="101">
        <f t="shared" si="17"/>
        <v>19</v>
      </c>
      <c r="B284" s="4"/>
      <c r="C284" s="76" t="s">
        <v>466</v>
      </c>
      <c r="D284" s="4"/>
      <c r="E284" s="4"/>
      <c r="F284" s="4"/>
      <c r="G284" s="73"/>
      <c r="H284" s="4"/>
      <c r="I284" s="10"/>
      <c r="J284" s="101">
        <f t="shared" si="18"/>
        <v>19</v>
      </c>
    </row>
    <row r="285" spans="1:10" ht="15.75">
      <c r="A285" s="101">
        <f t="shared" si="17"/>
        <v>20</v>
      </c>
      <c r="B285" s="4"/>
      <c r="C285" s="4"/>
      <c r="D285" s="4"/>
      <c r="E285" s="4"/>
      <c r="F285" s="4"/>
      <c r="G285" s="73"/>
      <c r="H285" s="4"/>
      <c r="I285" s="10"/>
      <c r="J285" s="101">
        <f t="shared" si="18"/>
        <v>20</v>
      </c>
    </row>
    <row r="286" spans="1:10" ht="18.75">
      <c r="A286" s="101">
        <f t="shared" si="17"/>
        <v>21</v>
      </c>
      <c r="B286" s="4"/>
      <c r="C286" s="4" t="s">
        <v>517</v>
      </c>
      <c r="D286" s="4"/>
      <c r="E286" s="4"/>
      <c r="F286" s="4"/>
      <c r="G286" s="770">
        <f>G234</f>
        <v>0</v>
      </c>
      <c r="H286" s="4"/>
      <c r="I286" s="10" t="s">
        <v>494</v>
      </c>
      <c r="J286" s="101">
        <f t="shared" si="18"/>
        <v>21</v>
      </c>
    </row>
    <row r="287" spans="1:10" ht="15.75">
      <c r="A287" s="101">
        <f t="shared" si="17"/>
        <v>22</v>
      </c>
      <c r="B287" s="4"/>
      <c r="C287" s="4"/>
      <c r="D287" s="4"/>
      <c r="E287" s="4"/>
      <c r="F287" s="4"/>
      <c r="G287" s="73"/>
      <c r="H287" s="4"/>
      <c r="I287" s="10"/>
      <c r="J287" s="101">
        <f t="shared" si="18"/>
        <v>22</v>
      </c>
    </row>
    <row r="288" spans="1:10" ht="15.75">
      <c r="A288" s="101">
        <f t="shared" si="17"/>
        <v>23</v>
      </c>
      <c r="B288" s="4"/>
      <c r="C288" s="76" t="s">
        <v>784</v>
      </c>
      <c r="D288" s="4"/>
      <c r="E288" s="4"/>
      <c r="F288" s="4"/>
      <c r="J288" s="101">
        <f t="shared" si="18"/>
        <v>23</v>
      </c>
    </row>
    <row r="289" spans="1:12" ht="15.75">
      <c r="A289" s="101">
        <f t="shared" si="17"/>
        <v>24</v>
      </c>
      <c r="B289" s="4"/>
      <c r="C289" s="76"/>
      <c r="D289" s="4"/>
      <c r="E289" s="4"/>
      <c r="F289" s="4"/>
      <c r="J289" s="101">
        <f t="shared" si="18"/>
        <v>24</v>
      </c>
    </row>
    <row r="290" spans="1:12" ht="15.75">
      <c r="A290" s="101">
        <f t="shared" si="17"/>
        <v>25</v>
      </c>
      <c r="B290" s="4"/>
      <c r="C290" s="4" t="s">
        <v>500</v>
      </c>
      <c r="D290" s="4"/>
      <c r="E290" s="4"/>
      <c r="F290" s="4"/>
      <c r="G290" s="770">
        <f>G251</f>
        <v>0</v>
      </c>
      <c r="H290" s="4"/>
      <c r="I290" s="10" t="s">
        <v>495</v>
      </c>
      <c r="J290" s="101">
        <f t="shared" si="18"/>
        <v>25</v>
      </c>
    </row>
    <row r="291" spans="1:12" ht="15.75">
      <c r="A291" s="101">
        <f t="shared" si="17"/>
        <v>26</v>
      </c>
      <c r="B291" s="4"/>
      <c r="C291" s="4"/>
      <c r="D291" s="4"/>
      <c r="E291" s="4"/>
      <c r="F291" s="4"/>
      <c r="G291" s="123"/>
      <c r="H291" s="4"/>
      <c r="I291" s="10"/>
      <c r="J291" s="101">
        <f t="shared" si="18"/>
        <v>26</v>
      </c>
    </row>
    <row r="292" spans="1:12" ht="17.25">
      <c r="A292" s="101">
        <f t="shared" si="17"/>
        <v>27</v>
      </c>
      <c r="B292" s="4"/>
      <c r="C292" s="76" t="s">
        <v>368</v>
      </c>
      <c r="D292" s="4"/>
      <c r="E292" s="4"/>
      <c r="F292" s="4"/>
      <c r="G292" s="1021">
        <f>G272+G278+G282+G286+G290</f>
        <v>776351.19079658028</v>
      </c>
      <c r="H292" s="995"/>
      <c r="I292" s="10" t="s">
        <v>496</v>
      </c>
      <c r="J292" s="101">
        <f t="shared" si="18"/>
        <v>27</v>
      </c>
    </row>
    <row r="293" spans="1:12" ht="15.75">
      <c r="A293" s="101">
        <f t="shared" si="17"/>
        <v>28</v>
      </c>
      <c r="B293" s="4"/>
      <c r="C293" s="4"/>
      <c r="D293" s="4"/>
      <c r="E293" s="4"/>
      <c r="F293" s="4"/>
      <c r="G293" s="115"/>
      <c r="H293" s="4"/>
      <c r="I293" s="10"/>
      <c r="J293" s="101">
        <f t="shared" si="18"/>
        <v>28</v>
      </c>
    </row>
    <row r="294" spans="1:12" ht="15.75">
      <c r="A294" s="101">
        <f t="shared" si="17"/>
        <v>29</v>
      </c>
      <c r="B294" s="4"/>
      <c r="C294" s="117" t="s">
        <v>342</v>
      </c>
      <c r="D294" s="102"/>
      <c r="E294" s="102"/>
      <c r="F294" s="102"/>
      <c r="G294" s="1022">
        <f>ROUND(G292* 0.010277,0)</f>
        <v>7979</v>
      </c>
      <c r="H294" s="995"/>
      <c r="I294" s="101" t="s">
        <v>1359</v>
      </c>
      <c r="J294" s="101">
        <f t="shared" si="18"/>
        <v>29</v>
      </c>
      <c r="L294" s="99"/>
    </row>
    <row r="295" spans="1:12" ht="15.75">
      <c r="A295" s="101">
        <f t="shared" si="17"/>
        <v>30</v>
      </c>
      <c r="B295" s="4"/>
      <c r="C295" s="117" t="s">
        <v>96</v>
      </c>
      <c r="D295" s="102"/>
      <c r="E295" s="102"/>
      <c r="F295" s="102"/>
      <c r="G295" s="1023">
        <f>ROUND(G292* 0.00174,0)</f>
        <v>1351</v>
      </c>
      <c r="H295" s="995"/>
      <c r="I295" s="101" t="s">
        <v>876</v>
      </c>
      <c r="J295" s="101">
        <f t="shared" si="18"/>
        <v>30</v>
      </c>
      <c r="L295" s="99"/>
    </row>
    <row r="296" spans="1:12" ht="15.75">
      <c r="A296" s="101">
        <f t="shared" si="17"/>
        <v>31</v>
      </c>
      <c r="B296" s="4"/>
      <c r="C296" s="102"/>
      <c r="D296" s="102"/>
      <c r="E296" s="102"/>
      <c r="F296" s="102"/>
      <c r="G296" s="118"/>
      <c r="H296" s="4"/>
      <c r="I296" s="10"/>
      <c r="J296" s="101">
        <f t="shared" si="18"/>
        <v>31</v>
      </c>
    </row>
    <row r="297" spans="1:12" ht="18" thickBot="1">
      <c r="A297" s="101">
        <f t="shared" si="17"/>
        <v>32</v>
      </c>
      <c r="B297" s="4"/>
      <c r="C297" s="254" t="s">
        <v>785</v>
      </c>
      <c r="D297" s="102"/>
      <c r="E297" s="102"/>
      <c r="F297" s="102"/>
      <c r="G297" s="768">
        <f>SUM(G292:G295)</f>
        <v>785681.19079658028</v>
      </c>
      <c r="H297" s="995"/>
      <c r="I297" s="10" t="s">
        <v>497</v>
      </c>
      <c r="J297" s="101">
        <f t="shared" si="18"/>
        <v>32</v>
      </c>
    </row>
    <row r="298" spans="1:12" ht="16.5" thickTop="1">
      <c r="A298" s="101"/>
      <c r="B298" s="995"/>
      <c r="C298" s="50"/>
      <c r="D298" s="4"/>
      <c r="E298" s="4"/>
      <c r="F298" s="4"/>
      <c r="G298" s="135"/>
      <c r="H298" s="4"/>
      <c r="I298" s="10"/>
      <c r="J298" s="101"/>
    </row>
    <row r="299" spans="1:12" ht="18.75">
      <c r="A299" s="4"/>
      <c r="B299" s="268">
        <v>1</v>
      </c>
      <c r="C299" s="4" t="s">
        <v>1306</v>
      </c>
      <c r="D299" s="4"/>
      <c r="E299" s="4"/>
      <c r="F299" s="4"/>
      <c r="G299" s="4"/>
      <c r="H299" s="4"/>
      <c r="I299" s="4"/>
      <c r="J299" s="10"/>
    </row>
    <row r="300" spans="1:12" ht="15.75">
      <c r="A300" s="4"/>
      <c r="B300" s="4"/>
      <c r="C300" s="102" t="s">
        <v>39</v>
      </c>
      <c r="D300" s="4"/>
      <c r="E300" s="4"/>
      <c r="F300" s="4"/>
      <c r="G300" s="4"/>
      <c r="H300" s="4"/>
      <c r="I300" s="4"/>
      <c r="J300" s="10"/>
    </row>
    <row r="301" spans="1:12" ht="15.75">
      <c r="A301" s="4"/>
      <c r="B301" s="4"/>
      <c r="C301" s="4"/>
      <c r="D301" s="4"/>
      <c r="E301" s="4"/>
      <c r="F301" s="4"/>
      <c r="G301" s="4"/>
      <c r="H301" s="4"/>
      <c r="I301" s="4"/>
      <c r="J301" s="10"/>
    </row>
    <row r="302" spans="1:12" ht="15.75">
      <c r="A302" s="4"/>
      <c r="B302" s="4"/>
      <c r="C302" s="4"/>
      <c r="D302" s="4"/>
      <c r="E302" s="4"/>
      <c r="F302" s="4"/>
      <c r="G302" s="4"/>
      <c r="H302" s="4"/>
      <c r="I302" s="4"/>
      <c r="J302" s="10"/>
    </row>
    <row r="303" spans="1:12" ht="15.75">
      <c r="A303" s="4"/>
      <c r="B303" s="4"/>
      <c r="C303" s="4"/>
      <c r="D303" s="4"/>
      <c r="E303" s="4"/>
      <c r="F303" s="4"/>
      <c r="G303" s="4"/>
      <c r="H303" s="4"/>
      <c r="I303" s="4"/>
      <c r="J303" s="10"/>
    </row>
    <row r="304" spans="1:12" ht="15.75">
      <c r="A304" s="4"/>
      <c r="B304" s="4"/>
      <c r="C304" s="4"/>
      <c r="D304" s="4"/>
      <c r="E304" s="4"/>
      <c r="F304" s="4"/>
      <c r="G304" s="4"/>
      <c r="H304" s="4"/>
      <c r="I304" s="4"/>
      <c r="J304" s="10"/>
    </row>
    <row r="305" spans="1:10" ht="15.75">
      <c r="A305" s="4"/>
      <c r="B305" s="4"/>
      <c r="C305" s="4"/>
      <c r="D305" s="4"/>
      <c r="E305" s="4"/>
      <c r="F305" s="4"/>
      <c r="G305" s="4"/>
      <c r="H305" s="4"/>
      <c r="I305" s="4"/>
      <c r="J305" s="10"/>
    </row>
    <row r="306" spans="1:10" ht="15.75">
      <c r="A306" s="4"/>
      <c r="B306" s="4"/>
      <c r="C306" s="4"/>
      <c r="D306" s="4"/>
      <c r="E306" s="4"/>
      <c r="F306" s="4"/>
      <c r="G306" s="4"/>
      <c r="H306" s="4"/>
      <c r="I306" s="4"/>
      <c r="J306" s="10"/>
    </row>
    <row r="307" spans="1:10" ht="15.75">
      <c r="A307" s="4"/>
      <c r="B307" s="4"/>
      <c r="C307" s="4"/>
      <c r="D307" s="4"/>
      <c r="E307" s="4"/>
      <c r="F307" s="4"/>
      <c r="G307" s="4"/>
      <c r="H307" s="4"/>
      <c r="I307" s="4"/>
      <c r="J307" s="10"/>
    </row>
    <row r="308" spans="1:10" ht="15.75">
      <c r="A308" s="4"/>
      <c r="B308" s="4"/>
      <c r="C308" s="4"/>
      <c r="D308" s="4"/>
      <c r="E308" s="4"/>
      <c r="F308" s="4"/>
      <c r="G308" s="4"/>
      <c r="H308" s="4"/>
      <c r="I308" s="4"/>
      <c r="J308" s="10"/>
    </row>
    <row r="309" spans="1:10" ht="15.75">
      <c r="A309" s="4"/>
      <c r="B309" s="4"/>
      <c r="C309" s="4"/>
      <c r="D309" s="4"/>
      <c r="E309" s="4"/>
      <c r="F309" s="4"/>
      <c r="G309" s="4"/>
      <c r="H309" s="4"/>
      <c r="I309" s="4"/>
      <c r="J309" s="10"/>
    </row>
    <row r="310" spans="1:10" ht="15.75">
      <c r="A310" s="4"/>
      <c r="B310" s="4"/>
      <c r="C310" s="4"/>
      <c r="D310" s="4"/>
      <c r="E310" s="4"/>
      <c r="F310" s="4"/>
      <c r="G310" s="4"/>
      <c r="H310" s="4"/>
      <c r="I310" s="4"/>
      <c r="J310" s="10"/>
    </row>
    <row r="311" spans="1:10" ht="15.75">
      <c r="A311" s="4"/>
      <c r="B311" s="4"/>
      <c r="C311" s="4"/>
      <c r="D311" s="4"/>
      <c r="E311" s="4"/>
      <c r="F311" s="4"/>
      <c r="G311" s="4"/>
      <c r="H311" s="4"/>
      <c r="I311" s="4"/>
      <c r="J311" s="10"/>
    </row>
    <row r="312" spans="1:10" ht="15.75">
      <c r="A312" s="4"/>
      <c r="B312" s="4"/>
      <c r="C312" s="4"/>
      <c r="D312" s="4"/>
      <c r="E312" s="4"/>
      <c r="F312" s="4"/>
      <c r="G312" s="4"/>
      <c r="H312" s="4"/>
      <c r="I312" s="4"/>
      <c r="J312" s="10"/>
    </row>
    <row r="313" spans="1:10" ht="15.75">
      <c r="A313" s="4"/>
      <c r="B313" s="4"/>
      <c r="C313" s="4"/>
      <c r="D313" s="4"/>
      <c r="E313" s="4"/>
      <c r="F313" s="4"/>
      <c r="G313" s="4"/>
      <c r="H313" s="4"/>
      <c r="I313" s="4"/>
      <c r="J313" s="10"/>
    </row>
    <row r="314" spans="1:10" ht="15.75">
      <c r="A314" s="4"/>
      <c r="B314" s="4"/>
      <c r="C314" s="4"/>
      <c r="D314" s="4"/>
      <c r="E314" s="4"/>
      <c r="F314" s="4"/>
      <c r="G314" s="4"/>
      <c r="H314" s="4"/>
      <c r="I314" s="4"/>
      <c r="J314" s="10"/>
    </row>
    <row r="315" spans="1:10" ht="15.75">
      <c r="A315" s="4"/>
      <c r="B315" s="4"/>
      <c r="C315" s="4"/>
      <c r="D315" s="4"/>
      <c r="E315" s="4"/>
      <c r="F315" s="4"/>
      <c r="G315" s="4"/>
      <c r="H315" s="4"/>
      <c r="I315" s="4"/>
      <c r="J315" s="10"/>
    </row>
    <row r="316" spans="1:10" ht="15.75">
      <c r="A316" s="4"/>
      <c r="B316" s="4"/>
      <c r="C316" s="4"/>
      <c r="D316" s="4"/>
      <c r="E316" s="4"/>
      <c r="F316" s="4"/>
      <c r="G316" s="4"/>
      <c r="H316" s="4"/>
      <c r="I316" s="4"/>
      <c r="J316" s="10"/>
    </row>
    <row r="317" spans="1:10" ht="15.75">
      <c r="A317" s="4"/>
      <c r="B317" s="4"/>
      <c r="C317" s="4"/>
      <c r="D317" s="4"/>
      <c r="E317" s="4"/>
      <c r="F317" s="4"/>
      <c r="G317" s="4"/>
      <c r="H317" s="4"/>
      <c r="I317" s="4"/>
      <c r="J317" s="10"/>
    </row>
    <row r="318" spans="1:10" ht="15.75">
      <c r="A318" s="4"/>
      <c r="B318" s="4"/>
      <c r="C318" s="4"/>
      <c r="D318" s="4"/>
      <c r="E318" s="4"/>
      <c r="F318" s="4"/>
      <c r="G318" s="4"/>
      <c r="H318" s="4"/>
      <c r="I318" s="4"/>
      <c r="J318" s="10"/>
    </row>
    <row r="319" spans="1:10" ht="15.75">
      <c r="A319" s="4"/>
      <c r="B319" s="4"/>
      <c r="C319" s="4"/>
      <c r="D319" s="4"/>
      <c r="E319" s="4"/>
      <c r="F319" s="4"/>
      <c r="G319" s="4"/>
      <c r="H319" s="4"/>
      <c r="I319" s="4"/>
      <c r="J319" s="10"/>
    </row>
    <row r="320" spans="1:10" ht="15.75">
      <c r="A320" s="4"/>
      <c r="B320" s="4"/>
      <c r="C320" s="4"/>
      <c r="D320" s="4"/>
      <c r="E320" s="4"/>
      <c r="F320" s="4"/>
      <c r="G320" s="4"/>
      <c r="H320" s="4"/>
      <c r="I320" s="4"/>
      <c r="J320" s="10"/>
    </row>
    <row r="321" spans="1:10" ht="15.75">
      <c r="A321" s="4"/>
      <c r="B321" s="4"/>
      <c r="C321" s="4"/>
      <c r="D321" s="4"/>
      <c r="E321" s="4"/>
      <c r="F321" s="4"/>
      <c r="G321" s="4"/>
      <c r="H321" s="4"/>
      <c r="I321" s="4"/>
      <c r="J321" s="10"/>
    </row>
    <row r="322" spans="1:10" ht="15.75">
      <c r="A322" s="4"/>
      <c r="B322" s="4"/>
      <c r="C322" s="4"/>
      <c r="D322" s="4"/>
      <c r="E322" s="4"/>
      <c r="F322" s="4"/>
      <c r="G322" s="4"/>
      <c r="H322" s="4"/>
      <c r="I322" s="4"/>
      <c r="J322" s="10"/>
    </row>
    <row r="323" spans="1:10" ht="15.75">
      <c r="A323" s="4"/>
      <c r="B323" s="4"/>
      <c r="C323" s="4"/>
      <c r="D323" s="4"/>
      <c r="E323" s="4"/>
      <c r="F323" s="4"/>
      <c r="G323" s="4"/>
      <c r="H323" s="4"/>
      <c r="I323" s="4"/>
      <c r="J323" s="10"/>
    </row>
    <row r="324" spans="1:10" ht="15.75">
      <c r="A324" s="4"/>
      <c r="B324" s="4"/>
      <c r="C324" s="4"/>
      <c r="D324" s="4"/>
      <c r="E324" s="4"/>
      <c r="F324" s="4"/>
      <c r="G324" s="4"/>
      <c r="H324" s="4"/>
      <c r="I324" s="4"/>
      <c r="J324" s="10"/>
    </row>
    <row r="325" spans="1:10" ht="15.75">
      <c r="A325" s="4"/>
      <c r="B325" s="4"/>
      <c r="C325" s="4"/>
      <c r="D325" s="4"/>
      <c r="E325" s="4"/>
      <c r="F325" s="4"/>
      <c r="G325" s="4"/>
      <c r="H325" s="4"/>
      <c r="I325" s="4"/>
      <c r="J325" s="10"/>
    </row>
    <row r="326" spans="1:10" ht="15.75">
      <c r="A326" s="4"/>
      <c r="B326" s="4"/>
      <c r="C326" s="4"/>
      <c r="D326" s="4"/>
      <c r="E326" s="4"/>
      <c r="F326" s="4"/>
      <c r="G326" s="4"/>
      <c r="H326" s="4"/>
      <c r="I326" s="4"/>
      <c r="J326" s="10"/>
    </row>
    <row r="327" spans="1:10" ht="15.75">
      <c r="A327" s="4"/>
      <c r="B327" s="4"/>
      <c r="C327" s="4"/>
      <c r="D327" s="4"/>
      <c r="E327" s="4"/>
      <c r="F327" s="4"/>
      <c r="G327" s="4"/>
      <c r="H327" s="4"/>
      <c r="I327" s="4"/>
      <c r="J327" s="10"/>
    </row>
    <row r="328" spans="1:10" ht="15.75">
      <c r="A328" s="4"/>
      <c r="B328" s="4"/>
      <c r="C328" s="4"/>
      <c r="D328" s="4"/>
      <c r="E328" s="4"/>
      <c r="F328" s="4"/>
      <c r="G328" s="4"/>
      <c r="H328" s="4"/>
      <c r="I328" s="4"/>
      <c r="J328" s="10"/>
    </row>
    <row r="329" spans="1:10" ht="15.75">
      <c r="A329" s="4"/>
      <c r="B329" s="4"/>
      <c r="C329" s="4"/>
      <c r="D329" s="4"/>
      <c r="E329" s="4"/>
      <c r="F329" s="4"/>
      <c r="G329" s="4"/>
      <c r="H329" s="4"/>
      <c r="I329" s="4"/>
      <c r="J329" s="10"/>
    </row>
    <row r="330" spans="1:10" ht="15.75">
      <c r="A330" s="4"/>
      <c r="B330" s="4"/>
      <c r="C330" s="4"/>
      <c r="D330" s="4"/>
      <c r="E330" s="4"/>
      <c r="F330" s="4"/>
      <c r="G330" s="4"/>
      <c r="H330" s="4"/>
      <c r="I330" s="4"/>
      <c r="J330" s="10"/>
    </row>
    <row r="331" spans="1:10" ht="15.75">
      <c r="A331" s="4"/>
      <c r="B331" s="4"/>
      <c r="C331" s="4"/>
      <c r="D331" s="4"/>
      <c r="E331" s="4"/>
      <c r="F331" s="4"/>
      <c r="G331" s="4"/>
      <c r="H331" s="4"/>
      <c r="I331" s="4"/>
      <c r="J331" s="10"/>
    </row>
    <row r="332" spans="1:10" ht="15.75">
      <c r="A332" s="4"/>
      <c r="B332" s="4"/>
      <c r="C332" s="4"/>
      <c r="D332" s="4"/>
      <c r="E332" s="4"/>
      <c r="F332" s="4"/>
      <c r="G332" s="4"/>
      <c r="H332" s="4"/>
      <c r="I332" s="4"/>
      <c r="J332" s="10"/>
    </row>
    <row r="333" spans="1:10" ht="15.75">
      <c r="A333" s="4"/>
      <c r="B333" s="4"/>
      <c r="C333" s="4"/>
      <c r="D333" s="4"/>
      <c r="E333" s="4"/>
      <c r="F333" s="4"/>
      <c r="G333" s="4"/>
      <c r="H333" s="4"/>
      <c r="I333" s="4"/>
      <c r="J333" s="10"/>
    </row>
    <row r="334" spans="1:10" ht="15.75">
      <c r="A334" s="4"/>
      <c r="B334" s="4"/>
      <c r="C334" s="4"/>
      <c r="D334" s="4"/>
      <c r="E334" s="4"/>
      <c r="F334" s="4"/>
      <c r="G334" s="4"/>
      <c r="H334" s="4"/>
      <c r="I334" s="4"/>
      <c r="J334" s="10"/>
    </row>
    <row r="335" spans="1:10" ht="15.75">
      <c r="A335" s="4"/>
      <c r="B335" s="4"/>
      <c r="C335" s="4"/>
      <c r="D335" s="4"/>
      <c r="E335" s="4"/>
      <c r="F335" s="4"/>
      <c r="G335" s="4"/>
      <c r="H335" s="4"/>
      <c r="I335" s="4"/>
      <c r="J335" s="10"/>
    </row>
    <row r="336" spans="1:10" ht="15.75">
      <c r="A336" s="4"/>
      <c r="B336" s="4"/>
      <c r="C336" s="4"/>
      <c r="D336" s="4"/>
      <c r="E336" s="4"/>
      <c r="F336" s="4"/>
      <c r="G336" s="4"/>
      <c r="H336" s="4"/>
      <c r="I336" s="4"/>
      <c r="J336" s="10"/>
    </row>
    <row r="337" spans="1:10" ht="15.75">
      <c r="A337" s="4"/>
      <c r="B337" s="4"/>
      <c r="C337" s="4"/>
      <c r="D337" s="4"/>
      <c r="E337" s="4"/>
      <c r="F337" s="4"/>
      <c r="G337" s="4"/>
      <c r="H337" s="4"/>
      <c r="I337" s="4"/>
      <c r="J337" s="10"/>
    </row>
    <row r="338" spans="1:10" ht="15.75">
      <c r="A338" s="4"/>
      <c r="B338" s="4"/>
      <c r="C338" s="4"/>
      <c r="D338" s="4"/>
      <c r="E338" s="4"/>
      <c r="F338" s="4"/>
      <c r="G338" s="4"/>
      <c r="H338" s="4"/>
      <c r="I338" s="4"/>
      <c r="J338" s="10"/>
    </row>
    <row r="339" spans="1:10" ht="15.75">
      <c r="A339" s="4"/>
      <c r="B339" s="4"/>
      <c r="C339" s="4"/>
      <c r="D339" s="4"/>
      <c r="E339" s="4"/>
      <c r="F339" s="4"/>
      <c r="G339" s="4"/>
      <c r="H339" s="4"/>
      <c r="I339" s="4"/>
      <c r="J339" s="10"/>
    </row>
  </sheetData>
  <mergeCells count="30">
    <mergeCell ref="C81:I81"/>
    <mergeCell ref="C1:I1"/>
    <mergeCell ref="C2:I2"/>
    <mergeCell ref="C3:I3"/>
    <mergeCell ref="C4:I4"/>
    <mergeCell ref="C5:I5"/>
    <mergeCell ref="C176:I176"/>
    <mergeCell ref="C82:I82"/>
    <mergeCell ref="C83:I83"/>
    <mergeCell ref="C84:I84"/>
    <mergeCell ref="C85:I85"/>
    <mergeCell ref="C134:I134"/>
    <mergeCell ref="C135:I135"/>
    <mergeCell ref="C136:I136"/>
    <mergeCell ref="C137:I137"/>
    <mergeCell ref="C138:I138"/>
    <mergeCell ref="C174:I174"/>
    <mergeCell ref="C175:I175"/>
    <mergeCell ref="C261:I261"/>
    <mergeCell ref="C177:I177"/>
    <mergeCell ref="C178:I178"/>
    <mergeCell ref="C205:I205"/>
    <mergeCell ref="C206:I206"/>
    <mergeCell ref="C207:I207"/>
    <mergeCell ref="C208:I208"/>
    <mergeCell ref="C209:I209"/>
    <mergeCell ref="C257:I257"/>
    <mergeCell ref="C258:I258"/>
    <mergeCell ref="C259:I259"/>
    <mergeCell ref="C260:I260"/>
  </mergeCells>
  <phoneticPr fontId="0" type="noConversion"/>
  <printOptions horizontalCentered="1"/>
  <pageMargins left="0" right="0" top="0.5" bottom="0.5" header="0.25" footer="0.25"/>
  <pageSetup scale="57" orientation="portrait" r:id="rId1"/>
  <headerFooter alignWithMargins="0">
    <oddFooter>&amp;LTO4 Formula Rate - Cycle 4&amp;CPage &amp;P of &amp;N</oddFooter>
  </headerFooter>
  <rowBreaks count="5" manualBreakCount="5">
    <brk id="79" max="9" man="1"/>
    <brk id="132" max="9" man="1"/>
    <brk id="172" max="9" man="1"/>
    <brk id="203" max="9" man="1"/>
    <brk id="2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36"/>
  <sheetViews>
    <sheetView zoomScale="80" zoomScaleNormal="80" workbookViewId="0"/>
  </sheetViews>
  <sheetFormatPr defaultColWidth="15.42578125" defaultRowHeight="15"/>
  <cols>
    <col min="1" max="1" width="5.28515625" style="281" customWidth="1"/>
    <col min="2" max="2" width="1.7109375" style="281" customWidth="1"/>
    <col min="3" max="3" width="73.7109375" style="281" customWidth="1"/>
    <col min="4" max="4" width="3.28515625" style="281" bestFit="1" customWidth="1"/>
    <col min="5" max="5" width="17.140625" style="281" bestFit="1" customWidth="1"/>
    <col min="6" max="6" width="1.7109375" style="281" customWidth="1"/>
    <col min="7" max="7" width="15.85546875" style="281" customWidth="1"/>
    <col min="8" max="8" width="16" style="281" bestFit="1" customWidth="1"/>
    <col min="9" max="9" width="33.5703125" style="281" customWidth="1"/>
    <col min="10" max="10" width="5.28515625" style="281" bestFit="1" customWidth="1"/>
    <col min="11" max="16384" width="15.42578125" style="281"/>
  </cols>
  <sheetData>
    <row r="1" spans="1:10" ht="15.75">
      <c r="A1" s="282"/>
      <c r="B1" s="282"/>
      <c r="C1" s="1146" t="s">
        <v>61</v>
      </c>
      <c r="D1" s="1147"/>
      <c r="E1" s="1147"/>
      <c r="F1" s="1147"/>
      <c r="G1" s="1147"/>
      <c r="H1" s="1147"/>
      <c r="I1" s="1147"/>
      <c r="J1" s="279"/>
    </row>
    <row r="2" spans="1:10" ht="15.75">
      <c r="A2" s="282" t="s">
        <v>39</v>
      </c>
      <c r="B2" s="282"/>
      <c r="C2" s="1146" t="s">
        <v>74</v>
      </c>
      <c r="D2" s="1147"/>
      <c r="E2" s="1147"/>
      <c r="F2" s="1147"/>
      <c r="G2" s="1147"/>
      <c r="H2" s="1147"/>
      <c r="I2" s="1147"/>
      <c r="J2" s="283"/>
    </row>
    <row r="3" spans="1:10" ht="15.75">
      <c r="A3" s="282"/>
      <c r="B3" s="282"/>
      <c r="C3" s="1146" t="s">
        <v>321</v>
      </c>
      <c r="D3" s="1147"/>
      <c r="E3" s="1147"/>
      <c r="F3" s="1147"/>
      <c r="G3" s="1147"/>
      <c r="H3" s="1147"/>
      <c r="I3" s="1147"/>
      <c r="J3" s="279"/>
    </row>
    <row r="4" spans="1:10" ht="15.75">
      <c r="A4" s="282"/>
      <c r="B4" s="282"/>
      <c r="C4" s="1148" t="str">
        <f>'BK-1-Retail TRR'!C4</f>
        <v>For the Base Period &amp; True-Up Period Ending December 31, 2015</v>
      </c>
      <c r="D4" s="1149"/>
      <c r="E4" s="1149"/>
      <c r="F4" s="1149"/>
      <c r="G4" s="1149"/>
      <c r="H4" s="1149"/>
      <c r="I4" s="1149"/>
      <c r="J4" s="279"/>
    </row>
    <row r="5" spans="1:10" ht="15.75">
      <c r="A5" s="282"/>
      <c r="B5" s="282"/>
      <c r="C5" s="1150" t="s">
        <v>72</v>
      </c>
      <c r="D5" s="1147"/>
      <c r="E5" s="1147"/>
      <c r="F5" s="1147"/>
      <c r="G5" s="1147"/>
      <c r="H5" s="1147"/>
      <c r="I5" s="1147"/>
      <c r="J5" s="279"/>
    </row>
    <row r="6" spans="1:10" ht="15.75">
      <c r="A6" s="282"/>
      <c r="B6" s="282"/>
      <c r="C6" s="284"/>
      <c r="D6" s="285"/>
      <c r="E6" s="285"/>
      <c r="F6" s="285"/>
      <c r="G6" s="285"/>
      <c r="H6" s="285"/>
      <c r="I6" s="285"/>
      <c r="J6" s="279"/>
    </row>
    <row r="7" spans="1:10" ht="15.75">
      <c r="A7" s="286" t="s">
        <v>62</v>
      </c>
      <c r="B7" s="286"/>
      <c r="C7" s="287"/>
      <c r="D7" s="287"/>
      <c r="E7" s="288"/>
      <c r="F7" s="279"/>
      <c r="G7" s="289"/>
      <c r="H7" s="280"/>
      <c r="I7" s="280"/>
      <c r="J7" s="286" t="s">
        <v>62</v>
      </c>
    </row>
    <row r="8" spans="1:10" ht="15.75">
      <c r="A8" s="290" t="s">
        <v>63</v>
      </c>
      <c r="B8" s="286"/>
      <c r="C8" s="291" t="s">
        <v>39</v>
      </c>
      <c r="D8" s="292"/>
      <c r="E8" s="293" t="s">
        <v>69</v>
      </c>
      <c r="F8" s="294"/>
      <c r="G8" s="1153" t="s">
        <v>65</v>
      </c>
      <c r="H8" s="1154"/>
      <c r="I8" s="1154"/>
      <c r="J8" s="290" t="s">
        <v>63</v>
      </c>
    </row>
    <row r="9" spans="1:10" ht="15.75">
      <c r="A9" s="286"/>
      <c r="B9" s="286"/>
      <c r="C9" s="291"/>
      <c r="D9" s="292"/>
      <c r="E9" s="323"/>
      <c r="F9" s="294"/>
      <c r="G9" s="321"/>
      <c r="H9" s="322"/>
      <c r="J9" s="286"/>
    </row>
    <row r="10" spans="1:10" ht="19.5">
      <c r="A10" s="282">
        <v>1</v>
      </c>
      <c r="B10" s="282"/>
      <c r="C10" s="195" t="s">
        <v>1358</v>
      </c>
      <c r="D10" s="296" t="s">
        <v>39</v>
      </c>
      <c r="E10" s="1024">
        <f>'BK-1-Retail TRR'!G69</f>
        <v>664695.23051590007</v>
      </c>
      <c r="F10" s="995"/>
      <c r="G10" s="298" t="s">
        <v>593</v>
      </c>
      <c r="H10" s="280"/>
      <c r="J10" s="282">
        <v>1</v>
      </c>
    </row>
    <row r="11" spans="1:10" ht="15.75">
      <c r="A11" s="282">
        <f>A10+1</f>
        <v>2</v>
      </c>
      <c r="B11" s="282"/>
      <c r="C11" s="295"/>
      <c r="D11" s="296" t="s">
        <v>39</v>
      </c>
      <c r="E11" s="297"/>
      <c r="F11" s="279"/>
      <c r="H11" s="280"/>
      <c r="J11" s="282">
        <f>J10+1</f>
        <v>2</v>
      </c>
    </row>
    <row r="12" spans="1:10" ht="15.75">
      <c r="A12" s="282">
        <f>A11+1</f>
        <v>3</v>
      </c>
      <c r="B12" s="282"/>
      <c r="C12" s="299" t="s">
        <v>322</v>
      </c>
      <c r="D12" s="296"/>
      <c r="E12" s="300" t="s">
        <v>39</v>
      </c>
      <c r="F12" s="279"/>
      <c r="H12" s="280"/>
      <c r="J12" s="282">
        <f>J11+1</f>
        <v>3</v>
      </c>
    </row>
    <row r="13" spans="1:10" ht="15.75">
      <c r="A13" s="282">
        <f t="shared" ref="A13:A37" si="0">A12+1</f>
        <v>4</v>
      </c>
      <c r="B13" s="282"/>
      <c r="C13" s="301" t="s">
        <v>885</v>
      </c>
      <c r="D13" s="296"/>
      <c r="E13" s="991">
        <f>-'BK-1-Retail TRR'!G15</f>
        <v>0</v>
      </c>
      <c r="F13" s="279"/>
      <c r="G13" s="298" t="s">
        <v>287</v>
      </c>
      <c r="H13" s="280"/>
      <c r="J13" s="282">
        <f t="shared" ref="J13:J37" si="1">J12+1</f>
        <v>4</v>
      </c>
    </row>
    <row r="14" spans="1:10" ht="15.75">
      <c r="A14" s="282">
        <f t="shared" si="0"/>
        <v>5</v>
      </c>
      <c r="B14" s="282"/>
      <c r="C14" s="301"/>
      <c r="D14" s="296"/>
      <c r="E14" s="300"/>
      <c r="F14" s="279"/>
      <c r="G14" s="298"/>
      <c r="H14" s="694"/>
      <c r="J14" s="282">
        <f t="shared" si="1"/>
        <v>5</v>
      </c>
    </row>
    <row r="15" spans="1:10" ht="15.75">
      <c r="A15" s="282">
        <f t="shared" si="0"/>
        <v>6</v>
      </c>
      <c r="B15" s="282"/>
      <c r="C15" s="4" t="s">
        <v>850</v>
      </c>
      <c r="D15" s="296"/>
      <c r="E15" s="991">
        <f>-'Cost Statements'!H351</f>
        <v>0</v>
      </c>
      <c r="F15" s="279"/>
      <c r="G15" s="93" t="s">
        <v>860</v>
      </c>
      <c r="H15" s="694"/>
      <c r="J15" s="282">
        <f t="shared" si="1"/>
        <v>6</v>
      </c>
    </row>
    <row r="16" spans="1:10" ht="15.75">
      <c r="A16" s="282">
        <f t="shared" si="0"/>
        <v>7</v>
      </c>
      <c r="B16" s="282"/>
      <c r="C16" s="299"/>
      <c r="D16" s="296"/>
      <c r="E16" s="300"/>
      <c r="F16" s="279"/>
      <c r="H16" s="280"/>
      <c r="J16" s="282">
        <f t="shared" si="1"/>
        <v>7</v>
      </c>
    </row>
    <row r="17" spans="1:10" ht="15.75">
      <c r="A17" s="282">
        <f t="shared" si="0"/>
        <v>8</v>
      </c>
      <c r="B17" s="282"/>
      <c r="C17" s="302" t="s">
        <v>95</v>
      </c>
      <c r="D17" s="296"/>
      <c r="E17" s="991">
        <f>-'BK-1-Retail TRR'!G35</f>
        <v>-2333</v>
      </c>
      <c r="F17" s="279"/>
      <c r="G17" s="298" t="s">
        <v>567</v>
      </c>
      <c r="H17" s="280"/>
      <c r="J17" s="282">
        <f t="shared" si="1"/>
        <v>8</v>
      </c>
    </row>
    <row r="18" spans="1:10" ht="15.75">
      <c r="A18" s="282">
        <f t="shared" si="0"/>
        <v>9</v>
      </c>
      <c r="B18" s="282"/>
      <c r="C18" s="301"/>
      <c r="D18" s="296"/>
      <c r="E18" s="300"/>
      <c r="F18" s="279"/>
      <c r="H18" s="280"/>
      <c r="J18" s="282">
        <f t="shared" si="1"/>
        <v>9</v>
      </c>
    </row>
    <row r="19" spans="1:10" ht="15.75">
      <c r="A19" s="282">
        <f t="shared" si="0"/>
        <v>10</v>
      </c>
      <c r="B19" s="282"/>
      <c r="C19" s="302" t="s">
        <v>89</v>
      </c>
      <c r="D19" s="296"/>
      <c r="E19" s="992">
        <f>-'BK-1-Retail TRR'!G37</f>
        <v>0</v>
      </c>
      <c r="F19" s="279"/>
      <c r="G19" s="298" t="s">
        <v>295</v>
      </c>
      <c r="H19" s="280"/>
      <c r="J19" s="282">
        <f t="shared" si="1"/>
        <v>10</v>
      </c>
    </row>
    <row r="20" spans="1:10" ht="15.75">
      <c r="A20" s="282">
        <f t="shared" si="0"/>
        <v>11</v>
      </c>
      <c r="B20" s="282"/>
      <c r="C20" s="302"/>
      <c r="D20" s="303"/>
      <c r="E20" s="304"/>
      <c r="F20" s="305"/>
      <c r="H20" s="280"/>
      <c r="J20" s="282">
        <f t="shared" si="1"/>
        <v>11</v>
      </c>
    </row>
    <row r="21" spans="1:10" ht="15.75">
      <c r="A21" s="282">
        <f t="shared" si="0"/>
        <v>12</v>
      </c>
      <c r="B21" s="282"/>
      <c r="C21" s="301" t="s">
        <v>323</v>
      </c>
      <c r="D21" s="296" t="s">
        <v>39</v>
      </c>
      <c r="E21" s="771">
        <f>SUM(E13:E19)</f>
        <v>-2333</v>
      </c>
      <c r="F21" s="279"/>
      <c r="G21" s="1155" t="s">
        <v>822</v>
      </c>
      <c r="H21" s="1156"/>
      <c r="J21" s="282">
        <f t="shared" si="1"/>
        <v>12</v>
      </c>
    </row>
    <row r="22" spans="1:10" ht="15.75">
      <c r="A22" s="282">
        <f t="shared" si="0"/>
        <v>13</v>
      </c>
      <c r="B22" s="282"/>
      <c r="C22" s="292"/>
      <c r="D22" s="292"/>
      <c r="E22" s="306"/>
      <c r="F22" s="279"/>
      <c r="H22" s="280"/>
      <c r="J22" s="282">
        <f t="shared" si="1"/>
        <v>13</v>
      </c>
    </row>
    <row r="23" spans="1:10" ht="18.75">
      <c r="A23" s="282">
        <f t="shared" si="0"/>
        <v>14</v>
      </c>
      <c r="B23" s="282"/>
      <c r="C23" s="279" t="s">
        <v>435</v>
      </c>
      <c r="D23" s="307" t="s">
        <v>39</v>
      </c>
      <c r="E23" s="1025">
        <f>E10+E21</f>
        <v>662362.23051590007</v>
      </c>
      <c r="F23" s="995"/>
      <c r="G23" s="1155" t="s">
        <v>823</v>
      </c>
      <c r="H23" s="1156"/>
      <c r="J23" s="282">
        <f t="shared" si="1"/>
        <v>14</v>
      </c>
    </row>
    <row r="24" spans="1:10" ht="15.75">
      <c r="A24" s="282">
        <f t="shared" si="0"/>
        <v>15</v>
      </c>
      <c r="B24" s="282"/>
      <c r="C24" s="292"/>
      <c r="D24" s="291"/>
      <c r="E24" s="308" t="s">
        <v>39</v>
      </c>
      <c r="F24" s="279"/>
      <c r="H24" s="280"/>
      <c r="J24" s="282">
        <f t="shared" si="1"/>
        <v>15</v>
      </c>
    </row>
    <row r="25" spans="1:10" ht="15.75">
      <c r="A25" s="282">
        <f t="shared" si="0"/>
        <v>16</v>
      </c>
      <c r="B25" s="282"/>
      <c r="C25" s="279" t="s">
        <v>449</v>
      </c>
      <c r="D25" s="291"/>
      <c r="E25" s="1026">
        <f>('Wholesale TU Adj'!O34)/1000</f>
        <v>-47247.098702036179</v>
      </c>
      <c r="F25" s="995"/>
      <c r="G25" s="507" t="s">
        <v>792</v>
      </c>
      <c r="H25" s="280"/>
      <c r="J25" s="282">
        <f t="shared" si="1"/>
        <v>16</v>
      </c>
    </row>
    <row r="26" spans="1:10" ht="15.75">
      <c r="A26" s="282">
        <f t="shared" si="0"/>
        <v>17</v>
      </c>
      <c r="B26" s="282"/>
      <c r="C26" s="292"/>
      <c r="D26" s="292"/>
      <c r="E26" s="330"/>
      <c r="F26" s="279"/>
      <c r="G26" s="507"/>
      <c r="H26" s="280"/>
      <c r="J26" s="282">
        <f t="shared" si="1"/>
        <v>17</v>
      </c>
    </row>
    <row r="27" spans="1:10" ht="18.75">
      <c r="A27" s="282">
        <f t="shared" si="0"/>
        <v>18</v>
      </c>
      <c r="B27" s="282"/>
      <c r="C27" s="279" t="s">
        <v>1357</v>
      </c>
      <c r="D27" s="296"/>
      <c r="E27" s="990">
        <f>('Wholesale Int TU-1'!O25+'Wholesale Int TU-2'!O25)/1000</f>
        <v>5658.2849999999999</v>
      </c>
      <c r="F27" s="279"/>
      <c r="G27" s="507" t="s">
        <v>1354</v>
      </c>
      <c r="H27" s="280"/>
      <c r="J27" s="282">
        <f t="shared" si="1"/>
        <v>18</v>
      </c>
    </row>
    <row r="28" spans="1:10" ht="15.75">
      <c r="A28" s="282">
        <f t="shared" si="0"/>
        <v>19</v>
      </c>
      <c r="B28" s="282"/>
      <c r="C28" s="302"/>
      <c r="D28" s="296"/>
      <c r="E28" s="304"/>
      <c r="F28" s="279"/>
      <c r="H28" s="280"/>
      <c r="J28" s="282">
        <f t="shared" si="1"/>
        <v>19</v>
      </c>
    </row>
    <row r="29" spans="1:10" ht="18.75">
      <c r="A29" s="282">
        <f t="shared" si="0"/>
        <v>20</v>
      </c>
      <c r="B29" s="282"/>
      <c r="C29" s="279" t="s">
        <v>436</v>
      </c>
      <c r="D29" s="307"/>
      <c r="E29" s="139">
        <f>SUM(E23:E27)</f>
        <v>620773.41681386391</v>
      </c>
      <c r="F29" s="995"/>
      <c r="G29" s="1155" t="s">
        <v>824</v>
      </c>
      <c r="H29" s="1156"/>
      <c r="J29" s="282">
        <f t="shared" si="1"/>
        <v>20</v>
      </c>
    </row>
    <row r="30" spans="1:10" ht="15.75">
      <c r="A30" s="282">
        <f t="shared" si="0"/>
        <v>21</v>
      </c>
      <c r="B30" s="282"/>
      <c r="C30" s="302"/>
      <c r="D30" s="279"/>
      <c r="E30" s="294"/>
      <c r="F30" s="279"/>
      <c r="H30" s="280"/>
      <c r="J30" s="282">
        <f t="shared" si="1"/>
        <v>21</v>
      </c>
    </row>
    <row r="31" spans="1:10" ht="15.75">
      <c r="A31" s="282">
        <f t="shared" si="0"/>
        <v>22</v>
      </c>
      <c r="B31" s="282"/>
      <c r="C31" s="279" t="s">
        <v>311</v>
      </c>
      <c r="D31" s="307"/>
      <c r="E31" s="375">
        <f>'BK-1-Retail TRR'!G202</f>
        <v>73185</v>
      </c>
      <c r="F31" s="995"/>
      <c r="G31" s="298" t="s">
        <v>447</v>
      </c>
      <c r="H31" s="280"/>
      <c r="J31" s="282">
        <f t="shared" si="1"/>
        <v>22</v>
      </c>
    </row>
    <row r="32" spans="1:10" ht="15.75">
      <c r="A32" s="282">
        <f t="shared" si="0"/>
        <v>23</v>
      </c>
      <c r="B32" s="282"/>
      <c r="C32" s="279"/>
      <c r="D32" s="307"/>
      <c r="E32" s="118"/>
      <c r="F32" s="309"/>
      <c r="G32" s="298"/>
      <c r="H32" s="280"/>
      <c r="J32" s="282">
        <f t="shared" si="1"/>
        <v>23</v>
      </c>
    </row>
    <row r="33" spans="1:10" ht="18.75">
      <c r="A33" s="282">
        <f t="shared" si="0"/>
        <v>24</v>
      </c>
      <c r="B33" s="282"/>
      <c r="C33" s="4" t="s">
        <v>499</v>
      </c>
      <c r="D33" s="307"/>
      <c r="E33" s="375">
        <f>'BK-1-Retail TRR'!G234</f>
        <v>0</v>
      </c>
      <c r="F33" s="309"/>
      <c r="G33" s="298" t="s">
        <v>518</v>
      </c>
      <c r="H33" s="280"/>
      <c r="J33" s="282">
        <f t="shared" si="1"/>
        <v>24</v>
      </c>
    </row>
    <row r="34" spans="1:10" ht="15.75">
      <c r="A34" s="282">
        <f t="shared" si="0"/>
        <v>25</v>
      </c>
      <c r="B34" s="282"/>
      <c r="C34" s="279"/>
      <c r="D34" s="307"/>
      <c r="E34" s="118"/>
      <c r="F34" s="309"/>
      <c r="G34" s="298"/>
      <c r="H34" s="280"/>
      <c r="J34" s="282">
        <f t="shared" si="1"/>
        <v>25</v>
      </c>
    </row>
    <row r="35" spans="1:10" ht="15.75">
      <c r="A35" s="282">
        <f t="shared" si="0"/>
        <v>26</v>
      </c>
      <c r="B35" s="282"/>
      <c r="C35" s="4" t="s">
        <v>500</v>
      </c>
      <c r="D35" s="307"/>
      <c r="E35" s="376">
        <f>'BK-1-Retail TRR'!G251</f>
        <v>0</v>
      </c>
      <c r="F35" s="309"/>
      <c r="G35" s="298" t="s">
        <v>498</v>
      </c>
      <c r="H35" s="280"/>
      <c r="J35" s="282">
        <f t="shared" si="1"/>
        <v>26</v>
      </c>
    </row>
    <row r="36" spans="1:10" ht="15.75">
      <c r="A36" s="282">
        <f t="shared" si="0"/>
        <v>27</v>
      </c>
      <c r="B36" s="282"/>
      <c r="C36" s="287"/>
      <c r="D36" s="303"/>
      <c r="E36" s="310"/>
      <c r="F36" s="294"/>
      <c r="H36" s="311"/>
      <c r="J36" s="282">
        <f t="shared" si="1"/>
        <v>27</v>
      </c>
    </row>
    <row r="37" spans="1:10" ht="16.5" thickBot="1">
      <c r="A37" s="282">
        <f t="shared" si="0"/>
        <v>28</v>
      </c>
      <c r="B37" s="282"/>
      <c r="C37" s="312" t="s">
        <v>351</v>
      </c>
      <c r="D37" s="303"/>
      <c r="E37" s="1027">
        <f>SUM(E29:E35)</f>
        <v>693958.41681386391</v>
      </c>
      <c r="F37" s="995"/>
      <c r="G37" s="1155" t="s">
        <v>825</v>
      </c>
      <c r="H37" s="1156"/>
      <c r="J37" s="282">
        <f t="shared" si="1"/>
        <v>28</v>
      </c>
    </row>
    <row r="38" spans="1:10" ht="16.5" thickTop="1">
      <c r="A38" s="282"/>
      <c r="B38" s="282"/>
      <c r="C38" s="312"/>
      <c r="D38" s="303"/>
      <c r="E38" s="343"/>
      <c r="F38" s="274"/>
      <c r="G38" s="354"/>
      <c r="H38" s="355"/>
      <c r="J38" s="282"/>
    </row>
    <row r="39" spans="1:10" ht="15.75">
      <c r="A39" s="282"/>
      <c r="B39" s="282"/>
      <c r="C39" s="312"/>
      <c r="D39" s="303"/>
      <c r="E39" s="310"/>
      <c r="F39" s="279"/>
      <c r="G39" s="298"/>
      <c r="H39" s="280"/>
      <c r="J39" s="282"/>
    </row>
    <row r="40" spans="1:10" ht="18.75">
      <c r="B40" s="268" t="s">
        <v>194</v>
      </c>
      <c r="C40" s="132" t="s">
        <v>552</v>
      </c>
      <c r="D40" s="303"/>
      <c r="E40" s="310"/>
      <c r="F40" s="279"/>
      <c r="G40" s="298"/>
      <c r="H40" s="280"/>
      <c r="J40" s="282"/>
    </row>
    <row r="41" spans="1:10" ht="18.75">
      <c r="B41" s="268">
        <v>2</v>
      </c>
      <c r="C41" s="325" t="s">
        <v>1306</v>
      </c>
      <c r="D41" s="303"/>
      <c r="E41" s="310"/>
      <c r="F41" s="279"/>
      <c r="G41" s="279"/>
      <c r="H41" s="298"/>
      <c r="I41" s="280"/>
    </row>
    <row r="42" spans="1:10" ht="15.75">
      <c r="C42" s="312"/>
      <c r="D42" s="303"/>
      <c r="E42" s="310"/>
      <c r="F42" s="279"/>
      <c r="G42" s="279"/>
      <c r="H42" s="298"/>
      <c r="I42" s="993"/>
    </row>
    <row r="43" spans="1:10" ht="15.75">
      <c r="C43" s="1146" t="s">
        <v>61</v>
      </c>
      <c r="D43" s="1147"/>
      <c r="E43" s="1147"/>
      <c r="F43" s="1147"/>
      <c r="G43" s="1147"/>
      <c r="H43" s="1147"/>
      <c r="I43" s="1147"/>
    </row>
    <row r="44" spans="1:10" ht="15.75">
      <c r="C44" s="1146" t="s">
        <v>74</v>
      </c>
      <c r="D44" s="1147"/>
      <c r="E44" s="1147"/>
      <c r="F44" s="1147"/>
      <c r="G44" s="1147"/>
      <c r="H44" s="1147"/>
      <c r="I44" s="1147"/>
    </row>
    <row r="45" spans="1:10" ht="17.25">
      <c r="C45" s="1146" t="s">
        <v>324</v>
      </c>
      <c r="D45" s="1147"/>
      <c r="E45" s="1147"/>
      <c r="F45" s="1147"/>
      <c r="G45" s="1147"/>
      <c r="H45" s="1147"/>
      <c r="I45" s="1147"/>
    </row>
    <row r="46" spans="1:10" ht="15.75">
      <c r="C46" s="1148" t="str">
        <f>'BK-1-Retail TRR'!C260:I260</f>
        <v>For the Rate Effective Period January 1, 2017 - December 31, 2017</v>
      </c>
      <c r="D46" s="1149"/>
      <c r="E46" s="1149"/>
      <c r="F46" s="1149"/>
      <c r="G46" s="1149"/>
      <c r="H46" s="1149"/>
      <c r="I46" s="1149"/>
    </row>
    <row r="47" spans="1:10" ht="15.75">
      <c r="C47" s="1150" t="s">
        <v>72</v>
      </c>
      <c r="D47" s="1147"/>
      <c r="E47" s="1147"/>
      <c r="F47" s="1147"/>
      <c r="G47" s="1147"/>
      <c r="H47" s="1147"/>
      <c r="I47" s="1147"/>
    </row>
    <row r="48" spans="1:10" ht="15.75">
      <c r="C48" s="312"/>
      <c r="D48" s="303"/>
      <c r="E48" s="310"/>
      <c r="F48" s="279"/>
      <c r="G48" s="279"/>
      <c r="H48" s="298"/>
      <c r="I48" s="280"/>
    </row>
    <row r="49" spans="1:10" ht="15.75">
      <c r="A49" s="286" t="s">
        <v>62</v>
      </c>
      <c r="B49" s="286"/>
      <c r="C49" s="312"/>
      <c r="D49" s="303"/>
      <c r="E49" s="310"/>
      <c r="F49" s="279"/>
      <c r="G49" s="279"/>
      <c r="H49" s="298"/>
      <c r="I49" s="280"/>
      <c r="J49" s="286" t="s">
        <v>62</v>
      </c>
    </row>
    <row r="50" spans="1:10" ht="15.75">
      <c r="A50" s="290" t="s">
        <v>63</v>
      </c>
      <c r="B50" s="286"/>
      <c r="C50" s="312"/>
      <c r="D50" s="303"/>
      <c r="E50" s="313" t="s">
        <v>67</v>
      </c>
      <c r="F50" s="279"/>
      <c r="G50" s="1153" t="s">
        <v>65</v>
      </c>
      <c r="H50" s="1154"/>
      <c r="I50" s="1154"/>
      <c r="J50" s="290" t="s">
        <v>63</v>
      </c>
    </row>
    <row r="51" spans="1:10" ht="15.75">
      <c r="A51" s="286"/>
      <c r="B51" s="286"/>
      <c r="C51" s="236" t="s">
        <v>326</v>
      </c>
      <c r="D51" s="303"/>
      <c r="E51" s="324"/>
      <c r="F51" s="279"/>
      <c r="G51" s="311"/>
      <c r="H51" s="298"/>
      <c r="J51" s="286"/>
    </row>
    <row r="52" spans="1:10" ht="18.75">
      <c r="A52" s="282">
        <v>1</v>
      </c>
      <c r="B52" s="282"/>
      <c r="C52" s="279" t="s">
        <v>436</v>
      </c>
      <c r="D52" s="307"/>
      <c r="E52" s="1028">
        <f>E29</f>
        <v>620773.41681386391</v>
      </c>
      <c r="F52" s="995"/>
      <c r="G52" s="298" t="s">
        <v>325</v>
      </c>
      <c r="H52" s="298"/>
      <c r="J52" s="282">
        <v>1</v>
      </c>
    </row>
    <row r="53" spans="1:10" ht="15.75">
      <c r="A53" s="282">
        <f>A52+1</f>
        <v>2</v>
      </c>
      <c r="B53" s="282"/>
      <c r="C53" s="302"/>
      <c r="D53" s="279"/>
      <c r="E53" s="294"/>
      <c r="F53" s="279"/>
      <c r="G53" s="280"/>
      <c r="H53" s="298"/>
      <c r="J53" s="282">
        <f>J52+1</f>
        <v>2</v>
      </c>
    </row>
    <row r="54" spans="1:10" ht="15.75">
      <c r="A54" s="282">
        <f t="shared" ref="A54:A84" si="2">A53+1</f>
        <v>3</v>
      </c>
      <c r="B54" s="282"/>
      <c r="C54" s="279" t="s">
        <v>311</v>
      </c>
      <c r="D54" s="307"/>
      <c r="E54" s="375">
        <f>E31</f>
        <v>73185</v>
      </c>
      <c r="F54" s="995"/>
      <c r="G54" s="298" t="s">
        <v>353</v>
      </c>
      <c r="H54" s="298"/>
      <c r="J54" s="282">
        <f t="shared" ref="J54:J65" si="3">J53+1</f>
        <v>3</v>
      </c>
    </row>
    <row r="55" spans="1:10" ht="15.75">
      <c r="A55" s="282">
        <f t="shared" si="2"/>
        <v>4</v>
      </c>
      <c r="B55" s="282"/>
      <c r="C55" s="279"/>
      <c r="D55" s="307"/>
      <c r="E55" s="118"/>
      <c r="F55" s="279"/>
      <c r="G55" s="298"/>
      <c r="H55" s="298"/>
      <c r="J55" s="282">
        <f t="shared" si="3"/>
        <v>4</v>
      </c>
    </row>
    <row r="56" spans="1:10" ht="18.75">
      <c r="A56" s="282">
        <f t="shared" si="2"/>
        <v>5</v>
      </c>
      <c r="B56" s="282"/>
      <c r="C56" s="4" t="s">
        <v>517</v>
      </c>
      <c r="D56" s="307"/>
      <c r="E56" s="375">
        <f>E33</f>
        <v>0</v>
      </c>
      <c r="F56" s="279"/>
      <c r="G56" s="298" t="s">
        <v>354</v>
      </c>
      <c r="H56" s="298"/>
      <c r="J56" s="282">
        <f t="shared" si="3"/>
        <v>5</v>
      </c>
    </row>
    <row r="57" spans="1:10" ht="15.75">
      <c r="A57" s="282">
        <f t="shared" si="2"/>
        <v>6</v>
      </c>
      <c r="B57" s="282"/>
      <c r="C57" s="279"/>
      <c r="D57" s="307"/>
      <c r="E57" s="118"/>
      <c r="F57" s="279"/>
      <c r="G57" s="298"/>
      <c r="H57" s="298"/>
      <c r="J57" s="282">
        <f t="shared" si="3"/>
        <v>6</v>
      </c>
    </row>
    <row r="58" spans="1:10" ht="15.75">
      <c r="A58" s="282">
        <f t="shared" si="2"/>
        <v>7</v>
      </c>
      <c r="B58" s="282"/>
      <c r="C58" s="4" t="s">
        <v>500</v>
      </c>
      <c r="D58" s="307"/>
      <c r="E58" s="376">
        <f>E35</f>
        <v>0</v>
      </c>
      <c r="F58" s="279"/>
      <c r="G58" s="298" t="s">
        <v>826</v>
      </c>
      <c r="H58" s="298"/>
      <c r="J58" s="282">
        <f t="shared" si="3"/>
        <v>7</v>
      </c>
    </row>
    <row r="59" spans="1:10" ht="15.75">
      <c r="A59" s="282">
        <f t="shared" si="2"/>
        <v>8</v>
      </c>
      <c r="B59" s="282"/>
      <c r="C59" s="287"/>
      <c r="D59" s="303"/>
      <c r="E59" s="310"/>
      <c r="F59" s="279"/>
      <c r="G59" s="280"/>
      <c r="H59" s="298"/>
      <c r="J59" s="282">
        <f t="shared" si="3"/>
        <v>8</v>
      </c>
    </row>
    <row r="60" spans="1:10" ht="16.5" thickBot="1">
      <c r="A60" s="282">
        <f t="shared" si="2"/>
        <v>9</v>
      </c>
      <c r="B60" s="282"/>
      <c r="C60" s="325" t="s">
        <v>327</v>
      </c>
      <c r="D60" s="303"/>
      <c r="E60" s="1027">
        <f>SUM(E52:E58)</f>
        <v>693958.41681386391</v>
      </c>
      <c r="F60" s="995"/>
      <c r="G60" s="1155" t="s">
        <v>450</v>
      </c>
      <c r="H60" s="1156"/>
      <c r="J60" s="282">
        <f t="shared" si="3"/>
        <v>9</v>
      </c>
    </row>
    <row r="61" spans="1:10" ht="16.5" thickTop="1">
      <c r="A61" s="282">
        <f t="shared" si="2"/>
        <v>10</v>
      </c>
      <c r="B61" s="282"/>
      <c r="C61" s="312"/>
      <c r="D61" s="303"/>
      <c r="E61" s="310"/>
      <c r="F61" s="279"/>
      <c r="G61" s="279"/>
      <c r="H61" s="298"/>
      <c r="I61" s="280"/>
      <c r="J61" s="282">
        <f t="shared" si="3"/>
        <v>10</v>
      </c>
    </row>
    <row r="62" spans="1:10" ht="18.75">
      <c r="A62" s="282">
        <f t="shared" si="2"/>
        <v>11</v>
      </c>
      <c r="B62" s="282"/>
      <c r="C62" s="315" t="s">
        <v>786</v>
      </c>
      <c r="D62" s="292"/>
      <c r="E62" s="316" t="s">
        <v>165</v>
      </c>
      <c r="F62" s="280"/>
      <c r="G62" s="280" t="s">
        <v>166</v>
      </c>
      <c r="H62" s="280" t="s">
        <v>218</v>
      </c>
      <c r="I62" s="280"/>
      <c r="J62" s="282">
        <f t="shared" si="3"/>
        <v>11</v>
      </c>
    </row>
    <row r="63" spans="1:10" ht="15.75">
      <c r="A63" s="282">
        <f t="shared" si="2"/>
        <v>12</v>
      </c>
      <c r="B63" s="282"/>
      <c r="C63" s="309" t="s">
        <v>636</v>
      </c>
      <c r="D63" s="279"/>
      <c r="E63" s="314" t="s">
        <v>67</v>
      </c>
      <c r="F63" s="280"/>
      <c r="G63" s="314" t="s">
        <v>75</v>
      </c>
      <c r="H63" s="314" t="s">
        <v>76</v>
      </c>
      <c r="I63" s="314" t="s">
        <v>65</v>
      </c>
      <c r="J63" s="282">
        <f t="shared" si="3"/>
        <v>12</v>
      </c>
    </row>
    <row r="64" spans="1:10" ht="15.75">
      <c r="A64" s="282">
        <f t="shared" si="2"/>
        <v>13</v>
      </c>
      <c r="B64" s="282"/>
      <c r="C64" s="291" t="s">
        <v>637</v>
      </c>
      <c r="D64" s="279"/>
      <c r="E64" s="279"/>
      <c r="F64" s="279"/>
      <c r="G64" s="279"/>
      <c r="H64" s="279"/>
      <c r="I64" s="282"/>
      <c r="J64" s="282">
        <f t="shared" si="3"/>
        <v>13</v>
      </c>
    </row>
    <row r="65" spans="1:10" ht="18.75">
      <c r="A65" s="282">
        <f t="shared" si="2"/>
        <v>14</v>
      </c>
      <c r="B65" s="282"/>
      <c r="C65" s="292" t="s">
        <v>544</v>
      </c>
      <c r="D65" s="279"/>
      <c r="E65" s="326">
        <f>+G65+H65</f>
        <v>4715038</v>
      </c>
      <c r="F65" s="306"/>
      <c r="G65" s="784">
        <f>G100</f>
        <v>3088580</v>
      </c>
      <c r="H65" s="784">
        <f>H100</f>
        <v>1626458</v>
      </c>
      <c r="I65" s="282" t="s">
        <v>868</v>
      </c>
      <c r="J65" s="282">
        <f t="shared" si="3"/>
        <v>14</v>
      </c>
    </row>
    <row r="66" spans="1:10" ht="18.75">
      <c r="A66" s="282">
        <f t="shared" si="2"/>
        <v>15</v>
      </c>
      <c r="B66" s="282"/>
      <c r="C66" s="292" t="s">
        <v>545</v>
      </c>
      <c r="D66" s="279"/>
      <c r="E66" s="327">
        <f>G66+H66</f>
        <v>1</v>
      </c>
      <c r="F66" s="443"/>
      <c r="G66" s="327">
        <f>ROUND(G65/E65,4)</f>
        <v>0.65500000000000003</v>
      </c>
      <c r="H66" s="327">
        <f>ROUND(H65/E65,4)</f>
        <v>0.34499999999999997</v>
      </c>
      <c r="I66" s="280" t="s">
        <v>451</v>
      </c>
      <c r="J66" s="282">
        <f t="shared" ref="J66:J84" si="4">+J65+1</f>
        <v>15</v>
      </c>
    </row>
    <row r="67" spans="1:10" ht="15.75">
      <c r="A67" s="282">
        <f t="shared" si="2"/>
        <v>16</v>
      </c>
      <c r="B67" s="282"/>
      <c r="C67" s="292" t="s">
        <v>547</v>
      </c>
      <c r="D67" s="279"/>
      <c r="E67" s="1029">
        <f>E52</f>
        <v>620773.41681386391</v>
      </c>
      <c r="F67" s="995"/>
      <c r="G67" s="1030">
        <f>ROUND(G66*E67,0)-1</f>
        <v>406606</v>
      </c>
      <c r="H67" s="1030">
        <f>ROUND(H66*E67,0)</f>
        <v>214167</v>
      </c>
      <c r="I67" s="280" t="s">
        <v>452</v>
      </c>
      <c r="J67" s="282">
        <f t="shared" si="4"/>
        <v>16</v>
      </c>
    </row>
    <row r="68" spans="1:10" ht="15.75">
      <c r="A68" s="282">
        <f t="shared" si="2"/>
        <v>17</v>
      </c>
      <c r="B68" s="282"/>
      <c r="C68" s="292"/>
      <c r="D68" s="279"/>
      <c r="E68" s="328"/>
      <c r="F68" s="287"/>
      <c r="G68" s="326"/>
      <c r="H68" s="297"/>
      <c r="I68" s="280"/>
      <c r="J68" s="282">
        <f t="shared" si="4"/>
        <v>17</v>
      </c>
    </row>
    <row r="69" spans="1:10" ht="15.75">
      <c r="A69" s="282">
        <f t="shared" si="2"/>
        <v>18</v>
      </c>
      <c r="B69" s="282"/>
      <c r="C69" s="309" t="s">
        <v>296</v>
      </c>
      <c r="D69" s="279"/>
      <c r="E69" s="292"/>
      <c r="F69" s="287"/>
      <c r="G69" s="292"/>
      <c r="H69" s="329"/>
      <c r="I69" s="1151" t="s">
        <v>642</v>
      </c>
      <c r="J69" s="282">
        <f t="shared" si="4"/>
        <v>18</v>
      </c>
    </row>
    <row r="70" spans="1:10" ht="15.75">
      <c r="A70" s="282">
        <f t="shared" si="2"/>
        <v>19</v>
      </c>
      <c r="B70" s="282"/>
      <c r="C70" s="291" t="s">
        <v>548</v>
      </c>
      <c r="D70" s="279"/>
      <c r="E70" s="326">
        <f>+G70+H70</f>
        <v>579773</v>
      </c>
      <c r="F70" s="1013"/>
      <c r="G70" s="387">
        <f>'Forecast Plant Adds HV-LV Split'!G26</f>
        <v>257861</v>
      </c>
      <c r="H70" s="370">
        <f>'Forecast Plant Adds HV-LV Split'!H26</f>
        <v>321912</v>
      </c>
      <c r="I70" s="1152"/>
      <c r="J70" s="282">
        <f t="shared" si="4"/>
        <v>19</v>
      </c>
    </row>
    <row r="71" spans="1:10" ht="15.75">
      <c r="A71" s="282">
        <f t="shared" si="2"/>
        <v>20</v>
      </c>
      <c r="B71" s="282"/>
      <c r="C71" s="292" t="s">
        <v>297</v>
      </c>
      <c r="D71" s="279"/>
      <c r="E71" s="327">
        <f>+G71+H71</f>
        <v>1</v>
      </c>
      <c r="F71" s="1013"/>
      <c r="G71" s="327">
        <f>ROUND(G70/E70,4)</f>
        <v>0.44479999999999997</v>
      </c>
      <c r="H71" s="327">
        <f>ROUND(H70/E70,4)</f>
        <v>0.55520000000000003</v>
      </c>
      <c r="I71" s="541" t="s">
        <v>628</v>
      </c>
      <c r="J71" s="282">
        <f t="shared" si="4"/>
        <v>20</v>
      </c>
    </row>
    <row r="72" spans="1:10" ht="15.75">
      <c r="A72" s="282">
        <f t="shared" si="2"/>
        <v>21</v>
      </c>
      <c r="B72" s="282"/>
      <c r="C72" s="292" t="s">
        <v>298</v>
      </c>
      <c r="D72" s="279"/>
      <c r="E72" s="1029">
        <f>E54+E56+E58</f>
        <v>73185</v>
      </c>
      <c r="F72" s="1013"/>
      <c r="G72" s="1030">
        <f>ROUND(G71*E72,0)</f>
        <v>32553</v>
      </c>
      <c r="H72" s="1030">
        <f>ROUND(H71*E72,0)</f>
        <v>40632</v>
      </c>
      <c r="I72" s="280" t="s">
        <v>453</v>
      </c>
      <c r="J72" s="282">
        <f t="shared" si="4"/>
        <v>21</v>
      </c>
    </row>
    <row r="73" spans="1:10" ht="15.75">
      <c r="A73" s="282">
        <f t="shared" si="2"/>
        <v>22</v>
      </c>
      <c r="B73" s="282"/>
      <c r="C73" s="292"/>
      <c r="D73" s="279"/>
      <c r="E73" s="328"/>
      <c r="F73" s="287"/>
      <c r="G73" s="292"/>
      <c r="H73" s="292"/>
      <c r="I73" s="280"/>
      <c r="J73" s="282">
        <f t="shared" si="4"/>
        <v>22</v>
      </c>
    </row>
    <row r="74" spans="1:10" ht="15.75">
      <c r="A74" s="282">
        <f t="shared" si="2"/>
        <v>23</v>
      </c>
      <c r="B74" s="282"/>
      <c r="C74" s="318" t="s">
        <v>827</v>
      </c>
      <c r="D74" s="279"/>
      <c r="E74" s="292"/>
      <c r="F74" s="292"/>
      <c r="G74" s="292"/>
      <c r="H74" s="292"/>
      <c r="I74" s="280"/>
      <c r="J74" s="282">
        <f t="shared" si="4"/>
        <v>23</v>
      </c>
    </row>
    <row r="75" spans="1:10" ht="15.75">
      <c r="A75" s="282">
        <f t="shared" si="2"/>
        <v>24</v>
      </c>
      <c r="B75" s="282"/>
      <c r="C75" s="318" t="s">
        <v>330</v>
      </c>
      <c r="D75" s="279"/>
      <c r="E75" s="292"/>
      <c r="F75" s="292"/>
      <c r="G75" s="292"/>
      <c r="H75" s="292"/>
      <c r="I75" s="280"/>
      <c r="J75" s="282">
        <f t="shared" si="4"/>
        <v>24</v>
      </c>
    </row>
    <row r="76" spans="1:10" ht="18.75">
      <c r="A76" s="282">
        <f t="shared" si="2"/>
        <v>25</v>
      </c>
      <c r="B76" s="282"/>
      <c r="C76" s="279" t="s">
        <v>439</v>
      </c>
      <c r="D76" s="279"/>
      <c r="E76" s="1031">
        <f>+E67</f>
        <v>620773.41681386391</v>
      </c>
      <c r="F76" s="1013"/>
      <c r="G76" s="1031">
        <f>+G67</f>
        <v>406606</v>
      </c>
      <c r="H76" s="1031">
        <f>+H67</f>
        <v>214167</v>
      </c>
      <c r="I76" s="280" t="s">
        <v>454</v>
      </c>
      <c r="J76" s="282">
        <f t="shared" si="4"/>
        <v>25</v>
      </c>
    </row>
    <row r="77" spans="1:10" ht="18.75">
      <c r="A77" s="282">
        <f t="shared" si="2"/>
        <v>26</v>
      </c>
      <c r="B77" s="282"/>
      <c r="C77" s="292" t="s">
        <v>1360</v>
      </c>
      <c r="D77" s="292"/>
      <c r="E77" s="113">
        <f>ROUND(G77+H77,0)</f>
        <v>6380</v>
      </c>
      <c r="F77" s="1013"/>
      <c r="G77" s="1032">
        <f>ROUND(G76*0.010277,0)</f>
        <v>4179</v>
      </c>
      <c r="H77" s="1032">
        <f>ROUND(H76*0.010277,0)</f>
        <v>2201</v>
      </c>
      <c r="I77" s="101" t="s">
        <v>1361</v>
      </c>
      <c r="J77" s="282">
        <f t="shared" si="4"/>
        <v>26</v>
      </c>
    </row>
    <row r="78" spans="1:10" ht="18.75">
      <c r="A78" s="282">
        <f t="shared" si="2"/>
        <v>27</v>
      </c>
      <c r="B78" s="282"/>
      <c r="C78" s="292" t="s">
        <v>437</v>
      </c>
      <c r="D78" s="279"/>
      <c r="E78" s="1030">
        <f>E76+E77</f>
        <v>627153.41681386391</v>
      </c>
      <c r="F78" s="1013"/>
      <c r="G78" s="1030">
        <f>G76+G77</f>
        <v>410785</v>
      </c>
      <c r="H78" s="1030">
        <f>H76+H77</f>
        <v>216368</v>
      </c>
      <c r="I78" s="280" t="s">
        <v>455</v>
      </c>
      <c r="J78" s="282">
        <f t="shared" si="4"/>
        <v>27</v>
      </c>
    </row>
    <row r="79" spans="1:10" ht="15.75">
      <c r="A79" s="282">
        <f t="shared" si="2"/>
        <v>28</v>
      </c>
      <c r="B79" s="282"/>
      <c r="C79" s="292"/>
      <c r="D79" s="279"/>
      <c r="E79" s="326"/>
      <c r="F79" s="326"/>
      <c r="G79" s="326"/>
      <c r="H79" s="326"/>
      <c r="I79" s="280"/>
      <c r="J79" s="282">
        <f t="shared" si="4"/>
        <v>28</v>
      </c>
    </row>
    <row r="80" spans="1:10" ht="18.75">
      <c r="A80" s="282">
        <f t="shared" si="2"/>
        <v>29</v>
      </c>
      <c r="B80" s="282"/>
      <c r="C80" s="279" t="s">
        <v>440</v>
      </c>
      <c r="D80" s="279"/>
      <c r="E80" s="1033">
        <f>+E72</f>
        <v>73185</v>
      </c>
      <c r="F80" s="1013"/>
      <c r="G80" s="1033">
        <f>+G72</f>
        <v>32553</v>
      </c>
      <c r="H80" s="1033">
        <f>+H72</f>
        <v>40632</v>
      </c>
      <c r="I80" s="280" t="s">
        <v>456</v>
      </c>
      <c r="J80" s="282">
        <f t="shared" si="4"/>
        <v>29</v>
      </c>
    </row>
    <row r="81" spans="1:12" ht="18.75">
      <c r="A81" s="282">
        <f t="shared" si="2"/>
        <v>30</v>
      </c>
      <c r="B81" s="282"/>
      <c r="C81" s="292" t="s">
        <v>1360</v>
      </c>
      <c r="D81" s="292"/>
      <c r="E81" s="113">
        <f>ROUND(G81+H81,0)</f>
        <v>752</v>
      </c>
      <c r="F81" s="1013"/>
      <c r="G81" s="1032">
        <f>ROUND(G80*0.010277,0)-1</f>
        <v>334</v>
      </c>
      <c r="H81" s="1032">
        <f>ROUND(H80*0.010277,0)</f>
        <v>418</v>
      </c>
      <c r="I81" s="101" t="s">
        <v>1362</v>
      </c>
      <c r="J81" s="282">
        <f t="shared" si="4"/>
        <v>30</v>
      </c>
    </row>
    <row r="82" spans="1:12" ht="18.75">
      <c r="A82" s="282">
        <f t="shared" si="2"/>
        <v>31</v>
      </c>
      <c r="B82" s="282"/>
      <c r="C82" s="292" t="s">
        <v>437</v>
      </c>
      <c r="D82" s="279"/>
      <c r="E82" s="1030">
        <f>E80+E81</f>
        <v>73937</v>
      </c>
      <c r="F82" s="1013"/>
      <c r="G82" s="1030">
        <f>G80+G81</f>
        <v>32887</v>
      </c>
      <c r="H82" s="1030">
        <f>H80+H81</f>
        <v>41050</v>
      </c>
      <c r="I82" s="280" t="s">
        <v>457</v>
      </c>
      <c r="J82" s="282">
        <f t="shared" si="4"/>
        <v>31</v>
      </c>
      <c r="L82" s="1136"/>
    </row>
    <row r="83" spans="1:12" ht="15.75">
      <c r="A83" s="282">
        <f t="shared" si="2"/>
        <v>32</v>
      </c>
      <c r="B83" s="282"/>
      <c r="C83" s="279"/>
      <c r="D83" s="279"/>
      <c r="E83" s="297"/>
      <c r="F83" s="297"/>
      <c r="G83" s="297"/>
      <c r="H83" s="297"/>
      <c r="I83" s="280"/>
      <c r="J83" s="282">
        <f t="shared" si="4"/>
        <v>32</v>
      </c>
    </row>
    <row r="84" spans="1:12" ht="20.25" thickBot="1">
      <c r="A84" s="282">
        <f t="shared" si="2"/>
        <v>33</v>
      </c>
      <c r="B84" s="282"/>
      <c r="C84" s="318" t="s">
        <v>828</v>
      </c>
      <c r="D84" s="279"/>
      <c r="E84" s="1034">
        <f>E78+E82</f>
        <v>701090.41681386391</v>
      </c>
      <c r="F84" s="1013"/>
      <c r="G84" s="1034">
        <f t="shared" ref="G84:H84" si="5">G78+G82</f>
        <v>443672</v>
      </c>
      <c r="H84" s="1034">
        <f t="shared" si="5"/>
        <v>257418</v>
      </c>
      <c r="I84" s="319" t="s">
        <v>458</v>
      </c>
      <c r="J84" s="282">
        <f t="shared" si="4"/>
        <v>33</v>
      </c>
    </row>
    <row r="85" spans="1:12" ht="16.5" thickTop="1">
      <c r="A85" s="282"/>
      <c r="B85" s="282"/>
      <c r="C85" s="318"/>
      <c r="D85" s="279"/>
      <c r="E85" s="365"/>
      <c r="F85" s="274"/>
      <c r="G85" s="365"/>
      <c r="H85" s="365"/>
      <c r="I85" s="319"/>
      <c r="J85" s="282"/>
    </row>
    <row r="86" spans="1:12" ht="15.75">
      <c r="A86" s="282"/>
      <c r="B86" s="282"/>
      <c r="C86" s="279"/>
      <c r="D86" s="279"/>
      <c r="E86" s="320"/>
      <c r="F86" s="317"/>
      <c r="G86" s="320"/>
      <c r="H86" s="320"/>
      <c r="I86" s="319"/>
      <c r="J86" s="282"/>
    </row>
    <row r="87" spans="1:12" ht="18.75">
      <c r="B87" s="268" t="s">
        <v>194</v>
      </c>
      <c r="C87" s="279" t="s">
        <v>438</v>
      </c>
      <c r="D87" s="279"/>
      <c r="E87" s="279"/>
      <c r="F87" s="279"/>
      <c r="G87" s="279"/>
      <c r="H87" s="279"/>
      <c r="I87" s="280"/>
      <c r="J87" s="282"/>
    </row>
    <row r="88" spans="1:12" ht="15.75">
      <c r="B88" s="279"/>
      <c r="C88" s="279" t="s">
        <v>1210</v>
      </c>
      <c r="D88" s="279"/>
      <c r="E88" s="279"/>
      <c r="F88" s="279"/>
      <c r="G88" s="279"/>
      <c r="H88" s="279"/>
      <c r="I88" s="280"/>
      <c r="J88" s="282"/>
    </row>
    <row r="89" spans="1:12" ht="15.75">
      <c r="B89" s="279"/>
      <c r="C89" s="279" t="s">
        <v>1212</v>
      </c>
      <c r="D89" s="279"/>
      <c r="E89" s="279"/>
      <c r="F89" s="279"/>
      <c r="G89" s="279"/>
      <c r="H89" s="279"/>
      <c r="I89" s="280"/>
      <c r="J89" s="279"/>
    </row>
    <row r="90" spans="1:12" ht="15.75">
      <c r="B90" s="279"/>
      <c r="C90" s="279" t="s">
        <v>1211</v>
      </c>
      <c r="D90" s="279"/>
      <c r="E90" s="279"/>
      <c r="F90" s="279"/>
      <c r="G90" s="279"/>
      <c r="H90" s="279"/>
      <c r="I90" s="280"/>
      <c r="J90" s="279"/>
    </row>
    <row r="91" spans="1:12" ht="18.75">
      <c r="B91" s="268">
        <v>2</v>
      </c>
      <c r="C91" s="279" t="s">
        <v>543</v>
      </c>
      <c r="D91" s="279"/>
      <c r="E91" s="279"/>
      <c r="F91" s="279"/>
      <c r="G91" s="279"/>
      <c r="H91" s="279"/>
      <c r="I91" s="480"/>
      <c r="J91" s="279"/>
    </row>
    <row r="92" spans="1:12" ht="18.75">
      <c r="B92" s="268">
        <v>3</v>
      </c>
      <c r="C92" s="279" t="s">
        <v>546</v>
      </c>
      <c r="D92" s="279"/>
      <c r="E92" s="279"/>
      <c r="F92" s="279"/>
      <c r="G92" s="279"/>
      <c r="H92" s="279"/>
      <c r="I92" s="480"/>
      <c r="J92" s="279"/>
    </row>
    <row r="93" spans="1:12" ht="18.75">
      <c r="B93" s="268">
        <v>4</v>
      </c>
      <c r="C93" s="292" t="s">
        <v>291</v>
      </c>
      <c r="D93" s="279"/>
      <c r="E93" s="279"/>
      <c r="F93" s="279"/>
      <c r="G93" s="279"/>
      <c r="H93" s="279"/>
      <c r="I93" s="279"/>
      <c r="J93" s="279"/>
    </row>
    <row r="94" spans="1:12" ht="18.75">
      <c r="B94" s="268">
        <v>5</v>
      </c>
      <c r="C94" s="292" t="s">
        <v>1214</v>
      </c>
      <c r="D94" s="279"/>
      <c r="E94" s="279"/>
      <c r="F94" s="279"/>
      <c r="G94" s="279"/>
      <c r="H94" s="279"/>
      <c r="I94" s="279"/>
      <c r="J94" s="279"/>
    </row>
    <row r="95" spans="1:12" ht="18.75">
      <c r="B95" s="268"/>
      <c r="C95" s="292" t="s">
        <v>1213</v>
      </c>
      <c r="D95" s="279"/>
      <c r="E95" s="279"/>
      <c r="F95" s="279"/>
      <c r="G95" s="279"/>
      <c r="H95" s="279"/>
      <c r="I95" s="279"/>
      <c r="J95" s="279"/>
    </row>
    <row r="96" spans="1:12" ht="18.75">
      <c r="B96" s="268"/>
      <c r="C96" s="292"/>
      <c r="D96" s="279"/>
      <c r="E96" s="279"/>
      <c r="F96" s="279"/>
      <c r="G96" s="279"/>
      <c r="H96" s="279"/>
      <c r="I96" s="279"/>
      <c r="J96" s="279"/>
    </row>
    <row r="97" spans="1:10" ht="18.75">
      <c r="A97" s="279"/>
      <c r="B97" s="268">
        <v>6</v>
      </c>
      <c r="C97" s="697" t="s">
        <v>873</v>
      </c>
      <c r="D97" s="782" t="s">
        <v>871</v>
      </c>
      <c r="E97" s="696" t="s">
        <v>67</v>
      </c>
      <c r="G97" s="696" t="s">
        <v>246</v>
      </c>
      <c r="H97" s="696" t="s">
        <v>247</v>
      </c>
      <c r="I97" s="782" t="s">
        <v>872</v>
      </c>
      <c r="J97" s="279"/>
    </row>
    <row r="98" spans="1:10" ht="15.75">
      <c r="A98" s="279"/>
      <c r="C98" s="279" t="s">
        <v>869</v>
      </c>
      <c r="D98" s="782">
        <v>1</v>
      </c>
      <c r="E98" s="698">
        <f>G98+H98</f>
        <v>4715038</v>
      </c>
      <c r="G98" s="700">
        <v>3088580</v>
      </c>
      <c r="H98" s="700">
        <v>1626458</v>
      </c>
      <c r="I98" s="279"/>
      <c r="J98" s="279"/>
    </row>
    <row r="99" spans="1:10" ht="15.75">
      <c r="A99" s="279"/>
      <c r="C99" s="279" t="s">
        <v>870</v>
      </c>
      <c r="D99" s="782">
        <v>2</v>
      </c>
      <c r="E99" s="699">
        <f>G99+H99</f>
        <v>0</v>
      </c>
      <c r="G99" s="701">
        <v>0</v>
      </c>
      <c r="H99" s="701">
        <v>0</v>
      </c>
      <c r="I99" s="279"/>
      <c r="J99" s="279"/>
    </row>
    <row r="100" spans="1:10" ht="16.5" thickBot="1">
      <c r="A100" s="279"/>
      <c r="B100" s="279"/>
      <c r="C100" s="4" t="s">
        <v>67</v>
      </c>
      <c r="D100" s="782">
        <v>3</v>
      </c>
      <c r="E100" s="702">
        <f>G100+H100</f>
        <v>4715038</v>
      </c>
      <c r="G100" s="702">
        <f>SUM(G98:G99)</f>
        <v>3088580</v>
      </c>
      <c r="H100" s="702">
        <f>SUM(H98:H99)</f>
        <v>1626458</v>
      </c>
      <c r="I100" s="279"/>
      <c r="J100" s="279"/>
    </row>
    <row r="101" spans="1:10" ht="16.5" thickTop="1">
      <c r="A101" s="279"/>
      <c r="B101" s="279"/>
      <c r="D101" s="279"/>
      <c r="E101" s="279"/>
      <c r="F101" s="279"/>
      <c r="G101" s="279"/>
      <c r="H101" s="279"/>
      <c r="I101" s="279"/>
      <c r="J101" s="279"/>
    </row>
    <row r="102" spans="1:10" ht="15.75">
      <c r="A102" s="279"/>
      <c r="B102" s="995"/>
      <c r="C102" s="50"/>
      <c r="D102" s="279"/>
      <c r="E102" s="279"/>
      <c r="F102" s="279"/>
      <c r="G102" s="279"/>
      <c r="H102" s="279"/>
      <c r="I102" s="279"/>
      <c r="J102" s="279"/>
    </row>
    <row r="103" spans="1:10" ht="15.75">
      <c r="A103" s="279"/>
      <c r="B103" s="279"/>
      <c r="C103" s="279"/>
      <c r="D103" s="279"/>
      <c r="F103" s="279"/>
      <c r="I103" s="279"/>
      <c r="J103" s="279"/>
    </row>
    <row r="104" spans="1:10" ht="15.75">
      <c r="A104" s="279"/>
      <c r="B104" s="279"/>
      <c r="C104" s="279"/>
      <c r="D104" s="279"/>
      <c r="F104" s="292"/>
      <c r="I104" s="279"/>
      <c r="J104" s="279"/>
    </row>
    <row r="105" spans="1:10" ht="15.75">
      <c r="A105" s="279"/>
      <c r="B105" s="279"/>
      <c r="C105" s="279"/>
      <c r="D105" s="279"/>
      <c r="F105" s="292"/>
      <c r="I105" s="279"/>
      <c r="J105" s="279"/>
    </row>
    <row r="106" spans="1:10" ht="15.75">
      <c r="A106" s="279"/>
      <c r="B106" s="279"/>
      <c r="C106" s="279"/>
      <c r="D106" s="279"/>
      <c r="F106" s="279"/>
      <c r="I106" s="279"/>
      <c r="J106" s="279"/>
    </row>
    <row r="107" spans="1:10" ht="15.7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</row>
    <row r="108" spans="1:10" ht="15.7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</row>
    <row r="109" spans="1:10" ht="15.75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</row>
    <row r="110" spans="1:10" ht="15.75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</row>
    <row r="111" spans="1:10" ht="15.75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</row>
    <row r="112" spans="1:10" ht="15.75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</row>
    <row r="113" spans="1:10" ht="15.75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</row>
    <row r="114" spans="1:10" ht="15.75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</row>
    <row r="115" spans="1:10" ht="15.75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</row>
    <row r="116" spans="1:10" ht="15.75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</row>
    <row r="117" spans="1:10" ht="15.75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</row>
    <row r="118" spans="1:10" ht="15.75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</row>
    <row r="119" spans="1:10" ht="15.7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</row>
    <row r="120" spans="1:10" ht="15.75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</row>
    <row r="121" spans="1:10" ht="15.75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</row>
    <row r="122" spans="1:10" ht="15.75">
      <c r="A122" s="279"/>
      <c r="B122" s="279"/>
      <c r="C122" s="279"/>
      <c r="D122" s="279"/>
      <c r="E122" s="279"/>
      <c r="F122" s="279"/>
      <c r="G122" s="279"/>
      <c r="H122" s="279"/>
      <c r="I122" s="279"/>
      <c r="J122" s="279"/>
    </row>
    <row r="123" spans="1:10" ht="15.75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</row>
    <row r="124" spans="1:10" ht="15.75">
      <c r="A124" s="279"/>
      <c r="B124" s="279"/>
      <c r="C124" s="279"/>
      <c r="D124" s="279"/>
      <c r="E124" s="279"/>
      <c r="F124" s="279"/>
      <c r="G124" s="279"/>
      <c r="H124" s="279"/>
      <c r="I124" s="279"/>
      <c r="J124" s="279"/>
    </row>
    <row r="125" spans="1:10" ht="15.75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</row>
    <row r="126" spans="1:10" ht="15.75">
      <c r="A126" s="279"/>
      <c r="B126" s="279"/>
      <c r="C126" s="279"/>
      <c r="D126" s="279"/>
      <c r="E126" s="279"/>
      <c r="F126" s="279"/>
      <c r="G126" s="279"/>
      <c r="H126" s="279"/>
      <c r="I126" s="279"/>
      <c r="J126" s="279"/>
    </row>
    <row r="127" spans="1:10" ht="15.75">
      <c r="A127" s="279"/>
      <c r="B127" s="279"/>
      <c r="C127" s="279"/>
      <c r="D127" s="279"/>
      <c r="E127" s="279"/>
      <c r="F127" s="279"/>
      <c r="G127" s="279"/>
      <c r="H127" s="279"/>
      <c r="I127" s="279"/>
      <c r="J127" s="279"/>
    </row>
    <row r="128" spans="1:10" ht="15.75">
      <c r="A128" s="279"/>
      <c r="B128" s="279"/>
      <c r="C128" s="279"/>
      <c r="D128" s="279"/>
      <c r="E128" s="279"/>
      <c r="F128" s="279"/>
      <c r="G128" s="279"/>
      <c r="H128" s="279"/>
      <c r="I128" s="279"/>
      <c r="J128" s="279"/>
    </row>
    <row r="129" spans="1:10" ht="15.75">
      <c r="A129" s="279"/>
      <c r="B129" s="279"/>
      <c r="C129" s="279"/>
      <c r="D129" s="279"/>
      <c r="E129" s="279"/>
      <c r="F129" s="279"/>
      <c r="G129" s="279"/>
      <c r="H129" s="279"/>
      <c r="I129" s="279"/>
      <c r="J129" s="279"/>
    </row>
    <row r="130" spans="1:10" ht="15.75">
      <c r="A130" s="279"/>
      <c r="B130" s="279"/>
      <c r="C130" s="279"/>
      <c r="D130" s="279"/>
      <c r="E130" s="279"/>
      <c r="F130" s="279"/>
      <c r="G130" s="279"/>
      <c r="H130" s="279"/>
      <c r="I130" s="279"/>
      <c r="J130" s="279"/>
    </row>
    <row r="131" spans="1:10" ht="15.75">
      <c r="A131" s="279"/>
      <c r="B131" s="279"/>
      <c r="C131" s="279"/>
      <c r="D131" s="279"/>
      <c r="E131" s="279"/>
      <c r="F131" s="279"/>
      <c r="G131" s="279"/>
      <c r="H131" s="279"/>
      <c r="I131" s="279"/>
      <c r="J131" s="279"/>
    </row>
    <row r="132" spans="1:10" ht="15.75">
      <c r="A132" s="279"/>
      <c r="B132" s="279"/>
      <c r="C132" s="279"/>
      <c r="D132" s="279"/>
      <c r="E132" s="279"/>
      <c r="F132" s="279"/>
      <c r="G132" s="279"/>
      <c r="H132" s="279"/>
      <c r="I132" s="279"/>
      <c r="J132" s="279"/>
    </row>
    <row r="133" spans="1:10" ht="15.75">
      <c r="A133" s="279"/>
      <c r="B133" s="279"/>
      <c r="C133" s="279"/>
      <c r="D133" s="279"/>
      <c r="E133" s="279"/>
      <c r="F133" s="279"/>
      <c r="G133" s="279"/>
      <c r="H133" s="279"/>
      <c r="I133" s="279"/>
      <c r="J133" s="279"/>
    </row>
    <row r="134" spans="1:10" ht="15.75">
      <c r="A134" s="279"/>
      <c r="B134" s="279"/>
      <c r="C134" s="279"/>
      <c r="D134" s="279"/>
      <c r="E134" s="279"/>
      <c r="F134" s="279"/>
      <c r="G134" s="279"/>
      <c r="H134" s="279"/>
      <c r="I134" s="279"/>
      <c r="J134" s="279"/>
    </row>
    <row r="135" spans="1:10" ht="15.75">
      <c r="A135" s="279"/>
      <c r="B135" s="279"/>
      <c r="C135" s="279"/>
      <c r="D135" s="279"/>
      <c r="E135" s="279"/>
      <c r="F135" s="279"/>
      <c r="G135" s="279"/>
      <c r="H135" s="279"/>
      <c r="I135" s="279"/>
      <c r="J135" s="279"/>
    </row>
    <row r="136" spans="1:10" ht="15.75">
      <c r="A136" s="279"/>
      <c r="B136" s="279"/>
      <c r="C136" s="279"/>
      <c r="D136" s="279"/>
      <c r="E136" s="279"/>
      <c r="F136" s="279"/>
      <c r="G136" s="279"/>
      <c r="H136" s="279"/>
      <c r="I136" s="279"/>
      <c r="J136" s="279"/>
    </row>
  </sheetData>
  <mergeCells count="18">
    <mergeCell ref="C46:I46"/>
    <mergeCell ref="C47:I47"/>
    <mergeCell ref="I69:I70"/>
    <mergeCell ref="G8:I8"/>
    <mergeCell ref="G21:H21"/>
    <mergeCell ref="G23:H23"/>
    <mergeCell ref="G29:H29"/>
    <mergeCell ref="G37:H37"/>
    <mergeCell ref="G60:H60"/>
    <mergeCell ref="G50:I50"/>
    <mergeCell ref="C43:I43"/>
    <mergeCell ref="C44:I44"/>
    <mergeCell ref="C45:I45"/>
    <mergeCell ref="C1:I1"/>
    <mergeCell ref="C2:I2"/>
    <mergeCell ref="C3:I3"/>
    <mergeCell ref="C4:I4"/>
    <mergeCell ref="C5:I5"/>
  </mergeCells>
  <printOptions horizontalCentered="1"/>
  <pageMargins left="0" right="0" top="0.5" bottom="0.5" header="0.25" footer="0.25"/>
  <pageSetup scale="60" orientation="portrait" r:id="rId1"/>
  <headerFooter>
    <oddFooter>&amp;LTO4 Formula Rate - Cycle 4&amp;CPage &amp;P of &amp;N</oddFooter>
  </headerFooter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603"/>
  <sheetViews>
    <sheetView zoomScale="80" zoomScaleNormal="80" zoomScaleSheetLayoutView="80" workbookViewId="0"/>
  </sheetViews>
  <sheetFormatPr defaultRowHeight="15"/>
  <cols>
    <col min="1" max="1" width="5.28515625" style="11" bestFit="1" customWidth="1"/>
    <col min="2" max="2" width="30.5703125" customWidth="1"/>
    <col min="3" max="4" width="15.7109375" customWidth="1"/>
    <col min="5" max="6" width="11.7109375" customWidth="1"/>
    <col min="7" max="7" width="1.7109375" customWidth="1"/>
    <col min="8" max="8" width="15.85546875" style="395" bestFit="1" customWidth="1"/>
    <col min="9" max="9" width="1.7109375" customWidth="1"/>
    <col min="10" max="10" width="40.5703125" style="175" customWidth="1"/>
    <col min="11" max="11" width="5.28515625" style="264" bestFit="1" customWidth="1"/>
    <col min="13" max="13" width="6.140625" bestFit="1" customWidth="1"/>
  </cols>
  <sheetData>
    <row r="2" spans="1:11" ht="15.75">
      <c r="A2" s="4"/>
      <c r="B2" s="1161" t="s">
        <v>42</v>
      </c>
      <c r="C2" s="1161"/>
      <c r="D2" s="1161"/>
      <c r="E2" s="1161"/>
      <c r="F2" s="1161"/>
      <c r="G2" s="1161"/>
      <c r="H2" s="1161"/>
      <c r="I2" s="1156"/>
      <c r="J2" s="1156"/>
      <c r="K2" s="10"/>
    </row>
    <row r="3" spans="1:11" ht="15.75">
      <c r="A3" s="4"/>
      <c r="B3" s="1161" t="s">
        <v>43</v>
      </c>
      <c r="C3" s="1161"/>
      <c r="D3" s="1161"/>
      <c r="E3" s="1161"/>
      <c r="F3" s="1161"/>
      <c r="G3" s="1161"/>
      <c r="H3" s="1161"/>
      <c r="I3" s="1160"/>
      <c r="J3" s="1160"/>
      <c r="K3" s="10"/>
    </row>
    <row r="4" spans="1:11" ht="15.75">
      <c r="A4" s="4"/>
      <c r="B4" s="1161" t="s">
        <v>44</v>
      </c>
      <c r="C4" s="1161"/>
      <c r="D4" s="1161"/>
      <c r="E4" s="1161"/>
      <c r="F4" s="1161"/>
      <c r="G4" s="1161"/>
      <c r="H4" s="1161"/>
      <c r="I4" s="1160"/>
      <c r="J4" s="1160"/>
      <c r="K4" s="10"/>
    </row>
    <row r="5" spans="1:11" ht="15.75">
      <c r="A5" s="3"/>
      <c r="B5" s="1162" t="s">
        <v>1226</v>
      </c>
      <c r="C5" s="1162"/>
      <c r="D5" s="1162"/>
      <c r="E5" s="1162"/>
      <c r="F5" s="1162"/>
      <c r="G5" s="1162"/>
      <c r="H5" s="1162"/>
      <c r="I5" s="1163"/>
      <c r="J5" s="1163"/>
      <c r="K5" s="266"/>
    </row>
    <row r="6" spans="1:11">
      <c r="B6" s="1159" t="s">
        <v>72</v>
      </c>
      <c r="C6" s="1160"/>
      <c r="D6" s="1160"/>
      <c r="E6" s="1160"/>
      <c r="F6" s="1160"/>
      <c r="G6" s="1160"/>
      <c r="H6" s="1160"/>
      <c r="I6" s="1160"/>
      <c r="J6" s="1160"/>
    </row>
    <row r="7" spans="1:11" ht="15.75">
      <c r="B7" s="241"/>
      <c r="C7" s="245"/>
      <c r="D7" s="245"/>
      <c r="E7" s="245"/>
      <c r="F7" s="245"/>
      <c r="G7" s="245"/>
      <c r="H7" s="390"/>
      <c r="I7" s="245"/>
      <c r="J7" s="278"/>
    </row>
    <row r="8" spans="1:11" ht="15.75">
      <c r="A8" s="3" t="s">
        <v>62</v>
      </c>
      <c r="B8" s="224"/>
      <c r="C8" s="225"/>
      <c r="D8" s="225"/>
      <c r="E8" s="225"/>
      <c r="F8" s="225"/>
      <c r="G8" s="225"/>
      <c r="H8" s="166"/>
      <c r="I8" s="229"/>
      <c r="J8" s="4"/>
      <c r="K8" s="266" t="s">
        <v>62</v>
      </c>
    </row>
    <row r="9" spans="1:11" ht="15.75">
      <c r="A9" s="77" t="s">
        <v>73</v>
      </c>
      <c r="B9" s="2"/>
      <c r="C9" s="2"/>
      <c r="D9" s="2"/>
      <c r="E9" s="2"/>
      <c r="F9" s="85"/>
      <c r="G9" s="2"/>
      <c r="H9" s="33" t="s">
        <v>69</v>
      </c>
      <c r="I9" s="2"/>
      <c r="J9" s="33" t="s">
        <v>65</v>
      </c>
      <c r="K9" s="77" t="s">
        <v>73</v>
      </c>
    </row>
    <row r="10" spans="1:11" ht="15.75">
      <c r="A10" s="3"/>
      <c r="B10" s="5"/>
      <c r="C10" s="4"/>
      <c r="D10" s="4"/>
      <c r="E10" s="4"/>
      <c r="F10" s="4"/>
      <c r="G10" s="4"/>
      <c r="H10" s="18"/>
      <c r="I10" s="18"/>
      <c r="J10" s="18"/>
      <c r="K10" s="266"/>
    </row>
    <row r="11" spans="1:11" ht="18.75">
      <c r="A11" s="3">
        <v>1</v>
      </c>
      <c r="B11" s="4" t="s">
        <v>377</v>
      </c>
      <c r="C11" s="4"/>
      <c r="D11" s="4"/>
      <c r="E11" s="4"/>
      <c r="F11" s="50"/>
      <c r="G11" s="50"/>
      <c r="H11" s="389">
        <f>'Statement AD-WP'!J11</f>
        <v>137211</v>
      </c>
      <c r="I11" s="35"/>
      <c r="J11" s="21" t="s">
        <v>1023</v>
      </c>
      <c r="K11" s="266">
        <v>1</v>
      </c>
    </row>
    <row r="12" spans="1:11" ht="15.75">
      <c r="A12" s="344">
        <f>A11+1</f>
        <v>2</v>
      </c>
      <c r="B12" s="4"/>
      <c r="C12" s="4"/>
      <c r="D12" s="4"/>
      <c r="E12" s="4"/>
      <c r="F12" s="50"/>
      <c r="G12" s="50"/>
      <c r="H12" s="60"/>
      <c r="I12" s="35"/>
      <c r="J12" s="21"/>
      <c r="K12" s="344">
        <f>K11+1</f>
        <v>2</v>
      </c>
    </row>
    <row r="13" spans="1:11" ht="15.75">
      <c r="A13" s="344">
        <f t="shared" ref="A13:A14" si="0">A12+1</f>
        <v>3</v>
      </c>
      <c r="B13" s="4" t="s">
        <v>749</v>
      </c>
      <c r="C13" s="4"/>
      <c r="D13" s="4"/>
      <c r="E13" s="4"/>
      <c r="F13" s="59"/>
      <c r="G13" s="50"/>
      <c r="H13" s="391">
        <f>'Statement AD-WP'!J13</f>
        <v>548493.07206076931</v>
      </c>
      <c r="I13" s="274"/>
      <c r="J13" s="21" t="s">
        <v>1024</v>
      </c>
      <c r="K13" s="344">
        <f t="shared" ref="K13:K14" si="1">K12+1</f>
        <v>3</v>
      </c>
    </row>
    <row r="14" spans="1:11" ht="15.75">
      <c r="A14" s="344">
        <f t="shared" si="0"/>
        <v>4</v>
      </c>
      <c r="B14" s="4" t="s">
        <v>39</v>
      </c>
      <c r="C14" s="4"/>
      <c r="D14" s="4"/>
      <c r="E14" s="4"/>
      <c r="F14" s="59"/>
      <c r="G14" s="50"/>
      <c r="H14" s="61"/>
      <c r="I14" s="35"/>
      <c r="J14" s="21"/>
      <c r="K14" s="344">
        <f t="shared" si="1"/>
        <v>4</v>
      </c>
    </row>
    <row r="15" spans="1:11" ht="15.75">
      <c r="A15" s="3">
        <f t="shared" ref="A15:A35" si="2">+A14+1</f>
        <v>5</v>
      </c>
      <c r="B15" s="4" t="s">
        <v>750</v>
      </c>
      <c r="C15" s="4"/>
      <c r="D15" s="4"/>
      <c r="E15" s="4"/>
      <c r="F15" s="59"/>
      <c r="G15" s="50"/>
      <c r="H15" s="391">
        <f>'Statement AD-WP'!J15</f>
        <v>0</v>
      </c>
      <c r="I15" s="274"/>
      <c r="J15" s="21" t="s">
        <v>1025</v>
      </c>
      <c r="K15" s="266">
        <f t="shared" ref="K15:K35" si="3">+K14+1</f>
        <v>5</v>
      </c>
    </row>
    <row r="16" spans="1:11" ht="15.75">
      <c r="A16" s="3">
        <f t="shared" si="2"/>
        <v>6</v>
      </c>
      <c r="B16" s="4"/>
      <c r="C16" s="4"/>
      <c r="D16" s="4"/>
      <c r="E16" s="4"/>
      <c r="F16" s="59"/>
      <c r="G16" s="50"/>
      <c r="H16" s="61"/>
      <c r="I16" s="35"/>
      <c r="J16" s="21"/>
      <c r="K16" s="266">
        <f t="shared" si="3"/>
        <v>6</v>
      </c>
    </row>
    <row r="17" spans="1:11" ht="15.75">
      <c r="A17" s="3">
        <f t="shared" si="2"/>
        <v>7</v>
      </c>
      <c r="B17" s="4" t="s">
        <v>751</v>
      </c>
      <c r="C17" s="4"/>
      <c r="D17" s="4"/>
      <c r="E17" s="4"/>
      <c r="F17" s="59"/>
      <c r="G17" s="50"/>
      <c r="H17" s="391">
        <f>'Statement AD-WP'!J17</f>
        <v>0</v>
      </c>
      <c r="I17" s="35"/>
      <c r="J17" s="21" t="s">
        <v>1026</v>
      </c>
      <c r="K17" s="266">
        <f t="shared" si="3"/>
        <v>7</v>
      </c>
    </row>
    <row r="18" spans="1:11" ht="15.75">
      <c r="A18" s="3">
        <f t="shared" si="2"/>
        <v>8</v>
      </c>
      <c r="B18" s="4"/>
      <c r="C18" s="4"/>
      <c r="D18" s="4"/>
      <c r="E18" s="4"/>
      <c r="F18" s="59"/>
      <c r="G18" s="50"/>
      <c r="H18" s="61"/>
      <c r="I18" s="35"/>
      <c r="J18" s="21"/>
      <c r="K18" s="266">
        <f t="shared" si="3"/>
        <v>8</v>
      </c>
    </row>
    <row r="19" spans="1:11" ht="15.75">
      <c r="A19" s="3">
        <f t="shared" si="2"/>
        <v>9</v>
      </c>
      <c r="B19" s="4" t="s">
        <v>752</v>
      </c>
      <c r="C19" s="4"/>
      <c r="D19" s="4"/>
      <c r="E19" s="4"/>
      <c r="F19" s="59"/>
      <c r="G19" s="50"/>
      <c r="H19" s="396">
        <f>'Statement AD-WP'!J19</f>
        <v>485944.00622230762</v>
      </c>
      <c r="I19" s="274"/>
      <c r="J19" s="21" t="s">
        <v>1027</v>
      </c>
      <c r="K19" s="266">
        <f t="shared" si="3"/>
        <v>9</v>
      </c>
    </row>
    <row r="20" spans="1:11" ht="15.75">
      <c r="A20" s="3">
        <f t="shared" si="2"/>
        <v>10</v>
      </c>
      <c r="B20" s="4"/>
      <c r="C20" s="4"/>
      <c r="D20" s="4"/>
      <c r="E20" s="4"/>
      <c r="F20" s="59"/>
      <c r="G20" s="50"/>
      <c r="H20" s="62"/>
      <c r="I20" s="37"/>
      <c r="J20" s="21"/>
      <c r="K20" s="266">
        <f t="shared" si="3"/>
        <v>10</v>
      </c>
    </row>
    <row r="21" spans="1:11" ht="15.75">
      <c r="A21" s="3">
        <f t="shared" si="2"/>
        <v>11</v>
      </c>
      <c r="B21" s="4" t="s">
        <v>272</v>
      </c>
      <c r="C21" s="4"/>
      <c r="D21" s="4"/>
      <c r="E21" s="4"/>
      <c r="F21" s="59"/>
      <c r="G21" s="50"/>
      <c r="H21" s="89">
        <f>SUM(H11:H19)</f>
        <v>1171648.0782830769</v>
      </c>
      <c r="I21" s="274"/>
      <c r="J21" s="21" t="s">
        <v>169</v>
      </c>
      <c r="K21" s="266">
        <f t="shared" si="3"/>
        <v>11</v>
      </c>
    </row>
    <row r="22" spans="1:11" ht="15.75">
      <c r="A22" s="3">
        <f t="shared" si="2"/>
        <v>12</v>
      </c>
      <c r="B22" s="4"/>
      <c r="C22" s="4"/>
      <c r="D22" s="4"/>
      <c r="E22" s="4"/>
      <c r="F22" s="59"/>
      <c r="G22" s="50"/>
      <c r="H22" s="61"/>
      <c r="I22" s="35"/>
      <c r="J22" s="21"/>
      <c r="K22" s="266">
        <f t="shared" si="3"/>
        <v>12</v>
      </c>
    </row>
    <row r="23" spans="1:11" ht="15.75">
      <c r="A23" s="3">
        <f t="shared" si="2"/>
        <v>13</v>
      </c>
      <c r="B23" s="4" t="s">
        <v>179</v>
      </c>
      <c r="C23" s="4"/>
      <c r="D23" s="4"/>
      <c r="E23" s="4"/>
      <c r="F23" s="59"/>
      <c r="G23" s="50"/>
      <c r="H23" s="397">
        <f>'Statement AD-WP'!J23</f>
        <v>5608558</v>
      </c>
      <c r="I23" s="35"/>
      <c r="J23" s="21" t="s">
        <v>1028</v>
      </c>
      <c r="K23" s="266">
        <f t="shared" si="3"/>
        <v>13</v>
      </c>
    </row>
    <row r="24" spans="1:11" ht="15.75">
      <c r="A24" s="3">
        <f t="shared" si="2"/>
        <v>14</v>
      </c>
      <c r="B24" s="4"/>
      <c r="C24" s="4"/>
      <c r="D24" s="4"/>
      <c r="E24" s="4"/>
      <c r="F24" s="59"/>
      <c r="G24" s="50"/>
      <c r="H24" s="61"/>
      <c r="I24" s="35"/>
      <c r="J24" s="21"/>
      <c r="K24" s="266">
        <f t="shared" si="3"/>
        <v>14</v>
      </c>
    </row>
    <row r="25" spans="1:11" ht="18.75">
      <c r="A25" s="87">
        <f t="shared" si="2"/>
        <v>15</v>
      </c>
      <c r="B25" s="133" t="s">
        <v>753</v>
      </c>
      <c r="C25" s="133"/>
      <c r="D25" s="133"/>
      <c r="E25" s="133"/>
      <c r="F25" s="178"/>
      <c r="G25" s="133"/>
      <c r="H25" s="398">
        <f>'Statement AD-WP'!J25</f>
        <v>4574357.6782376915</v>
      </c>
      <c r="I25" s="274"/>
      <c r="J25" s="21" t="s">
        <v>1029</v>
      </c>
      <c r="K25" s="87">
        <f t="shared" si="3"/>
        <v>15</v>
      </c>
    </row>
    <row r="26" spans="1:11" ht="15.75">
      <c r="A26" s="87">
        <f t="shared" si="2"/>
        <v>16</v>
      </c>
      <c r="B26" s="133"/>
      <c r="C26" s="133"/>
      <c r="D26" s="133"/>
      <c r="E26" s="133"/>
      <c r="F26" s="178"/>
      <c r="G26" s="133"/>
      <c r="H26" s="64"/>
      <c r="I26" s="37"/>
      <c r="J26" s="83"/>
      <c r="K26" s="87">
        <f t="shared" si="3"/>
        <v>16</v>
      </c>
    </row>
    <row r="27" spans="1:11" ht="18.75">
      <c r="A27" s="87">
        <f t="shared" si="2"/>
        <v>17</v>
      </c>
      <c r="B27" s="133" t="s">
        <v>516</v>
      </c>
      <c r="C27" s="133"/>
      <c r="D27" s="133"/>
      <c r="E27" s="133"/>
      <c r="F27" s="178"/>
      <c r="G27" s="133"/>
      <c r="H27" s="396">
        <f>'Statement AD-WP'!J27</f>
        <v>0</v>
      </c>
      <c r="I27" s="37"/>
      <c r="J27" s="21" t="s">
        <v>1030</v>
      </c>
      <c r="K27" s="87">
        <f t="shared" si="3"/>
        <v>17</v>
      </c>
    </row>
    <row r="28" spans="1:11" ht="15.75">
      <c r="A28" s="87">
        <f t="shared" si="2"/>
        <v>18</v>
      </c>
      <c r="B28" s="133"/>
      <c r="C28" s="133"/>
      <c r="D28" s="133"/>
      <c r="E28" s="133"/>
      <c r="F28" s="178"/>
      <c r="G28" s="133"/>
      <c r="H28" s="62"/>
      <c r="I28" s="37"/>
      <c r="J28" s="83"/>
      <c r="K28" s="87">
        <f t="shared" si="3"/>
        <v>18</v>
      </c>
    </row>
    <row r="29" spans="1:11" ht="15.75">
      <c r="A29" s="87">
        <f t="shared" si="2"/>
        <v>19</v>
      </c>
      <c r="B29" s="133" t="s">
        <v>663</v>
      </c>
      <c r="C29" s="133"/>
      <c r="D29" s="133"/>
      <c r="E29" s="133"/>
      <c r="F29" s="178"/>
      <c r="G29" s="133"/>
      <c r="H29" s="89">
        <f>H25+H27</f>
        <v>4574357.6782376915</v>
      </c>
      <c r="I29" s="274"/>
      <c r="J29" s="83" t="s">
        <v>400</v>
      </c>
      <c r="K29" s="87">
        <f t="shared" si="3"/>
        <v>19</v>
      </c>
    </row>
    <row r="30" spans="1:11" ht="15.75">
      <c r="A30" s="3">
        <f t="shared" si="2"/>
        <v>20</v>
      </c>
      <c r="B30" s="4"/>
      <c r="C30" s="4"/>
      <c r="D30" s="4"/>
      <c r="E30" s="4"/>
      <c r="F30" s="59"/>
      <c r="G30" s="50"/>
      <c r="H30" s="61"/>
      <c r="I30" s="35"/>
      <c r="J30" s="21"/>
      <c r="K30" s="266">
        <f t="shared" si="3"/>
        <v>20</v>
      </c>
    </row>
    <row r="31" spans="1:11" ht="18.75">
      <c r="A31" s="3">
        <f t="shared" si="2"/>
        <v>21</v>
      </c>
      <c r="B31" s="4" t="s">
        <v>378</v>
      </c>
      <c r="C31" s="4"/>
      <c r="D31" s="4"/>
      <c r="E31" s="4"/>
      <c r="F31" s="59"/>
      <c r="G31" s="50"/>
      <c r="H31" s="397">
        <f>'Statement AD-WP'!J31</f>
        <v>311830</v>
      </c>
      <c r="I31" s="35"/>
      <c r="J31" s="21" t="s">
        <v>1031</v>
      </c>
      <c r="K31" s="266">
        <f t="shared" si="3"/>
        <v>21</v>
      </c>
    </row>
    <row r="32" spans="1:11" ht="15.75">
      <c r="A32" s="3">
        <f t="shared" si="2"/>
        <v>22</v>
      </c>
      <c r="B32" s="4"/>
      <c r="C32" s="4"/>
      <c r="D32" s="4"/>
      <c r="E32" s="4"/>
      <c r="F32" s="59"/>
      <c r="G32" s="50"/>
      <c r="H32" s="60"/>
      <c r="I32" s="35"/>
      <c r="J32" s="21"/>
      <c r="K32" s="266">
        <f t="shared" si="3"/>
        <v>22</v>
      </c>
    </row>
    <row r="33" spans="1:11" ht="18.75">
      <c r="A33" s="3">
        <f t="shared" si="2"/>
        <v>23</v>
      </c>
      <c r="B33" s="4" t="s">
        <v>379</v>
      </c>
      <c r="C33" s="4"/>
      <c r="D33" s="4"/>
      <c r="E33" s="4"/>
      <c r="F33" s="59"/>
      <c r="G33" s="50"/>
      <c r="H33" s="397">
        <f>'Statement AD-WP'!J33</f>
        <v>671293</v>
      </c>
      <c r="I33" s="37"/>
      <c r="J33" s="21" t="s">
        <v>1032</v>
      </c>
      <c r="K33" s="266">
        <f t="shared" si="3"/>
        <v>23</v>
      </c>
    </row>
    <row r="34" spans="1:11" ht="15.75">
      <c r="A34" s="3">
        <f t="shared" si="2"/>
        <v>24</v>
      </c>
      <c r="B34" s="4"/>
      <c r="C34" s="4"/>
      <c r="D34" s="4"/>
      <c r="E34" s="4"/>
      <c r="F34" s="59"/>
      <c r="G34" s="50"/>
      <c r="H34" s="62"/>
      <c r="I34" s="37"/>
      <c r="J34" s="21"/>
      <c r="K34" s="266">
        <f t="shared" si="3"/>
        <v>24</v>
      </c>
    </row>
    <row r="35" spans="1:11" ht="15.75">
      <c r="A35" s="3">
        <f t="shared" si="2"/>
        <v>25</v>
      </c>
      <c r="B35" s="4" t="s">
        <v>181</v>
      </c>
      <c r="C35" s="4"/>
      <c r="D35" s="4"/>
      <c r="E35" s="4"/>
      <c r="F35" s="59"/>
      <c r="G35" s="50"/>
      <c r="H35" s="772">
        <f>H21+H23+H29+H31+H33</f>
        <v>12337686.756520769</v>
      </c>
      <c r="I35" s="274"/>
      <c r="J35" s="21" t="s">
        <v>401</v>
      </c>
      <c r="K35" s="266">
        <f t="shared" si="3"/>
        <v>25</v>
      </c>
    </row>
    <row r="36" spans="1:11" ht="15.75">
      <c r="A36" s="87">
        <f>A35+1</f>
        <v>26</v>
      </c>
      <c r="B36" s="133"/>
      <c r="C36" s="133"/>
      <c r="D36" s="133"/>
      <c r="E36" s="133"/>
      <c r="F36" s="178"/>
      <c r="G36" s="133"/>
      <c r="H36" s="179"/>
      <c r="I36" s="20"/>
      <c r="J36" s="83"/>
      <c r="K36" s="87">
        <f>K35+1</f>
        <v>26</v>
      </c>
    </row>
    <row r="37" spans="1:11" ht="15.75">
      <c r="A37" s="87">
        <f t="shared" ref="A37:A49" si="4">A36+1</f>
        <v>27</v>
      </c>
      <c r="B37" s="4" t="s">
        <v>87</v>
      </c>
      <c r="C37" s="4"/>
      <c r="D37" s="4"/>
      <c r="E37" s="4"/>
      <c r="F37" s="4"/>
      <c r="G37" s="4"/>
      <c r="H37" s="430">
        <f>'Statement AD-WP'!J37</f>
        <v>0.16950000000000001</v>
      </c>
      <c r="I37" s="19"/>
      <c r="J37" s="21" t="s">
        <v>502</v>
      </c>
      <c r="K37" s="87">
        <f t="shared" ref="K37:K49" si="5">K36+1</f>
        <v>27</v>
      </c>
    </row>
    <row r="38" spans="1:11" ht="15.75">
      <c r="A38" s="87">
        <f t="shared" si="4"/>
        <v>28</v>
      </c>
      <c r="B38" s="133"/>
      <c r="C38" s="133"/>
      <c r="D38" s="133"/>
      <c r="E38" s="133"/>
      <c r="F38" s="178"/>
      <c r="G38" s="133"/>
      <c r="H38" s="179"/>
      <c r="I38" s="20"/>
      <c r="J38" s="83"/>
      <c r="K38" s="87">
        <f t="shared" si="5"/>
        <v>28</v>
      </c>
    </row>
    <row r="39" spans="1:11" ht="15.75">
      <c r="A39" s="87">
        <f t="shared" si="4"/>
        <v>29</v>
      </c>
      <c r="B39" s="133" t="s">
        <v>664</v>
      </c>
      <c r="C39" s="133"/>
      <c r="D39" s="133"/>
      <c r="E39" s="133"/>
      <c r="F39" s="180"/>
      <c r="G39" s="134"/>
      <c r="H39" s="398">
        <f>'Statement AD-WP'!J39</f>
        <v>4574357.6782376915</v>
      </c>
      <c r="I39" s="274"/>
      <c r="J39" s="83" t="s">
        <v>402</v>
      </c>
      <c r="K39" s="87">
        <f t="shared" si="5"/>
        <v>29</v>
      </c>
    </row>
    <row r="40" spans="1:11" ht="15.75">
      <c r="A40" s="87">
        <f t="shared" si="4"/>
        <v>30</v>
      </c>
      <c r="B40" s="133"/>
      <c r="C40" s="133"/>
      <c r="D40" s="133"/>
      <c r="E40" s="133"/>
      <c r="F40" s="178"/>
      <c r="G40" s="133"/>
      <c r="H40" s="179"/>
      <c r="I40" s="20"/>
      <c r="J40" s="83"/>
      <c r="K40" s="87">
        <f t="shared" si="5"/>
        <v>30</v>
      </c>
    </row>
    <row r="41" spans="1:11" ht="15.75">
      <c r="A41" s="87">
        <f t="shared" si="4"/>
        <v>31</v>
      </c>
      <c r="B41" s="4" t="s">
        <v>154</v>
      </c>
      <c r="C41" s="4"/>
      <c r="D41" s="4"/>
      <c r="E41" s="4"/>
      <c r="F41" s="4"/>
      <c r="G41" s="4"/>
      <c r="H41" s="426">
        <f>ROUND(+H11*H37,0)</f>
        <v>23257</v>
      </c>
      <c r="I41" s="274"/>
      <c r="J41" s="21" t="s">
        <v>403</v>
      </c>
      <c r="K41" s="87">
        <f t="shared" si="5"/>
        <v>31</v>
      </c>
    </row>
    <row r="42" spans="1:11" ht="15.75">
      <c r="A42" s="87">
        <f t="shared" si="4"/>
        <v>32</v>
      </c>
      <c r="B42" s="133"/>
      <c r="C42" s="133"/>
      <c r="D42" s="133"/>
      <c r="E42" s="133"/>
      <c r="F42" s="178"/>
      <c r="G42" s="133"/>
      <c r="H42" s="431"/>
      <c r="I42" s="20"/>
      <c r="J42" s="83"/>
      <c r="K42" s="87">
        <f t="shared" si="5"/>
        <v>32</v>
      </c>
    </row>
    <row r="43" spans="1:11" ht="15.75">
      <c r="A43" s="87">
        <f t="shared" si="4"/>
        <v>33</v>
      </c>
      <c r="B43" s="4" t="s">
        <v>98</v>
      </c>
      <c r="C43" s="4"/>
      <c r="D43" s="4"/>
      <c r="E43" s="4"/>
      <c r="F43" s="51"/>
      <c r="G43" s="4"/>
      <c r="H43" s="426">
        <f>ROUND(H31*H37,0)</f>
        <v>52855</v>
      </c>
      <c r="I43" s="19"/>
      <c r="J43" s="21" t="s">
        <v>404</v>
      </c>
      <c r="K43" s="87">
        <f t="shared" si="5"/>
        <v>33</v>
      </c>
    </row>
    <row r="44" spans="1:11" ht="15.75">
      <c r="A44" s="87">
        <f t="shared" si="4"/>
        <v>34</v>
      </c>
      <c r="B44" s="4"/>
      <c r="C44" s="4"/>
      <c r="D44" s="4"/>
      <c r="E44" s="4"/>
      <c r="F44" s="4"/>
      <c r="G44" s="4"/>
      <c r="H44" s="426"/>
      <c r="I44" s="19"/>
      <c r="J44" s="21"/>
      <c r="K44" s="87">
        <f t="shared" si="5"/>
        <v>34</v>
      </c>
    </row>
    <row r="45" spans="1:11" ht="15.75">
      <c r="A45" s="87">
        <f t="shared" si="4"/>
        <v>35</v>
      </c>
      <c r="B45" s="4" t="s">
        <v>112</v>
      </c>
      <c r="C45" s="4"/>
      <c r="D45" s="4"/>
      <c r="E45" s="4"/>
      <c r="F45" s="51"/>
      <c r="G45" s="4"/>
      <c r="H45" s="427">
        <f>ROUND(H33*H37,0)</f>
        <v>113784</v>
      </c>
      <c r="I45" s="19"/>
      <c r="J45" s="21" t="s">
        <v>405</v>
      </c>
      <c r="K45" s="87">
        <f t="shared" si="5"/>
        <v>35</v>
      </c>
    </row>
    <row r="46" spans="1:11" ht="15.75">
      <c r="A46" s="87">
        <f t="shared" si="4"/>
        <v>36</v>
      </c>
      <c r="B46" s="4" t="s">
        <v>39</v>
      </c>
      <c r="C46" s="5"/>
      <c r="D46" s="5"/>
      <c r="E46" s="5"/>
      <c r="F46" s="5"/>
      <c r="G46" s="5"/>
      <c r="H46" s="428"/>
      <c r="I46" s="38"/>
      <c r="J46" s="21" t="s">
        <v>39</v>
      </c>
      <c r="K46" s="87">
        <f t="shared" si="5"/>
        <v>36</v>
      </c>
    </row>
    <row r="47" spans="1:11" ht="16.5" thickBot="1">
      <c r="A47" s="87">
        <f t="shared" si="4"/>
        <v>37</v>
      </c>
      <c r="B47" s="4" t="s">
        <v>105</v>
      </c>
      <c r="C47" s="5"/>
      <c r="D47" s="5"/>
      <c r="E47" s="5"/>
      <c r="F47" s="5"/>
      <c r="G47" s="5"/>
      <c r="H47" s="773">
        <f>H39+H41+H43+H45</f>
        <v>4764253.6782376915</v>
      </c>
      <c r="I47" s="274"/>
      <c r="J47" s="21" t="s">
        <v>406</v>
      </c>
      <c r="K47" s="87">
        <f t="shared" si="5"/>
        <v>37</v>
      </c>
    </row>
    <row r="48" spans="1:11" ht="16.5" thickTop="1">
      <c r="A48" s="87">
        <f t="shared" si="4"/>
        <v>38</v>
      </c>
      <c r="B48" s="4"/>
      <c r="C48" s="5"/>
      <c r="D48" s="5"/>
      <c r="E48" s="5"/>
      <c r="F48" s="5"/>
      <c r="G48" s="5"/>
      <c r="H48" s="429"/>
      <c r="I48" s="39"/>
      <c r="J48" s="21"/>
      <c r="K48" s="87">
        <f t="shared" si="5"/>
        <v>38</v>
      </c>
    </row>
    <row r="49" spans="1:11" ht="19.5" thickBot="1">
      <c r="A49" s="87">
        <f t="shared" si="4"/>
        <v>39</v>
      </c>
      <c r="B49" s="4" t="s">
        <v>391</v>
      </c>
      <c r="C49" s="5"/>
      <c r="D49" s="5"/>
      <c r="E49" s="5"/>
      <c r="F49" s="5"/>
      <c r="G49" s="5"/>
      <c r="H49" s="774">
        <f>ROUND(H47/H35,4)</f>
        <v>0.38619999999999999</v>
      </c>
      <c r="I49" s="274"/>
      <c r="J49" s="21" t="s">
        <v>407</v>
      </c>
      <c r="K49" s="87">
        <f t="shared" si="5"/>
        <v>39</v>
      </c>
    </row>
    <row r="50" spans="1:11" ht="16.5" thickTop="1">
      <c r="A50" s="3"/>
      <c r="B50" s="4"/>
      <c r="C50" s="4"/>
      <c r="D50" s="4"/>
      <c r="E50" s="4"/>
      <c r="F50" s="15"/>
      <c r="G50" s="4"/>
      <c r="H50" s="83"/>
      <c r="I50" s="16"/>
      <c r="J50" s="10"/>
      <c r="K50" s="266"/>
    </row>
    <row r="51" spans="1:11" ht="15.75">
      <c r="A51" s="228"/>
      <c r="B51" s="236"/>
      <c r="C51" s="4"/>
      <c r="D51" s="4"/>
      <c r="E51" s="4"/>
      <c r="F51" s="15"/>
      <c r="G51" s="4"/>
      <c r="H51" s="83"/>
      <c r="I51" s="16"/>
      <c r="J51" s="10"/>
      <c r="K51" s="266"/>
    </row>
    <row r="52" spans="1:11" ht="18.75">
      <c r="A52" s="237">
        <v>1</v>
      </c>
      <c r="B52" s="132" t="s">
        <v>754</v>
      </c>
      <c r="C52" s="4"/>
      <c r="D52" s="4"/>
      <c r="E52" s="4"/>
      <c r="F52" s="15"/>
      <c r="G52" s="4"/>
      <c r="H52" s="83"/>
      <c r="I52" s="16"/>
      <c r="J52" s="10"/>
      <c r="K52" s="266"/>
    </row>
    <row r="53" spans="1:11" ht="15.75">
      <c r="A53" s="228"/>
      <c r="B53" s="4" t="s">
        <v>373</v>
      </c>
      <c r="C53" s="4"/>
      <c r="D53" s="4"/>
      <c r="E53" s="4"/>
      <c r="F53" s="15"/>
      <c r="G53" s="4"/>
      <c r="H53" s="83"/>
      <c r="I53" s="16"/>
      <c r="J53" s="10"/>
      <c r="K53" s="266"/>
    </row>
    <row r="54" spans="1:11" ht="18.75">
      <c r="A54" s="237">
        <v>2</v>
      </c>
      <c r="B54" s="4" t="s">
        <v>756</v>
      </c>
      <c r="C54" s="4"/>
      <c r="D54" s="4"/>
      <c r="E54" s="4"/>
      <c r="F54" s="15"/>
      <c r="G54" s="4"/>
      <c r="H54" s="83"/>
      <c r="I54" s="16"/>
      <c r="J54" s="10"/>
      <c r="K54" s="266"/>
    </row>
    <row r="55" spans="1:11" ht="15.75">
      <c r="A55" s="228"/>
      <c r="B55" s="4" t="s">
        <v>374</v>
      </c>
      <c r="C55" s="4"/>
      <c r="D55" s="4"/>
      <c r="E55" s="4"/>
      <c r="F55" s="15"/>
      <c r="G55" s="4"/>
      <c r="H55" s="83"/>
      <c r="I55" s="16"/>
      <c r="J55" s="10"/>
      <c r="K55" s="266"/>
    </row>
    <row r="56" spans="1:11" ht="18.75">
      <c r="A56" s="237">
        <v>3</v>
      </c>
      <c r="B56" s="4" t="s">
        <v>757</v>
      </c>
      <c r="C56" s="4"/>
      <c r="D56" s="4"/>
      <c r="E56" s="4"/>
      <c r="F56" s="15"/>
      <c r="G56" s="4"/>
      <c r="H56" s="83"/>
      <c r="I56" s="16"/>
      <c r="J56" s="10"/>
      <c r="K56" s="266"/>
    </row>
    <row r="57" spans="1:11" ht="18.75">
      <c r="A57" s="237">
        <v>4</v>
      </c>
      <c r="B57" s="4" t="s">
        <v>256</v>
      </c>
      <c r="C57" s="4"/>
      <c r="D57" s="4"/>
      <c r="E57" s="4"/>
      <c r="F57" s="4"/>
      <c r="G57" s="4"/>
      <c r="H57" s="4"/>
      <c r="I57" s="10"/>
      <c r="J57" s="21"/>
      <c r="K57" s="266"/>
    </row>
    <row r="58" spans="1:11" ht="15.75">
      <c r="A58" s="274"/>
      <c r="B58" s="4"/>
      <c r="C58" s="4"/>
      <c r="D58" s="4"/>
      <c r="E58" s="4"/>
      <c r="F58" s="4"/>
      <c r="G58" s="4"/>
      <c r="H58" s="4"/>
      <c r="I58" s="10"/>
      <c r="J58" s="21"/>
      <c r="K58" s="342"/>
    </row>
    <row r="59" spans="1:11" ht="18.75">
      <c r="A59" s="237"/>
      <c r="B59" s="4"/>
      <c r="C59" s="4"/>
      <c r="D59" s="4"/>
      <c r="E59" s="4"/>
      <c r="F59" s="4"/>
      <c r="G59" s="4"/>
      <c r="H59" s="4"/>
      <c r="I59" s="10"/>
      <c r="J59" s="21"/>
      <c r="K59" s="266"/>
    </row>
    <row r="60" spans="1:11" ht="15.75">
      <c r="A60" s="10"/>
      <c r="B60" s="1161" t="s">
        <v>42</v>
      </c>
      <c r="C60" s="1161"/>
      <c r="D60" s="1161"/>
      <c r="E60" s="1161"/>
      <c r="F60" s="1161"/>
      <c r="G60" s="1161"/>
      <c r="H60" s="1161"/>
      <c r="I60" s="1156"/>
      <c r="J60" s="1156"/>
      <c r="K60" s="10"/>
    </row>
    <row r="61" spans="1:11" ht="15.75">
      <c r="A61" s="10"/>
      <c r="B61" s="1161" t="s">
        <v>45</v>
      </c>
      <c r="C61" s="1161"/>
      <c r="D61" s="1161"/>
      <c r="E61" s="1161"/>
      <c r="F61" s="1161"/>
      <c r="G61" s="1161"/>
      <c r="H61" s="1161"/>
      <c r="I61" s="1160"/>
      <c r="J61" s="1160"/>
      <c r="K61" s="10"/>
    </row>
    <row r="62" spans="1:11" ht="15.75">
      <c r="A62" s="10"/>
      <c r="B62" s="1161" t="s">
        <v>46</v>
      </c>
      <c r="C62" s="1161"/>
      <c r="D62" s="1161"/>
      <c r="E62" s="1161"/>
      <c r="F62" s="1161"/>
      <c r="G62" s="1161"/>
      <c r="H62" s="1161"/>
      <c r="I62" s="1156"/>
      <c r="J62" s="1156"/>
      <c r="K62" s="10"/>
    </row>
    <row r="63" spans="1:11" ht="15.75">
      <c r="A63" s="10"/>
      <c r="B63" s="1157" t="str">
        <f>B5</f>
        <v>Base Period &amp; True-Up Period 12 - Months Ending December 31, 2015</v>
      </c>
      <c r="C63" s="1157"/>
      <c r="D63" s="1157"/>
      <c r="E63" s="1157"/>
      <c r="F63" s="1157"/>
      <c r="G63" s="1157"/>
      <c r="H63" s="1157"/>
      <c r="I63" s="1158"/>
      <c r="J63" s="1158"/>
      <c r="K63" s="10"/>
    </row>
    <row r="64" spans="1:11">
      <c r="B64" s="1159" t="s">
        <v>72</v>
      </c>
      <c r="C64" s="1160"/>
      <c r="D64" s="1160"/>
      <c r="E64" s="1160"/>
      <c r="F64" s="1160"/>
      <c r="G64" s="1160"/>
      <c r="H64" s="1160"/>
      <c r="I64" s="1160"/>
      <c r="J64" s="1160"/>
    </row>
    <row r="65" spans="1:11" ht="15.75">
      <c r="B65" s="241"/>
      <c r="C65" s="245"/>
      <c r="D65" s="245"/>
      <c r="E65" s="245"/>
      <c r="F65" s="245"/>
      <c r="G65" s="245"/>
      <c r="H65" s="390"/>
      <c r="I65" s="245"/>
      <c r="J65" s="278"/>
    </row>
    <row r="66" spans="1:11" ht="15.75">
      <c r="A66" s="3" t="s">
        <v>62</v>
      </c>
      <c r="B66" s="165"/>
      <c r="C66" s="166"/>
      <c r="D66" s="166"/>
      <c r="E66" s="166"/>
      <c r="F66" s="166"/>
      <c r="G66" s="166"/>
      <c r="H66" s="166"/>
      <c r="I66" s="228"/>
      <c r="J66" s="48"/>
      <c r="K66" s="266" t="s">
        <v>62</v>
      </c>
    </row>
    <row r="67" spans="1:11" ht="15.75">
      <c r="A67" s="77" t="s">
        <v>73</v>
      </c>
      <c r="B67" s="3"/>
      <c r="C67" s="3"/>
      <c r="D67" s="3"/>
      <c r="E67" s="3"/>
      <c r="F67" s="3"/>
      <c r="G67" s="3"/>
      <c r="H67" s="33" t="s">
        <v>69</v>
      </c>
      <c r="I67" s="3"/>
      <c r="J67" s="33" t="s">
        <v>65</v>
      </c>
      <c r="K67" s="77" t="s">
        <v>73</v>
      </c>
    </row>
    <row r="68" spans="1:11" ht="15.75">
      <c r="A68" s="3"/>
      <c r="B68" s="87"/>
      <c r="C68" s="3"/>
      <c r="D68" s="3"/>
      <c r="E68" s="3"/>
      <c r="F68" s="3"/>
      <c r="G68" s="3"/>
      <c r="H68" s="344"/>
      <c r="I68" s="3"/>
      <c r="J68" s="10"/>
      <c r="K68" s="266"/>
    </row>
    <row r="69" spans="1:11" ht="18.75">
      <c r="A69" s="87">
        <v>1</v>
      </c>
      <c r="B69" s="133" t="s">
        <v>665</v>
      </c>
      <c r="C69" s="87"/>
      <c r="D69" s="87"/>
      <c r="E69" s="87"/>
      <c r="F69" s="87"/>
      <c r="G69" s="87"/>
      <c r="H69" s="548">
        <f>'Statement AE-WP'!K11</f>
        <v>795744.9301115385</v>
      </c>
      <c r="J69" s="83" t="s">
        <v>1033</v>
      </c>
      <c r="K69" s="87">
        <v>1</v>
      </c>
    </row>
    <row r="70" spans="1:11" ht="15.75">
      <c r="A70" s="3">
        <f>A69+1</f>
        <v>2</v>
      </c>
      <c r="B70" s="4"/>
      <c r="C70" s="4"/>
      <c r="D70" s="4"/>
      <c r="E70" s="4"/>
      <c r="F70" s="4"/>
      <c r="G70" s="4"/>
      <c r="H70" s="23"/>
      <c r="I70" s="35"/>
      <c r="J70" s="21"/>
      <c r="K70" s="266">
        <f>K69+1</f>
        <v>2</v>
      </c>
    </row>
    <row r="71" spans="1:11" ht="18.75">
      <c r="A71" s="3">
        <f t="shared" ref="A71:A74" si="6">+A70+1</f>
        <v>3</v>
      </c>
      <c r="B71" s="4" t="s">
        <v>392</v>
      </c>
      <c r="C71" s="4"/>
      <c r="D71" s="4"/>
      <c r="E71" s="4"/>
      <c r="F71" s="4"/>
      <c r="G71" s="4"/>
      <c r="H71" s="398">
        <f>'Statement AE-WP'!K13</f>
        <v>49991</v>
      </c>
      <c r="I71" s="274"/>
      <c r="J71" s="21" t="s">
        <v>1034</v>
      </c>
      <c r="K71" s="266">
        <f t="shared" ref="K71:K74" si="7">+K70+1</f>
        <v>3</v>
      </c>
    </row>
    <row r="72" spans="1:11" ht="15.75">
      <c r="A72" s="3">
        <f t="shared" si="6"/>
        <v>4</v>
      </c>
      <c r="B72" s="4"/>
      <c r="C72" s="4"/>
      <c r="D72" s="4"/>
      <c r="E72" s="4"/>
      <c r="F72" s="4"/>
      <c r="G72" s="4"/>
      <c r="H72" s="23"/>
      <c r="I72" s="35"/>
      <c r="J72" s="21"/>
      <c r="K72" s="266">
        <f t="shared" si="7"/>
        <v>4</v>
      </c>
    </row>
    <row r="73" spans="1:11" ht="18.75">
      <c r="A73" s="3">
        <f t="shared" si="6"/>
        <v>5</v>
      </c>
      <c r="B73" s="4" t="s">
        <v>667</v>
      </c>
      <c r="C73" s="4"/>
      <c r="D73" s="4"/>
      <c r="E73" s="4"/>
      <c r="F73" s="51"/>
      <c r="G73" s="4"/>
      <c r="H73" s="391">
        <f>'Statement AE-WP'!K15</f>
        <v>119048</v>
      </c>
      <c r="I73" s="35"/>
      <c r="J73" s="21" t="s">
        <v>1035</v>
      </c>
      <c r="K73" s="266">
        <f t="shared" si="7"/>
        <v>5</v>
      </c>
    </row>
    <row r="74" spans="1:11" ht="15.75">
      <c r="A74" s="3">
        <f t="shared" si="6"/>
        <v>6</v>
      </c>
      <c r="B74" s="4"/>
      <c r="C74" s="4"/>
      <c r="D74" s="4"/>
      <c r="E74" s="4"/>
      <c r="F74" s="4"/>
      <c r="G74" s="4"/>
      <c r="H74" s="61"/>
      <c r="I74" s="35"/>
      <c r="J74" s="21"/>
      <c r="K74" s="266">
        <f t="shared" si="7"/>
        <v>6</v>
      </c>
    </row>
    <row r="75" spans="1:11" ht="18.75">
      <c r="A75" s="3">
        <f t="shared" ref="A75:A87" si="8">+A74+1</f>
        <v>7</v>
      </c>
      <c r="B75" s="4" t="s">
        <v>668</v>
      </c>
      <c r="C75" s="4"/>
      <c r="D75" s="4"/>
      <c r="E75" s="4"/>
      <c r="F75" s="51"/>
      <c r="G75" s="4"/>
      <c r="H75" s="391">
        <f>'Statement AE-WP'!K17</f>
        <v>340788</v>
      </c>
      <c r="I75" s="35"/>
      <c r="J75" s="21" t="s">
        <v>1036</v>
      </c>
      <c r="K75" s="266">
        <f t="shared" ref="K75:K87" si="9">+K74+1</f>
        <v>7</v>
      </c>
    </row>
    <row r="76" spans="1:11" ht="15.75">
      <c r="A76" s="3">
        <f t="shared" si="8"/>
        <v>8</v>
      </c>
      <c r="B76" s="4"/>
      <c r="C76" s="4"/>
      <c r="D76" s="4"/>
      <c r="E76" s="4"/>
      <c r="F76" s="4"/>
      <c r="G76" s="4"/>
      <c r="H76" s="23"/>
      <c r="I76" s="35"/>
      <c r="J76" s="21"/>
      <c r="K76" s="266">
        <f t="shared" si="9"/>
        <v>8</v>
      </c>
    </row>
    <row r="77" spans="1:11" ht="15.75">
      <c r="A77" s="3">
        <f t="shared" si="8"/>
        <v>9</v>
      </c>
      <c r="B77" s="4" t="s">
        <v>87</v>
      </c>
      <c r="C77" s="4"/>
      <c r="D77" s="4"/>
      <c r="E77" s="4"/>
      <c r="F77" s="4"/>
      <c r="G77" s="4"/>
      <c r="H77" s="432">
        <f>'Statement AE-WP'!K19</f>
        <v>0.16950000000000001</v>
      </c>
      <c r="I77" s="40"/>
      <c r="J77" s="21" t="s">
        <v>502</v>
      </c>
      <c r="K77" s="266">
        <f t="shared" si="9"/>
        <v>9</v>
      </c>
    </row>
    <row r="78" spans="1:11" ht="15.75">
      <c r="A78" s="344">
        <f t="shared" si="8"/>
        <v>10</v>
      </c>
      <c r="B78" s="4"/>
      <c r="C78" s="4"/>
      <c r="D78" s="4"/>
      <c r="E78" s="4"/>
      <c r="F78" s="4"/>
      <c r="G78" s="4"/>
      <c r="H78" s="433"/>
      <c r="I78" s="40"/>
      <c r="J78" s="21"/>
      <c r="K78" s="344">
        <f t="shared" si="9"/>
        <v>10</v>
      </c>
    </row>
    <row r="79" spans="1:11" ht="15.75">
      <c r="A79" s="344">
        <f t="shared" si="8"/>
        <v>11</v>
      </c>
      <c r="B79" s="4" t="s">
        <v>515</v>
      </c>
      <c r="C79" s="4"/>
      <c r="D79" s="4"/>
      <c r="E79" s="4"/>
      <c r="F79" s="4"/>
      <c r="G79" s="4"/>
      <c r="H79" s="434">
        <f>ROUND(H71*H77,0)</f>
        <v>8473</v>
      </c>
      <c r="I79" s="274"/>
      <c r="J79" s="19" t="s">
        <v>646</v>
      </c>
      <c r="K79" s="344">
        <f t="shared" si="9"/>
        <v>11</v>
      </c>
    </row>
    <row r="80" spans="1:11" ht="15.75">
      <c r="A80" s="344">
        <f t="shared" si="8"/>
        <v>12</v>
      </c>
      <c r="B80" s="4"/>
      <c r="C80" s="4"/>
      <c r="D80" s="4"/>
      <c r="E80" s="4"/>
      <c r="F80" s="4"/>
      <c r="G80" s="4"/>
      <c r="H80" s="415"/>
      <c r="I80" s="35"/>
      <c r="J80" s="19"/>
      <c r="K80" s="344">
        <f t="shared" si="9"/>
        <v>12</v>
      </c>
    </row>
    <row r="81" spans="1:11" ht="15.75">
      <c r="A81" s="259">
        <f t="shared" si="8"/>
        <v>13</v>
      </c>
      <c r="B81" s="4" t="s">
        <v>669</v>
      </c>
      <c r="C81" s="4"/>
      <c r="D81" s="4"/>
      <c r="E81" s="4"/>
      <c r="F81" s="4"/>
      <c r="G81" s="4"/>
      <c r="H81" s="154">
        <f>ROUND(H73*H77,0)</f>
        <v>20179</v>
      </c>
      <c r="I81" s="35"/>
      <c r="J81" s="19" t="s">
        <v>647</v>
      </c>
      <c r="K81" s="344">
        <f t="shared" si="9"/>
        <v>13</v>
      </c>
    </row>
    <row r="82" spans="1:11" ht="15.75">
      <c r="A82" s="3">
        <f t="shared" si="8"/>
        <v>14</v>
      </c>
      <c r="B82" s="4"/>
      <c r="C82" s="4"/>
      <c r="D82" s="4"/>
      <c r="E82" s="4"/>
      <c r="F82" s="4"/>
      <c r="G82" s="4"/>
      <c r="H82" s="153"/>
      <c r="I82" s="35"/>
      <c r="J82" s="19"/>
      <c r="K82" s="266">
        <f t="shared" si="9"/>
        <v>14</v>
      </c>
    </row>
    <row r="83" spans="1:11" ht="15.75">
      <c r="A83" s="3">
        <f t="shared" si="8"/>
        <v>15</v>
      </c>
      <c r="B83" s="4" t="s">
        <v>670</v>
      </c>
      <c r="C83" s="4"/>
      <c r="D83" s="4"/>
      <c r="E83" s="4"/>
      <c r="F83" s="4"/>
      <c r="G83" s="4"/>
      <c r="H83" s="154">
        <f>ROUND(H75*H77,0)</f>
        <v>57764</v>
      </c>
      <c r="I83" s="35"/>
      <c r="J83" s="19" t="s">
        <v>648</v>
      </c>
      <c r="K83" s="266">
        <f t="shared" si="9"/>
        <v>15</v>
      </c>
    </row>
    <row r="84" spans="1:11" ht="15.75">
      <c r="A84" s="3">
        <f t="shared" si="8"/>
        <v>16</v>
      </c>
      <c r="B84" s="4"/>
      <c r="C84" s="4"/>
      <c r="D84" s="4"/>
      <c r="E84" s="4"/>
      <c r="F84" s="4"/>
      <c r="G84" s="4"/>
      <c r="H84" s="435"/>
      <c r="I84" s="36"/>
      <c r="J84" s="19"/>
      <c r="K84" s="266">
        <f t="shared" si="9"/>
        <v>16</v>
      </c>
    </row>
    <row r="85" spans="1:11" ht="16.5" thickBot="1">
      <c r="A85" s="3">
        <f t="shared" si="8"/>
        <v>17</v>
      </c>
      <c r="B85" s="4" t="s">
        <v>671</v>
      </c>
      <c r="C85" s="4"/>
      <c r="D85" s="4"/>
      <c r="E85" s="4"/>
      <c r="F85" s="4"/>
      <c r="G85" s="4"/>
      <c r="H85" s="392">
        <f>+H69+H79+H81+H83</f>
        <v>882160.9301115385</v>
      </c>
      <c r="I85" s="274"/>
      <c r="J85" s="19" t="s">
        <v>649</v>
      </c>
      <c r="K85" s="266">
        <f t="shared" si="9"/>
        <v>17</v>
      </c>
    </row>
    <row r="86" spans="1:11" ht="16.5" thickTop="1">
      <c r="A86" s="344">
        <f t="shared" si="8"/>
        <v>18</v>
      </c>
      <c r="B86" s="4"/>
      <c r="C86" s="4"/>
      <c r="D86" s="4"/>
      <c r="E86" s="4"/>
      <c r="F86" s="4"/>
      <c r="G86" s="4"/>
      <c r="H86" s="64"/>
      <c r="I86" s="36"/>
      <c r="J86" s="19"/>
      <c r="K86" s="344">
        <f t="shared" si="9"/>
        <v>18</v>
      </c>
    </row>
    <row r="87" spans="1:11" ht="16.5" thickBot="1">
      <c r="A87" s="344">
        <f t="shared" si="8"/>
        <v>19</v>
      </c>
      <c r="B87" s="133" t="s">
        <v>666</v>
      </c>
      <c r="C87" s="87"/>
      <c r="D87" s="87"/>
      <c r="E87" s="87"/>
      <c r="F87" s="87"/>
      <c r="G87" s="87"/>
      <c r="H87" s="783">
        <f>'Statement AE-WP'!K29</f>
        <v>0</v>
      </c>
      <c r="I87" s="87"/>
      <c r="J87" s="83" t="s">
        <v>1037</v>
      </c>
      <c r="K87" s="344">
        <f t="shared" si="9"/>
        <v>19</v>
      </c>
    </row>
    <row r="88" spans="1:11" ht="16.5" thickTop="1">
      <c r="A88" s="87"/>
      <c r="B88" s="133"/>
      <c r="C88" s="87"/>
      <c r="D88" s="87"/>
      <c r="E88" s="87"/>
      <c r="F88" s="87"/>
      <c r="G88" s="87"/>
      <c r="H88" s="547"/>
      <c r="I88" s="87"/>
      <c r="J88" s="83"/>
      <c r="K88" s="87"/>
    </row>
    <row r="89" spans="1:11" ht="15.75">
      <c r="A89" s="87"/>
      <c r="B89" s="133"/>
      <c r="C89" s="87"/>
      <c r="D89" s="87"/>
      <c r="E89" s="87"/>
      <c r="F89" s="87"/>
      <c r="G89" s="87"/>
      <c r="H89" s="547"/>
      <c r="I89" s="87"/>
      <c r="J89" s="83"/>
      <c r="K89" s="87"/>
    </row>
    <row r="90" spans="1:11" ht="18.75">
      <c r="A90" s="237">
        <v>1</v>
      </c>
      <c r="B90" s="4" t="s">
        <v>758</v>
      </c>
      <c r="C90" s="4"/>
      <c r="D90" s="4"/>
      <c r="E90" s="4"/>
      <c r="F90" s="4"/>
      <c r="G90" s="4"/>
      <c r="H90" s="64"/>
      <c r="I90" s="36"/>
      <c r="J90" s="19"/>
      <c r="K90" s="266"/>
    </row>
    <row r="91" spans="1:11" ht="15.75">
      <c r="A91" s="228"/>
      <c r="B91" s="4" t="s">
        <v>374</v>
      </c>
      <c r="C91" s="4"/>
      <c r="D91" s="4"/>
      <c r="E91" s="4"/>
      <c r="F91" s="4"/>
      <c r="G91" s="4"/>
      <c r="H91" s="64"/>
      <c r="I91" s="36"/>
      <c r="J91" s="19"/>
      <c r="K91" s="266"/>
    </row>
    <row r="92" spans="1:11" ht="18.75">
      <c r="A92" s="237">
        <v>2</v>
      </c>
      <c r="B92" s="132" t="s">
        <v>754</v>
      </c>
      <c r="C92" s="4"/>
      <c r="D92" s="4"/>
      <c r="E92" s="4"/>
      <c r="F92" s="4"/>
      <c r="G92" s="4"/>
      <c r="H92" s="64"/>
      <c r="I92" s="36"/>
      <c r="J92" s="19"/>
      <c r="K92" s="266"/>
    </row>
    <row r="93" spans="1:11" ht="15.75">
      <c r="A93" s="228"/>
      <c r="B93" s="4" t="s">
        <v>373</v>
      </c>
      <c r="C93" s="4"/>
      <c r="D93" s="4"/>
      <c r="E93" s="4"/>
      <c r="F93" s="4"/>
      <c r="G93" s="4"/>
      <c r="H93" s="64"/>
      <c r="I93" s="36"/>
      <c r="J93" s="19"/>
      <c r="K93" s="266"/>
    </row>
    <row r="94" spans="1:11" ht="15.75">
      <c r="A94" s="274"/>
      <c r="B94" s="50"/>
      <c r="C94" s="4"/>
      <c r="D94" s="4"/>
      <c r="E94" s="4"/>
      <c r="F94" s="4"/>
      <c r="G94" s="4"/>
      <c r="H94" s="4"/>
      <c r="I94" s="10"/>
      <c r="J94" s="10"/>
      <c r="K94" s="342"/>
    </row>
    <row r="95" spans="1:11" ht="15.75">
      <c r="A95" s="3"/>
      <c r="B95" s="4"/>
      <c r="C95" s="4"/>
      <c r="D95" s="4"/>
      <c r="E95" s="4"/>
      <c r="F95" s="4"/>
      <c r="G95" s="4"/>
      <c r="H95" s="4"/>
      <c r="I95" s="10"/>
      <c r="J95" s="10"/>
      <c r="K95" s="266"/>
    </row>
    <row r="96" spans="1:11" ht="15.75">
      <c r="A96" s="3"/>
      <c r="B96" s="1161" t="s">
        <v>42</v>
      </c>
      <c r="C96" s="1161"/>
      <c r="D96" s="1161"/>
      <c r="E96" s="1161"/>
      <c r="F96" s="1161"/>
      <c r="G96" s="1161"/>
      <c r="H96" s="1161"/>
      <c r="I96" s="1156"/>
      <c r="J96" s="1156"/>
      <c r="K96" s="266"/>
    </row>
    <row r="97" spans="1:11" ht="15.75">
      <c r="A97" s="3"/>
      <c r="B97" s="1161" t="s">
        <v>71</v>
      </c>
      <c r="C97" s="1161"/>
      <c r="D97" s="1161"/>
      <c r="E97" s="1161"/>
      <c r="F97" s="1161"/>
      <c r="G97" s="1161"/>
      <c r="H97" s="1161"/>
      <c r="I97" s="1160"/>
      <c r="J97" s="1160"/>
      <c r="K97" s="10"/>
    </row>
    <row r="98" spans="1:11" ht="15.75">
      <c r="A98" s="3"/>
      <c r="B98" s="1161" t="s">
        <v>77</v>
      </c>
      <c r="C98" s="1161"/>
      <c r="D98" s="1161"/>
      <c r="E98" s="1161"/>
      <c r="F98" s="1161"/>
      <c r="G98" s="1161"/>
      <c r="H98" s="1161"/>
      <c r="I98" s="1156"/>
      <c r="J98" s="1156"/>
      <c r="K98" s="266"/>
    </row>
    <row r="99" spans="1:11" ht="15.75">
      <c r="A99" s="3"/>
      <c r="B99" s="1157" t="str">
        <f>B5</f>
        <v>Base Period &amp; True-Up Period 12 - Months Ending December 31, 2015</v>
      </c>
      <c r="C99" s="1157"/>
      <c r="D99" s="1157"/>
      <c r="E99" s="1157"/>
      <c r="F99" s="1157"/>
      <c r="G99" s="1157"/>
      <c r="H99" s="1157"/>
      <c r="I99" s="1158"/>
      <c r="J99" s="1158"/>
      <c r="K99" s="266"/>
    </row>
    <row r="100" spans="1:11">
      <c r="B100" s="1159" t="s">
        <v>72</v>
      </c>
      <c r="C100" s="1160"/>
      <c r="D100" s="1160"/>
      <c r="E100" s="1160"/>
      <c r="F100" s="1160"/>
      <c r="G100" s="1160"/>
      <c r="H100" s="1160"/>
      <c r="I100" s="1160"/>
      <c r="J100" s="1160"/>
    </row>
    <row r="101" spans="1:11" ht="15.75">
      <c r="B101" s="241"/>
      <c r="C101" s="245"/>
      <c r="D101" s="245"/>
      <c r="E101" s="245"/>
      <c r="F101" s="245"/>
      <c r="G101" s="245"/>
      <c r="H101" s="390"/>
      <c r="I101" s="245"/>
      <c r="J101" s="278"/>
    </row>
    <row r="102" spans="1:11" ht="15.75">
      <c r="A102" s="3" t="s">
        <v>62</v>
      </c>
      <c r="B102" s="224"/>
      <c r="C102" s="225"/>
      <c r="D102" s="225"/>
      <c r="E102" s="225"/>
      <c r="F102" s="225"/>
      <c r="G102" s="225"/>
      <c r="H102" s="166"/>
      <c r="I102" s="10"/>
      <c r="J102" s="10"/>
      <c r="K102" s="266" t="s">
        <v>62</v>
      </c>
    </row>
    <row r="103" spans="1:11" ht="15.75">
      <c r="A103" s="77" t="s">
        <v>73</v>
      </c>
      <c r="B103" s="4"/>
      <c r="C103" s="4"/>
      <c r="D103" s="4"/>
      <c r="E103" s="4"/>
      <c r="F103" s="4"/>
      <c r="G103" s="4"/>
      <c r="H103" s="33" t="s">
        <v>69</v>
      </c>
      <c r="I103" s="2"/>
      <c r="J103" s="33" t="s">
        <v>65</v>
      </c>
      <c r="K103" s="77" t="s">
        <v>73</v>
      </c>
    </row>
    <row r="104" spans="1:11" ht="15.75">
      <c r="A104" s="86"/>
      <c r="B104" s="4"/>
      <c r="C104" s="4"/>
      <c r="D104" s="4"/>
      <c r="E104" s="4"/>
      <c r="F104" s="4"/>
      <c r="G104" s="4"/>
      <c r="H104" s="4"/>
      <c r="I104" s="10"/>
      <c r="J104" s="10"/>
      <c r="K104" s="86"/>
    </row>
    <row r="105" spans="1:11" ht="15.75">
      <c r="A105" s="3">
        <v>1</v>
      </c>
      <c r="B105" s="227" t="s">
        <v>477</v>
      </c>
      <c r="C105" s="4"/>
      <c r="D105" s="4"/>
      <c r="E105" s="4"/>
      <c r="F105" s="4"/>
      <c r="G105" s="4"/>
      <c r="H105" s="387">
        <f>'Statement AF-WP'!K11</f>
        <v>-306252</v>
      </c>
      <c r="I105" s="10"/>
      <c r="J105" s="21" t="s">
        <v>1038</v>
      </c>
      <c r="K105" s="266">
        <v>1</v>
      </c>
    </row>
    <row r="106" spans="1:11" ht="15.75">
      <c r="A106" s="228">
        <f>A105+1</f>
        <v>2</v>
      </c>
      <c r="B106" s="227"/>
      <c r="C106" s="4"/>
      <c r="D106" s="4"/>
      <c r="E106" s="4"/>
      <c r="F106" s="4"/>
      <c r="G106" s="4"/>
      <c r="H106" s="12"/>
      <c r="I106" s="10"/>
      <c r="J106" s="21"/>
      <c r="K106" s="266">
        <f>K105+1</f>
        <v>2</v>
      </c>
    </row>
    <row r="107" spans="1:11" ht="15.75">
      <c r="A107" s="228">
        <f t="shared" ref="A107:A115" si="10">A106+1</f>
        <v>3</v>
      </c>
      <c r="B107" s="227" t="s">
        <v>478</v>
      </c>
      <c r="C107" s="4"/>
      <c r="D107" s="4"/>
      <c r="E107" s="4"/>
      <c r="F107" s="4"/>
      <c r="G107" s="4"/>
      <c r="H107" s="388">
        <f>'Statement AF-WP'!K13</f>
        <v>-439351</v>
      </c>
      <c r="I107" s="10"/>
      <c r="J107" s="21" t="s">
        <v>1039</v>
      </c>
      <c r="K107" s="266">
        <f t="shared" ref="K107:K115" si="11">K106+1</f>
        <v>3</v>
      </c>
    </row>
    <row r="108" spans="1:11" ht="15.75">
      <c r="A108" s="228">
        <f t="shared" si="10"/>
        <v>4</v>
      </c>
      <c r="B108" s="227"/>
      <c r="C108" s="4"/>
      <c r="D108" s="4"/>
      <c r="E108" s="4"/>
      <c r="F108" s="4"/>
      <c r="G108" s="4"/>
      <c r="H108" s="12"/>
      <c r="I108" s="10"/>
      <c r="J108" s="21"/>
      <c r="K108" s="266">
        <f t="shared" si="11"/>
        <v>4</v>
      </c>
    </row>
    <row r="109" spans="1:11" ht="16.5" thickBot="1">
      <c r="A109" s="228">
        <f t="shared" si="10"/>
        <v>5</v>
      </c>
      <c r="B109" s="227" t="s">
        <v>479</v>
      </c>
      <c r="C109" s="4"/>
      <c r="D109" s="4"/>
      <c r="E109" s="4"/>
      <c r="F109" s="4"/>
      <c r="G109" s="4"/>
      <c r="H109" s="71">
        <f>+H105+H107</f>
        <v>-745603</v>
      </c>
      <c r="I109" s="10"/>
      <c r="J109" s="19" t="s">
        <v>316</v>
      </c>
      <c r="K109" s="266">
        <f t="shared" si="11"/>
        <v>5</v>
      </c>
    </row>
    <row r="110" spans="1:11" ht="16.5" thickTop="1">
      <c r="A110" s="228">
        <f t="shared" si="10"/>
        <v>6</v>
      </c>
      <c r="B110" s="4"/>
      <c r="C110" s="4"/>
      <c r="D110" s="4"/>
      <c r="E110" s="4"/>
      <c r="F110" s="4"/>
      <c r="G110" s="4"/>
      <c r="H110" s="12"/>
      <c r="I110" s="10"/>
      <c r="J110" s="10"/>
      <c r="K110" s="266">
        <f t="shared" si="11"/>
        <v>6</v>
      </c>
    </row>
    <row r="111" spans="1:11" ht="16.5" thickBot="1">
      <c r="A111" s="228">
        <f t="shared" si="10"/>
        <v>7</v>
      </c>
      <c r="B111" s="227" t="s">
        <v>430</v>
      </c>
      <c r="C111" s="4"/>
      <c r="D111" s="4"/>
      <c r="E111" s="4"/>
      <c r="F111" s="4"/>
      <c r="G111" s="4"/>
      <c r="H111" s="705">
        <f>'Statement AF-WP'!K18</f>
        <v>0</v>
      </c>
      <c r="I111" s="10"/>
      <c r="J111" s="21" t="s">
        <v>1040</v>
      </c>
      <c r="K111" s="266">
        <f t="shared" si="11"/>
        <v>7</v>
      </c>
    </row>
    <row r="112" spans="1:11" ht="16.5" thickTop="1">
      <c r="A112" s="344">
        <f t="shared" si="10"/>
        <v>8</v>
      </c>
      <c r="B112" s="227"/>
      <c r="C112" s="4"/>
      <c r="D112" s="4"/>
      <c r="E112" s="4"/>
      <c r="F112" s="4"/>
      <c r="G112" s="4"/>
      <c r="H112" s="486"/>
      <c r="I112" s="10"/>
      <c r="J112" s="21"/>
      <c r="K112" s="344">
        <f t="shared" si="11"/>
        <v>8</v>
      </c>
    </row>
    <row r="113" spans="1:11" ht="16.5" thickBot="1">
      <c r="A113" s="344">
        <f t="shared" si="10"/>
        <v>9</v>
      </c>
      <c r="B113" s="102" t="s">
        <v>788</v>
      </c>
      <c r="C113" s="4"/>
      <c r="D113" s="4"/>
      <c r="E113" s="4"/>
      <c r="F113" s="4"/>
      <c r="G113" s="4"/>
      <c r="H113" s="475">
        <f>'Statement AF-WP'!K20</f>
        <v>0</v>
      </c>
      <c r="I113" s="10"/>
      <c r="J113" s="21" t="s">
        <v>1041</v>
      </c>
      <c r="K113" s="344">
        <f t="shared" si="11"/>
        <v>9</v>
      </c>
    </row>
    <row r="114" spans="1:11" ht="16.5" thickTop="1">
      <c r="A114" s="344">
        <f t="shared" si="10"/>
        <v>10</v>
      </c>
      <c r="B114" s="4"/>
      <c r="C114" s="4"/>
      <c r="D114" s="4"/>
      <c r="E114" s="4"/>
      <c r="F114" s="4"/>
      <c r="G114" s="4"/>
      <c r="H114" s="186"/>
      <c r="I114" s="10"/>
      <c r="J114" s="19"/>
      <c r="K114" s="344">
        <f t="shared" si="11"/>
        <v>10</v>
      </c>
    </row>
    <row r="115" spans="1:11" ht="16.5" thickBot="1">
      <c r="A115" s="344">
        <f t="shared" si="10"/>
        <v>11</v>
      </c>
      <c r="B115" s="102" t="s">
        <v>787</v>
      </c>
      <c r="C115" s="4"/>
      <c r="D115" s="4"/>
      <c r="E115" s="4"/>
      <c r="F115" s="4"/>
      <c r="G115" s="4"/>
      <c r="H115" s="705">
        <f>'Statement AF-WP'!K22</f>
        <v>0</v>
      </c>
      <c r="I115" s="10"/>
      <c r="J115" s="21" t="s">
        <v>1042</v>
      </c>
      <c r="K115" s="344">
        <f t="shared" si="11"/>
        <v>11</v>
      </c>
    </row>
    <row r="116" spans="1:11" ht="16.5" thickTop="1">
      <c r="A116" s="344"/>
      <c r="B116" s="4"/>
      <c r="C116" s="4"/>
      <c r="D116" s="4"/>
      <c r="E116" s="4"/>
      <c r="F116" s="4"/>
      <c r="G116" s="4"/>
      <c r="H116" s="186"/>
      <c r="I116" s="10"/>
      <c r="J116" s="19"/>
      <c r="K116" s="344"/>
    </row>
    <row r="117" spans="1:11" ht="15.75">
      <c r="A117" s="3"/>
      <c r="B117" s="4"/>
      <c r="C117" s="4"/>
      <c r="D117" s="4"/>
      <c r="E117" s="4"/>
      <c r="F117" s="4"/>
      <c r="G117" s="4"/>
      <c r="H117" s="4"/>
      <c r="I117" s="10"/>
      <c r="J117" s="10"/>
      <c r="K117" s="266"/>
    </row>
    <row r="118" spans="1:11" ht="15.75">
      <c r="A118" s="3"/>
      <c r="B118" s="1161" t="s">
        <v>42</v>
      </c>
      <c r="C118" s="1161"/>
      <c r="D118" s="1161"/>
      <c r="E118" s="1161"/>
      <c r="F118" s="1161"/>
      <c r="G118" s="1161"/>
      <c r="H118" s="1161"/>
      <c r="I118" s="1156"/>
      <c r="J118" s="1156"/>
      <c r="K118" s="266"/>
    </row>
    <row r="119" spans="1:11" ht="15.75">
      <c r="A119" s="3"/>
      <c r="B119" s="1161" t="s">
        <v>241</v>
      </c>
      <c r="C119" s="1161"/>
      <c r="D119" s="1161"/>
      <c r="E119" s="1161"/>
      <c r="F119" s="1161"/>
      <c r="G119" s="1161"/>
      <c r="H119" s="1161"/>
      <c r="I119" s="1160"/>
      <c r="J119" s="1160"/>
      <c r="K119" s="10"/>
    </row>
    <row r="120" spans="1:11" ht="15.75">
      <c r="A120" s="3"/>
      <c r="B120" s="1161" t="s">
        <v>240</v>
      </c>
      <c r="C120" s="1161"/>
      <c r="D120" s="1161"/>
      <c r="E120" s="1161"/>
      <c r="F120" s="1161"/>
      <c r="G120" s="1161"/>
      <c r="H120" s="1161"/>
      <c r="I120" s="1156"/>
      <c r="J120" s="1156"/>
      <c r="K120" s="266"/>
    </row>
    <row r="121" spans="1:11" ht="15.75">
      <c r="A121" s="3"/>
      <c r="B121" s="1157" t="str">
        <f>B5</f>
        <v>Base Period &amp; True-Up Period 12 - Months Ending December 31, 2015</v>
      </c>
      <c r="C121" s="1157"/>
      <c r="D121" s="1157"/>
      <c r="E121" s="1157"/>
      <c r="F121" s="1157"/>
      <c r="G121" s="1157"/>
      <c r="H121" s="1157"/>
      <c r="I121" s="1158"/>
      <c r="J121" s="1158"/>
      <c r="K121" s="266"/>
    </row>
    <row r="122" spans="1:11">
      <c r="B122" s="1159" t="s">
        <v>72</v>
      </c>
      <c r="C122" s="1160"/>
      <c r="D122" s="1160"/>
      <c r="E122" s="1160"/>
      <c r="F122" s="1160"/>
      <c r="G122" s="1160"/>
      <c r="H122" s="1160"/>
      <c r="I122" s="1160"/>
      <c r="J122" s="1160"/>
    </row>
    <row r="123" spans="1:11" ht="15.75">
      <c r="B123" s="241"/>
      <c r="C123" s="245"/>
      <c r="D123" s="245"/>
      <c r="E123" s="245"/>
      <c r="F123" s="245"/>
      <c r="G123" s="245"/>
      <c r="H123" s="390"/>
      <c r="I123" s="245"/>
      <c r="J123" s="278"/>
    </row>
    <row r="124" spans="1:11" ht="15.75">
      <c r="A124" s="3" t="s">
        <v>62</v>
      </c>
      <c r="B124" s="224"/>
      <c r="C124" s="225"/>
      <c r="D124" s="225"/>
      <c r="E124" s="225"/>
      <c r="F124" s="225"/>
      <c r="G124" s="225"/>
      <c r="H124" s="166"/>
      <c r="I124" s="10"/>
      <c r="J124" s="10"/>
      <c r="K124" s="266" t="s">
        <v>62</v>
      </c>
    </row>
    <row r="125" spans="1:11" ht="15.75">
      <c r="A125" s="77" t="s">
        <v>73</v>
      </c>
      <c r="B125" s="4"/>
      <c r="C125" s="4"/>
      <c r="D125" s="4"/>
      <c r="E125" s="4"/>
      <c r="F125" s="4"/>
      <c r="G125" s="4"/>
      <c r="H125" s="33" t="s">
        <v>69</v>
      </c>
      <c r="I125" s="2"/>
      <c r="J125" s="33" t="s">
        <v>65</v>
      </c>
      <c r="K125" s="77" t="s">
        <v>73</v>
      </c>
    </row>
    <row r="126" spans="1:11" ht="15.75">
      <c r="A126" s="86"/>
      <c r="B126" s="4"/>
      <c r="C126" s="4"/>
      <c r="D126" s="4"/>
      <c r="E126" s="4"/>
      <c r="F126" s="4"/>
      <c r="G126" s="4"/>
      <c r="H126" s="4"/>
      <c r="I126" s="10"/>
      <c r="J126" s="10"/>
      <c r="K126" s="86"/>
    </row>
    <row r="127" spans="1:11" ht="18" thickBot="1">
      <c r="A127" s="3">
        <v>1</v>
      </c>
      <c r="B127" s="226" t="s">
        <v>380</v>
      </c>
      <c r="C127" s="4"/>
      <c r="D127" s="4"/>
      <c r="E127" s="4"/>
      <c r="F127" s="4"/>
      <c r="G127" s="4"/>
      <c r="H127" s="705">
        <f>'Statement AG-WP'!K11</f>
        <v>5859.8561965384633</v>
      </c>
      <c r="I127" s="274"/>
      <c r="J127" s="21" t="s">
        <v>1043</v>
      </c>
      <c r="K127" s="266">
        <v>1</v>
      </c>
    </row>
    <row r="128" spans="1:11" ht="16.5" thickTop="1">
      <c r="A128" s="344"/>
      <c r="B128" s="4"/>
      <c r="C128" s="4"/>
      <c r="D128" s="4"/>
      <c r="E128" s="4"/>
      <c r="F128" s="4"/>
      <c r="G128" s="4"/>
      <c r="H128" s="186"/>
      <c r="I128" s="10"/>
      <c r="J128" s="10"/>
      <c r="K128" s="344"/>
    </row>
    <row r="129" spans="1:11" ht="15.75">
      <c r="A129" s="3"/>
      <c r="B129" s="4"/>
      <c r="C129" s="4"/>
      <c r="D129" s="4"/>
      <c r="E129" s="4"/>
      <c r="F129" s="4"/>
      <c r="G129" s="4"/>
      <c r="H129" s="186"/>
      <c r="I129" s="10"/>
      <c r="J129" s="10"/>
      <c r="K129" s="266"/>
    </row>
    <row r="130" spans="1:11" ht="18.75">
      <c r="A130" s="239" t="s">
        <v>194</v>
      </c>
      <c r="B130" s="4" t="s">
        <v>375</v>
      </c>
      <c r="C130" s="4"/>
      <c r="D130" s="4"/>
      <c r="E130" s="4"/>
      <c r="F130" s="4"/>
      <c r="G130" s="4"/>
      <c r="H130" s="79"/>
      <c r="I130" s="10"/>
      <c r="J130" s="21"/>
      <c r="K130" s="266"/>
    </row>
    <row r="131" spans="1:11" ht="15.75">
      <c r="A131" s="274"/>
      <c r="B131" s="50"/>
      <c r="C131" s="4"/>
      <c r="D131" s="4"/>
      <c r="E131" s="4"/>
      <c r="F131" s="4"/>
      <c r="G131" s="4"/>
      <c r="H131" s="4"/>
      <c r="I131" s="10"/>
      <c r="J131" s="10"/>
      <c r="K131" s="344"/>
    </row>
    <row r="132" spans="1:11" ht="15.75">
      <c r="A132" s="3"/>
      <c r="B132" s="2"/>
      <c r="C132" s="2"/>
      <c r="D132" s="2"/>
      <c r="E132" s="2"/>
      <c r="F132" s="2"/>
      <c r="G132" s="2"/>
      <c r="H132" s="87"/>
      <c r="I132" s="10"/>
      <c r="J132" s="10"/>
      <c r="K132" s="266"/>
    </row>
    <row r="133" spans="1:11" ht="15.75">
      <c r="A133" s="10"/>
      <c r="B133" s="1161" t="s">
        <v>42</v>
      </c>
      <c r="C133" s="1161"/>
      <c r="D133" s="1161"/>
      <c r="E133" s="1161"/>
      <c r="F133" s="1161"/>
      <c r="G133" s="1161"/>
      <c r="H133" s="1161"/>
      <c r="I133" s="1156"/>
      <c r="J133" s="1156"/>
      <c r="K133" s="10"/>
    </row>
    <row r="134" spans="1:11" ht="15.75">
      <c r="A134" s="10"/>
      <c r="B134" s="1161" t="s">
        <v>47</v>
      </c>
      <c r="C134" s="1161"/>
      <c r="D134" s="1161"/>
      <c r="E134" s="1161"/>
      <c r="F134" s="1161"/>
      <c r="G134" s="1161"/>
      <c r="H134" s="1161"/>
      <c r="I134" s="1160"/>
      <c r="J134" s="1160"/>
      <c r="K134" s="10"/>
    </row>
    <row r="135" spans="1:11" ht="15.75">
      <c r="A135" s="10"/>
      <c r="B135" s="1161" t="s">
        <v>48</v>
      </c>
      <c r="C135" s="1161"/>
      <c r="D135" s="1161"/>
      <c r="E135" s="1161"/>
      <c r="F135" s="1161"/>
      <c r="G135" s="1161"/>
      <c r="H135" s="1161"/>
      <c r="I135" s="1156"/>
      <c r="J135" s="1156"/>
      <c r="K135" s="10"/>
    </row>
    <row r="136" spans="1:11" ht="15.75">
      <c r="A136" s="10"/>
      <c r="B136" s="1157" t="str">
        <f>B5</f>
        <v>Base Period &amp; True-Up Period 12 - Months Ending December 31, 2015</v>
      </c>
      <c r="C136" s="1157"/>
      <c r="D136" s="1157"/>
      <c r="E136" s="1157"/>
      <c r="F136" s="1157"/>
      <c r="G136" s="1157"/>
      <c r="H136" s="1157"/>
      <c r="I136" s="1158"/>
      <c r="J136" s="1158"/>
      <c r="K136" s="10"/>
    </row>
    <row r="137" spans="1:11">
      <c r="B137" s="1159" t="s">
        <v>72</v>
      </c>
      <c r="C137" s="1160"/>
      <c r="D137" s="1160"/>
      <c r="E137" s="1160"/>
      <c r="F137" s="1160"/>
      <c r="G137" s="1160"/>
      <c r="H137" s="1160"/>
      <c r="I137" s="1160"/>
      <c r="J137" s="1160"/>
    </row>
    <row r="138" spans="1:11" ht="15.75">
      <c r="B138" s="241"/>
      <c r="C138" s="245"/>
      <c r="D138" s="245"/>
      <c r="E138" s="245"/>
      <c r="F138" s="245"/>
      <c r="G138" s="245"/>
      <c r="H138" s="390"/>
      <c r="I138" s="245"/>
      <c r="J138" s="278"/>
    </row>
    <row r="139" spans="1:11" ht="15.75">
      <c r="A139" s="10" t="s">
        <v>62</v>
      </c>
      <c r="B139" s="224"/>
      <c r="C139" s="225"/>
      <c r="D139" s="225"/>
      <c r="E139" s="225"/>
      <c r="F139" s="225"/>
      <c r="G139" s="225"/>
      <c r="H139" s="166"/>
      <c r="I139" s="229"/>
      <c r="J139" s="10"/>
      <c r="K139" s="10" t="s">
        <v>62</v>
      </c>
    </row>
    <row r="140" spans="1:11" ht="15.75">
      <c r="A140" s="77" t="s">
        <v>63</v>
      </c>
      <c r="B140" s="4"/>
      <c r="C140" s="3" t="s">
        <v>39</v>
      </c>
      <c r="D140" s="3"/>
      <c r="E140" s="3"/>
      <c r="F140" s="3"/>
      <c r="G140" s="3"/>
      <c r="H140" s="33" t="s">
        <v>69</v>
      </c>
      <c r="I140" s="2"/>
      <c r="J140" s="33" t="s">
        <v>65</v>
      </c>
      <c r="K140" s="77" t="s">
        <v>63</v>
      </c>
    </row>
    <row r="141" spans="1:11" ht="15.75">
      <c r="A141" s="87"/>
      <c r="B141" s="4"/>
      <c r="C141" s="3"/>
      <c r="D141" s="3"/>
      <c r="E141" s="3"/>
      <c r="F141" s="3"/>
      <c r="G141" s="3"/>
      <c r="H141" s="48"/>
      <c r="I141" s="2"/>
      <c r="J141" s="48"/>
      <c r="K141" s="87"/>
    </row>
    <row r="142" spans="1:11" ht="15.75">
      <c r="A142" s="3">
        <v>1</v>
      </c>
      <c r="B142" s="90" t="s">
        <v>16</v>
      </c>
      <c r="C142" s="4"/>
      <c r="D142" s="4"/>
      <c r="E142" s="4"/>
      <c r="F142" s="4"/>
      <c r="G142" s="4"/>
      <c r="H142" s="4"/>
      <c r="I142" s="10"/>
      <c r="J142" s="10"/>
      <c r="K142" s="266">
        <v>1</v>
      </c>
    </row>
    <row r="143" spans="1:11" ht="15.75">
      <c r="A143" s="3">
        <f>+A142+1</f>
        <v>2</v>
      </c>
      <c r="B143" s="5" t="s">
        <v>814</v>
      </c>
      <c r="C143" s="4"/>
      <c r="D143" s="4"/>
      <c r="E143" s="4"/>
      <c r="F143" s="4"/>
      <c r="G143" s="4"/>
      <c r="H143" s="389">
        <f>'Statement AH-WP'!H12</f>
        <v>85341.097000000009</v>
      </c>
      <c r="I143" s="35"/>
      <c r="J143" s="19" t="s">
        <v>1044</v>
      </c>
      <c r="K143" s="266">
        <f>+K142+1</f>
        <v>2</v>
      </c>
    </row>
    <row r="144" spans="1:11" ht="15.75">
      <c r="A144" s="344">
        <f t="shared" ref="A144:A151" si="12">+A143+1</f>
        <v>3</v>
      </c>
      <c r="B144" s="7" t="s">
        <v>815</v>
      </c>
      <c r="C144" s="4"/>
      <c r="D144" s="4"/>
      <c r="E144" s="4"/>
      <c r="F144" s="4"/>
      <c r="G144" s="4"/>
      <c r="H144" s="169"/>
      <c r="I144" s="35"/>
      <c r="J144" s="19"/>
      <c r="K144" s="344">
        <f t="shared" ref="K144:K152" si="13">+K143+1</f>
        <v>3</v>
      </c>
    </row>
    <row r="145" spans="1:11" ht="15.75">
      <c r="A145" s="344">
        <f t="shared" si="12"/>
        <v>4</v>
      </c>
      <c r="B145" s="5" t="s">
        <v>795</v>
      </c>
      <c r="C145" s="4"/>
      <c r="D145" s="4"/>
      <c r="E145" s="4"/>
      <c r="F145" s="4"/>
      <c r="G145" s="4"/>
      <c r="H145" s="391">
        <f>'Statement AH-WP'!H14</f>
        <v>-6719.1620500000008</v>
      </c>
      <c r="I145" s="35"/>
      <c r="J145" s="19" t="s">
        <v>1045</v>
      </c>
      <c r="K145" s="344">
        <f t="shared" si="13"/>
        <v>4</v>
      </c>
    </row>
    <row r="146" spans="1:11" ht="15.75">
      <c r="A146" s="344">
        <f t="shared" si="12"/>
        <v>5</v>
      </c>
      <c r="B146" s="5" t="s">
        <v>796</v>
      </c>
      <c r="C146" s="5"/>
      <c r="D146" s="5"/>
      <c r="E146" s="5"/>
      <c r="F146" s="5"/>
      <c r="G146" s="5"/>
      <c r="H146" s="391">
        <f>'Statement AH-WP'!H15</f>
        <v>-3031.2467700000002</v>
      </c>
      <c r="I146" s="37"/>
      <c r="J146" s="19" t="s">
        <v>1046</v>
      </c>
      <c r="K146" s="344">
        <f t="shared" si="13"/>
        <v>5</v>
      </c>
    </row>
    <row r="147" spans="1:11" ht="15.75">
      <c r="A147" s="344">
        <f t="shared" si="12"/>
        <v>6</v>
      </c>
      <c r="B147" s="5" t="s">
        <v>797</v>
      </c>
      <c r="C147" s="4"/>
      <c r="D147" s="4"/>
      <c r="E147" s="4"/>
      <c r="F147" s="4"/>
      <c r="G147" s="4"/>
      <c r="H147" s="391">
        <f>'Statement AH-WP'!H16</f>
        <v>0</v>
      </c>
      <c r="I147" s="35"/>
      <c r="J147" s="19" t="s">
        <v>1047</v>
      </c>
      <c r="K147" s="344">
        <f t="shared" si="13"/>
        <v>6</v>
      </c>
    </row>
    <row r="148" spans="1:11" ht="15.75">
      <c r="A148" s="344">
        <f t="shared" si="12"/>
        <v>7</v>
      </c>
      <c r="B148" s="5" t="s">
        <v>798</v>
      </c>
      <c r="C148" s="4"/>
      <c r="D148" s="4"/>
      <c r="E148" s="4"/>
      <c r="F148" s="4"/>
      <c r="G148" s="4"/>
      <c r="H148" s="391">
        <f>'Statement AH-WP'!H17</f>
        <v>-7436.97775</v>
      </c>
      <c r="I148" s="35"/>
      <c r="J148" s="19" t="s">
        <v>1048</v>
      </c>
      <c r="K148" s="344">
        <f t="shared" si="13"/>
        <v>7</v>
      </c>
    </row>
    <row r="149" spans="1:11" ht="15.75">
      <c r="A149" s="344">
        <f t="shared" si="12"/>
        <v>8</v>
      </c>
      <c r="B149" s="5" t="s">
        <v>925</v>
      </c>
      <c r="C149" s="4"/>
      <c r="D149" s="4"/>
      <c r="E149" s="4"/>
      <c r="F149" s="4"/>
      <c r="G149" s="4"/>
      <c r="H149" s="396">
        <f>'Statement AH-WP'!H18</f>
        <v>0</v>
      </c>
      <c r="I149" s="35"/>
      <c r="J149" s="19" t="s">
        <v>1049</v>
      </c>
      <c r="K149" s="344">
        <f t="shared" si="13"/>
        <v>8</v>
      </c>
    </row>
    <row r="150" spans="1:11" ht="15.75">
      <c r="A150" s="344">
        <f t="shared" si="12"/>
        <v>9</v>
      </c>
      <c r="B150" s="4" t="s">
        <v>799</v>
      </c>
      <c r="C150" s="4"/>
      <c r="D150" s="4"/>
      <c r="E150" s="4"/>
      <c r="F150" s="4"/>
      <c r="G150" s="4"/>
      <c r="H150" s="74">
        <f>SUM(H143:H149)</f>
        <v>68153.710430000006</v>
      </c>
      <c r="I150" s="55"/>
      <c r="J150" s="21" t="s">
        <v>794</v>
      </c>
      <c r="K150" s="344">
        <f t="shared" si="13"/>
        <v>9</v>
      </c>
    </row>
    <row r="151" spans="1:11" ht="15.75">
      <c r="A151" s="344">
        <f t="shared" si="12"/>
        <v>10</v>
      </c>
      <c r="B151" s="4"/>
      <c r="C151" s="4"/>
      <c r="D151" s="4"/>
      <c r="E151" s="4"/>
      <c r="F151" s="4"/>
      <c r="G151" s="4"/>
      <c r="H151" s="4"/>
      <c r="I151" s="4"/>
      <c r="J151" s="4"/>
      <c r="K151" s="344">
        <f t="shared" si="13"/>
        <v>10</v>
      </c>
    </row>
    <row r="152" spans="1:11" ht="15.75">
      <c r="A152" s="228">
        <f t="shared" ref="A152:A167" si="14">+A151+1</f>
        <v>11</v>
      </c>
      <c r="B152" s="91" t="s">
        <v>17</v>
      </c>
      <c r="C152" s="3"/>
      <c r="D152" s="4"/>
      <c r="E152" s="5"/>
      <c r="F152" s="5"/>
      <c r="G152" s="5"/>
      <c r="H152" s="28"/>
      <c r="I152" s="41"/>
      <c r="J152" s="19"/>
      <c r="K152" s="344">
        <f t="shared" si="13"/>
        <v>11</v>
      </c>
    </row>
    <row r="153" spans="1:11" ht="15.75">
      <c r="A153" s="228">
        <f t="shared" si="14"/>
        <v>12</v>
      </c>
      <c r="B153" s="7" t="s">
        <v>522</v>
      </c>
      <c r="C153" s="3"/>
      <c r="D153" s="4"/>
      <c r="E153" s="5"/>
      <c r="F153" s="5"/>
      <c r="G153" s="5"/>
      <c r="H153" s="389">
        <f>'Statement AH-WP'!H22</f>
        <v>330182.54595999996</v>
      </c>
      <c r="I153" s="274"/>
      <c r="J153" s="19" t="s">
        <v>1050</v>
      </c>
      <c r="K153" s="266">
        <f t="shared" ref="K153:K173" si="15">+K152+1</f>
        <v>12</v>
      </c>
    </row>
    <row r="154" spans="1:11" ht="15.75">
      <c r="A154" s="228">
        <f t="shared" si="14"/>
        <v>13</v>
      </c>
      <c r="B154" s="7" t="s">
        <v>523</v>
      </c>
      <c r="C154" s="3"/>
      <c r="D154" s="4"/>
      <c r="E154" s="5"/>
      <c r="F154" s="5"/>
      <c r="G154" s="5"/>
      <c r="H154" s="75" t="s">
        <v>39</v>
      </c>
      <c r="I154" s="37"/>
      <c r="J154" s="19"/>
      <c r="K154" s="266">
        <f t="shared" si="15"/>
        <v>13</v>
      </c>
    </row>
    <row r="155" spans="1:11" ht="15.75">
      <c r="A155" s="228">
        <f t="shared" si="14"/>
        <v>14</v>
      </c>
      <c r="B155" s="7" t="s">
        <v>524</v>
      </c>
      <c r="C155" s="3"/>
      <c r="D155" s="4"/>
      <c r="E155" s="5"/>
      <c r="F155" s="5"/>
      <c r="G155" s="5"/>
      <c r="H155" s="391">
        <f>'Statement AH-WP'!H24</f>
        <v>1102.5918800000002</v>
      </c>
      <c r="I155" s="37"/>
      <c r="J155" s="19" t="s">
        <v>1051</v>
      </c>
      <c r="K155" s="266">
        <f t="shared" si="15"/>
        <v>14</v>
      </c>
    </row>
    <row r="156" spans="1:11" ht="15.75">
      <c r="A156" s="272">
        <f t="shared" si="14"/>
        <v>15</v>
      </c>
      <c r="B156" s="7" t="s">
        <v>299</v>
      </c>
      <c r="C156" s="272"/>
      <c r="D156" s="4"/>
      <c r="E156" s="5"/>
      <c r="F156" s="5"/>
      <c r="G156" s="5"/>
      <c r="H156" s="391">
        <f>'Statement AH-WP'!H25</f>
        <v>0</v>
      </c>
      <c r="I156" s="37"/>
      <c r="J156" s="19" t="s">
        <v>1052</v>
      </c>
      <c r="K156" s="272">
        <f t="shared" si="15"/>
        <v>15</v>
      </c>
    </row>
    <row r="157" spans="1:11" ht="15.75">
      <c r="A157" s="344">
        <f t="shared" si="14"/>
        <v>16</v>
      </c>
      <c r="B157" s="7" t="s">
        <v>759</v>
      </c>
      <c r="C157" s="266"/>
      <c r="D157" s="4"/>
      <c r="E157" s="5"/>
      <c r="F157" s="5"/>
      <c r="G157" s="5"/>
      <c r="H157" s="391">
        <f>'Statement AH-WP'!H26</f>
        <v>0</v>
      </c>
      <c r="I157" s="995"/>
      <c r="J157" s="19" t="s">
        <v>1053</v>
      </c>
      <c r="K157" s="344">
        <f t="shared" si="15"/>
        <v>16</v>
      </c>
    </row>
    <row r="158" spans="1:11" ht="18.75">
      <c r="A158" s="273">
        <f t="shared" si="14"/>
        <v>17</v>
      </c>
      <c r="B158" s="7" t="s">
        <v>829</v>
      </c>
      <c r="C158" s="273"/>
      <c r="D158" s="4"/>
      <c r="E158" s="5"/>
      <c r="F158" s="5"/>
      <c r="G158" s="5"/>
      <c r="H158" s="391">
        <f>'Statement AH-WP'!H27</f>
        <v>0</v>
      </c>
      <c r="I158" s="37"/>
      <c r="J158" s="19" t="s">
        <v>818</v>
      </c>
      <c r="K158" s="273">
        <f t="shared" si="15"/>
        <v>17</v>
      </c>
    </row>
    <row r="159" spans="1:11" ht="15.75">
      <c r="A159" s="273">
        <f t="shared" si="14"/>
        <v>18</v>
      </c>
      <c r="B159" s="7" t="s">
        <v>800</v>
      </c>
      <c r="C159" s="266"/>
      <c r="D159" s="4"/>
      <c r="E159" s="5"/>
      <c r="F159" s="5"/>
      <c r="G159" s="5"/>
      <c r="H159" s="391">
        <f>'Statement AH-WP'!H28</f>
        <v>-1112.4345899999998</v>
      </c>
      <c r="I159" s="37"/>
      <c r="J159" s="19" t="s">
        <v>1054</v>
      </c>
      <c r="K159" s="273">
        <f t="shared" si="15"/>
        <v>18</v>
      </c>
    </row>
    <row r="160" spans="1:11" ht="15.75">
      <c r="A160" s="344">
        <f t="shared" si="14"/>
        <v>19</v>
      </c>
      <c r="B160" s="7" t="s">
        <v>258</v>
      </c>
      <c r="C160" s="3"/>
      <c r="D160" s="4"/>
      <c r="E160" s="5"/>
      <c r="F160" s="5"/>
      <c r="G160" s="5"/>
      <c r="H160" s="391">
        <f>'Statement AH-WP'!H29</f>
        <v>-4565.8067599999995</v>
      </c>
      <c r="I160" s="274"/>
      <c r="J160" s="19" t="s">
        <v>1055</v>
      </c>
      <c r="K160" s="344">
        <f t="shared" si="15"/>
        <v>19</v>
      </c>
    </row>
    <row r="161" spans="1:11" ht="15.75">
      <c r="A161" s="344">
        <f t="shared" si="14"/>
        <v>20</v>
      </c>
      <c r="B161" s="7" t="s">
        <v>776</v>
      </c>
      <c r="C161" s="272"/>
      <c r="D161" s="4"/>
      <c r="E161" s="5"/>
      <c r="F161" s="5"/>
      <c r="G161" s="5"/>
      <c r="H161" s="391">
        <f>'Statement AH-WP'!H30</f>
        <v>-136.09141</v>
      </c>
      <c r="I161" s="37"/>
      <c r="J161" s="19" t="s">
        <v>1056</v>
      </c>
      <c r="K161" s="344">
        <f t="shared" si="15"/>
        <v>20</v>
      </c>
    </row>
    <row r="162" spans="1:11" ht="15.75">
      <c r="A162" s="344">
        <f t="shared" si="14"/>
        <v>21</v>
      </c>
      <c r="B162" s="7" t="s">
        <v>259</v>
      </c>
      <c r="C162" s="4"/>
      <c r="D162" s="4"/>
      <c r="E162" s="4"/>
      <c r="F162" s="4"/>
      <c r="G162" s="4"/>
      <c r="H162" s="391">
        <f>'Statement AH-WP'!H31</f>
        <v>-80.447010000000006</v>
      </c>
      <c r="I162" s="274"/>
      <c r="J162" s="19" t="s">
        <v>1057</v>
      </c>
      <c r="K162" s="344">
        <f t="shared" si="15"/>
        <v>21</v>
      </c>
    </row>
    <row r="163" spans="1:11" ht="15.75">
      <c r="A163" s="344">
        <f t="shared" si="14"/>
        <v>22</v>
      </c>
      <c r="B163" s="7" t="s">
        <v>260</v>
      </c>
      <c r="C163" s="4"/>
      <c r="D163" s="4"/>
      <c r="E163" s="4"/>
      <c r="F163" s="4"/>
      <c r="G163" s="4"/>
      <c r="H163" s="391">
        <f>'Statement AH-WP'!H32</f>
        <v>-11342.476760000001</v>
      </c>
      <c r="I163" s="274"/>
      <c r="J163" s="19" t="s">
        <v>1058</v>
      </c>
      <c r="K163" s="344">
        <f t="shared" si="15"/>
        <v>22</v>
      </c>
    </row>
    <row r="164" spans="1:11" ht="15.75">
      <c r="A164" s="344">
        <f t="shared" si="14"/>
        <v>23</v>
      </c>
      <c r="B164" s="7" t="s">
        <v>261</v>
      </c>
      <c r="C164" s="4"/>
      <c r="D164" s="4"/>
      <c r="E164" s="4"/>
      <c r="F164" s="4"/>
      <c r="G164" s="4"/>
      <c r="H164" s="391">
        <f>'Statement AH-WP'!H33</f>
        <v>-180.42536000000001</v>
      </c>
      <c r="I164" s="37"/>
      <c r="J164" s="19" t="s">
        <v>1059</v>
      </c>
      <c r="K164" s="344">
        <f t="shared" si="15"/>
        <v>23</v>
      </c>
    </row>
    <row r="165" spans="1:11" ht="15.75">
      <c r="A165" s="344">
        <f t="shared" si="14"/>
        <v>24</v>
      </c>
      <c r="B165" s="7" t="s">
        <v>262</v>
      </c>
      <c r="C165" s="3"/>
      <c r="D165" s="4"/>
      <c r="E165" s="5"/>
      <c r="F165" s="5"/>
      <c r="G165" s="5"/>
      <c r="H165" s="399">
        <f>'Statement AH-WP'!H34</f>
        <v>-60.486640000000001</v>
      </c>
      <c r="I165" s="10"/>
      <c r="J165" s="19" t="s">
        <v>1060</v>
      </c>
      <c r="K165" s="344">
        <f t="shared" si="15"/>
        <v>24</v>
      </c>
    </row>
    <row r="166" spans="1:11" ht="15.75">
      <c r="A166" s="344">
        <f t="shared" si="14"/>
        <v>25</v>
      </c>
      <c r="B166" s="7" t="s">
        <v>1132</v>
      </c>
      <c r="C166" s="344"/>
      <c r="D166" s="4"/>
      <c r="E166" s="5"/>
      <c r="F166" s="5"/>
      <c r="G166" s="5"/>
      <c r="H166" s="396">
        <f>'Statement AH-WP'!H35</f>
        <v>-914.71908999999994</v>
      </c>
      <c r="I166" s="274"/>
      <c r="J166" s="19" t="s">
        <v>1061</v>
      </c>
      <c r="K166" s="344">
        <f t="shared" si="15"/>
        <v>25</v>
      </c>
    </row>
    <row r="167" spans="1:11" ht="15.75">
      <c r="A167" s="344">
        <f t="shared" si="14"/>
        <v>26</v>
      </c>
      <c r="B167" s="7" t="s">
        <v>801</v>
      </c>
      <c r="C167" s="3"/>
      <c r="D167" s="4"/>
      <c r="E167" s="5"/>
      <c r="F167" s="5"/>
      <c r="G167" s="5"/>
      <c r="H167" s="64">
        <f>SUM(H153:H166)</f>
        <v>312892.25021999993</v>
      </c>
      <c r="I167" s="995"/>
      <c r="J167" s="21" t="s">
        <v>802</v>
      </c>
      <c r="K167" s="344">
        <f t="shared" si="15"/>
        <v>26</v>
      </c>
    </row>
    <row r="168" spans="1:11" ht="15.75">
      <c r="A168" s="228">
        <f t="shared" ref="A168:A172" si="16">+A167+1</f>
        <v>27</v>
      </c>
      <c r="B168" s="7" t="s">
        <v>809</v>
      </c>
      <c r="C168" s="228"/>
      <c r="D168" s="4"/>
      <c r="E168" s="5"/>
      <c r="F168" s="5"/>
      <c r="G168" s="5"/>
      <c r="H168" s="396">
        <f>'Statement AH-WP'!H37</f>
        <v>-5855.2953999999991</v>
      </c>
      <c r="I168" s="274"/>
      <c r="J168" s="19" t="s">
        <v>1062</v>
      </c>
      <c r="K168" s="344">
        <f t="shared" si="15"/>
        <v>27</v>
      </c>
    </row>
    <row r="169" spans="1:11" ht="15.75">
      <c r="A169" s="228">
        <f t="shared" si="16"/>
        <v>28</v>
      </c>
      <c r="B169" s="7" t="s">
        <v>551</v>
      </c>
      <c r="C169" s="228"/>
      <c r="D169" s="4"/>
      <c r="E169" s="5"/>
      <c r="F169" s="5"/>
      <c r="G169" s="5"/>
      <c r="H169" s="64">
        <f>SUM(H167:H168)</f>
        <v>307036.95481999993</v>
      </c>
      <c r="I169" s="995"/>
      <c r="J169" s="21" t="s">
        <v>803</v>
      </c>
      <c r="K169" s="266">
        <f t="shared" si="15"/>
        <v>28</v>
      </c>
    </row>
    <row r="170" spans="1:11" ht="15.75">
      <c r="A170" s="228">
        <f t="shared" si="16"/>
        <v>29</v>
      </c>
      <c r="B170" s="4" t="str">
        <f>B77</f>
        <v>Transmission Wages and Salaries Allocation Factor</v>
      </c>
      <c r="C170" s="3"/>
      <c r="D170" s="4"/>
      <c r="E170" s="5"/>
      <c r="F170" s="5"/>
      <c r="G170" s="4"/>
      <c r="H170" s="430">
        <f>'Statement AH-WP'!H39</f>
        <v>0.16950000000000001</v>
      </c>
      <c r="I170" s="9"/>
      <c r="J170" s="19" t="s">
        <v>502</v>
      </c>
      <c r="K170" s="266">
        <f t="shared" si="15"/>
        <v>29</v>
      </c>
    </row>
    <row r="171" spans="1:11" ht="16.5" thickBot="1">
      <c r="A171" s="228">
        <f t="shared" si="16"/>
        <v>30</v>
      </c>
      <c r="B171" s="7" t="s">
        <v>816</v>
      </c>
      <c r="C171" s="3"/>
      <c r="D171" s="4"/>
      <c r="E171" s="5"/>
      <c r="F171" s="5"/>
      <c r="G171" s="5"/>
      <c r="H171" s="420">
        <f>ROUND(H169*H170,0)</f>
        <v>52043</v>
      </c>
      <c r="I171" s="995"/>
      <c r="J171" s="222" t="s">
        <v>804</v>
      </c>
      <c r="K171" s="266">
        <f t="shared" si="15"/>
        <v>30</v>
      </c>
    </row>
    <row r="172" spans="1:11" ht="16.5" thickTop="1">
      <c r="A172" s="228">
        <f t="shared" si="16"/>
        <v>31</v>
      </c>
      <c r="B172" s="7"/>
      <c r="C172" s="3"/>
      <c r="D172" s="4"/>
      <c r="E172" s="5"/>
      <c r="F172" s="5"/>
      <c r="G172" s="5"/>
      <c r="H172" s="73"/>
      <c r="I172" s="19"/>
      <c r="J172" s="10"/>
      <c r="K172" s="266">
        <f t="shared" si="15"/>
        <v>31</v>
      </c>
    </row>
    <row r="173" spans="1:11" ht="15.75">
      <c r="A173" s="3">
        <f t="shared" ref="A173:A197" si="17">+A172+1</f>
        <v>32</v>
      </c>
      <c r="B173" s="91" t="s">
        <v>23</v>
      </c>
      <c r="C173" s="3"/>
      <c r="D173" s="4"/>
      <c r="E173" s="5"/>
      <c r="F173" s="5"/>
      <c r="G173" s="5"/>
      <c r="H173" s="8"/>
      <c r="I173" s="19"/>
      <c r="J173" s="10"/>
      <c r="K173" s="266">
        <f t="shared" si="15"/>
        <v>32</v>
      </c>
    </row>
    <row r="174" spans="1:11" ht="15.75">
      <c r="A174" s="3">
        <f t="shared" si="17"/>
        <v>33</v>
      </c>
      <c r="B174" s="7" t="s">
        <v>693</v>
      </c>
      <c r="C174" s="3"/>
      <c r="D174" s="4"/>
      <c r="E174" s="5"/>
      <c r="F174" s="5"/>
      <c r="G174" s="5"/>
      <c r="H174" s="387">
        <f>'Statement AH-WP'!H43</f>
        <v>4574357.6782376915</v>
      </c>
      <c r="I174" s="274"/>
      <c r="J174" s="19" t="s">
        <v>1063</v>
      </c>
      <c r="K174" s="266">
        <f t="shared" ref="K174:K197" si="18">+K173+1</f>
        <v>33</v>
      </c>
    </row>
    <row r="175" spans="1:11" ht="15.75">
      <c r="A175" s="344">
        <f t="shared" si="17"/>
        <v>34</v>
      </c>
      <c r="B175" s="7" t="s">
        <v>154</v>
      </c>
      <c r="C175" s="344"/>
      <c r="D175" s="4"/>
      <c r="E175" s="5"/>
      <c r="F175" s="5"/>
      <c r="G175" s="5"/>
      <c r="H175" s="371">
        <f>'Statement AH-WP'!H44</f>
        <v>0</v>
      </c>
      <c r="I175" s="274"/>
      <c r="J175" s="19" t="s">
        <v>1064</v>
      </c>
      <c r="K175" s="344">
        <f t="shared" si="18"/>
        <v>34</v>
      </c>
    </row>
    <row r="176" spans="1:11" ht="15.75">
      <c r="A176" s="344">
        <f t="shared" si="17"/>
        <v>35</v>
      </c>
      <c r="B176" s="7" t="s">
        <v>98</v>
      </c>
      <c r="C176" s="3"/>
      <c r="D176" s="4"/>
      <c r="E176" s="5"/>
      <c r="F176" s="5"/>
      <c r="G176" s="5"/>
      <c r="H176" s="371">
        <f>'Statement AH-WP'!H45</f>
        <v>52855</v>
      </c>
      <c r="I176" s="19"/>
      <c r="J176" s="19" t="s">
        <v>1065</v>
      </c>
      <c r="K176" s="344">
        <f t="shared" si="18"/>
        <v>35</v>
      </c>
    </row>
    <row r="177" spans="1:11" ht="15.75">
      <c r="A177" s="344">
        <f t="shared" si="17"/>
        <v>36</v>
      </c>
      <c r="B177" s="7" t="s">
        <v>112</v>
      </c>
      <c r="C177" s="3"/>
      <c r="D177" s="4"/>
      <c r="E177" s="5"/>
      <c r="F177" s="5"/>
      <c r="G177" s="5"/>
      <c r="H177" s="371">
        <f>'Statement AH-WP'!H46</f>
        <v>113784</v>
      </c>
      <c r="I177" s="19"/>
      <c r="J177" s="19" t="s">
        <v>1066</v>
      </c>
      <c r="K177" s="344">
        <f t="shared" si="18"/>
        <v>36</v>
      </c>
    </row>
    <row r="178" spans="1:11" ht="16.5" thickBot="1">
      <c r="A178" s="344">
        <f t="shared" si="17"/>
        <v>37</v>
      </c>
      <c r="B178" s="7" t="s">
        <v>18</v>
      </c>
      <c r="C178" s="3"/>
      <c r="D178" s="4"/>
      <c r="E178" s="5"/>
      <c r="F178" s="5"/>
      <c r="G178" s="5"/>
      <c r="H178" s="420">
        <f>SUM(H174:H177)</f>
        <v>4740996.6782376915</v>
      </c>
      <c r="I178" s="274"/>
      <c r="J178" s="10" t="s">
        <v>805</v>
      </c>
      <c r="K178" s="266">
        <f t="shared" si="18"/>
        <v>37</v>
      </c>
    </row>
    <row r="179" spans="1:11" ht="16.5" thickTop="1">
      <c r="A179" s="3">
        <f t="shared" si="17"/>
        <v>38</v>
      </c>
      <c r="B179" s="7"/>
      <c r="C179" s="3"/>
      <c r="D179" s="4"/>
      <c r="E179" s="5"/>
      <c r="F179" s="5"/>
      <c r="G179" s="5"/>
      <c r="H179" s="68"/>
      <c r="I179" s="19"/>
      <c r="J179" s="10"/>
      <c r="K179" s="266">
        <f t="shared" si="18"/>
        <v>38</v>
      </c>
    </row>
    <row r="180" spans="1:11" ht="15.75">
      <c r="A180" s="3">
        <f t="shared" si="17"/>
        <v>39</v>
      </c>
      <c r="B180" s="7" t="s">
        <v>664</v>
      </c>
      <c r="C180" s="3"/>
      <c r="D180" s="4"/>
      <c r="E180" s="5"/>
      <c r="F180" s="5"/>
      <c r="G180" s="5"/>
      <c r="H180" s="387">
        <f>'Statement AH-WP'!H49</f>
        <v>4574357.6782376915</v>
      </c>
      <c r="I180" s="274"/>
      <c r="J180" s="19" t="s">
        <v>1067</v>
      </c>
      <c r="K180" s="266">
        <f t="shared" si="18"/>
        <v>39</v>
      </c>
    </row>
    <row r="181" spans="1:11" ht="15.75">
      <c r="A181" s="3">
        <f t="shared" si="17"/>
        <v>40</v>
      </c>
      <c r="B181" s="7" t="s">
        <v>19</v>
      </c>
      <c r="C181" s="3"/>
      <c r="D181" s="4"/>
      <c r="E181" s="5"/>
      <c r="F181" s="5"/>
      <c r="G181" s="5"/>
      <c r="H181" s="378">
        <f>'Statement AH-WP'!H50</f>
        <v>548493.07206076931</v>
      </c>
      <c r="I181" s="274"/>
      <c r="J181" s="19" t="s">
        <v>1068</v>
      </c>
      <c r="K181" s="266">
        <f t="shared" si="18"/>
        <v>40</v>
      </c>
    </row>
    <row r="182" spans="1:11" ht="15.75">
      <c r="A182" s="344">
        <f t="shared" si="17"/>
        <v>41</v>
      </c>
      <c r="B182" s="7" t="s">
        <v>21</v>
      </c>
      <c r="C182" s="3"/>
      <c r="D182" s="4"/>
      <c r="E182" s="5"/>
      <c r="F182" s="5"/>
      <c r="G182" s="5"/>
      <c r="H182" s="378">
        <f>'Statement AH-WP'!H51</f>
        <v>0</v>
      </c>
      <c r="I182" s="19"/>
      <c r="J182" s="19" t="s">
        <v>1069</v>
      </c>
      <c r="K182" s="344">
        <f t="shared" si="18"/>
        <v>41</v>
      </c>
    </row>
    <row r="183" spans="1:11" ht="15.75">
      <c r="A183" s="344">
        <f t="shared" si="17"/>
        <v>42</v>
      </c>
      <c r="B183" s="7" t="s">
        <v>20</v>
      </c>
      <c r="C183" s="3"/>
      <c r="D183" s="4"/>
      <c r="E183" s="5"/>
      <c r="F183" s="5"/>
      <c r="G183" s="5"/>
      <c r="H183" s="378">
        <f>'Statement AH-WP'!H52</f>
        <v>485944.00622230762</v>
      </c>
      <c r="I183" s="274"/>
      <c r="J183" s="19" t="s">
        <v>1070</v>
      </c>
      <c r="K183" s="344">
        <f t="shared" si="18"/>
        <v>42</v>
      </c>
    </row>
    <row r="184" spans="1:11" ht="15.75">
      <c r="A184" s="344">
        <f t="shared" si="17"/>
        <v>43</v>
      </c>
      <c r="B184" s="7" t="s">
        <v>367</v>
      </c>
      <c r="C184" s="3"/>
      <c r="D184" s="4"/>
      <c r="E184" s="5"/>
      <c r="F184" s="5"/>
      <c r="G184" s="5"/>
      <c r="H184" s="378">
        <f>'Statement AH-WP'!H53</f>
        <v>5608558</v>
      </c>
      <c r="I184" s="19"/>
      <c r="J184" s="19" t="s">
        <v>1071</v>
      </c>
      <c r="K184" s="344">
        <f t="shared" si="18"/>
        <v>43</v>
      </c>
    </row>
    <row r="185" spans="1:11" ht="15.75">
      <c r="A185" s="3">
        <f t="shared" si="17"/>
        <v>44</v>
      </c>
      <c r="B185" s="7" t="s">
        <v>80</v>
      </c>
      <c r="C185" s="3"/>
      <c r="D185" s="4"/>
      <c r="E185" s="5"/>
      <c r="F185" s="5"/>
      <c r="G185" s="5"/>
      <c r="H185" s="378">
        <f>'Statement AH-WP'!H54</f>
        <v>311830</v>
      </c>
      <c r="I185" s="19"/>
      <c r="J185" s="19" t="s">
        <v>1072</v>
      </c>
      <c r="K185" s="266">
        <f t="shared" si="18"/>
        <v>44</v>
      </c>
    </row>
    <row r="186" spans="1:11" ht="15.75">
      <c r="A186" s="3">
        <f t="shared" si="17"/>
        <v>45</v>
      </c>
      <c r="B186" s="7" t="s">
        <v>79</v>
      </c>
      <c r="C186" s="3"/>
      <c r="D186" s="4"/>
      <c r="E186" s="5"/>
      <c r="F186" s="5"/>
      <c r="G186" s="5"/>
      <c r="H186" s="378">
        <f>'Statement AH-WP'!H55</f>
        <v>671293</v>
      </c>
      <c r="I186" s="19"/>
      <c r="J186" s="19" t="s">
        <v>1073</v>
      </c>
      <c r="K186" s="266">
        <f t="shared" si="18"/>
        <v>45</v>
      </c>
    </row>
    <row r="187" spans="1:11" ht="16.5" thickBot="1">
      <c r="A187" s="3">
        <f t="shared" si="17"/>
        <v>46</v>
      </c>
      <c r="B187" s="7" t="s">
        <v>22</v>
      </c>
      <c r="C187" s="3"/>
      <c r="D187" s="4"/>
      <c r="E187" s="5"/>
      <c r="F187" s="5"/>
      <c r="G187" s="5"/>
      <c r="H187" s="92">
        <f>SUM(H180:H186)</f>
        <v>12200475.756520769</v>
      </c>
      <c r="I187" s="274"/>
      <c r="J187" s="10" t="s">
        <v>806</v>
      </c>
      <c r="K187" s="266">
        <f t="shared" si="18"/>
        <v>46</v>
      </c>
    </row>
    <row r="188" spans="1:11" ht="16.5" thickTop="1">
      <c r="A188" s="3">
        <f t="shared" si="17"/>
        <v>47</v>
      </c>
      <c r="B188" s="4"/>
      <c r="C188" s="3"/>
      <c r="D188" s="4"/>
      <c r="E188" s="5"/>
      <c r="F188" s="5"/>
      <c r="G188" s="5"/>
      <c r="H188" s="28"/>
      <c r="I188" s="41"/>
      <c r="J188" s="10"/>
      <c r="K188" s="266">
        <f t="shared" si="18"/>
        <v>47</v>
      </c>
    </row>
    <row r="189" spans="1:11" ht="16.5" thickBot="1">
      <c r="A189" s="3">
        <f t="shared" si="17"/>
        <v>48</v>
      </c>
      <c r="B189" s="7" t="s">
        <v>775</v>
      </c>
      <c r="C189" s="3"/>
      <c r="D189" s="4"/>
      <c r="E189" s="5"/>
      <c r="F189" s="5"/>
      <c r="G189" s="5"/>
      <c r="H189" s="775">
        <f>ROUND(H178/H187,4)</f>
        <v>0.3886</v>
      </c>
      <c r="I189" s="4"/>
      <c r="J189" s="10" t="s">
        <v>807</v>
      </c>
      <c r="K189" s="266">
        <f t="shared" si="18"/>
        <v>48</v>
      </c>
    </row>
    <row r="190" spans="1:11" ht="16.5" thickTop="1">
      <c r="A190" s="3">
        <f t="shared" si="17"/>
        <v>49</v>
      </c>
      <c r="B190" s="7" t="s">
        <v>39</v>
      </c>
      <c r="C190" s="3"/>
      <c r="D190" s="4"/>
      <c r="E190" s="5"/>
      <c r="F190" s="5"/>
      <c r="G190" s="5"/>
      <c r="H190" s="29"/>
      <c r="I190" s="30"/>
      <c r="J190" s="10"/>
      <c r="K190" s="266">
        <f t="shared" si="18"/>
        <v>49</v>
      </c>
    </row>
    <row r="191" spans="1:11" ht="15.75">
      <c r="A191" s="3">
        <f t="shared" si="17"/>
        <v>50</v>
      </c>
      <c r="B191" s="7" t="s">
        <v>78</v>
      </c>
      <c r="C191" s="3"/>
      <c r="D191" s="4"/>
      <c r="E191" s="5"/>
      <c r="F191" s="5"/>
      <c r="G191" s="5"/>
      <c r="H191" s="704">
        <f>-H168</f>
        <v>5855.2953999999991</v>
      </c>
      <c r="I191" s="274"/>
      <c r="J191" s="19" t="s">
        <v>808</v>
      </c>
      <c r="K191" s="266">
        <f t="shared" si="18"/>
        <v>50</v>
      </c>
    </row>
    <row r="192" spans="1:11" ht="15.75">
      <c r="A192" s="3">
        <f t="shared" si="17"/>
        <v>51</v>
      </c>
      <c r="B192" s="7" t="s">
        <v>39</v>
      </c>
      <c r="C192" s="3"/>
      <c r="D192" s="4"/>
      <c r="E192" s="5"/>
      <c r="F192" s="5"/>
      <c r="G192" s="5"/>
      <c r="H192" s="32"/>
      <c r="I192" s="43"/>
      <c r="J192" s="10"/>
      <c r="K192" s="266">
        <f t="shared" si="18"/>
        <v>51</v>
      </c>
    </row>
    <row r="193" spans="1:11" ht="15.75">
      <c r="A193" s="3">
        <f t="shared" si="17"/>
        <v>52</v>
      </c>
      <c r="B193" s="4" t="s">
        <v>204</v>
      </c>
      <c r="C193" s="3"/>
      <c r="D193" s="4"/>
      <c r="E193" s="5"/>
      <c r="F193" s="5"/>
      <c r="G193" s="5"/>
      <c r="H193" s="158">
        <f>ROUND(H189*H191,0)</f>
        <v>2275</v>
      </c>
      <c r="I193" s="274"/>
      <c r="J193" s="10" t="s">
        <v>810</v>
      </c>
      <c r="K193" s="266">
        <f t="shared" si="18"/>
        <v>52</v>
      </c>
    </row>
    <row r="194" spans="1:11" ht="15.75">
      <c r="A194" s="3">
        <f t="shared" si="17"/>
        <v>53</v>
      </c>
      <c r="B194" s="4"/>
      <c r="C194" s="3"/>
      <c r="D194" s="4"/>
      <c r="E194" s="5"/>
      <c r="F194" s="5"/>
      <c r="G194" s="5"/>
      <c r="H194" s="163"/>
      <c r="I194" s="274"/>
      <c r="J194" s="10"/>
      <c r="K194" s="266">
        <f t="shared" si="18"/>
        <v>53</v>
      </c>
    </row>
    <row r="195" spans="1:11" ht="15.75">
      <c r="A195" s="3">
        <f t="shared" si="17"/>
        <v>54</v>
      </c>
      <c r="B195" s="7" t="s">
        <v>811</v>
      </c>
      <c r="C195" s="3"/>
      <c r="D195" s="4"/>
      <c r="E195" s="5"/>
      <c r="F195" s="5"/>
      <c r="G195" s="5"/>
      <c r="H195" s="381">
        <f>H171</f>
        <v>52043</v>
      </c>
      <c r="I195" s="995"/>
      <c r="J195" s="10" t="s">
        <v>385</v>
      </c>
      <c r="K195" s="266">
        <f t="shared" si="18"/>
        <v>54</v>
      </c>
    </row>
    <row r="196" spans="1:11" ht="15.75">
      <c r="A196" s="3">
        <f t="shared" si="17"/>
        <v>55</v>
      </c>
      <c r="B196" s="4"/>
      <c r="C196" s="3"/>
      <c r="D196" s="4"/>
      <c r="E196" s="5"/>
      <c r="F196" s="5"/>
      <c r="G196" s="5"/>
      <c r="H196" s="424"/>
      <c r="I196" s="274"/>
      <c r="J196" s="10"/>
      <c r="K196" s="266">
        <f t="shared" si="18"/>
        <v>55</v>
      </c>
    </row>
    <row r="197" spans="1:11" ht="16.5" thickBot="1">
      <c r="A197" s="3">
        <f t="shared" si="17"/>
        <v>56</v>
      </c>
      <c r="B197" s="7" t="s">
        <v>812</v>
      </c>
      <c r="C197" s="3"/>
      <c r="D197" s="4"/>
      <c r="E197" s="5"/>
      <c r="F197" s="5"/>
      <c r="G197" s="5"/>
      <c r="H197" s="392">
        <f>H193+H195</f>
        <v>54318</v>
      </c>
      <c r="I197" s="995"/>
      <c r="J197" s="10" t="s">
        <v>813</v>
      </c>
      <c r="K197" s="266">
        <f t="shared" si="18"/>
        <v>56</v>
      </c>
    </row>
    <row r="198" spans="1:11" ht="16.5" thickTop="1">
      <c r="A198" s="344"/>
      <c r="B198" s="7"/>
      <c r="C198" s="344"/>
      <c r="D198" s="4"/>
      <c r="E198" s="5"/>
      <c r="F198" s="5"/>
      <c r="G198" s="5"/>
      <c r="H198" s="64"/>
      <c r="I198" s="274"/>
      <c r="J198" s="10"/>
      <c r="K198" s="344"/>
    </row>
    <row r="199" spans="1:11" ht="18.75">
      <c r="A199" s="237">
        <v>1</v>
      </c>
      <c r="B199" s="7" t="s">
        <v>830</v>
      </c>
      <c r="C199" s="344"/>
      <c r="D199" s="4"/>
      <c r="E199" s="5"/>
      <c r="F199" s="5"/>
      <c r="G199" s="5"/>
      <c r="H199" s="64"/>
      <c r="I199" s="274"/>
      <c r="J199" s="10"/>
      <c r="K199" s="344"/>
    </row>
    <row r="200" spans="1:11" ht="15.75">
      <c r="A200" s="344"/>
      <c r="B200" s="7" t="s">
        <v>831</v>
      </c>
      <c r="C200" s="344"/>
      <c r="D200" s="4"/>
      <c r="E200" s="5"/>
      <c r="F200" s="5"/>
      <c r="G200" s="5"/>
      <c r="H200" s="64"/>
      <c r="I200" s="274"/>
      <c r="J200" s="10"/>
      <c r="K200" s="344"/>
    </row>
    <row r="201" spans="1:11" ht="15.75">
      <c r="A201" s="995"/>
      <c r="B201" s="50"/>
      <c r="C201" s="344"/>
      <c r="D201" s="4"/>
      <c r="E201" s="5"/>
      <c r="F201" s="5"/>
      <c r="G201" s="5"/>
      <c r="H201" s="64"/>
      <c r="I201" s="274"/>
      <c r="J201" s="10"/>
      <c r="K201" s="344"/>
    </row>
    <row r="202" spans="1:11" ht="15.75">
      <c r="A202" s="3"/>
      <c r="B202" s="4"/>
      <c r="C202" s="4"/>
      <c r="D202" s="4"/>
      <c r="E202" s="4"/>
      <c r="F202" s="4"/>
      <c r="G202" s="4"/>
      <c r="H202" s="189"/>
      <c r="I202" s="4"/>
      <c r="J202" s="4"/>
      <c r="K202" s="266"/>
    </row>
    <row r="203" spans="1:11" ht="15.75">
      <c r="A203" s="10"/>
      <c r="B203" s="1161" t="s">
        <v>42</v>
      </c>
      <c r="C203" s="1161"/>
      <c r="D203" s="1161"/>
      <c r="E203" s="1161"/>
      <c r="F203" s="1161"/>
      <c r="G203" s="1161"/>
      <c r="H203" s="1161"/>
      <c r="I203" s="1156"/>
      <c r="J203" s="1156"/>
      <c r="K203" s="10"/>
    </row>
    <row r="204" spans="1:11" ht="15.75">
      <c r="A204" s="10"/>
      <c r="B204" s="1161" t="s">
        <v>49</v>
      </c>
      <c r="C204" s="1161"/>
      <c r="D204" s="1161"/>
      <c r="E204" s="1161"/>
      <c r="F204" s="1161"/>
      <c r="G204" s="1161"/>
      <c r="H204" s="1161"/>
      <c r="I204" s="1160"/>
      <c r="J204" s="1160"/>
      <c r="K204" s="10"/>
    </row>
    <row r="205" spans="1:11" ht="15.75">
      <c r="A205" s="10"/>
      <c r="B205" s="1161" t="s">
        <v>50</v>
      </c>
      <c r="C205" s="1161"/>
      <c r="D205" s="1161"/>
      <c r="E205" s="1161"/>
      <c r="F205" s="1161"/>
      <c r="G205" s="1161"/>
      <c r="H205" s="1161"/>
      <c r="I205" s="1156"/>
      <c r="J205" s="1156"/>
      <c r="K205" s="10"/>
    </row>
    <row r="206" spans="1:11" ht="15.75">
      <c r="A206" s="10"/>
      <c r="B206" s="1157" t="str">
        <f>B5</f>
        <v>Base Period &amp; True-Up Period 12 - Months Ending December 31, 2015</v>
      </c>
      <c r="C206" s="1157"/>
      <c r="D206" s="1157"/>
      <c r="E206" s="1157"/>
      <c r="F206" s="1157"/>
      <c r="G206" s="1157"/>
      <c r="H206" s="1157"/>
      <c r="I206" s="1158"/>
      <c r="J206" s="1158"/>
      <c r="K206" s="10"/>
    </row>
    <row r="207" spans="1:11">
      <c r="B207" s="1159" t="s">
        <v>72</v>
      </c>
      <c r="C207" s="1160"/>
      <c r="D207" s="1160"/>
      <c r="E207" s="1160"/>
      <c r="F207" s="1160"/>
      <c r="G207" s="1160"/>
      <c r="H207" s="1160"/>
      <c r="I207" s="1160"/>
      <c r="J207" s="1160"/>
    </row>
    <row r="208" spans="1:11" ht="15.75">
      <c r="B208" s="241"/>
      <c r="C208" s="245"/>
      <c r="D208" s="245"/>
      <c r="E208" s="245"/>
      <c r="F208" s="245"/>
      <c r="G208" s="245"/>
      <c r="H208" s="390"/>
      <c r="I208" s="245"/>
      <c r="J208" s="278"/>
    </row>
    <row r="209" spans="1:11" ht="15.75">
      <c r="A209" s="10" t="s">
        <v>62</v>
      </c>
      <c r="B209" s="224"/>
      <c r="C209" s="225"/>
      <c r="D209" s="225"/>
      <c r="E209" s="225"/>
      <c r="F209" s="225"/>
      <c r="G209" s="225"/>
      <c r="H209" s="166"/>
      <c r="I209" s="229"/>
      <c r="J209" s="10"/>
      <c r="K209" s="10" t="s">
        <v>62</v>
      </c>
    </row>
    <row r="210" spans="1:11" ht="15.75">
      <c r="A210" s="33" t="s">
        <v>63</v>
      </c>
      <c r="B210" s="5"/>
      <c r="C210" s="4"/>
      <c r="D210" s="4"/>
      <c r="E210" s="4"/>
      <c r="F210" s="4"/>
      <c r="G210" s="4"/>
      <c r="H210" s="33" t="s">
        <v>69</v>
      </c>
      <c r="I210" s="10"/>
      <c r="J210" s="33" t="s">
        <v>65</v>
      </c>
      <c r="K210" s="33" t="s">
        <v>63</v>
      </c>
    </row>
    <row r="211" spans="1:11" ht="15.75">
      <c r="A211" s="3"/>
      <c r="B211" s="4"/>
      <c r="C211" s="4"/>
      <c r="D211" s="4"/>
      <c r="E211" s="4"/>
      <c r="F211" s="4"/>
      <c r="G211" s="4"/>
      <c r="H211" s="4"/>
      <c r="I211" s="10"/>
      <c r="J211" s="47"/>
      <c r="K211" s="266"/>
    </row>
    <row r="212" spans="1:11" ht="15.75">
      <c r="A212" s="3">
        <v>1</v>
      </c>
      <c r="B212" s="4" t="s">
        <v>25</v>
      </c>
      <c r="C212" s="4"/>
      <c r="D212" s="4"/>
      <c r="E212" s="4"/>
      <c r="F212" s="4"/>
      <c r="G212" s="4"/>
      <c r="H212" s="389">
        <f>'Statement AI-WP'!G11</f>
        <v>12801.764399999998</v>
      </c>
      <c r="I212" s="35"/>
      <c r="J212" s="19" t="s">
        <v>1074</v>
      </c>
      <c r="K212" s="266">
        <v>1</v>
      </c>
    </row>
    <row r="213" spans="1:11" ht="15.75">
      <c r="A213" s="3">
        <f>+A212+1</f>
        <v>2</v>
      </c>
      <c r="B213" s="4"/>
      <c r="C213" s="4"/>
      <c r="D213" s="4"/>
      <c r="E213" s="4"/>
      <c r="F213" s="4"/>
      <c r="G213" s="4"/>
      <c r="H213" s="484"/>
      <c r="I213" s="35"/>
      <c r="J213" s="19"/>
      <c r="K213" s="266">
        <f>+K212+1</f>
        <v>2</v>
      </c>
    </row>
    <row r="214" spans="1:11" ht="15.75">
      <c r="A214" s="3">
        <f t="shared" ref="A214:A230" si="19">+A213+1</f>
        <v>3</v>
      </c>
      <c r="B214" s="5" t="s">
        <v>26</v>
      </c>
      <c r="C214" s="5"/>
      <c r="D214" s="5"/>
      <c r="E214" s="5"/>
      <c r="F214" s="5"/>
      <c r="G214" s="5"/>
      <c r="H214" s="391">
        <f>'Statement AI-WP'!G13</f>
        <v>20459.884689999999</v>
      </c>
      <c r="I214" s="35"/>
      <c r="J214" s="19" t="s">
        <v>1075</v>
      </c>
      <c r="K214" s="266">
        <f t="shared" ref="K214:K230" si="20">+K213+1</f>
        <v>3</v>
      </c>
    </row>
    <row r="215" spans="1:11" ht="15.75">
      <c r="A215" s="3">
        <f t="shared" si="19"/>
        <v>4</v>
      </c>
      <c r="B215" s="5"/>
      <c r="C215" s="5"/>
      <c r="D215" s="5"/>
      <c r="E215" s="5"/>
      <c r="F215" s="5"/>
      <c r="G215" s="5"/>
      <c r="H215" s="172"/>
      <c r="I215" s="35"/>
      <c r="J215" s="19"/>
      <c r="K215" s="266">
        <f t="shared" si="20"/>
        <v>4</v>
      </c>
    </row>
    <row r="216" spans="1:11" ht="15.75">
      <c r="A216" s="3">
        <f t="shared" si="19"/>
        <v>5</v>
      </c>
      <c r="B216" s="5" t="s">
        <v>27</v>
      </c>
      <c r="C216" s="5"/>
      <c r="D216" s="5"/>
      <c r="E216" s="5"/>
      <c r="F216" s="5"/>
      <c r="G216" s="5"/>
      <c r="H216" s="391">
        <f>'Statement AI-WP'!G15</f>
        <v>48819.502489999992</v>
      </c>
      <c r="I216" s="35"/>
      <c r="J216" s="19" t="s">
        <v>1076</v>
      </c>
      <c r="K216" s="266">
        <f t="shared" si="20"/>
        <v>5</v>
      </c>
    </row>
    <row r="217" spans="1:11" ht="15.75">
      <c r="A217" s="3">
        <f t="shared" si="19"/>
        <v>6</v>
      </c>
      <c r="B217" s="5"/>
      <c r="C217" s="5"/>
      <c r="D217" s="5"/>
      <c r="E217" s="5"/>
      <c r="F217" s="5"/>
      <c r="G217" s="5"/>
      <c r="H217" s="172"/>
      <c r="I217" s="35"/>
      <c r="J217" s="19"/>
      <c r="K217" s="266">
        <f t="shared" si="20"/>
        <v>6</v>
      </c>
    </row>
    <row r="218" spans="1:11" ht="15.75">
      <c r="A218" s="3">
        <f t="shared" si="19"/>
        <v>7</v>
      </c>
      <c r="B218" s="5" t="s">
        <v>28</v>
      </c>
      <c r="C218" s="5"/>
      <c r="D218" s="5"/>
      <c r="E218" s="5"/>
      <c r="F218" s="5"/>
      <c r="G218" s="5"/>
      <c r="H218" s="391">
        <f>'Statement AI-WP'!G17</f>
        <v>17215.795986176003</v>
      </c>
      <c r="I218" s="35"/>
      <c r="J218" s="19" t="s">
        <v>1077</v>
      </c>
      <c r="K218" s="266">
        <f t="shared" si="20"/>
        <v>7</v>
      </c>
    </row>
    <row r="219" spans="1:11" ht="15.75">
      <c r="A219" s="3">
        <f t="shared" si="19"/>
        <v>8</v>
      </c>
      <c r="B219" s="5"/>
      <c r="C219" s="5"/>
      <c r="D219" s="5"/>
      <c r="E219" s="5"/>
      <c r="F219" s="5"/>
      <c r="G219" s="5"/>
      <c r="H219" s="172"/>
      <c r="I219" s="35"/>
      <c r="J219" s="19"/>
      <c r="K219" s="266">
        <f t="shared" si="20"/>
        <v>8</v>
      </c>
    </row>
    <row r="220" spans="1:11" ht="15.75">
      <c r="A220" s="3">
        <f t="shared" si="19"/>
        <v>9</v>
      </c>
      <c r="B220" s="5" t="s">
        <v>29</v>
      </c>
      <c r="C220" s="5"/>
      <c r="D220" s="5"/>
      <c r="E220" s="5"/>
      <c r="F220" s="5"/>
      <c r="G220" s="5"/>
      <c r="H220" s="399">
        <f>'Statement AI-WP'!G19</f>
        <v>21388.36502488</v>
      </c>
      <c r="I220" s="35"/>
      <c r="J220" s="19" t="s">
        <v>1078</v>
      </c>
      <c r="K220" s="266">
        <f t="shared" si="20"/>
        <v>9</v>
      </c>
    </row>
    <row r="221" spans="1:11" ht="15.75">
      <c r="A221" s="344">
        <f t="shared" si="19"/>
        <v>10</v>
      </c>
      <c r="B221" s="5"/>
      <c r="C221" s="5"/>
      <c r="D221" s="5"/>
      <c r="E221" s="5"/>
      <c r="F221" s="5"/>
      <c r="G221" s="5"/>
      <c r="H221" s="75"/>
      <c r="I221" s="35"/>
      <c r="J221" s="19"/>
      <c r="K221" s="344">
        <f t="shared" si="20"/>
        <v>10</v>
      </c>
    </row>
    <row r="222" spans="1:11" ht="15.75">
      <c r="A222" s="344">
        <f t="shared" si="19"/>
        <v>11</v>
      </c>
      <c r="B222" s="5" t="s">
        <v>467</v>
      </c>
      <c r="C222" s="5"/>
      <c r="D222" s="5"/>
      <c r="E222" s="5"/>
      <c r="F222" s="5"/>
      <c r="G222" s="5"/>
      <c r="H222" s="396">
        <f>'Statement AI-WP'!G21</f>
        <v>0</v>
      </c>
      <c r="I222" s="35"/>
      <c r="J222" s="19" t="s">
        <v>1079</v>
      </c>
      <c r="K222" s="344">
        <f t="shared" si="20"/>
        <v>11</v>
      </c>
    </row>
    <row r="223" spans="1:11" ht="15.75">
      <c r="A223" s="344">
        <f t="shared" si="19"/>
        <v>12</v>
      </c>
      <c r="B223" s="5"/>
      <c r="C223" s="5"/>
      <c r="D223" s="5"/>
      <c r="E223" s="5"/>
      <c r="F223" s="5"/>
      <c r="G223" s="5"/>
      <c r="H223" s="62"/>
      <c r="I223" s="35"/>
      <c r="J223" s="19"/>
      <c r="K223" s="344">
        <f t="shared" si="20"/>
        <v>12</v>
      </c>
    </row>
    <row r="224" spans="1:11" ht="15.75">
      <c r="A224" s="344">
        <f t="shared" si="19"/>
        <v>13</v>
      </c>
      <c r="B224" s="5" t="s">
        <v>501</v>
      </c>
      <c r="C224" s="5"/>
      <c r="D224" s="5"/>
      <c r="E224" s="5"/>
      <c r="F224" s="5"/>
      <c r="G224" s="5"/>
      <c r="H224" s="64">
        <f>SUM(H212:H222)</f>
        <v>120685.31259105599</v>
      </c>
      <c r="I224" s="35"/>
      <c r="J224" s="21" t="s">
        <v>474</v>
      </c>
      <c r="K224" s="344">
        <f t="shared" si="20"/>
        <v>13</v>
      </c>
    </row>
    <row r="225" spans="1:11" ht="15.75">
      <c r="A225" s="344">
        <f t="shared" si="19"/>
        <v>14</v>
      </c>
      <c r="B225" s="5"/>
      <c r="C225" s="5"/>
      <c r="D225" s="5"/>
      <c r="E225" s="5"/>
      <c r="F225" s="5"/>
      <c r="G225" s="5"/>
      <c r="H225" s="64"/>
      <c r="I225" s="35"/>
      <c r="J225" s="21"/>
      <c r="K225" s="344">
        <f t="shared" si="20"/>
        <v>14</v>
      </c>
    </row>
    <row r="226" spans="1:11" ht="15.75">
      <c r="A226" s="344">
        <f t="shared" si="19"/>
        <v>15</v>
      </c>
      <c r="B226" s="4" t="s">
        <v>469</v>
      </c>
      <c r="C226" s="5"/>
      <c r="D226" s="5"/>
      <c r="E226" s="5"/>
      <c r="F226" s="5"/>
      <c r="G226" s="5"/>
      <c r="H226" s="397">
        <f>'Statement AI-WP'!G25</f>
        <v>40505.073442931876</v>
      </c>
      <c r="I226" s="35"/>
      <c r="J226" s="19" t="s">
        <v>1080</v>
      </c>
      <c r="K226" s="344">
        <f t="shared" si="20"/>
        <v>15</v>
      </c>
    </row>
    <row r="227" spans="1:11" ht="15.75">
      <c r="A227" s="344">
        <f t="shared" si="19"/>
        <v>16</v>
      </c>
      <c r="B227" s="4"/>
      <c r="C227" s="5"/>
      <c r="D227" s="5"/>
      <c r="E227" s="5"/>
      <c r="F227" s="5"/>
      <c r="G227" s="5"/>
      <c r="H227" s="64"/>
      <c r="I227" s="35"/>
      <c r="J227" s="21"/>
      <c r="K227" s="344">
        <f t="shared" si="20"/>
        <v>16</v>
      </c>
    </row>
    <row r="228" spans="1:11" ht="16.5" thickBot="1">
      <c r="A228" s="344">
        <f t="shared" si="19"/>
        <v>17</v>
      </c>
      <c r="B228" s="4" t="s">
        <v>471</v>
      </c>
      <c r="C228" s="5"/>
      <c r="D228" s="5"/>
      <c r="E228" s="5"/>
      <c r="F228" s="5"/>
      <c r="G228" s="5"/>
      <c r="H228" s="66">
        <f>SUM(H224:H226)</f>
        <v>161190.38603398786</v>
      </c>
      <c r="I228" s="35"/>
      <c r="J228" s="21" t="s">
        <v>472</v>
      </c>
      <c r="K228" s="344">
        <f t="shared" si="20"/>
        <v>17</v>
      </c>
    </row>
    <row r="229" spans="1:11" ht="16.5" thickTop="1">
      <c r="A229" s="344">
        <f t="shared" si="19"/>
        <v>18</v>
      </c>
      <c r="B229" s="4"/>
      <c r="C229" s="5"/>
      <c r="D229" s="5"/>
      <c r="E229" s="5"/>
      <c r="F229" s="5"/>
      <c r="G229" s="5"/>
      <c r="H229" s="61"/>
      <c r="I229" s="35"/>
      <c r="J229" s="10"/>
      <c r="K229" s="344">
        <f t="shared" si="20"/>
        <v>18</v>
      </c>
    </row>
    <row r="230" spans="1:11" ht="16.5" thickBot="1">
      <c r="A230" s="344">
        <f t="shared" si="19"/>
        <v>19</v>
      </c>
      <c r="B230" s="5" t="s">
        <v>87</v>
      </c>
      <c r="C230" s="5"/>
      <c r="D230" s="5"/>
      <c r="E230" s="5"/>
      <c r="F230" s="5"/>
      <c r="G230" s="5"/>
      <c r="H230" s="418">
        <f>ROUND(H214/H224,4)</f>
        <v>0.16950000000000001</v>
      </c>
      <c r="I230" s="42"/>
      <c r="J230" s="10" t="s">
        <v>473</v>
      </c>
      <c r="K230" s="344">
        <f t="shared" si="20"/>
        <v>19</v>
      </c>
    </row>
    <row r="231" spans="1:11" ht="16.5" thickTop="1">
      <c r="A231" s="3"/>
      <c r="B231" s="5"/>
      <c r="C231" s="5"/>
      <c r="D231" s="5"/>
      <c r="E231" s="5"/>
      <c r="F231" s="5"/>
      <c r="G231" s="5"/>
      <c r="H231" s="31"/>
      <c r="I231" s="42"/>
      <c r="J231" s="10"/>
      <c r="K231" s="266"/>
    </row>
    <row r="232" spans="1:11" ht="15.75">
      <c r="A232" s="3"/>
      <c r="B232" s="4"/>
      <c r="C232" s="5"/>
      <c r="D232" s="5"/>
      <c r="E232" s="5"/>
      <c r="F232" s="5"/>
      <c r="G232" s="5"/>
      <c r="H232" s="31"/>
      <c r="I232" s="42"/>
      <c r="J232" s="10"/>
      <c r="K232" s="266"/>
    </row>
    <row r="233" spans="1:11" ht="15.75">
      <c r="A233" s="10"/>
      <c r="B233" s="1161" t="s">
        <v>42</v>
      </c>
      <c r="C233" s="1161"/>
      <c r="D233" s="1161"/>
      <c r="E233" s="1161"/>
      <c r="F233" s="1161"/>
      <c r="G233" s="1161"/>
      <c r="H233" s="1161"/>
      <c r="I233" s="1156"/>
      <c r="J233" s="1156"/>
      <c r="K233" s="10"/>
    </row>
    <row r="234" spans="1:11" ht="15.75">
      <c r="A234" s="10"/>
      <c r="B234" s="1161" t="s">
        <v>51</v>
      </c>
      <c r="C234" s="1161"/>
      <c r="D234" s="1161"/>
      <c r="E234" s="1161"/>
      <c r="F234" s="1161"/>
      <c r="G234" s="1161"/>
      <c r="H234" s="1161"/>
      <c r="I234" s="1160"/>
      <c r="J234" s="1160"/>
      <c r="K234" s="10"/>
    </row>
    <row r="235" spans="1:11" ht="15.75">
      <c r="A235" s="10"/>
      <c r="B235" s="1161" t="s">
        <v>52</v>
      </c>
      <c r="C235" s="1161"/>
      <c r="D235" s="1161"/>
      <c r="E235" s="1161"/>
      <c r="F235" s="1161"/>
      <c r="G235" s="1161"/>
      <c r="H235" s="1161"/>
      <c r="I235" s="1156"/>
      <c r="J235" s="1156"/>
      <c r="K235" s="10"/>
    </row>
    <row r="236" spans="1:11" ht="15.75">
      <c r="A236" s="10"/>
      <c r="B236" s="1157" t="str">
        <f>B5</f>
        <v>Base Period &amp; True-Up Period 12 - Months Ending December 31, 2015</v>
      </c>
      <c r="C236" s="1157"/>
      <c r="D236" s="1157"/>
      <c r="E236" s="1157"/>
      <c r="F236" s="1157"/>
      <c r="G236" s="1157"/>
      <c r="H236" s="1157"/>
      <c r="I236" s="1158"/>
      <c r="J236" s="1158"/>
      <c r="K236" s="10"/>
    </row>
    <row r="237" spans="1:11">
      <c r="B237" s="1159" t="s">
        <v>72</v>
      </c>
      <c r="C237" s="1160"/>
      <c r="D237" s="1160"/>
      <c r="E237" s="1160"/>
      <c r="F237" s="1160"/>
      <c r="G237" s="1160"/>
      <c r="H237" s="1160"/>
      <c r="I237" s="1160"/>
      <c r="J237" s="1160"/>
    </row>
    <row r="238" spans="1:11" ht="15.75">
      <c r="B238" s="241"/>
      <c r="C238" s="245"/>
      <c r="D238" s="245"/>
      <c r="E238" s="245"/>
      <c r="F238" s="245"/>
      <c r="G238" s="245"/>
      <c r="H238" s="390"/>
      <c r="I238" s="245"/>
      <c r="J238" s="278"/>
    </row>
    <row r="239" spans="1:11" ht="15.75">
      <c r="A239" s="10" t="s">
        <v>62</v>
      </c>
      <c r="B239" s="224"/>
      <c r="C239" s="225"/>
      <c r="D239" s="225"/>
      <c r="E239" s="225"/>
      <c r="F239" s="225"/>
      <c r="G239" s="225"/>
      <c r="H239" s="166"/>
      <c r="I239" s="229"/>
      <c r="J239" s="48"/>
      <c r="K239" s="10" t="s">
        <v>62</v>
      </c>
    </row>
    <row r="240" spans="1:11" ht="15.75">
      <c r="A240" s="33" t="s">
        <v>63</v>
      </c>
      <c r="B240" s="2"/>
      <c r="C240" s="2"/>
      <c r="D240" s="2"/>
      <c r="E240" s="2"/>
      <c r="F240" s="2"/>
      <c r="G240" s="2"/>
      <c r="H240" s="33" t="s">
        <v>69</v>
      </c>
      <c r="I240" s="2"/>
      <c r="J240" s="33" t="s">
        <v>65</v>
      </c>
      <c r="K240" s="33" t="s">
        <v>63</v>
      </c>
    </row>
    <row r="241" spans="1:11" ht="15.75">
      <c r="A241" s="3"/>
      <c r="B241" s="3"/>
      <c r="C241" s="3"/>
      <c r="D241" s="3"/>
      <c r="E241" s="3"/>
      <c r="F241" s="3"/>
      <c r="G241" s="3"/>
      <c r="H241" s="344"/>
      <c r="I241" s="3"/>
      <c r="J241" s="10"/>
      <c r="K241" s="266"/>
    </row>
    <row r="242" spans="1:11" ht="15.75">
      <c r="A242" s="3">
        <v>1</v>
      </c>
      <c r="B242" s="7" t="s">
        <v>848</v>
      </c>
      <c r="C242" s="3"/>
      <c r="D242" s="3"/>
      <c r="E242" s="3"/>
      <c r="F242" s="3"/>
      <c r="G242" s="3"/>
      <c r="H242" s="545">
        <f>'Statement AJ-WP'!I11</f>
        <v>116393.21427441202</v>
      </c>
      <c r="I242" s="3"/>
      <c r="J242" s="19" t="s">
        <v>1081</v>
      </c>
      <c r="K242" s="266">
        <v>1</v>
      </c>
    </row>
    <row r="243" spans="1:11" ht="15.75">
      <c r="A243" s="3">
        <f>A242+1</f>
        <v>2</v>
      </c>
      <c r="B243" s="4"/>
      <c r="C243" s="4"/>
      <c r="D243" s="4"/>
      <c r="E243" s="4"/>
      <c r="F243" s="4"/>
      <c r="G243" s="4"/>
      <c r="H243" s="60"/>
      <c r="I243" s="44"/>
      <c r="J243" s="19"/>
      <c r="K243" s="266">
        <f>K242+1</f>
        <v>2</v>
      </c>
    </row>
    <row r="244" spans="1:11" ht="15.75">
      <c r="A244" s="259">
        <f t="shared" ref="A244:A266" si="21">+A243+1</f>
        <v>3</v>
      </c>
      <c r="B244" s="4" t="s">
        <v>643</v>
      </c>
      <c r="C244" s="4"/>
      <c r="D244" s="4"/>
      <c r="E244" s="4"/>
      <c r="F244" s="4"/>
      <c r="G244" s="4"/>
      <c r="H244" s="398">
        <f>'Statement AJ-WP'!I13</f>
        <v>22028.386260000003</v>
      </c>
      <c r="I244" s="274"/>
      <c r="J244" s="19" t="s">
        <v>1082</v>
      </c>
      <c r="K244" s="266">
        <f t="shared" ref="K244:K266" si="22">+K243+1</f>
        <v>3</v>
      </c>
    </row>
    <row r="245" spans="1:11" ht="15.75">
      <c r="A245" s="259">
        <f t="shared" si="21"/>
        <v>4</v>
      </c>
      <c r="B245" s="4"/>
      <c r="C245" s="4"/>
      <c r="D245" s="4"/>
      <c r="E245" s="4"/>
      <c r="F245" s="4"/>
      <c r="G245" s="4"/>
      <c r="H245" s="60"/>
      <c r="I245" s="44"/>
      <c r="J245" s="19"/>
      <c r="K245" s="266">
        <f t="shared" si="22"/>
        <v>4</v>
      </c>
    </row>
    <row r="246" spans="1:11" ht="15.75">
      <c r="A246" s="259">
        <f t="shared" si="21"/>
        <v>5</v>
      </c>
      <c r="B246" s="4" t="s">
        <v>644</v>
      </c>
      <c r="C246" s="4"/>
      <c r="D246" s="4"/>
      <c r="E246" s="4"/>
      <c r="F246" s="4"/>
      <c r="G246" s="4"/>
      <c r="H246" s="391">
        <f>'Statement AJ-WP'!I15</f>
        <v>12105.159674999999</v>
      </c>
      <c r="I246" s="21"/>
      <c r="J246" s="19" t="s">
        <v>1083</v>
      </c>
      <c r="K246" s="266">
        <f t="shared" si="22"/>
        <v>5</v>
      </c>
    </row>
    <row r="247" spans="1:11" ht="15.75">
      <c r="A247" s="259">
        <f t="shared" si="21"/>
        <v>6</v>
      </c>
      <c r="B247" s="4"/>
      <c r="C247" s="4"/>
      <c r="D247" s="4"/>
      <c r="E247" s="4"/>
      <c r="F247" s="4"/>
      <c r="G247" s="4"/>
      <c r="H247" s="61"/>
      <c r="I247" s="40"/>
      <c r="J247" s="19"/>
      <c r="K247" s="266">
        <f t="shared" si="22"/>
        <v>6</v>
      </c>
    </row>
    <row r="248" spans="1:11" ht="15.75">
      <c r="A248" s="259">
        <f t="shared" si="21"/>
        <v>7</v>
      </c>
      <c r="B248" s="4" t="s">
        <v>650</v>
      </c>
      <c r="C248" s="4"/>
      <c r="D248" s="4"/>
      <c r="E248" s="4"/>
      <c r="F248" s="4"/>
      <c r="G248" s="4"/>
      <c r="H248" s="391">
        <f>'Statement AJ-WP'!I17</f>
        <v>55496.124298944007</v>
      </c>
      <c r="I248" s="35"/>
      <c r="J248" s="19" t="s">
        <v>1084</v>
      </c>
      <c r="K248" s="266">
        <f t="shared" si="22"/>
        <v>7</v>
      </c>
    </row>
    <row r="249" spans="1:11" ht="15.75">
      <c r="A249" s="259">
        <f t="shared" si="21"/>
        <v>8</v>
      </c>
      <c r="B249" s="4"/>
      <c r="C249" s="4"/>
      <c r="D249" s="4"/>
      <c r="E249" s="4"/>
      <c r="F249" s="4"/>
      <c r="G249" s="4"/>
      <c r="H249" s="26"/>
      <c r="I249" s="40"/>
      <c r="J249" s="19"/>
      <c r="K249" s="266">
        <f t="shared" si="22"/>
        <v>8</v>
      </c>
    </row>
    <row r="250" spans="1:11" ht="15.75">
      <c r="A250" s="259">
        <f t="shared" si="21"/>
        <v>9</v>
      </c>
      <c r="B250" s="4" t="str">
        <f>B77</f>
        <v>Transmission Wages and Salaries Allocation Factor</v>
      </c>
      <c r="C250" s="4"/>
      <c r="D250" s="4"/>
      <c r="E250" s="4"/>
      <c r="F250" s="4"/>
      <c r="G250" s="4"/>
      <c r="H250" s="413">
        <f>'Statement AJ-WP'!I19</f>
        <v>0.16950000000000001</v>
      </c>
      <c r="I250" s="40"/>
      <c r="J250" s="19" t="s">
        <v>1085</v>
      </c>
      <c r="K250" s="266">
        <f t="shared" si="22"/>
        <v>9</v>
      </c>
    </row>
    <row r="251" spans="1:11" ht="15.75">
      <c r="A251" s="259">
        <f t="shared" si="21"/>
        <v>10</v>
      </c>
      <c r="B251" s="4"/>
      <c r="C251" s="4"/>
      <c r="D251" s="4"/>
      <c r="E251" s="4"/>
      <c r="F251" s="4"/>
      <c r="G251" s="4"/>
      <c r="H251" s="416"/>
      <c r="I251" s="40"/>
      <c r="J251" s="19"/>
      <c r="K251" s="266">
        <f t="shared" si="22"/>
        <v>10</v>
      </c>
    </row>
    <row r="252" spans="1:11" ht="15.75">
      <c r="A252" s="344">
        <f t="shared" si="21"/>
        <v>11</v>
      </c>
      <c r="B252" s="4" t="s">
        <v>382</v>
      </c>
      <c r="C252" s="4"/>
      <c r="D252" s="4"/>
      <c r="E252" s="4"/>
      <c r="F252" s="4"/>
      <c r="G252" s="4"/>
      <c r="H252" s="434">
        <f>ROUND(H244*H250,0)</f>
        <v>3734</v>
      </c>
      <c r="I252" s="274"/>
      <c r="J252" s="19" t="s">
        <v>646</v>
      </c>
      <c r="K252" s="344">
        <f t="shared" si="22"/>
        <v>11</v>
      </c>
    </row>
    <row r="253" spans="1:11" ht="15.75">
      <c r="A253" s="344">
        <f t="shared" si="21"/>
        <v>12</v>
      </c>
      <c r="B253" s="4"/>
      <c r="C253" s="4"/>
      <c r="D253" s="4"/>
      <c r="E253" s="4"/>
      <c r="F253" s="4"/>
      <c r="G253" s="4"/>
      <c r="H253" s="416"/>
      <c r="I253" s="40"/>
      <c r="J253" s="19"/>
      <c r="K253" s="344">
        <f t="shared" si="22"/>
        <v>12</v>
      </c>
    </row>
    <row r="254" spans="1:11" ht="15.75">
      <c r="A254" s="344">
        <f t="shared" si="21"/>
        <v>13</v>
      </c>
      <c r="B254" s="4" t="s">
        <v>113</v>
      </c>
      <c r="C254" s="4"/>
      <c r="D254" s="4"/>
      <c r="E254" s="4"/>
      <c r="F254" s="4"/>
      <c r="G254" s="4"/>
      <c r="H254" s="154">
        <f>ROUND(H250*H246,0)</f>
        <v>2052</v>
      </c>
      <c r="I254" s="35"/>
      <c r="J254" s="19" t="s">
        <v>647</v>
      </c>
      <c r="K254" s="344">
        <f t="shared" si="22"/>
        <v>13</v>
      </c>
    </row>
    <row r="255" spans="1:11" ht="15.75">
      <c r="A255" s="259">
        <f t="shared" si="21"/>
        <v>14</v>
      </c>
      <c r="B255" s="4" t="s">
        <v>39</v>
      </c>
      <c r="C255" s="4"/>
      <c r="D255" s="4"/>
      <c r="E255" s="4"/>
      <c r="F255" s="4"/>
      <c r="G255" s="4"/>
      <c r="H255" s="153"/>
      <c r="I255" s="35"/>
      <c r="J255" s="19"/>
      <c r="K255" s="266">
        <f t="shared" si="22"/>
        <v>14</v>
      </c>
    </row>
    <row r="256" spans="1:11" ht="15.75">
      <c r="A256" s="259">
        <f t="shared" si="21"/>
        <v>15</v>
      </c>
      <c r="B256" s="4" t="s">
        <v>263</v>
      </c>
      <c r="C256" s="4"/>
      <c r="D256" s="4"/>
      <c r="E256" s="4"/>
      <c r="F256" s="4"/>
      <c r="G256" s="4"/>
      <c r="H256" s="154">
        <f>ROUND(H248*H250,0)</f>
        <v>9407</v>
      </c>
      <c r="I256" s="35"/>
      <c r="J256" s="19" t="s">
        <v>648</v>
      </c>
      <c r="K256" s="266">
        <f t="shared" si="22"/>
        <v>15</v>
      </c>
    </row>
    <row r="257" spans="1:11" ht="15.75">
      <c r="A257" s="259">
        <f t="shared" si="21"/>
        <v>16</v>
      </c>
      <c r="B257" s="4"/>
      <c r="C257" s="4"/>
      <c r="D257" s="4"/>
      <c r="E257" s="4"/>
      <c r="F257" s="4"/>
      <c r="G257" s="4"/>
      <c r="H257" s="153"/>
      <c r="I257" s="35"/>
      <c r="J257" s="19"/>
      <c r="K257" s="266">
        <f t="shared" si="22"/>
        <v>16</v>
      </c>
    </row>
    <row r="258" spans="1:11" ht="16.5" thickBot="1">
      <c r="A258" s="259">
        <f t="shared" si="21"/>
        <v>17</v>
      </c>
      <c r="B258" s="4" t="s">
        <v>1215</v>
      </c>
      <c r="C258" s="4"/>
      <c r="D258" s="4"/>
      <c r="E258" s="4"/>
      <c r="F258" s="4"/>
      <c r="G258" s="4"/>
      <c r="H258" s="392">
        <f>H242+H252+H254+H256</f>
        <v>131586.21427441202</v>
      </c>
      <c r="I258" s="274"/>
      <c r="J258" s="19" t="s">
        <v>649</v>
      </c>
      <c r="K258" s="266">
        <f t="shared" si="22"/>
        <v>17</v>
      </c>
    </row>
    <row r="259" spans="1:11" ht="16.5" thickTop="1">
      <c r="A259" s="259">
        <f t="shared" si="21"/>
        <v>18</v>
      </c>
      <c r="B259" s="4"/>
      <c r="C259" s="4"/>
      <c r="D259" s="4"/>
      <c r="E259" s="4"/>
      <c r="F259" s="4"/>
      <c r="G259" s="4"/>
      <c r="H259" s="64"/>
      <c r="I259" s="35"/>
      <c r="J259" s="19"/>
      <c r="K259" s="266">
        <f t="shared" si="22"/>
        <v>18</v>
      </c>
    </row>
    <row r="260" spans="1:11" ht="16.5" thickBot="1">
      <c r="A260" s="344">
        <f t="shared" si="21"/>
        <v>19</v>
      </c>
      <c r="B260" s="4" t="s">
        <v>13</v>
      </c>
      <c r="C260" s="4"/>
      <c r="D260" s="4"/>
      <c r="E260" s="4"/>
      <c r="F260" s="4"/>
      <c r="G260" s="4"/>
      <c r="H260" s="400">
        <f>'Statement AJ-WP'!I29</f>
        <v>0</v>
      </c>
      <c r="I260" s="35"/>
      <c r="J260" s="19" t="s">
        <v>1248</v>
      </c>
      <c r="K260" s="344">
        <f t="shared" si="22"/>
        <v>19</v>
      </c>
    </row>
    <row r="261" spans="1:11" ht="16.5" thickTop="1">
      <c r="A261" s="344">
        <f t="shared" si="21"/>
        <v>20</v>
      </c>
      <c r="B261" s="4"/>
      <c r="C261" s="4"/>
      <c r="D261" s="4"/>
      <c r="E261" s="4"/>
      <c r="F261" s="4"/>
      <c r="G261" s="4"/>
      <c r="H261" s="64"/>
      <c r="I261" s="35"/>
      <c r="J261" s="19"/>
      <c r="K261" s="344">
        <f t="shared" si="22"/>
        <v>20</v>
      </c>
    </row>
    <row r="262" spans="1:11" ht="16.5" thickBot="1">
      <c r="A262" s="344">
        <f t="shared" si="21"/>
        <v>21</v>
      </c>
      <c r="B262" s="4" t="s">
        <v>513</v>
      </c>
      <c r="C262" s="4"/>
      <c r="D262" s="4"/>
      <c r="E262" s="4"/>
      <c r="F262" s="4"/>
      <c r="G262" s="4"/>
      <c r="H262" s="400">
        <f>'Statement AJ-WP'!I31</f>
        <v>0</v>
      </c>
      <c r="I262" s="35"/>
      <c r="J262" s="19" t="s">
        <v>1086</v>
      </c>
      <c r="K262" s="344">
        <f t="shared" si="22"/>
        <v>21</v>
      </c>
    </row>
    <row r="263" spans="1:11" ht="16.5" thickTop="1">
      <c r="A263" s="344">
        <f t="shared" si="21"/>
        <v>22</v>
      </c>
      <c r="B263" s="4"/>
      <c r="C263" s="4"/>
      <c r="D263" s="4"/>
      <c r="E263" s="4"/>
      <c r="F263" s="4"/>
      <c r="G263" s="4"/>
      <c r="H263" s="61"/>
      <c r="I263" s="35"/>
      <c r="J263" s="19"/>
      <c r="K263" s="344">
        <f t="shared" si="22"/>
        <v>22</v>
      </c>
    </row>
    <row r="264" spans="1:11" ht="16.5" thickBot="1">
      <c r="A264" s="344">
        <f t="shared" si="21"/>
        <v>23</v>
      </c>
      <c r="B264" s="111" t="s">
        <v>1245</v>
      </c>
      <c r="C264" s="4"/>
      <c r="D264" s="4"/>
      <c r="E264" s="4"/>
      <c r="F264" s="4"/>
      <c r="G264" s="4"/>
      <c r="H264" s="400">
        <f>'Statement AJ-WP'!I33</f>
        <v>0</v>
      </c>
      <c r="I264" s="35"/>
      <c r="J264" s="19" t="s">
        <v>1087</v>
      </c>
      <c r="K264" s="344">
        <f t="shared" si="22"/>
        <v>23</v>
      </c>
    </row>
    <row r="265" spans="1:11" ht="16.5" thickTop="1">
      <c r="A265" s="344">
        <f t="shared" si="21"/>
        <v>24</v>
      </c>
      <c r="B265" s="111"/>
      <c r="C265" s="4"/>
      <c r="D265" s="4"/>
      <c r="E265" s="4"/>
      <c r="F265" s="4"/>
      <c r="G265" s="4"/>
      <c r="H265" s="485"/>
      <c r="I265" s="35"/>
      <c r="J265" s="19"/>
      <c r="K265" s="344">
        <f t="shared" si="22"/>
        <v>24</v>
      </c>
    </row>
    <row r="266" spans="1:11" ht="16.5" thickBot="1">
      <c r="A266" s="344">
        <f t="shared" si="21"/>
        <v>25</v>
      </c>
      <c r="B266" s="111" t="s">
        <v>575</v>
      </c>
      <c r="C266" s="4"/>
      <c r="D266" s="4"/>
      <c r="E266" s="4"/>
      <c r="F266" s="4"/>
      <c r="G266" s="4"/>
      <c r="H266" s="400">
        <f>'Statement AJ-WP'!I35</f>
        <v>0</v>
      </c>
      <c r="I266" s="35"/>
      <c r="J266" s="19" t="s">
        <v>1088</v>
      </c>
      <c r="K266" s="344">
        <f t="shared" si="22"/>
        <v>25</v>
      </c>
    </row>
    <row r="267" spans="1:11" ht="16.5" thickTop="1">
      <c r="A267" s="344"/>
      <c r="B267" s="111"/>
      <c r="C267" s="4"/>
      <c r="D267" s="4"/>
      <c r="E267" s="4"/>
      <c r="F267" s="4"/>
      <c r="G267" s="4"/>
      <c r="H267" s="485"/>
      <c r="I267" s="35"/>
      <c r="J267" s="19"/>
      <c r="K267" s="344"/>
    </row>
    <row r="268" spans="1:11" ht="15.75">
      <c r="A268" s="274"/>
      <c r="B268" s="111"/>
      <c r="C268" s="4"/>
      <c r="D268" s="4"/>
      <c r="E268" s="4"/>
      <c r="F268" s="4"/>
      <c r="G268" s="4"/>
      <c r="H268" s="64"/>
      <c r="I268" s="35"/>
      <c r="J268" s="19"/>
      <c r="K268" s="344"/>
    </row>
    <row r="269" spans="1:11" ht="15.75">
      <c r="A269" s="10"/>
      <c r="B269" s="1161" t="s">
        <v>42</v>
      </c>
      <c r="C269" s="1161"/>
      <c r="D269" s="1161"/>
      <c r="E269" s="1161"/>
      <c r="F269" s="1161"/>
      <c r="G269" s="1161"/>
      <c r="H269" s="1161"/>
      <c r="I269" s="1156"/>
      <c r="J269" s="1156"/>
      <c r="K269" s="10"/>
    </row>
    <row r="270" spans="1:11" ht="15.75">
      <c r="A270" s="10"/>
      <c r="B270" s="1161" t="s">
        <v>53</v>
      </c>
      <c r="C270" s="1161"/>
      <c r="D270" s="1161"/>
      <c r="E270" s="1161"/>
      <c r="F270" s="1161"/>
      <c r="G270" s="1161"/>
      <c r="H270" s="1161"/>
      <c r="I270" s="1160"/>
      <c r="J270" s="1160"/>
      <c r="K270" s="10"/>
    </row>
    <row r="271" spans="1:11" ht="15.75">
      <c r="A271" s="10"/>
      <c r="B271" s="1161" t="s">
        <v>54</v>
      </c>
      <c r="C271" s="1161"/>
      <c r="D271" s="1161"/>
      <c r="E271" s="1161"/>
      <c r="F271" s="1161"/>
      <c r="G271" s="1161"/>
      <c r="H271" s="1161"/>
      <c r="I271" s="1156"/>
      <c r="J271" s="1156"/>
      <c r="K271" s="10"/>
    </row>
    <row r="272" spans="1:11" ht="15.75">
      <c r="A272" s="10"/>
      <c r="B272" s="1157" t="str">
        <f>B5</f>
        <v>Base Period &amp; True-Up Period 12 - Months Ending December 31, 2015</v>
      </c>
      <c r="C272" s="1157"/>
      <c r="D272" s="1157"/>
      <c r="E272" s="1157"/>
      <c r="F272" s="1157"/>
      <c r="G272" s="1157"/>
      <c r="H272" s="1157"/>
      <c r="I272" s="1158"/>
      <c r="J272" s="1158"/>
      <c r="K272" s="10"/>
    </row>
    <row r="273" spans="1:11">
      <c r="B273" s="1159" t="s">
        <v>72</v>
      </c>
      <c r="C273" s="1160"/>
      <c r="D273" s="1160"/>
      <c r="E273" s="1160"/>
      <c r="F273" s="1160"/>
      <c r="G273" s="1160"/>
      <c r="H273" s="1160"/>
      <c r="I273" s="1160"/>
      <c r="J273" s="1160"/>
    </row>
    <row r="274" spans="1:11" ht="15.75">
      <c r="B274" s="241"/>
      <c r="C274" s="245"/>
      <c r="D274" s="245"/>
      <c r="E274" s="245"/>
      <c r="F274" s="245"/>
      <c r="G274" s="245"/>
      <c r="H274" s="390"/>
      <c r="I274" s="245"/>
      <c r="J274" s="278"/>
    </row>
    <row r="275" spans="1:11" ht="15.75">
      <c r="A275" s="10" t="s">
        <v>62</v>
      </c>
      <c r="B275" s="224"/>
      <c r="C275" s="225"/>
      <c r="D275" s="225"/>
      <c r="E275" s="225"/>
      <c r="F275" s="225"/>
      <c r="G275" s="225"/>
      <c r="H275" s="166"/>
      <c r="I275" s="229"/>
      <c r="J275" s="10"/>
      <c r="K275" s="10" t="s">
        <v>62</v>
      </c>
    </row>
    <row r="276" spans="1:11" ht="15.75">
      <c r="A276" s="33" t="s">
        <v>63</v>
      </c>
      <c r="B276" s="2"/>
      <c r="C276" s="2"/>
      <c r="D276" s="2"/>
      <c r="E276" s="2"/>
      <c r="F276" s="2"/>
      <c r="G276" s="2"/>
      <c r="H276" s="33" t="s">
        <v>69</v>
      </c>
      <c r="I276" s="2"/>
      <c r="J276" s="33" t="s">
        <v>65</v>
      </c>
      <c r="K276" s="33" t="s">
        <v>63</v>
      </c>
    </row>
    <row r="277" spans="1:11" ht="15.75">
      <c r="A277" s="10"/>
      <c r="B277" s="3"/>
      <c r="C277" s="3"/>
      <c r="D277" s="3"/>
      <c r="E277" s="3"/>
      <c r="F277" s="3"/>
      <c r="G277" s="3"/>
      <c r="H277" s="344"/>
      <c r="I277" s="3"/>
      <c r="J277" s="10"/>
      <c r="K277" s="10"/>
    </row>
    <row r="278" spans="1:11" ht="15.75">
      <c r="A278" s="3">
        <v>1</v>
      </c>
      <c r="B278" s="4" t="s">
        <v>30</v>
      </c>
      <c r="C278" s="4"/>
      <c r="D278" s="4"/>
      <c r="E278" s="4"/>
      <c r="F278" s="4"/>
      <c r="G278" s="4"/>
      <c r="H278" s="389">
        <f>'Statement AK-WP'!I15</f>
        <v>95951.471969999984</v>
      </c>
      <c r="I278" s="994"/>
      <c r="J278" s="19" t="s">
        <v>1089</v>
      </c>
      <c r="K278" s="266">
        <v>1</v>
      </c>
    </row>
    <row r="279" spans="1:11" ht="15.75">
      <c r="A279" s="3">
        <f>+A278+1</f>
        <v>2</v>
      </c>
      <c r="B279" s="4"/>
      <c r="C279" s="4"/>
      <c r="D279" s="4"/>
      <c r="E279" s="4"/>
      <c r="F279" s="4"/>
      <c r="G279" s="4"/>
      <c r="H279" s="60"/>
      <c r="I279" s="35"/>
      <c r="J279" s="19"/>
      <c r="K279" s="266">
        <f>+K278+1</f>
        <v>2</v>
      </c>
    </row>
    <row r="280" spans="1:11" ht="15.75">
      <c r="A280" s="3">
        <f t="shared" ref="A280:A310" si="23">+A279+1</f>
        <v>3</v>
      </c>
      <c r="B280" s="4" t="s">
        <v>264</v>
      </c>
      <c r="C280" s="4"/>
      <c r="D280" s="4"/>
      <c r="E280" s="4"/>
      <c r="F280" s="4"/>
      <c r="G280" s="4"/>
      <c r="H280" s="396">
        <f>'Statement AK-WP'!I17</f>
        <v>-1961.1809899351431</v>
      </c>
      <c r="I280" s="37"/>
      <c r="J280" s="19" t="s">
        <v>1090</v>
      </c>
      <c r="K280" s="266">
        <f t="shared" ref="K280:K300" si="24">+K279+1</f>
        <v>3</v>
      </c>
    </row>
    <row r="281" spans="1:11" ht="15.75">
      <c r="A281" s="3">
        <f t="shared" si="23"/>
        <v>4</v>
      </c>
      <c r="B281" s="4"/>
      <c r="C281" s="4"/>
      <c r="D281" s="4"/>
      <c r="E281" s="4"/>
      <c r="F281" s="4"/>
      <c r="G281" s="4"/>
      <c r="H281" s="65"/>
      <c r="I281" s="37"/>
      <c r="J281" s="19"/>
      <c r="K281" s="266">
        <f t="shared" si="24"/>
        <v>4</v>
      </c>
    </row>
    <row r="282" spans="1:11" ht="16.5" thickBot="1">
      <c r="A282" s="3">
        <f t="shared" si="23"/>
        <v>5</v>
      </c>
      <c r="B282" s="4" t="s">
        <v>31</v>
      </c>
      <c r="C282" s="4"/>
      <c r="D282" s="93"/>
      <c r="E282" s="4"/>
      <c r="F282" s="93"/>
      <c r="G282" s="4"/>
      <c r="H282" s="66">
        <f>SUM(H278:H280)</f>
        <v>93990.290980064834</v>
      </c>
      <c r="I282" s="994"/>
      <c r="J282" s="19" t="s">
        <v>205</v>
      </c>
      <c r="K282" s="266">
        <f t="shared" si="24"/>
        <v>5</v>
      </c>
    </row>
    <row r="283" spans="1:11" ht="16.5" thickTop="1">
      <c r="A283" s="3">
        <f t="shared" si="23"/>
        <v>6</v>
      </c>
      <c r="B283" s="4"/>
      <c r="C283" s="4"/>
      <c r="D283" s="4"/>
      <c r="E283" s="4"/>
      <c r="F283" s="51"/>
      <c r="G283" s="4"/>
      <c r="H283" s="4"/>
      <c r="I283" s="4"/>
      <c r="J283" s="10"/>
      <c r="K283" s="266">
        <f t="shared" si="24"/>
        <v>6</v>
      </c>
    </row>
    <row r="284" spans="1:11" ht="15.75">
      <c r="A284" s="3">
        <f t="shared" si="23"/>
        <v>7</v>
      </c>
      <c r="B284" s="4"/>
      <c r="C284" s="4"/>
      <c r="D284" s="4"/>
      <c r="E284" s="4"/>
      <c r="F284" s="27"/>
      <c r="G284" s="4"/>
      <c r="H284" s="23"/>
      <c r="I284" s="35"/>
      <c r="J284" s="19"/>
      <c r="K284" s="266">
        <f t="shared" si="24"/>
        <v>7</v>
      </c>
    </row>
    <row r="285" spans="1:11" ht="15.75">
      <c r="A285" s="3">
        <f t="shared" si="23"/>
        <v>8</v>
      </c>
      <c r="B285" s="91" t="s">
        <v>32</v>
      </c>
      <c r="C285" s="3"/>
      <c r="D285" s="4"/>
      <c r="E285" s="5"/>
      <c r="F285" s="5"/>
      <c r="G285" s="5"/>
      <c r="H285" s="8"/>
      <c r="I285" s="19"/>
      <c r="J285" s="10"/>
      <c r="K285" s="266">
        <f t="shared" si="24"/>
        <v>8</v>
      </c>
    </row>
    <row r="286" spans="1:11" ht="15.75">
      <c r="A286" s="3">
        <f t="shared" si="23"/>
        <v>9</v>
      </c>
      <c r="B286" s="7" t="s">
        <v>664</v>
      </c>
      <c r="C286" s="3"/>
      <c r="D286" s="4"/>
      <c r="E286" s="5"/>
      <c r="F286" s="5"/>
      <c r="G286" s="5"/>
      <c r="H286" s="387">
        <f>'Statement AD-WP'!J39</f>
        <v>4574357.6782376915</v>
      </c>
      <c r="I286" s="274"/>
      <c r="J286" s="21" t="s">
        <v>1124</v>
      </c>
      <c r="K286" s="266">
        <f t="shared" si="24"/>
        <v>9</v>
      </c>
    </row>
    <row r="287" spans="1:11" ht="15.75">
      <c r="A287" s="3">
        <f t="shared" si="23"/>
        <v>10</v>
      </c>
      <c r="B287" s="7" t="s">
        <v>154</v>
      </c>
      <c r="C287" s="3"/>
      <c r="D287" s="4"/>
      <c r="E287" s="5"/>
      <c r="F287" s="5"/>
      <c r="G287" s="5"/>
      <c r="H287" s="678">
        <v>0</v>
      </c>
      <c r="I287" s="55"/>
      <c r="J287" s="19" t="s">
        <v>629</v>
      </c>
      <c r="K287" s="266">
        <f t="shared" si="24"/>
        <v>10</v>
      </c>
    </row>
    <row r="288" spans="1:11" ht="15.75">
      <c r="A288" s="3">
        <f t="shared" si="23"/>
        <v>11</v>
      </c>
      <c r="B288" s="7" t="s">
        <v>98</v>
      </c>
      <c r="C288" s="3"/>
      <c r="D288" s="4"/>
      <c r="E288" s="5"/>
      <c r="F288" s="5"/>
      <c r="G288" s="5"/>
      <c r="H288" s="371">
        <f>'Statement AD-WP'!J43</f>
        <v>52855</v>
      </c>
      <c r="I288" s="55"/>
      <c r="J288" s="21" t="s">
        <v>1125</v>
      </c>
      <c r="K288" s="266">
        <f t="shared" si="24"/>
        <v>11</v>
      </c>
    </row>
    <row r="289" spans="1:11" ht="15.75">
      <c r="A289" s="3">
        <f t="shared" si="23"/>
        <v>12</v>
      </c>
      <c r="B289" s="7" t="s">
        <v>112</v>
      </c>
      <c r="C289" s="3"/>
      <c r="D289" s="4"/>
      <c r="E289" s="5"/>
      <c r="F289" s="5"/>
      <c r="G289" s="5"/>
      <c r="H289" s="373">
        <f>'Statement AD-WP'!J45</f>
        <v>113784</v>
      </c>
      <c r="I289" s="55"/>
      <c r="J289" s="21" t="s">
        <v>1126</v>
      </c>
      <c r="K289" s="266">
        <f t="shared" si="24"/>
        <v>12</v>
      </c>
    </row>
    <row r="290" spans="1:11" ht="16.5" thickBot="1">
      <c r="A290" s="3">
        <f t="shared" si="23"/>
        <v>13</v>
      </c>
      <c r="B290" s="7" t="s">
        <v>33</v>
      </c>
      <c r="C290" s="3"/>
      <c r="D290" s="4"/>
      <c r="E290" s="5"/>
      <c r="F290" s="5"/>
      <c r="G290" s="5"/>
      <c r="H290" s="420">
        <f>SUM(H286:H289)</f>
        <v>4740996.6782376915</v>
      </c>
      <c r="I290" s="274"/>
      <c r="J290" s="10" t="s">
        <v>265</v>
      </c>
      <c r="K290" s="266">
        <f t="shared" si="24"/>
        <v>13</v>
      </c>
    </row>
    <row r="291" spans="1:11" ht="16.5" thickTop="1">
      <c r="A291" s="3">
        <f t="shared" si="23"/>
        <v>14</v>
      </c>
      <c r="B291" s="7"/>
      <c r="C291" s="3"/>
      <c r="D291" s="4"/>
      <c r="E291" s="5"/>
      <c r="F291" s="5"/>
      <c r="G291" s="5"/>
      <c r="H291" s="68"/>
      <c r="I291" s="19"/>
      <c r="J291" s="10"/>
      <c r="K291" s="266">
        <f t="shared" si="24"/>
        <v>14</v>
      </c>
    </row>
    <row r="292" spans="1:11" ht="15.75">
      <c r="A292" s="344">
        <f t="shared" si="23"/>
        <v>15</v>
      </c>
      <c r="B292" s="7" t="s">
        <v>664</v>
      </c>
      <c r="C292" s="3"/>
      <c r="D292" s="4"/>
      <c r="E292" s="5"/>
      <c r="F292" s="5"/>
      <c r="G292" s="5"/>
      <c r="H292" s="378">
        <f>'Statement AD-WP'!J39</f>
        <v>4574357.6782376915</v>
      </c>
      <c r="I292" s="274"/>
      <c r="J292" s="21" t="s">
        <v>1124</v>
      </c>
      <c r="K292" s="344">
        <f t="shared" si="24"/>
        <v>15</v>
      </c>
    </row>
    <row r="293" spans="1:11" ht="15.75">
      <c r="A293" s="344">
        <f t="shared" si="23"/>
        <v>16</v>
      </c>
      <c r="B293" s="7" t="s">
        <v>432</v>
      </c>
      <c r="C293" s="3"/>
      <c r="D293" s="4"/>
      <c r="E293" s="5"/>
      <c r="F293" s="5"/>
      <c r="G293" s="5"/>
      <c r="H293" s="679">
        <v>0</v>
      </c>
      <c r="I293" s="55"/>
      <c r="J293" s="19" t="s">
        <v>629</v>
      </c>
      <c r="K293" s="344">
        <f t="shared" si="24"/>
        <v>16</v>
      </c>
    </row>
    <row r="294" spans="1:11" ht="15.75">
      <c r="A294" s="344">
        <f t="shared" si="23"/>
        <v>17</v>
      </c>
      <c r="B294" s="7" t="s">
        <v>35</v>
      </c>
      <c r="C294" s="3"/>
      <c r="D294" s="4"/>
      <c r="E294" s="5"/>
      <c r="F294" s="5"/>
      <c r="G294" s="5"/>
      <c r="H294" s="378">
        <f>'Statement AD-WP'!J13</f>
        <v>548493.07206076931</v>
      </c>
      <c r="I294" s="274"/>
      <c r="J294" s="21" t="s">
        <v>1024</v>
      </c>
      <c r="K294" s="344">
        <f t="shared" si="24"/>
        <v>17</v>
      </c>
    </row>
    <row r="295" spans="1:11" ht="15.75">
      <c r="A295" s="344">
        <f t="shared" si="23"/>
        <v>18</v>
      </c>
      <c r="B295" s="7" t="s">
        <v>34</v>
      </c>
      <c r="C295" s="3"/>
      <c r="D295" s="4"/>
      <c r="E295" s="5"/>
      <c r="F295" s="5"/>
      <c r="G295" s="5"/>
      <c r="H295" s="679">
        <v>0</v>
      </c>
      <c r="I295" s="55"/>
      <c r="J295" s="19" t="s">
        <v>629</v>
      </c>
      <c r="K295" s="344">
        <f t="shared" si="24"/>
        <v>18</v>
      </c>
    </row>
    <row r="296" spans="1:11" ht="15.75">
      <c r="A296" s="344">
        <f t="shared" si="23"/>
        <v>19</v>
      </c>
      <c r="B296" s="7" t="s">
        <v>20</v>
      </c>
      <c r="C296" s="3"/>
      <c r="D296" s="4"/>
      <c r="E296" s="5"/>
      <c r="F296" s="5"/>
      <c r="G296" s="5"/>
      <c r="H296" s="378">
        <f>'Statement AD-WP'!J19</f>
        <v>485944.00622230762</v>
      </c>
      <c r="I296" s="274"/>
      <c r="J296" s="21" t="s">
        <v>1027</v>
      </c>
      <c r="K296" s="344">
        <f t="shared" si="24"/>
        <v>19</v>
      </c>
    </row>
    <row r="297" spans="1:11" ht="15.75">
      <c r="A297" s="344">
        <f t="shared" si="23"/>
        <v>20</v>
      </c>
      <c r="B297" s="7" t="s">
        <v>367</v>
      </c>
      <c r="C297" s="3"/>
      <c r="D297" s="4"/>
      <c r="E297" s="5"/>
      <c r="F297" s="5"/>
      <c r="G297" s="5"/>
      <c r="H297" s="378">
        <f>'Statement AD-WP'!J23</f>
        <v>5608558</v>
      </c>
      <c r="I297" s="55"/>
      <c r="J297" s="21" t="s">
        <v>1028</v>
      </c>
      <c r="K297" s="344">
        <f t="shared" si="24"/>
        <v>20</v>
      </c>
    </row>
    <row r="298" spans="1:11" ht="15.75">
      <c r="A298" s="344">
        <f t="shared" si="23"/>
        <v>21</v>
      </c>
      <c r="B298" s="7" t="s">
        <v>80</v>
      </c>
      <c r="C298" s="3"/>
      <c r="D298" s="4"/>
      <c r="E298" s="5"/>
      <c r="F298" s="5"/>
      <c r="G298" s="5"/>
      <c r="H298" s="378">
        <f>'Statement AD-WP'!J31</f>
        <v>311830</v>
      </c>
      <c r="I298" s="55"/>
      <c r="J298" s="21" t="s">
        <v>1031</v>
      </c>
      <c r="K298" s="344">
        <f t="shared" si="24"/>
        <v>21</v>
      </c>
    </row>
    <row r="299" spans="1:11" ht="15.75">
      <c r="A299" s="344">
        <f t="shared" si="23"/>
        <v>22</v>
      </c>
      <c r="B299" s="7" t="s">
        <v>79</v>
      </c>
      <c r="C299" s="3"/>
      <c r="D299" s="4"/>
      <c r="E299" s="5"/>
      <c r="F299" s="5"/>
      <c r="G299" s="5"/>
      <c r="H299" s="388">
        <f>'Statement AD-WP'!J33</f>
        <v>671293</v>
      </c>
      <c r="I299" s="55"/>
      <c r="J299" s="21" t="s">
        <v>1032</v>
      </c>
      <c r="K299" s="344">
        <f t="shared" si="24"/>
        <v>22</v>
      </c>
    </row>
    <row r="300" spans="1:11" ht="16.5" thickBot="1">
      <c r="A300" s="344">
        <f t="shared" si="23"/>
        <v>23</v>
      </c>
      <c r="B300" s="7" t="s">
        <v>36</v>
      </c>
      <c r="C300" s="3"/>
      <c r="D300" s="4"/>
      <c r="E300" s="5"/>
      <c r="F300" s="5"/>
      <c r="G300" s="5"/>
      <c r="H300" s="92">
        <f>SUM(H292:H299)</f>
        <v>12200475.756520769</v>
      </c>
      <c r="I300" s="274"/>
      <c r="J300" s="10" t="s">
        <v>266</v>
      </c>
      <c r="K300" s="344">
        <f t="shared" si="24"/>
        <v>23</v>
      </c>
    </row>
    <row r="301" spans="1:11" ht="16.5" thickTop="1">
      <c r="A301" s="3">
        <f t="shared" si="23"/>
        <v>24</v>
      </c>
      <c r="B301" s="7"/>
      <c r="C301" s="3"/>
      <c r="D301" s="4"/>
      <c r="E301" s="5"/>
      <c r="F301" s="5"/>
      <c r="G301" s="5"/>
      <c r="H301" s="68"/>
      <c r="I301" s="19"/>
      <c r="J301" s="10"/>
      <c r="K301" s="266">
        <f t="shared" ref="K301:K310" si="25">+K300+1</f>
        <v>24</v>
      </c>
    </row>
    <row r="302" spans="1:11" ht="15.75">
      <c r="A302" s="3">
        <f t="shared" si="23"/>
        <v>25</v>
      </c>
      <c r="B302" s="8" t="s">
        <v>114</v>
      </c>
      <c r="C302" s="4"/>
      <c r="D302" s="4"/>
      <c r="E302" s="4"/>
      <c r="F302" s="4"/>
      <c r="G302" s="4"/>
      <c r="H302" s="776">
        <f>ROUND(H290/H300,4)</f>
        <v>0.3886</v>
      </c>
      <c r="I302" s="45"/>
      <c r="J302" s="19" t="s">
        <v>37</v>
      </c>
      <c r="K302" s="266">
        <f t="shared" si="25"/>
        <v>25</v>
      </c>
    </row>
    <row r="303" spans="1:11" ht="15.75">
      <c r="A303" s="3">
        <f t="shared" si="23"/>
        <v>26</v>
      </c>
      <c r="B303" s="4"/>
      <c r="C303" s="4"/>
      <c r="D303" s="4"/>
      <c r="E303" s="4"/>
      <c r="F303" s="4"/>
      <c r="G303" s="4"/>
      <c r="H303" s="415"/>
      <c r="I303" s="35"/>
      <c r="J303" s="19"/>
      <c r="K303" s="266">
        <f t="shared" si="25"/>
        <v>26</v>
      </c>
    </row>
    <row r="304" spans="1:11" ht="16.5" thickBot="1">
      <c r="A304" s="3">
        <f t="shared" si="23"/>
        <v>27</v>
      </c>
      <c r="B304" s="4" t="s">
        <v>115</v>
      </c>
      <c r="C304" s="4"/>
      <c r="D304" s="4"/>
      <c r="E304" s="4"/>
      <c r="F304" s="4"/>
      <c r="G304" s="4"/>
      <c r="H304" s="392">
        <f>ROUND(H302*H282,0)</f>
        <v>36525</v>
      </c>
      <c r="I304" s="994"/>
      <c r="J304" s="19" t="s">
        <v>38</v>
      </c>
      <c r="K304" s="266">
        <f t="shared" si="25"/>
        <v>27</v>
      </c>
    </row>
    <row r="305" spans="1:11" ht="16.5" thickTop="1">
      <c r="A305" s="3">
        <f t="shared" si="23"/>
        <v>28</v>
      </c>
      <c r="B305" s="4"/>
      <c r="C305" s="4"/>
      <c r="D305" s="4"/>
      <c r="E305" s="4"/>
      <c r="F305" s="4"/>
      <c r="G305" s="4"/>
      <c r="H305" s="12"/>
      <c r="I305" s="4"/>
      <c r="J305" s="4"/>
      <c r="K305" s="266">
        <f t="shared" si="25"/>
        <v>28</v>
      </c>
    </row>
    <row r="306" spans="1:11" ht="15.75">
      <c r="A306" s="344">
        <f t="shared" si="23"/>
        <v>29</v>
      </c>
      <c r="B306" s="4" t="s">
        <v>267</v>
      </c>
      <c r="C306" s="4"/>
      <c r="D306" s="50" t="s">
        <v>39</v>
      </c>
      <c r="E306" s="4"/>
      <c r="F306" s="4"/>
      <c r="G306" s="4"/>
      <c r="H306" s="389">
        <f>'Statement AK-WP'!I26</f>
        <v>15184.590880084001</v>
      </c>
      <c r="I306" s="994"/>
      <c r="J306" s="19" t="s">
        <v>1091</v>
      </c>
      <c r="K306" s="344">
        <f t="shared" si="25"/>
        <v>29</v>
      </c>
    </row>
    <row r="307" spans="1:11" ht="15.75">
      <c r="A307" s="3">
        <f t="shared" si="23"/>
        <v>30</v>
      </c>
      <c r="B307" s="4"/>
      <c r="C307" s="4"/>
      <c r="D307" s="4"/>
      <c r="E307" s="4"/>
      <c r="F307" s="4"/>
      <c r="G307" s="4"/>
      <c r="H307" s="23"/>
      <c r="I307" s="35"/>
      <c r="J307" s="19"/>
      <c r="K307" s="266">
        <f t="shared" si="25"/>
        <v>30</v>
      </c>
    </row>
    <row r="308" spans="1:11" ht="15.75">
      <c r="A308" s="3">
        <f t="shared" si="23"/>
        <v>31</v>
      </c>
      <c r="B308" s="4" t="s">
        <v>87</v>
      </c>
      <c r="C308" s="4"/>
      <c r="D308" s="4"/>
      <c r="E308" s="4"/>
      <c r="F308" s="4"/>
      <c r="G308" s="4"/>
      <c r="H308" s="413">
        <f>H230</f>
        <v>0.16950000000000001</v>
      </c>
      <c r="I308" s="40"/>
      <c r="J308" s="19" t="s">
        <v>502</v>
      </c>
      <c r="K308" s="266">
        <f t="shared" si="25"/>
        <v>31</v>
      </c>
    </row>
    <row r="309" spans="1:11" ht="15.75">
      <c r="A309" s="3">
        <f t="shared" si="23"/>
        <v>32</v>
      </c>
      <c r="B309" s="4"/>
      <c r="C309" s="4"/>
      <c r="D309" s="4"/>
      <c r="E309" s="4"/>
      <c r="F309" s="4"/>
      <c r="G309" s="4"/>
      <c r="H309" s="415"/>
      <c r="I309" s="35"/>
      <c r="J309" s="10"/>
      <c r="K309" s="266">
        <f t="shared" si="25"/>
        <v>32</v>
      </c>
    </row>
    <row r="310" spans="1:11" ht="16.5" thickBot="1">
      <c r="A310" s="3">
        <f t="shared" si="23"/>
        <v>33</v>
      </c>
      <c r="B310" s="4" t="s">
        <v>157</v>
      </c>
      <c r="C310" s="4"/>
      <c r="D310" s="4"/>
      <c r="E310" s="4"/>
      <c r="F310" s="4"/>
      <c r="G310" s="4"/>
      <c r="H310" s="392">
        <f>ROUND(H306*H308,0)</f>
        <v>2574</v>
      </c>
      <c r="I310" s="994"/>
      <c r="J310" s="20" t="s">
        <v>505</v>
      </c>
      <c r="K310" s="266">
        <f t="shared" si="25"/>
        <v>33</v>
      </c>
    </row>
    <row r="311" spans="1:11" ht="16.5" thickTop="1">
      <c r="A311" s="344"/>
      <c r="B311" s="4"/>
      <c r="C311" s="4"/>
      <c r="D311" s="4"/>
      <c r="E311" s="4"/>
      <c r="F311" s="4"/>
      <c r="G311" s="4"/>
      <c r="H311" s="64"/>
      <c r="I311" s="35"/>
      <c r="J311" s="20"/>
      <c r="K311" s="344"/>
    </row>
    <row r="312" spans="1:11" ht="15.75">
      <c r="A312" s="3"/>
      <c r="B312" s="4"/>
      <c r="C312" s="4"/>
      <c r="D312" s="4"/>
      <c r="E312" s="4"/>
      <c r="F312" s="4"/>
      <c r="G312" s="4"/>
      <c r="H312" s="1"/>
      <c r="I312" s="36"/>
      <c r="J312" s="10"/>
      <c r="K312" s="266"/>
    </row>
    <row r="313" spans="1:11" ht="15.75">
      <c r="A313" s="10"/>
      <c r="B313" s="1161" t="s">
        <v>42</v>
      </c>
      <c r="C313" s="1161"/>
      <c r="D313" s="1161"/>
      <c r="E313" s="1161"/>
      <c r="F313" s="1161"/>
      <c r="G313" s="1161"/>
      <c r="H313" s="1161"/>
      <c r="I313" s="1156"/>
      <c r="J313" s="1156"/>
      <c r="K313" s="10"/>
    </row>
    <row r="314" spans="1:11" ht="15.75">
      <c r="A314" s="10"/>
      <c r="B314" s="1161" t="s">
        <v>55</v>
      </c>
      <c r="C314" s="1161"/>
      <c r="D314" s="1161"/>
      <c r="E314" s="1161"/>
      <c r="F314" s="1161"/>
      <c r="G314" s="1161"/>
      <c r="H314" s="1161"/>
      <c r="I314" s="1160"/>
      <c r="J314" s="1160"/>
      <c r="K314" s="10"/>
    </row>
    <row r="315" spans="1:11" ht="15.75">
      <c r="A315" s="10"/>
      <c r="B315" s="1161" t="s">
        <v>40</v>
      </c>
      <c r="C315" s="1161"/>
      <c r="D315" s="1161"/>
      <c r="E315" s="1161"/>
      <c r="F315" s="1161"/>
      <c r="G315" s="1161"/>
      <c r="H315" s="1161"/>
      <c r="I315" s="1156"/>
      <c r="J315" s="1156"/>
      <c r="K315" s="10"/>
    </row>
    <row r="316" spans="1:11" ht="15.75">
      <c r="A316" s="10"/>
      <c r="B316" s="1157" t="str">
        <f>B5</f>
        <v>Base Period &amp; True-Up Period 12 - Months Ending December 31, 2015</v>
      </c>
      <c r="C316" s="1157"/>
      <c r="D316" s="1157"/>
      <c r="E316" s="1157"/>
      <c r="F316" s="1157"/>
      <c r="G316" s="1157"/>
      <c r="H316" s="1157"/>
      <c r="I316" s="1158"/>
      <c r="J316" s="1158"/>
      <c r="K316" s="10"/>
    </row>
    <row r="317" spans="1:11">
      <c r="B317" s="1159" t="s">
        <v>72</v>
      </c>
      <c r="C317" s="1160"/>
      <c r="D317" s="1160"/>
      <c r="E317" s="1160"/>
      <c r="F317" s="1160"/>
      <c r="G317" s="1160"/>
      <c r="H317" s="1160"/>
      <c r="I317" s="1160"/>
      <c r="J317" s="1160"/>
    </row>
    <row r="318" spans="1:11" ht="15.75">
      <c r="B318" s="241"/>
      <c r="C318" s="245"/>
      <c r="D318" s="245"/>
      <c r="E318" s="245"/>
      <c r="F318" s="245"/>
      <c r="G318" s="245"/>
      <c r="H318" s="390"/>
      <c r="I318" s="245"/>
      <c r="J318" s="278"/>
    </row>
    <row r="319" spans="1:11" ht="15.75">
      <c r="A319" s="10" t="s">
        <v>62</v>
      </c>
      <c r="B319" s="224"/>
      <c r="C319" s="225"/>
      <c r="D319" s="225"/>
      <c r="E319" s="225"/>
      <c r="F319" s="225"/>
      <c r="G319" s="225"/>
      <c r="H319" s="166"/>
      <c r="I319" s="229"/>
      <c r="J319" s="34"/>
      <c r="K319" s="10" t="s">
        <v>62</v>
      </c>
    </row>
    <row r="320" spans="1:11" ht="15.75">
      <c r="A320" s="33" t="s">
        <v>63</v>
      </c>
      <c r="B320" s="2"/>
      <c r="C320" s="2"/>
      <c r="D320" s="2"/>
      <c r="E320" s="2"/>
      <c r="F320" s="2"/>
      <c r="G320" s="2"/>
      <c r="H320" s="33" t="s">
        <v>69</v>
      </c>
      <c r="I320" s="2"/>
      <c r="J320" s="33" t="s">
        <v>65</v>
      </c>
      <c r="K320" s="33" t="s">
        <v>63</v>
      </c>
    </row>
    <row r="321" spans="1:11" ht="15.75">
      <c r="A321" s="10"/>
      <c r="B321" s="3"/>
      <c r="C321" s="3"/>
      <c r="D321" s="3"/>
      <c r="E321" s="3"/>
      <c r="F321" s="3"/>
      <c r="G321" s="3"/>
      <c r="H321" s="344"/>
      <c r="I321" s="3"/>
      <c r="J321" s="10"/>
      <c r="K321" s="10"/>
    </row>
    <row r="322" spans="1:11" ht="18.75">
      <c r="A322" s="3">
        <v>1</v>
      </c>
      <c r="B322" s="4" t="s">
        <v>841</v>
      </c>
      <c r="C322" s="4"/>
      <c r="D322" s="4"/>
      <c r="E322" s="4"/>
      <c r="F322" s="4"/>
      <c r="G322" s="4"/>
      <c r="H322" s="389">
        <f>'Statement AL-WP'!I11</f>
        <v>91724.081307692308</v>
      </c>
      <c r="I322" s="274"/>
      <c r="J322" s="19" t="s">
        <v>1092</v>
      </c>
      <c r="K322" s="266">
        <v>1</v>
      </c>
    </row>
    <row r="323" spans="1:11" ht="15.75">
      <c r="A323" s="3">
        <f>+A322+1</f>
        <v>2</v>
      </c>
      <c r="B323" s="4"/>
      <c r="C323" s="4"/>
      <c r="D323" s="4"/>
      <c r="E323" s="4"/>
      <c r="F323" s="51"/>
      <c r="G323" s="4"/>
      <c r="H323" s="23"/>
      <c r="I323" s="35"/>
      <c r="J323" s="19"/>
      <c r="K323" s="266">
        <f>+K322+1</f>
        <v>2</v>
      </c>
    </row>
    <row r="324" spans="1:11" ht="15.75">
      <c r="A324" s="3">
        <f t="shared" ref="A324:A351" si="26">+A323+1</f>
        <v>3</v>
      </c>
      <c r="B324" s="4" t="s">
        <v>180</v>
      </c>
      <c r="C324" s="4"/>
      <c r="D324" s="4"/>
      <c r="E324" s="4"/>
      <c r="F324" s="4"/>
      <c r="G324" s="4"/>
      <c r="H324" s="413">
        <f>'Statement AD-WP'!J49</f>
        <v>0.38619999999999999</v>
      </c>
      <c r="I324" s="274"/>
      <c r="J324" s="19" t="s">
        <v>1093</v>
      </c>
      <c r="K324" s="266">
        <f t="shared" ref="K324:K339" si="27">+K323+1</f>
        <v>3</v>
      </c>
    </row>
    <row r="325" spans="1:11" ht="15.75">
      <c r="A325" s="3">
        <f t="shared" si="26"/>
        <v>4</v>
      </c>
      <c r="B325" s="4"/>
      <c r="C325" s="4"/>
      <c r="D325" s="4"/>
      <c r="E325" s="4"/>
      <c r="F325" s="4"/>
      <c r="G325" s="4"/>
      <c r="H325" s="415"/>
      <c r="I325" s="35"/>
      <c r="J325" s="19"/>
      <c r="K325" s="266">
        <f t="shared" si="27"/>
        <v>4</v>
      </c>
    </row>
    <row r="326" spans="1:11" ht="16.5" thickBot="1">
      <c r="A326" s="3">
        <f t="shared" si="26"/>
        <v>5</v>
      </c>
      <c r="B326" s="4" t="s">
        <v>1</v>
      </c>
      <c r="C326" s="4"/>
      <c r="D326" s="4"/>
      <c r="E326" s="4"/>
      <c r="F326" s="4"/>
      <c r="G326" s="4"/>
      <c r="H326" s="392">
        <f>ROUND(H322*H324,0)</f>
        <v>35424</v>
      </c>
      <c r="I326" s="274"/>
      <c r="J326" s="19" t="s">
        <v>14</v>
      </c>
      <c r="K326" s="266">
        <f t="shared" si="27"/>
        <v>5</v>
      </c>
    </row>
    <row r="327" spans="1:11" ht="16.5" thickTop="1">
      <c r="A327" s="3">
        <f t="shared" si="26"/>
        <v>6</v>
      </c>
      <c r="B327" s="4"/>
      <c r="C327" s="4"/>
      <c r="D327" s="4"/>
      <c r="E327" s="4"/>
      <c r="F327" s="4"/>
      <c r="G327" s="4"/>
      <c r="H327" s="426"/>
      <c r="I327" s="10"/>
      <c r="J327" s="19"/>
      <c r="K327" s="266">
        <f t="shared" si="27"/>
        <v>6</v>
      </c>
    </row>
    <row r="328" spans="1:11" ht="18.75">
      <c r="A328" s="3">
        <f t="shared" si="26"/>
        <v>7</v>
      </c>
      <c r="B328" s="4" t="s">
        <v>842</v>
      </c>
      <c r="C328" s="4"/>
      <c r="D328" s="4"/>
      <c r="E328" s="4"/>
      <c r="F328" s="51"/>
      <c r="G328" s="4"/>
      <c r="H328" s="422">
        <f>'Statement AL-WP'!I17</f>
        <v>36035.692307692305</v>
      </c>
      <c r="I328" s="274"/>
      <c r="J328" s="19" t="s">
        <v>1094</v>
      </c>
      <c r="K328" s="266">
        <f t="shared" si="27"/>
        <v>7</v>
      </c>
    </row>
    <row r="329" spans="1:11" ht="15.75">
      <c r="A329" s="3">
        <f t="shared" si="26"/>
        <v>8</v>
      </c>
      <c r="B329" s="4"/>
      <c r="C329" s="4"/>
      <c r="D329" s="4"/>
      <c r="E329" s="4"/>
      <c r="F329" s="4"/>
      <c r="G329" s="4"/>
      <c r="H329" s="153"/>
      <c r="I329" s="35"/>
      <c r="J329" s="19"/>
      <c r="K329" s="266">
        <f t="shared" si="27"/>
        <v>8</v>
      </c>
    </row>
    <row r="330" spans="1:11" ht="16.5" thickBot="1">
      <c r="A330" s="3">
        <f t="shared" si="26"/>
        <v>9</v>
      </c>
      <c r="B330" s="4" t="s">
        <v>2</v>
      </c>
      <c r="C330" s="4"/>
      <c r="D330" s="4"/>
      <c r="E330" s="4"/>
      <c r="F330" s="4"/>
      <c r="G330" s="4"/>
      <c r="H330" s="392">
        <f>ROUND(H328*H324,0)</f>
        <v>13917</v>
      </c>
      <c r="I330" s="274"/>
      <c r="J330" s="19" t="s">
        <v>15</v>
      </c>
      <c r="K330" s="266">
        <f t="shared" si="27"/>
        <v>9</v>
      </c>
    </row>
    <row r="331" spans="1:11" ht="16.5" thickTop="1">
      <c r="A331" s="3">
        <f t="shared" si="26"/>
        <v>10</v>
      </c>
      <c r="B331" s="4"/>
      <c r="C331" s="4"/>
      <c r="D331" s="4"/>
      <c r="E331" s="4"/>
      <c r="F331" s="4"/>
      <c r="G331" s="4"/>
      <c r="H331" s="153"/>
      <c r="I331" s="35"/>
      <c r="J331" s="19"/>
      <c r="K331" s="266">
        <f t="shared" si="27"/>
        <v>10</v>
      </c>
    </row>
    <row r="332" spans="1:11" ht="15.75">
      <c r="A332" s="3">
        <f t="shared" si="26"/>
        <v>11</v>
      </c>
      <c r="B332" s="88" t="s">
        <v>849</v>
      </c>
      <c r="C332" s="4"/>
      <c r="D332" s="4"/>
      <c r="E332" s="4"/>
      <c r="F332" s="4"/>
      <c r="G332" s="4"/>
      <c r="H332" s="153"/>
      <c r="I332" s="35"/>
      <c r="J332" s="19"/>
      <c r="K332" s="266">
        <f t="shared" si="27"/>
        <v>11</v>
      </c>
    </row>
    <row r="333" spans="1:11" ht="15.75">
      <c r="A333" s="3">
        <f t="shared" si="26"/>
        <v>12</v>
      </c>
      <c r="B333" s="4" t="s">
        <v>3</v>
      </c>
      <c r="C333" s="4"/>
      <c r="D333" s="4"/>
      <c r="E333" s="4"/>
      <c r="F333" s="4"/>
      <c r="G333" s="4"/>
      <c r="H333" s="436">
        <f>'Statement AL-WP'!G22</f>
        <v>68153.710430000006</v>
      </c>
      <c r="I333" s="35"/>
      <c r="J333" s="19" t="s">
        <v>1095</v>
      </c>
      <c r="K333" s="266">
        <f t="shared" si="27"/>
        <v>12</v>
      </c>
    </row>
    <row r="334" spans="1:11" ht="15.75">
      <c r="A334" s="3">
        <f t="shared" si="26"/>
        <v>13</v>
      </c>
      <c r="B334" s="4" t="s">
        <v>434</v>
      </c>
      <c r="C334" s="4"/>
      <c r="D334" s="4"/>
      <c r="E334" s="4"/>
      <c r="F334" s="4"/>
      <c r="G334" s="4"/>
      <c r="H334" s="1009">
        <f>'Statement AL-WP'!G23</f>
        <v>54318</v>
      </c>
      <c r="I334" s="994"/>
      <c r="J334" s="19" t="s">
        <v>1096</v>
      </c>
      <c r="K334" s="266">
        <f t="shared" si="27"/>
        <v>13</v>
      </c>
    </row>
    <row r="335" spans="1:11" ht="15.75">
      <c r="A335" s="3">
        <f t="shared" si="26"/>
        <v>14</v>
      </c>
      <c r="B335" s="4" t="s">
        <v>886</v>
      </c>
      <c r="C335" s="4"/>
      <c r="D335" s="4"/>
      <c r="E335" s="4"/>
      <c r="F335" s="4"/>
      <c r="G335" s="4"/>
      <c r="H335" s="381">
        <f>'Statement AL-WP'!G24</f>
        <v>0</v>
      </c>
      <c r="I335" s="37"/>
      <c r="J335" s="19" t="s">
        <v>1097</v>
      </c>
      <c r="K335" s="266">
        <f t="shared" si="27"/>
        <v>14</v>
      </c>
    </row>
    <row r="336" spans="1:11" ht="15.75">
      <c r="A336" s="3">
        <f t="shared" si="26"/>
        <v>15</v>
      </c>
      <c r="B336" s="4" t="s">
        <v>4</v>
      </c>
      <c r="C336" s="4"/>
      <c r="D336" s="4"/>
      <c r="E336" s="4"/>
      <c r="F336" s="4"/>
      <c r="G336" s="4"/>
      <c r="H336" s="1010">
        <f>SUM(H333:H335)</f>
        <v>122471.71043000001</v>
      </c>
      <c r="I336" s="994"/>
      <c r="J336" s="19" t="s">
        <v>317</v>
      </c>
      <c r="K336" s="266">
        <f t="shared" si="27"/>
        <v>15</v>
      </c>
    </row>
    <row r="337" spans="1:13" ht="15.75">
      <c r="A337" s="3">
        <f t="shared" si="26"/>
        <v>16</v>
      </c>
      <c r="B337" s="4"/>
      <c r="C337" s="4"/>
      <c r="D337" s="4"/>
      <c r="E337" s="4"/>
      <c r="F337" s="4"/>
      <c r="G337" s="4"/>
      <c r="H337" s="4"/>
      <c r="I337" s="10"/>
      <c r="J337" s="19"/>
      <c r="K337" s="266">
        <f t="shared" si="27"/>
        <v>16</v>
      </c>
    </row>
    <row r="338" spans="1:13" ht="15.75">
      <c r="A338" s="3">
        <f t="shared" si="26"/>
        <v>17</v>
      </c>
      <c r="B338" s="4" t="s">
        <v>234</v>
      </c>
      <c r="C338" s="4"/>
      <c r="D338" s="4"/>
      <c r="E338" s="4"/>
      <c r="F338" s="4"/>
      <c r="G338" s="4"/>
      <c r="H338" s="70">
        <f>1/8</f>
        <v>0.125</v>
      </c>
      <c r="I338" s="10"/>
      <c r="J338" s="19" t="s">
        <v>233</v>
      </c>
      <c r="K338" s="266">
        <f t="shared" si="27"/>
        <v>17</v>
      </c>
      <c r="M338" s="14" t="s">
        <v>39</v>
      </c>
    </row>
    <row r="339" spans="1:13" ht="15.75">
      <c r="A339" s="3">
        <f t="shared" si="26"/>
        <v>18</v>
      </c>
      <c r="B339" s="4"/>
      <c r="C339" s="4"/>
      <c r="D339" s="4"/>
      <c r="E339" s="4"/>
      <c r="F339" s="4"/>
      <c r="G339" s="4"/>
      <c r="H339" s="23" t="s">
        <v>39</v>
      </c>
      <c r="I339" s="35"/>
      <c r="J339" s="19"/>
      <c r="K339" s="266">
        <f t="shared" si="27"/>
        <v>18</v>
      </c>
    </row>
    <row r="340" spans="1:13" ht="16.5" thickBot="1">
      <c r="A340" s="3">
        <f t="shared" si="26"/>
        <v>19</v>
      </c>
      <c r="B340" s="4" t="s">
        <v>224</v>
      </c>
      <c r="C340" s="4"/>
      <c r="D340" s="4"/>
      <c r="E340" s="4"/>
      <c r="F340" s="4"/>
      <c r="G340" s="4"/>
      <c r="H340" s="392">
        <f>ROUND(H338*H336,0)</f>
        <v>15309</v>
      </c>
      <c r="I340" s="994"/>
      <c r="J340" s="10" t="s">
        <v>149</v>
      </c>
      <c r="K340" s="266">
        <f>+K339+1</f>
        <v>19</v>
      </c>
    </row>
    <row r="341" spans="1:13" ht="16.5" thickTop="1">
      <c r="A341" s="344">
        <f t="shared" si="26"/>
        <v>20</v>
      </c>
      <c r="B341" s="4"/>
      <c r="C341" s="4"/>
      <c r="D341" s="4"/>
      <c r="E341" s="4"/>
      <c r="F341" s="4"/>
      <c r="G341" s="4"/>
      <c r="H341" s="158"/>
      <c r="I341" s="274"/>
      <c r="J341" s="10"/>
      <c r="K341" s="344">
        <f t="shared" ref="K341:K351" si="28">+K340+1</f>
        <v>20</v>
      </c>
    </row>
    <row r="342" spans="1:13" ht="15.75">
      <c r="A342" s="344">
        <f t="shared" si="26"/>
        <v>21</v>
      </c>
      <c r="B342" s="156" t="s">
        <v>845</v>
      </c>
      <c r="C342" s="4"/>
      <c r="D342" s="4"/>
      <c r="E342" s="4"/>
      <c r="F342" s="4"/>
      <c r="G342" s="4"/>
      <c r="H342" s="158"/>
      <c r="I342" s="274"/>
      <c r="J342" s="10"/>
      <c r="K342" s="344">
        <f t="shared" si="28"/>
        <v>21</v>
      </c>
    </row>
    <row r="343" spans="1:13" ht="15.75">
      <c r="A343" s="344">
        <f t="shared" si="26"/>
        <v>22</v>
      </c>
      <c r="B343" s="4" t="s">
        <v>887</v>
      </c>
      <c r="C343" s="4"/>
      <c r="D343" s="4"/>
      <c r="E343" s="4"/>
      <c r="F343" s="4"/>
      <c r="G343" s="4"/>
      <c r="H343" s="379">
        <f>'Statement AL-WP'!G32</f>
        <v>0</v>
      </c>
      <c r="I343" s="274"/>
      <c r="J343" s="19" t="s">
        <v>1098</v>
      </c>
      <c r="K343" s="344">
        <f t="shared" si="28"/>
        <v>22</v>
      </c>
    </row>
    <row r="344" spans="1:13" s="441" customFormat="1" ht="15.75">
      <c r="A344" s="344">
        <f t="shared" si="26"/>
        <v>23</v>
      </c>
      <c r="B344" s="102"/>
      <c r="C344" s="102"/>
      <c r="D344" s="102"/>
      <c r="E344" s="102"/>
      <c r="F344" s="102"/>
      <c r="G344" s="102"/>
      <c r="H344" s="752"/>
      <c r="I344" s="753"/>
      <c r="J344" s="170"/>
      <c r="K344" s="344">
        <f t="shared" si="28"/>
        <v>23</v>
      </c>
    </row>
    <row r="345" spans="1:13" s="441" customFormat="1" ht="15.75">
      <c r="A345" s="344">
        <f t="shared" si="26"/>
        <v>24</v>
      </c>
      <c r="B345" s="4" t="s">
        <v>232</v>
      </c>
      <c r="C345" s="102"/>
      <c r="D345" s="102"/>
      <c r="E345" s="102"/>
      <c r="F345" s="102"/>
      <c r="G345" s="102"/>
      <c r="H345" s="430">
        <f>H338</f>
        <v>0.125</v>
      </c>
      <c r="I345" s="753"/>
      <c r="J345" s="19" t="s">
        <v>233</v>
      </c>
      <c r="K345" s="344">
        <f t="shared" si="28"/>
        <v>24</v>
      </c>
    </row>
    <row r="346" spans="1:13" s="441" customFormat="1" ht="15.75">
      <c r="A346" s="344">
        <f t="shared" si="26"/>
        <v>25</v>
      </c>
      <c r="B346" s="4"/>
      <c r="C346" s="102"/>
      <c r="D346" s="102"/>
      <c r="E346" s="102"/>
      <c r="F346" s="102"/>
      <c r="G346" s="102"/>
      <c r="H346" s="752"/>
      <c r="I346" s="753"/>
      <c r="J346" s="170"/>
      <c r="K346" s="344">
        <f t="shared" si="28"/>
        <v>25</v>
      </c>
    </row>
    <row r="347" spans="1:13" s="441" customFormat="1" ht="15.75">
      <c r="A347" s="344">
        <f t="shared" si="26"/>
        <v>26</v>
      </c>
      <c r="B347" s="4" t="s">
        <v>858</v>
      </c>
      <c r="C347" s="102"/>
      <c r="D347" s="102"/>
      <c r="E347" s="102"/>
      <c r="F347" s="102"/>
      <c r="G347" s="102"/>
      <c r="H347" s="158">
        <f>ROUND(H343*H345,0)</f>
        <v>0</v>
      </c>
      <c r="I347" s="753"/>
      <c r="J347" s="10" t="s">
        <v>821</v>
      </c>
      <c r="K347" s="344">
        <f t="shared" si="28"/>
        <v>26</v>
      </c>
    </row>
    <row r="348" spans="1:13" ht="15.75">
      <c r="A348" s="344">
        <f t="shared" si="26"/>
        <v>27</v>
      </c>
      <c r="C348" s="4"/>
      <c r="D348" s="4"/>
      <c r="E348" s="4"/>
      <c r="F348" s="4"/>
      <c r="G348" s="4"/>
      <c r="H348" s="158"/>
      <c r="I348" s="274"/>
      <c r="J348" s="10"/>
      <c r="K348" s="344">
        <f t="shared" si="28"/>
        <v>27</v>
      </c>
    </row>
    <row r="349" spans="1:13" ht="18.75">
      <c r="A349" s="344">
        <f t="shared" si="26"/>
        <v>28</v>
      </c>
      <c r="B349" s="117" t="s">
        <v>337</v>
      </c>
      <c r="C349" s="4"/>
      <c r="D349" s="4"/>
      <c r="E349" s="4"/>
      <c r="F349" s="4"/>
      <c r="G349" s="4"/>
      <c r="H349" s="1035">
        <f>'Statement AL-WP'!G38</f>
        <v>0.11742929581372742</v>
      </c>
      <c r="I349" s="994"/>
      <c r="J349" s="19" t="s">
        <v>1099</v>
      </c>
      <c r="K349" s="344">
        <f t="shared" si="28"/>
        <v>28</v>
      </c>
    </row>
    <row r="350" spans="1:13" ht="15.75">
      <c r="A350" s="344">
        <f t="shared" si="26"/>
        <v>29</v>
      </c>
      <c r="C350" s="4"/>
      <c r="D350" s="4"/>
      <c r="E350" s="4"/>
      <c r="F350" s="4"/>
      <c r="G350" s="4"/>
      <c r="H350" s="158"/>
      <c r="I350" s="274"/>
      <c r="J350" s="10"/>
      <c r="K350" s="344">
        <f t="shared" si="28"/>
        <v>29</v>
      </c>
    </row>
    <row r="351" spans="1:13" ht="19.5" thickBot="1">
      <c r="A351" s="344">
        <f t="shared" si="26"/>
        <v>30</v>
      </c>
      <c r="B351" s="4" t="s">
        <v>846</v>
      </c>
      <c r="C351" s="4"/>
      <c r="D351" s="4"/>
      <c r="E351" s="4"/>
      <c r="F351" s="4"/>
      <c r="G351" s="4"/>
      <c r="H351" s="392">
        <f>ROUND(H347*H349,0)</f>
        <v>0</v>
      </c>
      <c r="I351" s="35"/>
      <c r="J351" s="10" t="s">
        <v>859</v>
      </c>
      <c r="K351" s="344">
        <f t="shared" si="28"/>
        <v>30</v>
      </c>
    </row>
    <row r="352" spans="1:13" ht="16.5" thickTop="1">
      <c r="A352" s="344"/>
      <c r="B352" s="4"/>
      <c r="C352" s="4"/>
      <c r="D352" s="4"/>
      <c r="E352" s="4"/>
      <c r="F352" s="4"/>
      <c r="G352" s="4"/>
      <c r="H352" s="158"/>
      <c r="I352" s="35"/>
      <c r="J352" s="10"/>
      <c r="K352" s="344"/>
    </row>
    <row r="353" spans="1:11" ht="15.75">
      <c r="A353" s="3"/>
      <c r="B353" s="4"/>
      <c r="C353" s="4"/>
      <c r="D353" s="4"/>
      <c r="E353" s="4"/>
      <c r="F353" s="4"/>
      <c r="G353" s="4"/>
      <c r="H353" s="23"/>
      <c r="I353" s="35"/>
      <c r="J353" s="10"/>
      <c r="K353" s="266"/>
    </row>
    <row r="354" spans="1:11" ht="18.75">
      <c r="A354" s="239" t="s">
        <v>273</v>
      </c>
      <c r="B354" s="4" t="s">
        <v>630</v>
      </c>
      <c r="C354" s="4"/>
      <c r="D354" s="4"/>
      <c r="E354" s="4"/>
      <c r="F354" s="4"/>
      <c r="G354" s="4"/>
      <c r="H354" s="23"/>
      <c r="I354" s="35"/>
      <c r="J354" s="10"/>
      <c r="K354" s="341"/>
    </row>
    <row r="355" spans="1:11" ht="18.75">
      <c r="A355" s="239" t="s">
        <v>274</v>
      </c>
      <c r="B355" s="4" t="s">
        <v>847</v>
      </c>
      <c r="C355" s="4"/>
      <c r="D355" s="4"/>
      <c r="E355" s="4"/>
      <c r="F355" s="4"/>
      <c r="G355" s="4"/>
      <c r="H355" s="23"/>
      <c r="I355" s="35"/>
      <c r="J355" s="10"/>
      <c r="K355" s="344"/>
    </row>
    <row r="356" spans="1:11" ht="15.75">
      <c r="A356" s="274"/>
      <c r="B356" s="50"/>
      <c r="C356" s="4"/>
      <c r="D356" s="4"/>
      <c r="E356" s="4"/>
      <c r="F356" s="4"/>
      <c r="G356" s="4"/>
      <c r="H356" s="23"/>
      <c r="I356" s="35"/>
      <c r="J356" s="10"/>
      <c r="K356" s="342"/>
    </row>
    <row r="357" spans="1:11" ht="15.75">
      <c r="A357" s="3"/>
      <c r="B357" s="4"/>
      <c r="C357" s="4"/>
      <c r="D357" s="4"/>
      <c r="E357" s="4"/>
      <c r="F357" s="4"/>
      <c r="G357" s="4"/>
      <c r="H357" s="23"/>
      <c r="I357" s="35"/>
      <c r="J357" s="10"/>
      <c r="K357" s="266"/>
    </row>
    <row r="358" spans="1:11" ht="15.75">
      <c r="A358" s="344"/>
      <c r="B358" s="1161" t="s">
        <v>42</v>
      </c>
      <c r="C358" s="1161"/>
      <c r="D358" s="1161"/>
      <c r="E358" s="1161"/>
      <c r="F358" s="1161"/>
      <c r="G358" s="1161"/>
      <c r="H358" s="1161"/>
      <c r="I358" s="1156"/>
      <c r="J358" s="1156"/>
      <c r="K358" s="344"/>
    </row>
    <row r="359" spans="1:11" ht="15.75">
      <c r="A359" s="344"/>
      <c r="B359" s="1161" t="s">
        <v>485</v>
      </c>
      <c r="C359" s="1161"/>
      <c r="D359" s="1161"/>
      <c r="E359" s="1161"/>
      <c r="F359" s="1161"/>
      <c r="G359" s="1161"/>
      <c r="H359" s="1161"/>
      <c r="I359" s="1160"/>
      <c r="J359" s="1160"/>
      <c r="K359" s="10"/>
    </row>
    <row r="360" spans="1:11" ht="15.75">
      <c r="A360" s="344"/>
      <c r="B360" s="1161" t="s">
        <v>486</v>
      </c>
      <c r="C360" s="1161"/>
      <c r="D360" s="1161"/>
      <c r="E360" s="1161"/>
      <c r="F360" s="1161"/>
      <c r="G360" s="1161"/>
      <c r="H360" s="1161"/>
      <c r="I360" s="1156"/>
      <c r="J360" s="1156"/>
      <c r="K360" s="344"/>
    </row>
    <row r="361" spans="1:11" ht="15.75">
      <c r="A361" s="10"/>
      <c r="B361" s="1157" t="str">
        <f>B5</f>
        <v>Base Period &amp; True-Up Period 12 - Months Ending December 31, 2015</v>
      </c>
      <c r="C361" s="1157"/>
      <c r="D361" s="1157"/>
      <c r="E361" s="1157"/>
      <c r="F361" s="1157"/>
      <c r="G361" s="1157"/>
      <c r="H361" s="1157"/>
      <c r="I361" s="1158"/>
      <c r="J361" s="1158"/>
      <c r="K361" s="10"/>
    </row>
    <row r="362" spans="1:11">
      <c r="B362" s="1159" t="s">
        <v>72</v>
      </c>
      <c r="C362" s="1156"/>
      <c r="D362" s="1156"/>
      <c r="E362" s="1156"/>
      <c r="F362" s="1156"/>
      <c r="G362" s="1156"/>
      <c r="H362" s="1156"/>
      <c r="I362" s="1156"/>
      <c r="J362" s="1156"/>
      <c r="K362" s="468"/>
    </row>
    <row r="363" spans="1:11" ht="15.75">
      <c r="B363" s="471"/>
      <c r="C363" s="468"/>
      <c r="D363" s="468"/>
      <c r="E363" s="468"/>
      <c r="F363" s="468"/>
      <c r="G363" s="468"/>
      <c r="H363" s="393"/>
      <c r="I363" s="468"/>
      <c r="J363" s="11"/>
      <c r="K363" s="468"/>
    </row>
    <row r="364" spans="1:11" ht="15.75">
      <c r="A364" s="10" t="s">
        <v>62</v>
      </c>
      <c r="B364" s="224"/>
      <c r="C364" s="225"/>
      <c r="D364" s="225"/>
      <c r="E364" s="225"/>
      <c r="F364" s="225"/>
      <c r="G364" s="225"/>
      <c r="H364" s="166"/>
      <c r="I364" s="344"/>
      <c r="J364" s="10"/>
      <c r="K364" s="10" t="s">
        <v>62</v>
      </c>
    </row>
    <row r="365" spans="1:11" ht="15.75">
      <c r="A365" s="33" t="s">
        <v>63</v>
      </c>
      <c r="B365" s="4"/>
      <c r="C365" s="4"/>
      <c r="D365" s="4"/>
      <c r="E365" s="4"/>
      <c r="F365" s="4"/>
      <c r="G365" s="4"/>
      <c r="H365" s="33" t="s">
        <v>69</v>
      </c>
      <c r="I365" s="469"/>
      <c r="J365" s="33" t="s">
        <v>65</v>
      </c>
      <c r="K365" s="33" t="s">
        <v>63</v>
      </c>
    </row>
    <row r="366" spans="1:11" ht="15.75">
      <c r="A366" s="10"/>
      <c r="B366" s="4"/>
      <c r="C366" s="4"/>
      <c r="D366" s="4"/>
      <c r="E366" s="4"/>
      <c r="F366" s="4"/>
      <c r="G366" s="4"/>
      <c r="H366" s="23"/>
      <c r="I366" s="35"/>
      <c r="J366" s="10"/>
      <c r="K366" s="10"/>
    </row>
    <row r="367" spans="1:11" ht="19.5" thickBot="1">
      <c r="A367" s="344">
        <v>1</v>
      </c>
      <c r="B367" s="5" t="s">
        <v>770</v>
      </c>
      <c r="C367" s="4"/>
      <c r="D367" s="4"/>
      <c r="E367" s="4"/>
      <c r="F367" s="4"/>
      <c r="G367" s="4"/>
      <c r="H367" s="401">
        <f>'Statement AM-WP'!J11</f>
        <v>0</v>
      </c>
      <c r="I367" s="35"/>
      <c r="J367" s="19" t="s">
        <v>1100</v>
      </c>
      <c r="K367" s="344">
        <v>1</v>
      </c>
    </row>
    <row r="368" spans="1:11" ht="16.5" thickTop="1">
      <c r="A368" s="344"/>
      <c r="B368" s="5"/>
      <c r="C368" s="4"/>
      <c r="D368" s="4"/>
      <c r="E368" s="4"/>
      <c r="F368" s="4"/>
      <c r="G368" s="4"/>
      <c r="H368" s="479"/>
      <c r="I368" s="35"/>
      <c r="J368" s="19"/>
      <c r="K368" s="344"/>
    </row>
    <row r="369" spans="1:11" ht="15.75">
      <c r="A369" s="344"/>
      <c r="B369" s="5"/>
      <c r="C369" s="4"/>
      <c r="D369" s="4"/>
      <c r="E369" s="4"/>
      <c r="F369" s="4"/>
      <c r="G369" s="4"/>
      <c r="H369" s="479"/>
      <c r="I369" s="35"/>
      <c r="J369" s="19"/>
      <c r="K369" s="344"/>
    </row>
    <row r="370" spans="1:11" ht="18.75">
      <c r="A370" s="242" t="s">
        <v>273</v>
      </c>
      <c r="B370" s="4" t="s">
        <v>771</v>
      </c>
      <c r="C370" s="4"/>
      <c r="D370" s="4"/>
      <c r="E370" s="4"/>
      <c r="F370" s="4"/>
      <c r="G370" s="4"/>
      <c r="H370" s="479"/>
      <c r="I370" s="35"/>
      <c r="J370" s="19"/>
      <c r="K370" s="344"/>
    </row>
    <row r="371" spans="1:11" ht="15.75">
      <c r="A371" s="344"/>
      <c r="B371" s="5"/>
      <c r="C371" s="4"/>
      <c r="D371" s="4"/>
      <c r="E371" s="4"/>
      <c r="F371" s="4"/>
      <c r="G371" s="4"/>
      <c r="H371" s="479"/>
      <c r="I371" s="35"/>
      <c r="J371" s="19"/>
      <c r="K371" s="344"/>
    </row>
    <row r="372" spans="1:11" ht="15.75">
      <c r="A372" s="344"/>
      <c r="B372" s="5"/>
      <c r="C372" s="4"/>
      <c r="D372" s="4"/>
      <c r="E372" s="4"/>
      <c r="F372" s="4"/>
      <c r="G372" s="4"/>
      <c r="H372" s="479"/>
      <c r="I372" s="35"/>
      <c r="J372" s="19"/>
      <c r="K372" s="344"/>
    </row>
    <row r="373" spans="1:11" ht="15.75">
      <c r="A373" s="3"/>
      <c r="B373" s="1161" t="s">
        <v>42</v>
      </c>
      <c r="C373" s="1161"/>
      <c r="D373" s="1161"/>
      <c r="E373" s="1161"/>
      <c r="F373" s="1161"/>
      <c r="G373" s="1161"/>
      <c r="H373" s="1161"/>
      <c r="I373" s="1156"/>
      <c r="J373" s="1156"/>
      <c r="K373" s="266"/>
    </row>
    <row r="374" spans="1:11" ht="15.75">
      <c r="A374" s="3"/>
      <c r="B374" s="1161" t="s">
        <v>70</v>
      </c>
      <c r="C374" s="1161"/>
      <c r="D374" s="1161"/>
      <c r="E374" s="1161"/>
      <c r="F374" s="1161"/>
      <c r="G374" s="1161"/>
      <c r="H374" s="1161"/>
      <c r="I374" s="1160"/>
      <c r="J374" s="1160"/>
      <c r="K374" s="10"/>
    </row>
    <row r="375" spans="1:11" ht="15.75">
      <c r="A375" s="3"/>
      <c r="B375" s="1161" t="s">
        <v>156</v>
      </c>
      <c r="C375" s="1161"/>
      <c r="D375" s="1161"/>
      <c r="E375" s="1161"/>
      <c r="F375" s="1161"/>
      <c r="G375" s="1161"/>
      <c r="H375" s="1161"/>
      <c r="I375" s="1156"/>
      <c r="J375" s="1156"/>
      <c r="K375" s="266"/>
    </row>
    <row r="376" spans="1:11" ht="15.75">
      <c r="A376" s="10"/>
      <c r="B376" s="1157" t="str">
        <f>B5</f>
        <v>Base Period &amp; True-Up Period 12 - Months Ending December 31, 2015</v>
      </c>
      <c r="C376" s="1157"/>
      <c r="D376" s="1157"/>
      <c r="E376" s="1157"/>
      <c r="F376" s="1157"/>
      <c r="G376" s="1157"/>
      <c r="H376" s="1157"/>
      <c r="I376" s="1158"/>
      <c r="J376" s="1158"/>
      <c r="K376" s="10"/>
    </row>
    <row r="377" spans="1:11">
      <c r="B377" s="1159" t="s">
        <v>72</v>
      </c>
      <c r="C377" s="1156"/>
      <c r="D377" s="1156"/>
      <c r="E377" s="1156"/>
      <c r="F377" s="1156"/>
      <c r="G377" s="1156"/>
      <c r="H377" s="1156"/>
      <c r="I377" s="1156"/>
      <c r="J377" s="1156"/>
    </row>
    <row r="378" spans="1:11" ht="15.75">
      <c r="B378" s="241"/>
      <c r="C378" s="184"/>
      <c r="D378" s="184"/>
      <c r="E378" s="184"/>
      <c r="F378" s="184"/>
      <c r="G378" s="184"/>
      <c r="H378" s="393"/>
      <c r="I378" s="184"/>
      <c r="J378" s="11"/>
    </row>
    <row r="379" spans="1:11" ht="15.75">
      <c r="A379" s="10" t="s">
        <v>62</v>
      </c>
      <c r="B379" s="224"/>
      <c r="C379" s="225"/>
      <c r="D379" s="225"/>
      <c r="E379" s="225"/>
      <c r="F379" s="225"/>
      <c r="G379" s="225"/>
      <c r="H379" s="166"/>
      <c r="I379" s="228"/>
      <c r="J379" s="10"/>
      <c r="K379" s="10" t="s">
        <v>62</v>
      </c>
    </row>
    <row r="380" spans="1:11" ht="15.75">
      <c r="A380" s="33" t="s">
        <v>63</v>
      </c>
      <c r="B380" s="4"/>
      <c r="C380" s="4"/>
      <c r="D380" s="4"/>
      <c r="E380" s="4"/>
      <c r="F380" s="4"/>
      <c r="G380" s="4"/>
      <c r="H380" s="33" t="s">
        <v>69</v>
      </c>
      <c r="I380" s="2"/>
      <c r="J380" s="33" t="s">
        <v>65</v>
      </c>
      <c r="K380" s="33" t="s">
        <v>63</v>
      </c>
    </row>
    <row r="381" spans="1:11" ht="15.75">
      <c r="A381" s="10"/>
      <c r="B381" s="4"/>
      <c r="C381" s="4"/>
      <c r="D381" s="4"/>
      <c r="E381" s="4"/>
      <c r="F381" s="4"/>
      <c r="G381" s="4"/>
      <c r="H381" s="23"/>
      <c r="I381" s="35"/>
      <c r="J381" s="10"/>
      <c r="K381" s="10"/>
    </row>
    <row r="382" spans="1:11" ht="16.5" thickBot="1">
      <c r="A382" s="3">
        <v>1</v>
      </c>
      <c r="B382" s="5" t="s">
        <v>269</v>
      </c>
      <c r="C382" s="4"/>
      <c r="D382" s="4"/>
      <c r="E382" s="4"/>
      <c r="F382" s="4"/>
      <c r="G382" s="4"/>
      <c r="H382" s="401">
        <f>'Statement AQ-WP'!F11</f>
        <v>2333</v>
      </c>
      <c r="I382" s="35"/>
      <c r="J382" s="19" t="s">
        <v>1101</v>
      </c>
      <c r="K382" s="266">
        <v>1</v>
      </c>
    </row>
    <row r="383" spans="1:11" ht="16.5" thickTop="1">
      <c r="A383" s="3"/>
      <c r="B383" s="4"/>
      <c r="C383" s="4"/>
      <c r="D383" s="4"/>
      <c r="E383" s="4"/>
      <c r="F383" s="4"/>
      <c r="G383" s="4"/>
      <c r="H383" s="23"/>
      <c r="I383" s="35"/>
      <c r="J383" s="10"/>
      <c r="K383" s="266"/>
    </row>
    <row r="384" spans="1:11" ht="15.75">
      <c r="A384" s="3"/>
      <c r="B384" s="4"/>
      <c r="C384" s="4"/>
      <c r="D384" s="4"/>
      <c r="E384" s="4"/>
      <c r="F384" s="4"/>
      <c r="G384" s="4"/>
      <c r="H384" s="23"/>
      <c r="I384" s="35"/>
      <c r="J384" s="10"/>
      <c r="K384" s="266"/>
    </row>
    <row r="385" spans="1:11" ht="15.75">
      <c r="A385" s="3"/>
      <c r="B385" s="1161" t="s">
        <v>42</v>
      </c>
      <c r="C385" s="1161"/>
      <c r="D385" s="1161"/>
      <c r="E385" s="1161"/>
      <c r="F385" s="1161"/>
      <c r="G385" s="1161"/>
      <c r="H385" s="1161"/>
      <c r="I385" s="1156"/>
      <c r="J385" s="1156"/>
      <c r="K385" s="266"/>
    </row>
    <row r="386" spans="1:11" ht="15.75">
      <c r="A386" s="3"/>
      <c r="B386" s="1161" t="s">
        <v>82</v>
      </c>
      <c r="C386" s="1161"/>
      <c r="D386" s="1161"/>
      <c r="E386" s="1161"/>
      <c r="F386" s="1161"/>
      <c r="G386" s="1161"/>
      <c r="H386" s="1161"/>
      <c r="I386" s="1160"/>
      <c r="J386" s="1160"/>
      <c r="K386" s="10"/>
    </row>
    <row r="387" spans="1:11" ht="15.75">
      <c r="A387" s="3"/>
      <c r="B387" s="1161" t="s">
        <v>155</v>
      </c>
      <c r="C387" s="1161"/>
      <c r="D387" s="1161"/>
      <c r="E387" s="1161"/>
      <c r="F387" s="1161"/>
      <c r="G387" s="1161"/>
      <c r="H387" s="1161"/>
      <c r="I387" s="1156"/>
      <c r="J387" s="1156"/>
      <c r="K387" s="266"/>
    </row>
    <row r="388" spans="1:11" ht="15.75">
      <c r="A388" s="3"/>
      <c r="B388" s="1157" t="str">
        <f>B5</f>
        <v>Base Period &amp; True-Up Period 12 - Months Ending December 31, 2015</v>
      </c>
      <c r="C388" s="1157"/>
      <c r="D388" s="1157"/>
      <c r="E388" s="1157"/>
      <c r="F388" s="1157"/>
      <c r="G388" s="1157"/>
      <c r="H388" s="1157"/>
      <c r="I388" s="1158"/>
      <c r="J388" s="1158"/>
      <c r="K388" s="266"/>
    </row>
    <row r="389" spans="1:11">
      <c r="B389" s="1159" t="s">
        <v>72</v>
      </c>
      <c r="C389" s="1160"/>
      <c r="D389" s="1160"/>
      <c r="E389" s="1160"/>
      <c r="F389" s="1160"/>
      <c r="G389" s="1160"/>
      <c r="H389" s="1160"/>
      <c r="I389" s="1160"/>
      <c r="J389" s="1160"/>
    </row>
    <row r="390" spans="1:11" ht="15.75">
      <c r="B390" s="241"/>
      <c r="C390" s="245"/>
      <c r="D390" s="245"/>
      <c r="E390" s="245"/>
      <c r="F390" s="245"/>
      <c r="G390" s="245"/>
      <c r="H390" s="390"/>
      <c r="I390" s="245"/>
      <c r="J390" s="278"/>
    </row>
    <row r="391" spans="1:11" ht="15.75">
      <c r="A391" s="3" t="s">
        <v>62</v>
      </c>
      <c r="B391" s="224"/>
      <c r="C391" s="225"/>
      <c r="D391" s="225"/>
      <c r="E391" s="225"/>
      <c r="F391" s="225"/>
      <c r="G391" s="225"/>
      <c r="H391" s="166"/>
      <c r="I391" s="85"/>
      <c r="J391" s="48"/>
      <c r="K391" s="266" t="s">
        <v>62</v>
      </c>
    </row>
    <row r="392" spans="1:11" ht="15.75">
      <c r="A392" s="77" t="s">
        <v>63</v>
      </c>
      <c r="B392" s="4" t="s">
        <v>39</v>
      </c>
      <c r="C392" s="4"/>
      <c r="D392" s="4"/>
      <c r="E392" s="4"/>
      <c r="F392" s="4"/>
      <c r="G392" s="4"/>
      <c r="H392" s="33" t="s">
        <v>69</v>
      </c>
      <c r="I392" s="2"/>
      <c r="J392" s="33" t="s">
        <v>65</v>
      </c>
      <c r="K392" s="77" t="s">
        <v>63</v>
      </c>
    </row>
    <row r="393" spans="1:11" ht="15.75">
      <c r="A393" s="3"/>
      <c r="B393" s="4"/>
      <c r="C393" s="4"/>
      <c r="D393" s="4"/>
      <c r="E393" s="4"/>
      <c r="F393" s="4"/>
      <c r="G393" s="4"/>
      <c r="H393" s="23"/>
      <c r="I393" s="35"/>
      <c r="J393" s="10"/>
      <c r="K393" s="266"/>
    </row>
    <row r="394" spans="1:11" ht="15.75">
      <c r="A394" s="3">
        <f>+A393+1</f>
        <v>1</v>
      </c>
      <c r="B394" s="4" t="s">
        <v>88</v>
      </c>
      <c r="C394" s="4"/>
      <c r="D394" s="4"/>
      <c r="E394" s="4"/>
      <c r="F394" s="4"/>
      <c r="G394" s="4"/>
      <c r="H394" s="387">
        <f>'Statement AR-WP'!G11</f>
        <v>-265</v>
      </c>
      <c r="I394" s="35"/>
      <c r="J394" s="19" t="s">
        <v>1102</v>
      </c>
      <c r="K394" s="266">
        <f>+K393+1</f>
        <v>1</v>
      </c>
    </row>
    <row r="395" spans="1:11" ht="15.75">
      <c r="A395" s="3">
        <f>+A394+1</f>
        <v>2</v>
      </c>
      <c r="B395" s="4"/>
      <c r="C395" s="4"/>
      <c r="D395" s="4"/>
      <c r="E395" s="4"/>
      <c r="F395" s="4"/>
      <c r="G395" s="4"/>
      <c r="H395" s="23"/>
      <c r="I395" s="35"/>
      <c r="J395" s="10"/>
      <c r="K395" s="266">
        <f>+K394+1</f>
        <v>2</v>
      </c>
    </row>
    <row r="396" spans="1:11" ht="15.75">
      <c r="A396" s="3">
        <f>+A395+1</f>
        <v>3</v>
      </c>
      <c r="B396" s="4" t="s">
        <v>89</v>
      </c>
      <c r="C396" s="4"/>
      <c r="D396" s="4"/>
      <c r="E396" s="4"/>
      <c r="F396" s="4"/>
      <c r="G396" s="4"/>
      <c r="H396" s="396">
        <f>'Statement AR-WP'!G13</f>
        <v>0</v>
      </c>
      <c r="I396" s="35"/>
      <c r="J396" s="19" t="s">
        <v>1103</v>
      </c>
      <c r="K396" s="266">
        <f>+K395+1</f>
        <v>3</v>
      </c>
    </row>
    <row r="397" spans="1:11" ht="15.75">
      <c r="A397" s="3">
        <f>+A396+1</f>
        <v>4</v>
      </c>
      <c r="B397" s="4"/>
      <c r="C397" s="4"/>
      <c r="D397" s="4"/>
      <c r="E397" s="4"/>
      <c r="F397" s="4"/>
      <c r="G397" s="4"/>
      <c r="H397" s="68"/>
      <c r="I397" s="4"/>
      <c r="J397" s="4"/>
      <c r="K397" s="266">
        <f>+K396+1</f>
        <v>4</v>
      </c>
    </row>
    <row r="398" spans="1:11" ht="16.5" thickBot="1">
      <c r="A398" s="3">
        <f>+A397+1</f>
        <v>5</v>
      </c>
      <c r="B398" s="4" t="s">
        <v>66</v>
      </c>
      <c r="C398" s="4"/>
      <c r="D398" s="4"/>
      <c r="E398" s="4"/>
      <c r="F398" s="4"/>
      <c r="G398" s="4"/>
      <c r="H398" s="71">
        <f>+H396+H394</f>
        <v>-265</v>
      </c>
      <c r="I398" s="4"/>
      <c r="J398" s="10" t="s">
        <v>316</v>
      </c>
      <c r="K398" s="266">
        <f>+K397+1</f>
        <v>5</v>
      </c>
    </row>
    <row r="399" spans="1:11" ht="16.5" thickTop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266"/>
    </row>
    <row r="400" spans="1:11" ht="15.7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266"/>
    </row>
    <row r="401" spans="1:11" ht="15.75">
      <c r="A401" s="10"/>
      <c r="B401" s="1161" t="s">
        <v>42</v>
      </c>
      <c r="C401" s="1161"/>
      <c r="D401" s="1161"/>
      <c r="E401" s="1161"/>
      <c r="F401" s="1161"/>
      <c r="G401" s="1161"/>
      <c r="H401" s="1161"/>
      <c r="I401" s="1156"/>
      <c r="J401" s="1156"/>
      <c r="K401" s="10"/>
    </row>
    <row r="402" spans="1:11" ht="15.75">
      <c r="A402" s="10"/>
      <c r="B402" s="1161" t="s">
        <v>56</v>
      </c>
      <c r="C402" s="1161"/>
      <c r="D402" s="1161"/>
      <c r="E402" s="1161"/>
      <c r="F402" s="1161"/>
      <c r="G402" s="1161"/>
      <c r="H402" s="1161"/>
      <c r="I402" s="1160"/>
      <c r="J402" s="1160"/>
      <c r="K402" s="10"/>
    </row>
    <row r="403" spans="1:11" ht="15.75">
      <c r="A403" s="10"/>
      <c r="B403" s="1161" t="s">
        <v>41</v>
      </c>
      <c r="C403" s="1161"/>
      <c r="D403" s="1161"/>
      <c r="E403" s="1161"/>
      <c r="F403" s="1161"/>
      <c r="G403" s="1161"/>
      <c r="H403" s="1161"/>
      <c r="I403" s="1156"/>
      <c r="J403" s="1156"/>
      <c r="K403" s="10"/>
    </row>
    <row r="404" spans="1:11" ht="15.75">
      <c r="A404" s="10"/>
      <c r="B404" s="1157" t="str">
        <f>B5</f>
        <v>Base Period &amp; True-Up Period 12 - Months Ending December 31, 2015</v>
      </c>
      <c r="C404" s="1157"/>
      <c r="D404" s="1157"/>
      <c r="E404" s="1157"/>
      <c r="F404" s="1157"/>
      <c r="G404" s="1157"/>
      <c r="H404" s="1157"/>
      <c r="I404" s="1158"/>
      <c r="J404" s="1158"/>
      <c r="K404" s="10"/>
    </row>
    <row r="405" spans="1:11">
      <c r="B405" s="1159" t="s">
        <v>72</v>
      </c>
      <c r="C405" s="1160"/>
      <c r="D405" s="1160"/>
      <c r="E405" s="1160"/>
      <c r="F405" s="1160"/>
      <c r="G405" s="1160"/>
      <c r="H405" s="1160"/>
      <c r="I405" s="1160"/>
      <c r="J405" s="1160"/>
    </row>
    <row r="406" spans="1:11" ht="15.75">
      <c r="B406" s="241"/>
      <c r="C406" s="245"/>
      <c r="D406" s="245"/>
      <c r="E406" s="245"/>
      <c r="F406" s="245"/>
      <c r="G406" s="245"/>
      <c r="H406" s="390"/>
      <c r="I406" s="245"/>
      <c r="J406" s="278"/>
    </row>
    <row r="407" spans="1:11" ht="15.75">
      <c r="A407" s="10" t="s">
        <v>62</v>
      </c>
      <c r="B407" s="224"/>
      <c r="C407" s="225"/>
      <c r="D407" s="225"/>
      <c r="E407" s="225"/>
      <c r="F407" s="225"/>
      <c r="G407" s="225"/>
      <c r="H407" s="166"/>
      <c r="I407" s="229"/>
      <c r="J407" s="10"/>
      <c r="K407" s="10" t="s">
        <v>62</v>
      </c>
    </row>
    <row r="408" spans="1:11" ht="15.75">
      <c r="A408" s="33" t="s">
        <v>63</v>
      </c>
      <c r="B408" s="2"/>
      <c r="C408" s="2"/>
      <c r="D408" s="2"/>
      <c r="E408" s="2"/>
      <c r="F408" s="2"/>
      <c r="G408" s="2"/>
      <c r="H408" s="33" t="s">
        <v>69</v>
      </c>
      <c r="I408" s="2"/>
      <c r="J408" s="33" t="s">
        <v>65</v>
      </c>
      <c r="K408" s="33" t="s">
        <v>63</v>
      </c>
    </row>
    <row r="409" spans="1:11" ht="15.75">
      <c r="A409" s="10"/>
      <c r="B409" s="3"/>
      <c r="C409" s="3"/>
      <c r="D409" s="3"/>
      <c r="E409" s="3"/>
      <c r="F409" s="3"/>
      <c r="G409" s="3"/>
      <c r="H409" s="344"/>
      <c r="I409" s="3"/>
      <c r="J409" s="49"/>
      <c r="K409" s="10"/>
    </row>
    <row r="410" spans="1:11" ht="15.75">
      <c r="A410" s="3">
        <v>1</v>
      </c>
      <c r="B410" s="4" t="s">
        <v>206</v>
      </c>
      <c r="C410" s="4"/>
      <c r="D410" s="4"/>
      <c r="E410" s="4"/>
      <c r="F410" s="4"/>
      <c r="G410" s="4"/>
      <c r="H410" s="389">
        <f>'Statement AU-WP'!I11</f>
        <v>0</v>
      </c>
      <c r="I410" s="35"/>
      <c r="J410" s="19" t="s">
        <v>1104</v>
      </c>
      <c r="K410" s="266">
        <v>1</v>
      </c>
    </row>
    <row r="411" spans="1:11" ht="15.75">
      <c r="A411" s="3">
        <f>+A410+1</f>
        <v>2</v>
      </c>
      <c r="B411" s="4"/>
      <c r="C411" s="4"/>
      <c r="D411" s="4"/>
      <c r="E411" s="4"/>
      <c r="F411" s="4"/>
      <c r="G411" s="4"/>
      <c r="H411" s="61"/>
      <c r="I411" s="35"/>
      <c r="J411" s="19"/>
      <c r="K411" s="266">
        <f>+K410+1</f>
        <v>2</v>
      </c>
    </row>
    <row r="412" spans="1:11" ht="15.75">
      <c r="A412" s="3">
        <f t="shared" ref="A412:A422" si="29">+A411+1</f>
        <v>3</v>
      </c>
      <c r="B412" s="4" t="s">
        <v>207</v>
      </c>
      <c r="C412" s="4"/>
      <c r="D412" s="4"/>
      <c r="E412" s="4"/>
      <c r="F412" s="4"/>
      <c r="G412" s="4"/>
      <c r="H412" s="391">
        <f>'Statement AU-WP'!I13</f>
        <v>0</v>
      </c>
      <c r="I412" s="35"/>
      <c r="J412" s="19" t="s">
        <v>1105</v>
      </c>
      <c r="K412" s="266">
        <f t="shared" ref="K412:K422" si="30">+K411+1</f>
        <v>3</v>
      </c>
    </row>
    <row r="413" spans="1:11" ht="15.75">
      <c r="A413" s="3">
        <f t="shared" si="29"/>
        <v>4</v>
      </c>
      <c r="B413" s="4"/>
      <c r="C413" s="4"/>
      <c r="D413" s="4"/>
      <c r="E413" s="4"/>
      <c r="F413" s="4"/>
      <c r="G413" s="4"/>
      <c r="H413" s="61"/>
      <c r="I413" s="35"/>
      <c r="J413" s="19"/>
      <c r="K413" s="266">
        <f t="shared" si="30"/>
        <v>4</v>
      </c>
    </row>
    <row r="414" spans="1:11" ht="15.75">
      <c r="A414" s="3">
        <f t="shared" si="29"/>
        <v>5</v>
      </c>
      <c r="B414" s="4" t="s">
        <v>208</v>
      </c>
      <c r="C414" s="4"/>
      <c r="D414" s="4"/>
      <c r="E414" s="4"/>
      <c r="F414" s="4"/>
      <c r="G414" s="4"/>
      <c r="H414" s="391">
        <f>'Statement AU-WP'!I15</f>
        <v>709.93036999999993</v>
      </c>
      <c r="I414" s="35"/>
      <c r="J414" s="19" t="s">
        <v>1106</v>
      </c>
      <c r="K414" s="266">
        <f t="shared" si="30"/>
        <v>5</v>
      </c>
    </row>
    <row r="415" spans="1:11" ht="15.75">
      <c r="A415" s="3">
        <f t="shared" si="29"/>
        <v>6</v>
      </c>
      <c r="B415" s="4"/>
      <c r="C415" s="4"/>
      <c r="D415" s="4"/>
      <c r="E415" s="4"/>
      <c r="F415" s="4"/>
      <c r="G415" s="4"/>
      <c r="H415" s="61"/>
      <c r="I415" s="35"/>
      <c r="J415" s="19"/>
      <c r="K415" s="266">
        <f t="shared" si="30"/>
        <v>6</v>
      </c>
    </row>
    <row r="416" spans="1:11" ht="15.75">
      <c r="A416" s="3">
        <f t="shared" si="29"/>
        <v>7</v>
      </c>
      <c r="B416" s="4" t="s">
        <v>210</v>
      </c>
      <c r="C416" s="4"/>
      <c r="D416" s="4"/>
      <c r="E416" s="4"/>
      <c r="F416" s="4"/>
      <c r="G416" s="4"/>
      <c r="H416" s="391">
        <f>'Statement AU-WP'!I17</f>
        <v>0</v>
      </c>
      <c r="I416" s="35"/>
      <c r="J416" s="19" t="s">
        <v>1107</v>
      </c>
      <c r="K416" s="266">
        <f t="shared" si="30"/>
        <v>7</v>
      </c>
    </row>
    <row r="417" spans="1:11" ht="15.75">
      <c r="A417" s="3">
        <f t="shared" si="29"/>
        <v>8</v>
      </c>
      <c r="B417" s="4"/>
      <c r="C417" s="4"/>
      <c r="D417" s="4"/>
      <c r="E417" s="4"/>
      <c r="F417" s="4"/>
      <c r="G417" s="4"/>
      <c r="H417" s="61"/>
      <c r="I417" s="35"/>
      <c r="J417" s="19"/>
      <c r="K417" s="266">
        <f t="shared" si="30"/>
        <v>8</v>
      </c>
    </row>
    <row r="418" spans="1:11" ht="15.75">
      <c r="A418" s="3">
        <f t="shared" si="29"/>
        <v>9</v>
      </c>
      <c r="B418" s="4" t="s">
        <v>211</v>
      </c>
      <c r="C418" s="4"/>
      <c r="D418" s="4"/>
      <c r="E418" s="4"/>
      <c r="F418" s="4"/>
      <c r="G418" s="4"/>
      <c r="H418" s="396">
        <f>'Statement AU-WP'!I19</f>
        <v>6415.763818511934</v>
      </c>
      <c r="I418" s="995"/>
      <c r="J418" s="19" t="s">
        <v>1108</v>
      </c>
      <c r="K418" s="266">
        <f t="shared" si="30"/>
        <v>9</v>
      </c>
    </row>
    <row r="419" spans="1:11" ht="15.75">
      <c r="A419" s="3">
        <f t="shared" si="29"/>
        <v>10</v>
      </c>
      <c r="B419" s="4"/>
      <c r="C419" s="4"/>
      <c r="D419" s="4"/>
      <c r="E419" s="4"/>
      <c r="F419" s="4"/>
      <c r="G419" s="4"/>
      <c r="H419" s="61"/>
      <c r="I419" s="35"/>
      <c r="J419" s="19"/>
      <c r="K419" s="266">
        <f t="shared" si="30"/>
        <v>10</v>
      </c>
    </row>
    <row r="420" spans="1:11" ht="16.5" thickBot="1">
      <c r="A420" s="3">
        <f t="shared" si="29"/>
        <v>11</v>
      </c>
      <c r="B420" s="4" t="s">
        <v>212</v>
      </c>
      <c r="C420" s="4"/>
      <c r="D420" s="4"/>
      <c r="E420" s="4"/>
      <c r="F420" s="4"/>
      <c r="G420" s="4"/>
      <c r="H420" s="66">
        <f>SUM(H410:H418)</f>
        <v>7125.694188511934</v>
      </c>
      <c r="I420" s="995"/>
      <c r="J420" s="21" t="s">
        <v>169</v>
      </c>
      <c r="K420" s="266">
        <f t="shared" si="30"/>
        <v>11</v>
      </c>
    </row>
    <row r="421" spans="1:11" ht="16.5" thickTop="1">
      <c r="A421" s="266">
        <f t="shared" si="29"/>
        <v>12</v>
      </c>
      <c r="B421" s="221"/>
      <c r="C421" s="221"/>
      <c r="D421" s="221"/>
      <c r="E421" s="221"/>
      <c r="F421" s="221"/>
      <c r="G421" s="221"/>
      <c r="H421" s="269" t="s">
        <v>39</v>
      </c>
      <c r="I421" s="270"/>
      <c r="J421" s="10"/>
      <c r="K421" s="266">
        <f t="shared" si="30"/>
        <v>12</v>
      </c>
    </row>
    <row r="422" spans="1:11" ht="16.5" thickBot="1">
      <c r="A422" s="266">
        <f t="shared" si="29"/>
        <v>13</v>
      </c>
      <c r="B422" s="4" t="s">
        <v>270</v>
      </c>
      <c r="C422" s="221"/>
      <c r="D422" s="221"/>
      <c r="E422" s="221"/>
      <c r="F422" s="221"/>
      <c r="G422" s="221"/>
      <c r="H422" s="402">
        <f>'Statement AU-WP'!I23</f>
        <v>0</v>
      </c>
      <c r="I422" s="270"/>
      <c r="J422" s="19" t="s">
        <v>294</v>
      </c>
      <c r="K422" s="266">
        <f t="shared" si="30"/>
        <v>13</v>
      </c>
    </row>
    <row r="423" spans="1:11" ht="16.5" thickTop="1">
      <c r="A423" s="3"/>
      <c r="B423" s="4"/>
      <c r="C423" s="4"/>
      <c r="D423" s="4"/>
      <c r="E423" s="4"/>
      <c r="F423" s="4"/>
      <c r="G423" s="4"/>
      <c r="H423" s="23" t="s">
        <v>39</v>
      </c>
      <c r="I423" s="35"/>
      <c r="J423" s="10"/>
      <c r="K423" s="266"/>
    </row>
    <row r="424" spans="1:11" ht="15.75">
      <c r="A424" s="3"/>
      <c r="B424" s="4"/>
      <c r="C424" s="4"/>
      <c r="D424" s="4"/>
      <c r="E424" s="4"/>
      <c r="F424" s="4"/>
      <c r="G424" s="4"/>
      <c r="H424" s="23"/>
      <c r="I424" s="35"/>
      <c r="J424" s="19"/>
      <c r="K424" s="266"/>
    </row>
    <row r="425" spans="1:11" ht="15.75">
      <c r="A425" s="10"/>
      <c r="B425" s="1161" t="s">
        <v>42</v>
      </c>
      <c r="C425" s="1161"/>
      <c r="D425" s="1161"/>
      <c r="E425" s="1161"/>
      <c r="F425" s="1161"/>
      <c r="G425" s="1161"/>
      <c r="H425" s="1161"/>
      <c r="I425" s="1156"/>
      <c r="J425" s="1156"/>
      <c r="K425" s="10"/>
    </row>
    <row r="426" spans="1:11" ht="15.75">
      <c r="A426" s="10"/>
      <c r="B426" s="1161" t="s">
        <v>57</v>
      </c>
      <c r="C426" s="1161"/>
      <c r="D426" s="1161"/>
      <c r="E426" s="1161"/>
      <c r="F426" s="1161"/>
      <c r="G426" s="1161"/>
      <c r="H426" s="1161"/>
      <c r="I426" s="1160"/>
      <c r="J426" s="1160"/>
      <c r="K426" s="10"/>
    </row>
    <row r="427" spans="1:11" ht="15.75">
      <c r="A427" s="10"/>
      <c r="B427" s="1161" t="s">
        <v>58</v>
      </c>
      <c r="C427" s="1161"/>
      <c r="D427" s="1161"/>
      <c r="E427" s="1161"/>
      <c r="F427" s="1161"/>
      <c r="G427" s="1161"/>
      <c r="H427" s="1161"/>
      <c r="I427" s="1156"/>
      <c r="J427" s="1156"/>
      <c r="K427" s="10"/>
    </row>
    <row r="428" spans="1:11" ht="15.75">
      <c r="A428" s="10"/>
      <c r="B428" s="1157" t="str">
        <f>B5</f>
        <v>Base Period &amp; True-Up Period 12 - Months Ending December 31, 2015</v>
      </c>
      <c r="C428" s="1157"/>
      <c r="D428" s="1157"/>
      <c r="E428" s="1157"/>
      <c r="F428" s="1157"/>
      <c r="G428" s="1157"/>
      <c r="H428" s="1157"/>
      <c r="I428" s="1158"/>
      <c r="J428" s="1158"/>
      <c r="K428" s="10"/>
    </row>
    <row r="429" spans="1:11">
      <c r="B429" s="1159" t="s">
        <v>72</v>
      </c>
      <c r="C429" s="1160"/>
      <c r="D429" s="1160"/>
      <c r="E429" s="1160"/>
      <c r="F429" s="1160"/>
      <c r="G429" s="1160"/>
      <c r="H429" s="1160"/>
      <c r="I429" s="1160"/>
      <c r="J429" s="1160"/>
    </row>
    <row r="430" spans="1:11" ht="15.75">
      <c r="B430" s="241"/>
      <c r="C430" s="245"/>
      <c r="D430" s="245"/>
      <c r="E430" s="245"/>
      <c r="F430" s="245"/>
      <c r="G430" s="245"/>
      <c r="H430" s="390"/>
      <c r="I430" s="245"/>
      <c r="J430" s="278"/>
    </row>
    <row r="431" spans="1:11" ht="15.75">
      <c r="A431" s="10" t="s">
        <v>62</v>
      </c>
      <c r="B431" s="224"/>
      <c r="C431" s="225"/>
      <c r="D431" s="225"/>
      <c r="E431" s="225"/>
      <c r="F431" s="225"/>
      <c r="G431" s="225"/>
      <c r="H431" s="166"/>
      <c r="I431" s="229"/>
      <c r="J431" s="10"/>
      <c r="K431" s="10" t="s">
        <v>62</v>
      </c>
    </row>
    <row r="432" spans="1:11" ht="15.75">
      <c r="A432" s="33" t="s">
        <v>63</v>
      </c>
      <c r="B432" s="3"/>
      <c r="C432" s="3"/>
      <c r="D432" s="3"/>
      <c r="E432" s="3"/>
      <c r="F432" s="3"/>
      <c r="G432" s="3"/>
      <c r="H432" s="33" t="s">
        <v>69</v>
      </c>
      <c r="I432" s="3"/>
      <c r="J432" s="33" t="s">
        <v>65</v>
      </c>
      <c r="K432" s="33" t="s">
        <v>63</v>
      </c>
    </row>
    <row r="433" spans="1:11" ht="15.75">
      <c r="A433" s="10"/>
      <c r="B433" s="3"/>
      <c r="C433" s="3"/>
      <c r="D433" s="3"/>
      <c r="E433" s="3"/>
      <c r="F433" s="3"/>
      <c r="G433" s="3"/>
      <c r="H433" s="344"/>
      <c r="I433" s="3"/>
      <c r="J433" s="48"/>
      <c r="K433" s="10"/>
    </row>
    <row r="434" spans="1:11" ht="15.75">
      <c r="A434" s="10">
        <v>1</v>
      </c>
      <c r="B434" s="90" t="s">
        <v>116</v>
      </c>
      <c r="C434" s="4"/>
      <c r="D434" s="4"/>
      <c r="E434" s="4"/>
      <c r="F434" s="4"/>
      <c r="G434" s="4"/>
      <c r="H434" s="4"/>
      <c r="I434" s="10"/>
      <c r="J434" s="10"/>
      <c r="K434" s="10">
        <v>1</v>
      </c>
    </row>
    <row r="435" spans="1:11" ht="15.75">
      <c r="A435" s="10">
        <f>A434+1</f>
        <v>2</v>
      </c>
      <c r="B435" s="5" t="s">
        <v>225</v>
      </c>
      <c r="C435" s="4"/>
      <c r="D435" s="4"/>
      <c r="E435" s="4"/>
      <c r="F435" s="4"/>
      <c r="G435" s="4"/>
      <c r="H435" s="389">
        <f>'Statement AV-WP'!I12</f>
        <v>3989648</v>
      </c>
      <c r="I435" s="10"/>
      <c r="J435" s="10" t="s">
        <v>1109</v>
      </c>
      <c r="K435" s="10">
        <f>K434+1</f>
        <v>2</v>
      </c>
    </row>
    <row r="436" spans="1:11" ht="15.75">
      <c r="A436" s="10">
        <f t="shared" ref="A436:A474" si="31">A435+1</f>
        <v>3</v>
      </c>
      <c r="B436" s="5" t="s">
        <v>226</v>
      </c>
      <c r="C436" s="4"/>
      <c r="D436" s="4"/>
      <c r="E436" s="4"/>
      <c r="F436" s="4"/>
      <c r="G436" s="4"/>
      <c r="H436" s="391">
        <f>'Statement AV-WP'!I13</f>
        <v>0</v>
      </c>
      <c r="I436" s="10"/>
      <c r="J436" s="10" t="s">
        <v>1110</v>
      </c>
      <c r="K436" s="10">
        <f t="shared" ref="K436:K474" si="32">K435+1</f>
        <v>3</v>
      </c>
    </row>
    <row r="437" spans="1:11" ht="15.75">
      <c r="A437" s="10">
        <f t="shared" si="31"/>
        <v>4</v>
      </c>
      <c r="B437" s="5" t="s">
        <v>227</v>
      </c>
      <c r="C437" s="4"/>
      <c r="D437" s="4"/>
      <c r="E437" s="4"/>
      <c r="F437" s="4"/>
      <c r="G437" s="4"/>
      <c r="H437" s="391">
        <f>'Statement AV-WP'!I14</f>
        <v>53650</v>
      </c>
      <c r="I437" s="10"/>
      <c r="J437" s="10" t="s">
        <v>1111</v>
      </c>
      <c r="K437" s="10">
        <f t="shared" si="32"/>
        <v>4</v>
      </c>
    </row>
    <row r="438" spans="1:11" ht="15.75">
      <c r="A438" s="10">
        <f t="shared" si="31"/>
        <v>5</v>
      </c>
      <c r="B438" s="5" t="s">
        <v>228</v>
      </c>
      <c r="C438" s="4"/>
      <c r="D438" s="4"/>
      <c r="E438" s="4"/>
      <c r="F438" s="4"/>
      <c r="G438" s="4"/>
      <c r="H438" s="391">
        <f>'Statement AV-WP'!I15</f>
        <v>0</v>
      </c>
      <c r="I438" s="10"/>
      <c r="J438" s="10" t="s">
        <v>1112</v>
      </c>
      <c r="K438" s="10">
        <f t="shared" si="32"/>
        <v>5</v>
      </c>
    </row>
    <row r="439" spans="1:11" ht="15.75">
      <c r="A439" s="10">
        <f t="shared" si="31"/>
        <v>6</v>
      </c>
      <c r="B439" s="5" t="s">
        <v>229</v>
      </c>
      <c r="C439" s="4"/>
      <c r="D439" s="4"/>
      <c r="E439" s="4"/>
      <c r="F439" s="4"/>
      <c r="G439" s="4"/>
      <c r="H439" s="391">
        <f>'Statement AV-WP'!I16</f>
        <v>9710.098</v>
      </c>
      <c r="I439" s="10"/>
      <c r="J439" s="10" t="s">
        <v>1113</v>
      </c>
      <c r="K439" s="10">
        <f t="shared" si="32"/>
        <v>6</v>
      </c>
    </row>
    <row r="440" spans="1:11" ht="32.25" thickBot="1">
      <c r="A440" s="10">
        <f t="shared" si="31"/>
        <v>7</v>
      </c>
      <c r="B440" s="5" t="s">
        <v>230</v>
      </c>
      <c r="C440" s="4"/>
      <c r="D440" s="5"/>
      <c r="E440" s="5"/>
      <c r="F440" s="5"/>
      <c r="G440" s="5"/>
      <c r="H440" s="92">
        <f>+H435-H436+H437+H438-H439</f>
        <v>4033587.9019999998</v>
      </c>
      <c r="I440" s="10"/>
      <c r="J440" s="336" t="s">
        <v>109</v>
      </c>
      <c r="K440" s="10">
        <f t="shared" si="32"/>
        <v>7</v>
      </c>
    </row>
    <row r="441" spans="1:11" ht="16.5" thickTop="1">
      <c r="A441" s="10">
        <f t="shared" si="31"/>
        <v>8</v>
      </c>
      <c r="B441" s="5"/>
      <c r="C441" s="4"/>
      <c r="D441" s="4"/>
      <c r="E441" s="4"/>
      <c r="F441" s="4"/>
      <c r="G441" s="4"/>
      <c r="H441" s="4"/>
      <c r="I441" s="10"/>
      <c r="J441" s="10"/>
      <c r="K441" s="10">
        <f t="shared" si="32"/>
        <v>8</v>
      </c>
    </row>
    <row r="442" spans="1:11" ht="15.75">
      <c r="A442" s="10">
        <f t="shared" si="31"/>
        <v>9</v>
      </c>
      <c r="B442" s="88" t="s">
        <v>118</v>
      </c>
      <c r="C442" s="4"/>
      <c r="D442" s="4"/>
      <c r="E442" s="4"/>
      <c r="F442" s="4"/>
      <c r="G442" s="4"/>
      <c r="H442" s="68"/>
      <c r="I442" s="10"/>
      <c r="J442" s="10"/>
      <c r="K442" s="10">
        <f t="shared" si="32"/>
        <v>9</v>
      </c>
    </row>
    <row r="443" spans="1:11" ht="15.75">
      <c r="A443" s="10">
        <f t="shared" si="31"/>
        <v>10</v>
      </c>
      <c r="B443" s="4" t="s">
        <v>231</v>
      </c>
      <c r="C443" s="4"/>
      <c r="D443" s="4"/>
      <c r="E443" s="4"/>
      <c r="F443" s="4"/>
      <c r="G443" s="4"/>
      <c r="H443" s="389">
        <f>'Statement AV-WP'!I20</f>
        <v>188053.79800000001</v>
      </c>
      <c r="I443" s="10"/>
      <c r="J443" s="10" t="s">
        <v>1114</v>
      </c>
      <c r="K443" s="10">
        <f t="shared" si="32"/>
        <v>10</v>
      </c>
    </row>
    <row r="444" spans="1:11" ht="15.75">
      <c r="A444" s="10">
        <f t="shared" si="31"/>
        <v>11</v>
      </c>
      <c r="B444" s="4" t="s">
        <v>235</v>
      </c>
      <c r="C444" s="4"/>
      <c r="D444" s="4"/>
      <c r="E444" s="4"/>
      <c r="F444" s="4"/>
      <c r="G444" s="4"/>
      <c r="H444" s="391">
        <f>'Statement AV-WP'!I21</f>
        <v>3313.2779999999998</v>
      </c>
      <c r="I444" s="10"/>
      <c r="J444" s="10" t="s">
        <v>1115</v>
      </c>
      <c r="K444" s="10">
        <f t="shared" si="32"/>
        <v>11</v>
      </c>
    </row>
    <row r="445" spans="1:11" ht="15.75">
      <c r="A445" s="10">
        <f t="shared" si="31"/>
        <v>12</v>
      </c>
      <c r="B445" s="4" t="s">
        <v>236</v>
      </c>
      <c r="C445" s="4"/>
      <c r="D445" s="4"/>
      <c r="E445" s="4"/>
      <c r="F445" s="4"/>
      <c r="G445" s="4"/>
      <c r="H445" s="391">
        <f>'Statement AV-WP'!I22</f>
        <v>2807.3890000000001</v>
      </c>
      <c r="I445" s="10"/>
      <c r="J445" s="10" t="s">
        <v>1116</v>
      </c>
      <c r="K445" s="10">
        <f t="shared" si="32"/>
        <v>12</v>
      </c>
    </row>
    <row r="446" spans="1:11" ht="15.75">
      <c r="A446" s="10">
        <f t="shared" si="31"/>
        <v>13</v>
      </c>
      <c r="B446" s="4" t="s">
        <v>237</v>
      </c>
      <c r="C446" s="4"/>
      <c r="D446" s="4"/>
      <c r="E446" s="4"/>
      <c r="F446" s="4"/>
      <c r="G446" s="4"/>
      <c r="H446" s="391">
        <f>'Statement AV-WP'!I23</f>
        <v>0</v>
      </c>
      <c r="I446" s="10"/>
      <c r="J446" s="10" t="s">
        <v>1117</v>
      </c>
      <c r="K446" s="10">
        <f t="shared" si="32"/>
        <v>13</v>
      </c>
    </row>
    <row r="447" spans="1:11" ht="15.75">
      <c r="A447" s="10">
        <f t="shared" si="31"/>
        <v>14</v>
      </c>
      <c r="B447" s="4" t="s">
        <v>238</v>
      </c>
      <c r="C447" s="4"/>
      <c r="D447" s="4"/>
      <c r="E447" s="4"/>
      <c r="F447" s="4"/>
      <c r="G447" s="4"/>
      <c r="H447" s="391">
        <f>'Statement AV-WP'!I24</f>
        <v>0</v>
      </c>
      <c r="I447" s="10"/>
      <c r="J447" s="10" t="s">
        <v>1118</v>
      </c>
      <c r="K447" s="10">
        <f t="shared" si="32"/>
        <v>14</v>
      </c>
    </row>
    <row r="448" spans="1:11" ht="16.5" thickBot="1">
      <c r="A448" s="10">
        <f t="shared" si="31"/>
        <v>15</v>
      </c>
      <c r="B448" s="5" t="s">
        <v>242</v>
      </c>
      <c r="C448" s="4"/>
      <c r="D448" s="5"/>
      <c r="E448" s="5"/>
      <c r="F448" s="5"/>
      <c r="G448" s="5"/>
      <c r="H448" s="94">
        <f>+H443+H444+H445-H446-H447</f>
        <v>194174.465</v>
      </c>
      <c r="I448" s="10"/>
      <c r="J448" s="10" t="s">
        <v>110</v>
      </c>
      <c r="K448" s="10">
        <f t="shared" si="32"/>
        <v>15</v>
      </c>
    </row>
    <row r="449" spans="1:11" ht="16.5" thickTop="1">
      <c r="A449" s="10">
        <f t="shared" si="31"/>
        <v>16</v>
      </c>
      <c r="B449" s="5"/>
      <c r="C449" s="4"/>
      <c r="D449" s="4"/>
      <c r="E449" s="4"/>
      <c r="F449" s="4"/>
      <c r="G449" s="4"/>
      <c r="H449" s="4"/>
      <c r="I449" s="10"/>
      <c r="J449" s="10"/>
      <c r="K449" s="10">
        <f t="shared" si="32"/>
        <v>16</v>
      </c>
    </row>
    <row r="450" spans="1:11" ht="16.5" thickBot="1">
      <c r="A450" s="10">
        <f t="shared" si="31"/>
        <v>17</v>
      </c>
      <c r="B450" s="90" t="s">
        <v>120</v>
      </c>
      <c r="C450" s="4"/>
      <c r="D450" s="4"/>
      <c r="E450" s="4"/>
      <c r="F450" s="4"/>
      <c r="G450" s="4"/>
      <c r="H450" s="437">
        <f>ROUND(H448/H440,4)</f>
        <v>4.8099999999999997E-2</v>
      </c>
      <c r="I450" s="10"/>
      <c r="J450" s="10" t="s">
        <v>148</v>
      </c>
      <c r="K450" s="10">
        <f t="shared" si="32"/>
        <v>17</v>
      </c>
    </row>
    <row r="451" spans="1:11" ht="16.5" thickTop="1">
      <c r="A451" s="10">
        <f t="shared" si="31"/>
        <v>18</v>
      </c>
      <c r="B451" s="5"/>
      <c r="C451" s="4"/>
      <c r="D451" s="4"/>
      <c r="E451" s="4"/>
      <c r="F451" s="4"/>
      <c r="G451" s="4"/>
      <c r="H451" s="4"/>
      <c r="I451" s="10"/>
      <c r="J451" s="10"/>
      <c r="K451" s="10">
        <f t="shared" si="32"/>
        <v>18</v>
      </c>
    </row>
    <row r="452" spans="1:11" ht="15.75">
      <c r="A452" s="10">
        <f t="shared" si="31"/>
        <v>19</v>
      </c>
      <c r="B452" s="90" t="s">
        <v>121</v>
      </c>
      <c r="C452" s="4"/>
      <c r="D452" s="4"/>
      <c r="E452" s="4"/>
      <c r="F452" s="4"/>
      <c r="G452" s="4"/>
      <c r="H452" s="4"/>
      <c r="I452" s="10"/>
      <c r="J452" s="10"/>
      <c r="K452" s="10">
        <f t="shared" si="32"/>
        <v>19</v>
      </c>
    </row>
    <row r="453" spans="1:11" ht="15.75">
      <c r="A453" s="10">
        <f t="shared" si="31"/>
        <v>20</v>
      </c>
      <c r="B453" s="5" t="s">
        <v>268</v>
      </c>
      <c r="C453" s="4"/>
      <c r="D453" s="4"/>
      <c r="E453" s="4"/>
      <c r="F453" s="4"/>
      <c r="G453" s="4"/>
      <c r="H453" s="389">
        <f>'Statement AV-WP'!I30</f>
        <v>0</v>
      </c>
      <c r="I453" s="10"/>
      <c r="J453" s="10" t="s">
        <v>1119</v>
      </c>
      <c r="K453" s="10">
        <f t="shared" si="32"/>
        <v>20</v>
      </c>
    </row>
    <row r="454" spans="1:11" ht="15.75">
      <c r="A454" s="10">
        <f t="shared" si="31"/>
        <v>21</v>
      </c>
      <c r="B454" s="5" t="s">
        <v>243</v>
      </c>
      <c r="C454" s="4"/>
      <c r="D454" s="5"/>
      <c r="E454" s="5"/>
      <c r="F454" s="5"/>
      <c r="G454" s="5"/>
      <c r="H454" s="397">
        <f>'Statement AV-WP'!I31</f>
        <v>0</v>
      </c>
      <c r="I454" s="10"/>
      <c r="J454" s="10" t="s">
        <v>1120</v>
      </c>
      <c r="K454" s="10">
        <f t="shared" si="32"/>
        <v>21</v>
      </c>
    </row>
    <row r="455" spans="1:11" ht="16.5" thickBot="1">
      <c r="A455" s="10">
        <f t="shared" si="31"/>
        <v>22</v>
      </c>
      <c r="B455" s="5" t="s">
        <v>122</v>
      </c>
      <c r="C455" s="4"/>
      <c r="D455" s="4"/>
      <c r="E455" s="4"/>
      <c r="F455" s="4"/>
      <c r="G455" s="4"/>
      <c r="H455" s="437">
        <v>0</v>
      </c>
      <c r="I455" s="10"/>
      <c r="J455" s="10" t="s">
        <v>388</v>
      </c>
      <c r="K455" s="10">
        <f t="shared" si="32"/>
        <v>22</v>
      </c>
    </row>
    <row r="456" spans="1:11" ht="16.5" thickTop="1">
      <c r="A456" s="10">
        <f t="shared" si="31"/>
        <v>23</v>
      </c>
      <c r="B456" s="5"/>
      <c r="C456" s="4"/>
      <c r="D456" s="4"/>
      <c r="E456" s="4"/>
      <c r="F456" s="4"/>
      <c r="G456" s="4"/>
      <c r="H456" s="4"/>
      <c r="I456" s="10"/>
      <c r="J456" s="10"/>
      <c r="K456" s="10">
        <f t="shared" si="32"/>
        <v>23</v>
      </c>
    </row>
    <row r="457" spans="1:11" ht="15.75">
      <c r="A457" s="10">
        <f t="shared" si="31"/>
        <v>24</v>
      </c>
      <c r="B457" s="90" t="s">
        <v>123</v>
      </c>
      <c r="C457" s="4"/>
      <c r="D457" s="4"/>
      <c r="E457" s="4"/>
      <c r="F457" s="4"/>
      <c r="G457" s="4"/>
      <c r="H457" s="4"/>
      <c r="I457" s="10"/>
      <c r="J457" s="10"/>
      <c r="K457" s="10">
        <f t="shared" si="32"/>
        <v>24</v>
      </c>
    </row>
    <row r="458" spans="1:11" ht="15.75">
      <c r="A458" s="10">
        <f t="shared" si="31"/>
        <v>25</v>
      </c>
      <c r="B458" s="5" t="s">
        <v>244</v>
      </c>
      <c r="C458" s="4"/>
      <c r="D458" s="4"/>
      <c r="E458" s="4"/>
      <c r="F458" s="4"/>
      <c r="G458" s="4"/>
      <c r="H458" s="389">
        <f>'Statement AV-WP'!I35</f>
        <v>5222823.5659999996</v>
      </c>
      <c r="I458" s="10"/>
      <c r="J458" s="10" t="s">
        <v>1121</v>
      </c>
      <c r="K458" s="10">
        <f t="shared" si="32"/>
        <v>25</v>
      </c>
    </row>
    <row r="459" spans="1:11" ht="15.75">
      <c r="A459" s="10">
        <f t="shared" si="31"/>
        <v>26</v>
      </c>
      <c r="B459" s="5" t="s">
        <v>1150</v>
      </c>
      <c r="C459" s="4"/>
      <c r="D459" s="4"/>
      <c r="E459" s="4"/>
      <c r="F459" s="4"/>
      <c r="G459" s="4"/>
      <c r="H459" s="391">
        <f>'Statement AV-WP'!I36</f>
        <v>0</v>
      </c>
      <c r="I459" s="10"/>
      <c r="J459" s="10" t="s">
        <v>1122</v>
      </c>
      <c r="K459" s="10">
        <f t="shared" si="32"/>
        <v>26</v>
      </c>
    </row>
    <row r="460" spans="1:11" ht="15.75">
      <c r="A460" s="10">
        <f t="shared" si="31"/>
        <v>27</v>
      </c>
      <c r="B460" s="5" t="s">
        <v>1151</v>
      </c>
      <c r="C460" s="4"/>
      <c r="D460" s="4"/>
      <c r="E460" s="4"/>
      <c r="F460" s="4"/>
      <c r="G460" s="4"/>
      <c r="H460" s="391">
        <f>'Statement AV-WP'!I37</f>
        <v>0</v>
      </c>
      <c r="I460" s="10"/>
      <c r="J460" s="10" t="s">
        <v>1123</v>
      </c>
      <c r="K460" s="10">
        <f t="shared" si="32"/>
        <v>27</v>
      </c>
    </row>
    <row r="461" spans="1:11" ht="15.75">
      <c r="A461" s="10">
        <f t="shared" si="31"/>
        <v>28</v>
      </c>
      <c r="B461" s="5" t="s">
        <v>1149</v>
      </c>
      <c r="C461" s="4"/>
      <c r="D461" s="4"/>
      <c r="E461" s="4"/>
      <c r="F461" s="4"/>
      <c r="G461" s="4"/>
      <c r="H461" s="391">
        <f>'Statement AV-WP'!I38</f>
        <v>-7840.3140000000003</v>
      </c>
      <c r="I461" s="10"/>
      <c r="J461" s="10" t="s">
        <v>1142</v>
      </c>
      <c r="K461" s="10">
        <f t="shared" si="32"/>
        <v>28</v>
      </c>
    </row>
    <row r="462" spans="1:11" ht="16.5" thickBot="1">
      <c r="A462" s="10">
        <f t="shared" si="31"/>
        <v>29</v>
      </c>
      <c r="B462" s="5" t="s">
        <v>59</v>
      </c>
      <c r="C462" s="4"/>
      <c r="D462" s="5"/>
      <c r="E462" s="5"/>
      <c r="F462" s="5"/>
      <c r="G462" s="5"/>
      <c r="H462" s="95">
        <f>+H458-H459-H460-H461</f>
        <v>5230663.88</v>
      </c>
      <c r="I462" s="10"/>
      <c r="J462" s="10" t="s">
        <v>1143</v>
      </c>
      <c r="K462" s="10">
        <f t="shared" si="32"/>
        <v>29</v>
      </c>
    </row>
    <row r="463" spans="1:11" ht="17.25" thickTop="1" thickBot="1">
      <c r="A463" s="182">
        <f t="shared" si="31"/>
        <v>30</v>
      </c>
      <c r="B463" s="183"/>
      <c r="C463" s="177"/>
      <c r="D463" s="177"/>
      <c r="E463" s="177"/>
      <c r="F463" s="177"/>
      <c r="G463" s="177"/>
      <c r="H463" s="177"/>
      <c r="I463" s="182"/>
      <c r="J463" s="182"/>
      <c r="K463" s="182">
        <f t="shared" si="32"/>
        <v>30</v>
      </c>
    </row>
    <row r="464" spans="1:11" ht="16.5" thickBot="1">
      <c r="A464" s="10">
        <f t="shared" si="31"/>
        <v>31</v>
      </c>
      <c r="B464" s="90" t="s">
        <v>318</v>
      </c>
      <c r="C464" s="4"/>
      <c r="D464" s="4"/>
      <c r="E464" s="4"/>
      <c r="F464" s="4"/>
      <c r="G464" s="4"/>
      <c r="H464" s="403">
        <f>'Statement AV-WP'!I41</f>
        <v>0.10050000000000001</v>
      </c>
      <c r="I464" s="274"/>
      <c r="J464" s="10" t="s">
        <v>1158</v>
      </c>
      <c r="K464" s="10">
        <f t="shared" si="32"/>
        <v>31</v>
      </c>
    </row>
    <row r="465" spans="1:11" ht="16.5" thickTop="1">
      <c r="A465" s="10">
        <f t="shared" si="31"/>
        <v>32</v>
      </c>
      <c r="B465" s="5"/>
      <c r="C465" s="4"/>
      <c r="D465" s="144" t="s">
        <v>165</v>
      </c>
      <c r="E465" s="144" t="s">
        <v>166</v>
      </c>
      <c r="F465" s="144" t="s">
        <v>223</v>
      </c>
      <c r="G465" s="4"/>
      <c r="H465" s="144" t="s">
        <v>219</v>
      </c>
      <c r="I465" s="10"/>
      <c r="J465" s="10"/>
      <c r="K465" s="10">
        <f t="shared" si="32"/>
        <v>32</v>
      </c>
    </row>
    <row r="466" spans="1:11" ht="15.75">
      <c r="A466" s="10">
        <f t="shared" si="31"/>
        <v>33</v>
      </c>
      <c r="B466" s="5"/>
      <c r="C466" s="4"/>
      <c r="D466" s="4"/>
      <c r="E466" s="10" t="s">
        <v>217</v>
      </c>
      <c r="F466" s="10" t="s">
        <v>370</v>
      </c>
      <c r="G466" s="4"/>
      <c r="H466" s="10" t="s">
        <v>68</v>
      </c>
      <c r="I466" s="10"/>
      <c r="J466" s="10"/>
      <c r="K466" s="10">
        <f t="shared" si="32"/>
        <v>33</v>
      </c>
    </row>
    <row r="467" spans="1:11" ht="18.75">
      <c r="A467" s="10">
        <f t="shared" si="31"/>
        <v>34</v>
      </c>
      <c r="B467" s="90" t="s">
        <v>124</v>
      </c>
      <c r="C467" s="4"/>
      <c r="D467" s="33" t="s">
        <v>633</v>
      </c>
      <c r="E467" s="33" t="s">
        <v>125</v>
      </c>
      <c r="F467" s="33" t="s">
        <v>369</v>
      </c>
      <c r="G467" s="33"/>
      <c r="H467" s="33" t="s">
        <v>126</v>
      </c>
      <c r="I467" s="10"/>
      <c r="J467" s="10"/>
      <c r="K467" s="10">
        <f t="shared" si="32"/>
        <v>34</v>
      </c>
    </row>
    <row r="468" spans="1:11" ht="15.75">
      <c r="A468" s="10">
        <f t="shared" si="31"/>
        <v>35</v>
      </c>
      <c r="B468" s="5"/>
      <c r="C468" s="4"/>
      <c r="D468" s="4"/>
      <c r="E468" s="4"/>
      <c r="F468" s="4"/>
      <c r="G468" s="4"/>
      <c r="H468" s="4"/>
      <c r="I468" s="10"/>
      <c r="J468" s="10"/>
      <c r="K468" s="10">
        <f t="shared" si="32"/>
        <v>35</v>
      </c>
    </row>
    <row r="469" spans="1:11" ht="15.75">
      <c r="A469" s="10">
        <f t="shared" si="31"/>
        <v>36</v>
      </c>
      <c r="B469" s="5" t="s">
        <v>141</v>
      </c>
      <c r="C469" s="4"/>
      <c r="D469" s="387">
        <f>H440</f>
        <v>4033587.9019999998</v>
      </c>
      <c r="E469" s="17">
        <f>ROUND(D469/D$472,5)</f>
        <v>0.43539</v>
      </c>
      <c r="F469" s="412">
        <f>H450</f>
        <v>4.8099999999999997E-2</v>
      </c>
      <c r="G469" s="4"/>
      <c r="H469" s="17">
        <f>ROUND(E469*F469,4)</f>
        <v>2.0899999999999998E-2</v>
      </c>
      <c r="I469" s="10"/>
      <c r="J469" s="10" t="s">
        <v>221</v>
      </c>
      <c r="K469" s="10">
        <f t="shared" si="32"/>
        <v>36</v>
      </c>
    </row>
    <row r="470" spans="1:11" ht="15.75">
      <c r="A470" s="10">
        <f t="shared" si="31"/>
        <v>37</v>
      </c>
      <c r="B470" s="5" t="s">
        <v>142</v>
      </c>
      <c r="C470" s="4"/>
      <c r="D470" s="378">
        <f>H453</f>
        <v>0</v>
      </c>
      <c r="E470" s="17">
        <f>ROUND(D470/D$472,5)</f>
        <v>0</v>
      </c>
      <c r="F470" s="412">
        <f>H455</f>
        <v>0</v>
      </c>
      <c r="G470" s="4"/>
      <c r="H470" s="17">
        <f>ROUND(E470*F470,4)</f>
        <v>0</v>
      </c>
      <c r="I470" s="10"/>
      <c r="J470" s="10" t="s">
        <v>389</v>
      </c>
      <c r="K470" s="10">
        <f t="shared" si="32"/>
        <v>37</v>
      </c>
    </row>
    <row r="471" spans="1:11" ht="15.75">
      <c r="A471" s="10">
        <f t="shared" si="31"/>
        <v>38</v>
      </c>
      <c r="B471" s="5" t="s">
        <v>143</v>
      </c>
      <c r="C471" s="4"/>
      <c r="D471" s="378">
        <f>H462</f>
        <v>5230663.88</v>
      </c>
      <c r="E471" s="17">
        <f>ROUND(D471/D$472,5)</f>
        <v>0.56460999999999995</v>
      </c>
      <c r="F471" s="404">
        <f>H464</f>
        <v>0.10050000000000001</v>
      </c>
      <c r="G471" s="274"/>
      <c r="H471" s="17">
        <f>ROUND(E471*F471,4)</f>
        <v>5.67E-2</v>
      </c>
      <c r="I471" s="274"/>
      <c r="J471" s="10" t="s">
        <v>1152</v>
      </c>
      <c r="K471" s="10">
        <f t="shared" si="32"/>
        <v>38</v>
      </c>
    </row>
    <row r="472" spans="1:11" ht="16.5" thickBot="1">
      <c r="A472" s="10">
        <f t="shared" si="31"/>
        <v>39</v>
      </c>
      <c r="B472" s="5" t="s">
        <v>144</v>
      </c>
      <c r="C472" s="4"/>
      <c r="D472" s="80">
        <f>SUM(D469:D471)</f>
        <v>9264251.7819999997</v>
      </c>
      <c r="E472" s="411">
        <f>SUM(E469:E471)</f>
        <v>1</v>
      </c>
      <c r="F472" s="50"/>
      <c r="G472" s="50"/>
      <c r="H472" s="438">
        <f>SUM(H469:H471)</f>
        <v>7.7600000000000002E-2</v>
      </c>
      <c r="I472" s="274"/>
      <c r="J472" s="10" t="s">
        <v>1144</v>
      </c>
      <c r="K472" s="10">
        <f t="shared" si="32"/>
        <v>39</v>
      </c>
    </row>
    <row r="473" spans="1:11" ht="16.5" thickTop="1">
      <c r="A473" s="10">
        <f t="shared" si="31"/>
        <v>40</v>
      </c>
      <c r="B473" s="5"/>
      <c r="C473" s="4"/>
      <c r="D473" s="4"/>
      <c r="E473" s="4"/>
      <c r="F473" s="4"/>
      <c r="G473" s="4"/>
      <c r="H473" s="51"/>
      <c r="I473" s="10"/>
      <c r="J473" s="10"/>
      <c r="K473" s="10">
        <f t="shared" si="32"/>
        <v>40</v>
      </c>
    </row>
    <row r="474" spans="1:11" ht="16.5" thickBot="1">
      <c r="A474" s="10">
        <f t="shared" si="31"/>
        <v>41</v>
      </c>
      <c r="B474" s="90" t="s">
        <v>163</v>
      </c>
      <c r="C474" s="4"/>
      <c r="D474" s="4"/>
      <c r="E474" s="4"/>
      <c r="F474" s="4"/>
      <c r="G474" s="4"/>
      <c r="H474" s="439">
        <f>H470+H471</f>
        <v>5.67E-2</v>
      </c>
      <c r="I474" s="274"/>
      <c r="J474" s="10" t="s">
        <v>1145</v>
      </c>
      <c r="K474" s="10">
        <f t="shared" si="32"/>
        <v>41</v>
      </c>
    </row>
    <row r="475" spans="1:11" ht="17.25" thickTop="1" thickBot="1">
      <c r="A475" s="182">
        <f>A474+1</f>
        <v>42</v>
      </c>
      <c r="B475" s="183"/>
      <c r="C475" s="177"/>
      <c r="D475" s="177"/>
      <c r="E475" s="177"/>
      <c r="F475" s="177"/>
      <c r="G475" s="177"/>
      <c r="H475" s="177"/>
      <c r="I475" s="182"/>
      <c r="J475" s="182"/>
      <c r="K475" s="182">
        <f>K474+1</f>
        <v>42</v>
      </c>
    </row>
    <row r="476" spans="1:11" ht="15.75">
      <c r="A476" s="48">
        <f>A475+1</f>
        <v>43</v>
      </c>
      <c r="B476" s="368"/>
      <c r="C476" s="133"/>
      <c r="D476" s="133"/>
      <c r="E476" s="133"/>
      <c r="F476" s="133"/>
      <c r="G476" s="133"/>
      <c r="H476" s="133"/>
      <c r="I476" s="48"/>
      <c r="J476" s="48"/>
      <c r="K476" s="48">
        <f>K475+1</f>
        <v>43</v>
      </c>
    </row>
    <row r="477" spans="1:11" ht="19.5" thickBot="1">
      <c r="A477" s="48">
        <f>A476+1</f>
        <v>44</v>
      </c>
      <c r="B477" s="90" t="s">
        <v>773</v>
      </c>
      <c r="C477" s="4"/>
      <c r="D477" s="4"/>
      <c r="E477" s="4"/>
      <c r="F477" s="4"/>
      <c r="G477" s="4"/>
      <c r="H477" s="403">
        <f>'Statement AV-WP'!I54</f>
        <v>0</v>
      </c>
      <c r="I477" s="10"/>
      <c r="J477" s="10" t="s">
        <v>1159</v>
      </c>
      <c r="K477" s="48">
        <f>K476+1</f>
        <v>44</v>
      </c>
    </row>
    <row r="478" spans="1:11" ht="16.5" thickTop="1">
      <c r="A478" s="10">
        <f t="shared" ref="A478:A487" si="33">A477+1</f>
        <v>45</v>
      </c>
      <c r="B478" s="5"/>
      <c r="C478" s="4"/>
      <c r="D478" s="144" t="s">
        <v>165</v>
      </c>
      <c r="E478" s="144" t="s">
        <v>166</v>
      </c>
      <c r="F478" s="144" t="s">
        <v>223</v>
      </c>
      <c r="G478" s="4"/>
      <c r="H478" s="144" t="s">
        <v>219</v>
      </c>
      <c r="I478" s="10"/>
      <c r="J478" s="10"/>
      <c r="K478" s="10">
        <f t="shared" ref="K478:K487" si="34">K477+1</f>
        <v>45</v>
      </c>
    </row>
    <row r="479" spans="1:11" ht="15.75">
      <c r="A479" s="10">
        <f t="shared" si="33"/>
        <v>46</v>
      </c>
      <c r="B479" s="5"/>
      <c r="C479" s="4"/>
      <c r="D479" s="4"/>
      <c r="E479" s="10" t="s">
        <v>217</v>
      </c>
      <c r="F479" s="10" t="s">
        <v>370</v>
      </c>
      <c r="G479" s="4"/>
      <c r="H479" s="10" t="s">
        <v>68</v>
      </c>
      <c r="I479" s="10"/>
      <c r="J479" s="10"/>
      <c r="K479" s="10">
        <f t="shared" si="34"/>
        <v>46</v>
      </c>
    </row>
    <row r="480" spans="1:11" ht="18.75">
      <c r="A480" s="10">
        <f t="shared" si="33"/>
        <v>47</v>
      </c>
      <c r="B480" s="90" t="s">
        <v>124</v>
      </c>
      <c r="C480" s="4"/>
      <c r="D480" s="33" t="s">
        <v>633</v>
      </c>
      <c r="E480" s="33" t="s">
        <v>125</v>
      </c>
      <c r="F480" s="33" t="s">
        <v>369</v>
      </c>
      <c r="G480" s="33"/>
      <c r="H480" s="33" t="s">
        <v>126</v>
      </c>
      <c r="I480" s="10"/>
      <c r="J480" s="10"/>
      <c r="K480" s="10">
        <f t="shared" si="34"/>
        <v>47</v>
      </c>
    </row>
    <row r="481" spans="1:11" ht="15.75">
      <c r="A481" s="10">
        <f t="shared" si="33"/>
        <v>48</v>
      </c>
      <c r="B481" s="5"/>
      <c r="C481" s="4"/>
      <c r="D481" s="4"/>
      <c r="E481" s="4"/>
      <c r="F481" s="4"/>
      <c r="G481" s="4"/>
      <c r="H481" s="4"/>
      <c r="I481" s="10"/>
      <c r="J481" s="10"/>
      <c r="K481" s="10">
        <f t="shared" si="34"/>
        <v>48</v>
      </c>
    </row>
    <row r="482" spans="1:11" ht="15.75">
      <c r="A482" s="10">
        <f t="shared" si="33"/>
        <v>49</v>
      </c>
      <c r="B482" s="5" t="s">
        <v>141</v>
      </c>
      <c r="C482" s="4"/>
      <c r="D482" s="387">
        <f>H440</f>
        <v>4033587.9019999998</v>
      </c>
      <c r="E482" s="440">
        <f>ROUND(D482/D$472,5)</f>
        <v>0.43539</v>
      </c>
      <c r="F482" s="412">
        <f>H450</f>
        <v>4.8099999999999997E-2</v>
      </c>
      <c r="G482" s="4"/>
      <c r="H482" s="440">
        <f>ROUND(E482*F482,4)</f>
        <v>2.0899999999999998E-2</v>
      </c>
      <c r="I482" s="10"/>
      <c r="J482" s="10" t="s">
        <v>221</v>
      </c>
      <c r="K482" s="10">
        <f t="shared" si="34"/>
        <v>49</v>
      </c>
    </row>
    <row r="483" spans="1:11" ht="15.75">
      <c r="A483" s="10">
        <f t="shared" si="33"/>
        <v>50</v>
      </c>
      <c r="B483" s="5" t="s">
        <v>142</v>
      </c>
      <c r="C483" s="4"/>
      <c r="D483" s="378">
        <f>H453</f>
        <v>0</v>
      </c>
      <c r="E483" s="440">
        <f>ROUND(D483/D$472,5)</f>
        <v>0</v>
      </c>
      <c r="F483" s="412">
        <f>H455</f>
        <v>0</v>
      </c>
      <c r="G483" s="4"/>
      <c r="H483" s="440">
        <f>ROUND(E483*F483,4)</f>
        <v>0</v>
      </c>
      <c r="I483" s="10"/>
      <c r="J483" s="10" t="s">
        <v>389</v>
      </c>
      <c r="K483" s="10">
        <f t="shared" si="34"/>
        <v>50</v>
      </c>
    </row>
    <row r="484" spans="1:11" ht="15.75">
      <c r="A484" s="10">
        <f t="shared" si="33"/>
        <v>51</v>
      </c>
      <c r="B484" s="5" t="s">
        <v>143</v>
      </c>
      <c r="C484" s="4"/>
      <c r="D484" s="378">
        <f>H462</f>
        <v>5230663.88</v>
      </c>
      <c r="E484" s="440">
        <f>ROUND(D484/D$472,5)</f>
        <v>0.56460999999999995</v>
      </c>
      <c r="F484" s="404">
        <f>H477</f>
        <v>0</v>
      </c>
      <c r="G484" s="97"/>
      <c r="H484" s="440">
        <f>ROUND(E484*F484,4)</f>
        <v>0</v>
      </c>
      <c r="I484" s="10"/>
      <c r="J484" s="10" t="s">
        <v>1153</v>
      </c>
      <c r="K484" s="10">
        <f t="shared" si="34"/>
        <v>51</v>
      </c>
    </row>
    <row r="485" spans="1:11" ht="16.5" thickBot="1">
      <c r="A485" s="10">
        <f t="shared" si="33"/>
        <v>52</v>
      </c>
      <c r="B485" s="5" t="s">
        <v>144</v>
      </c>
      <c r="C485" s="4"/>
      <c r="D485" s="80">
        <f>SUM(D482:D484)</f>
        <v>9264251.7819999997</v>
      </c>
      <c r="E485" s="411">
        <f>SUM(E482:E484)</f>
        <v>1</v>
      </c>
      <c r="F485" s="4"/>
      <c r="G485" s="4"/>
      <c r="H485" s="411">
        <f>SUM(H482:H484)</f>
        <v>2.0899999999999998E-2</v>
      </c>
      <c r="I485" s="10"/>
      <c r="J485" s="10" t="s">
        <v>1146</v>
      </c>
      <c r="K485" s="10">
        <f t="shared" si="34"/>
        <v>52</v>
      </c>
    </row>
    <row r="486" spans="1:11" ht="16.5" thickTop="1">
      <c r="A486" s="10">
        <f t="shared" si="33"/>
        <v>53</v>
      </c>
      <c r="B486" s="5"/>
      <c r="C486" s="4"/>
      <c r="D486" s="4"/>
      <c r="E486" s="4"/>
      <c r="F486" s="4"/>
      <c r="G486" s="4"/>
      <c r="H486" s="51"/>
      <c r="I486" s="10"/>
      <c r="J486" s="10"/>
      <c r="K486" s="10">
        <f t="shared" si="34"/>
        <v>53</v>
      </c>
    </row>
    <row r="487" spans="1:11" ht="16.5" thickBot="1">
      <c r="A487" s="10">
        <f t="shared" si="33"/>
        <v>54</v>
      </c>
      <c r="B487" s="90" t="s">
        <v>521</v>
      </c>
      <c r="C487" s="4"/>
      <c r="D487" s="4"/>
      <c r="E487" s="4"/>
      <c r="F487" s="4"/>
      <c r="G487" s="4"/>
      <c r="H487" s="439">
        <f>H483+H484</f>
        <v>0</v>
      </c>
      <c r="I487" s="10"/>
      <c r="J487" s="10" t="s">
        <v>1147</v>
      </c>
      <c r="K487" s="10">
        <f t="shared" si="34"/>
        <v>54</v>
      </c>
    </row>
    <row r="488" spans="1:11" ht="16.5" thickTop="1">
      <c r="A488" s="10"/>
      <c r="B488" s="90"/>
      <c r="C488" s="4"/>
      <c r="D488" s="4"/>
      <c r="E488" s="4"/>
      <c r="F488" s="4"/>
      <c r="G488" s="4"/>
      <c r="H488" s="542"/>
      <c r="I488" s="10"/>
      <c r="J488" s="10"/>
      <c r="K488" s="10"/>
    </row>
    <row r="489" spans="1:11" ht="15.75">
      <c r="A489" s="10"/>
      <c r="B489" s="90"/>
      <c r="C489" s="4"/>
      <c r="D489" s="4"/>
      <c r="E489" s="4"/>
      <c r="F489" s="4"/>
      <c r="G489" s="4"/>
      <c r="H489" s="542"/>
      <c r="I489" s="10"/>
      <c r="J489" s="10"/>
      <c r="K489" s="10"/>
    </row>
    <row r="490" spans="1:11" ht="18.75">
      <c r="A490" s="237">
        <v>1</v>
      </c>
      <c r="B490" s="5" t="s">
        <v>634</v>
      </c>
      <c r="C490" s="4"/>
      <c r="D490" s="4"/>
      <c r="E490" s="4"/>
      <c r="F490" s="4"/>
      <c r="G490" s="4"/>
      <c r="H490" s="542"/>
      <c r="I490" s="10"/>
      <c r="J490" s="10"/>
      <c r="K490" s="10"/>
    </row>
    <row r="491" spans="1:11" ht="18.75">
      <c r="A491" s="237">
        <v>2</v>
      </c>
      <c r="B491" s="5" t="s">
        <v>1148</v>
      </c>
      <c r="C491" s="4"/>
      <c r="D491" s="4"/>
      <c r="E491" s="4"/>
      <c r="F491" s="4"/>
      <c r="G491" s="4"/>
      <c r="H491" s="542"/>
      <c r="I491" s="10"/>
      <c r="J491" s="10"/>
      <c r="K491" s="10"/>
    </row>
    <row r="492" spans="1:11" ht="15.75">
      <c r="A492" s="10"/>
      <c r="B492" s="90"/>
      <c r="C492" s="4"/>
      <c r="D492" s="4"/>
      <c r="E492" s="4"/>
      <c r="F492" s="4"/>
      <c r="G492" s="4"/>
      <c r="H492" s="366"/>
      <c r="I492" s="10"/>
      <c r="J492" s="10"/>
      <c r="K492" s="10"/>
    </row>
    <row r="493" spans="1:11" ht="15.75">
      <c r="A493" s="50"/>
      <c r="B493" s="5"/>
      <c r="C493" s="4"/>
      <c r="D493" s="4"/>
      <c r="E493" s="4"/>
      <c r="F493" s="4"/>
      <c r="G493" s="4"/>
      <c r="H493" s="4"/>
      <c r="I493" s="10"/>
      <c r="J493" s="10"/>
      <c r="K493" s="10"/>
    </row>
    <row r="494" spans="1:11" ht="15.75">
      <c r="A494" s="10"/>
      <c r="B494" s="1161" t="s">
        <v>42</v>
      </c>
      <c r="C494" s="1161"/>
      <c r="D494" s="1161"/>
      <c r="E494" s="1161"/>
      <c r="F494" s="1161"/>
      <c r="G494" s="1161"/>
      <c r="H494" s="1161"/>
      <c r="I494" s="1156"/>
      <c r="J494" s="1156"/>
      <c r="K494" s="10"/>
    </row>
    <row r="495" spans="1:11" ht="15.75">
      <c r="A495" s="10"/>
      <c r="B495" s="1161" t="s">
        <v>57</v>
      </c>
      <c r="C495" s="1161"/>
      <c r="D495" s="1161"/>
      <c r="E495" s="1161"/>
      <c r="F495" s="1161"/>
      <c r="G495" s="1161"/>
      <c r="H495" s="1161"/>
      <c r="I495" s="1160"/>
      <c r="J495" s="1160"/>
      <c r="K495" s="10"/>
    </row>
    <row r="496" spans="1:11" ht="15.75">
      <c r="A496" s="10"/>
      <c r="B496" s="1161" t="s">
        <v>58</v>
      </c>
      <c r="C496" s="1161"/>
      <c r="D496" s="1161"/>
      <c r="E496" s="1161"/>
      <c r="F496" s="1161"/>
      <c r="G496" s="1161"/>
      <c r="H496" s="1161"/>
      <c r="I496" s="1156"/>
      <c r="J496" s="1156"/>
      <c r="K496" s="10"/>
    </row>
    <row r="497" spans="1:13" ht="15.75">
      <c r="A497" s="10"/>
      <c r="B497" s="1157" t="str">
        <f>B5</f>
        <v>Base Period &amp; True-Up Period 12 - Months Ending December 31, 2015</v>
      </c>
      <c r="C497" s="1157"/>
      <c r="D497" s="1157"/>
      <c r="E497" s="1157"/>
      <c r="F497" s="1157"/>
      <c r="G497" s="1157"/>
      <c r="H497" s="1157"/>
      <c r="I497" s="1158"/>
      <c r="J497" s="1158"/>
      <c r="K497" s="10"/>
    </row>
    <row r="498" spans="1:13">
      <c r="B498" s="1159" t="s">
        <v>72</v>
      </c>
      <c r="C498" s="1160"/>
      <c r="D498" s="1160"/>
      <c r="E498" s="1160"/>
      <c r="F498" s="1160"/>
      <c r="G498" s="1160"/>
      <c r="H498" s="1160"/>
      <c r="I498" s="1160"/>
      <c r="J498" s="1160"/>
    </row>
    <row r="499" spans="1:13" ht="15.75">
      <c r="B499" s="241"/>
      <c r="C499" s="245"/>
      <c r="D499" s="245"/>
      <c r="E499" s="245"/>
      <c r="F499" s="245"/>
      <c r="G499" s="245"/>
      <c r="H499" s="390"/>
      <c r="I499" s="245"/>
      <c r="J499" s="278"/>
    </row>
    <row r="500" spans="1:13" ht="15.75">
      <c r="A500" s="10" t="s">
        <v>62</v>
      </c>
      <c r="B500" s="224"/>
      <c r="C500" s="225"/>
      <c r="D500" s="225"/>
      <c r="E500" s="225"/>
      <c r="F500" s="225"/>
      <c r="G500" s="225"/>
      <c r="H500" s="166"/>
      <c r="I500" s="229"/>
      <c r="J500" s="10"/>
      <c r="K500" s="10" t="s">
        <v>62</v>
      </c>
    </row>
    <row r="501" spans="1:13" ht="15.75">
      <c r="A501" s="33" t="s">
        <v>63</v>
      </c>
      <c r="B501" s="3"/>
      <c r="C501" s="3"/>
      <c r="D501" s="3"/>
      <c r="E501" s="3"/>
      <c r="F501" s="3"/>
      <c r="G501" s="3"/>
      <c r="H501" s="33" t="s">
        <v>69</v>
      </c>
      <c r="I501" s="2"/>
      <c r="J501" s="33" t="s">
        <v>65</v>
      </c>
      <c r="K501" s="33" t="s">
        <v>63</v>
      </c>
    </row>
    <row r="502" spans="1:13" ht="15.75">
      <c r="A502" s="10"/>
      <c r="B502" s="5"/>
      <c r="C502" s="4"/>
      <c r="D502" s="4"/>
      <c r="E502" s="4"/>
      <c r="F502" s="4"/>
      <c r="G502" s="4"/>
      <c r="H502" s="4"/>
      <c r="I502" s="10"/>
      <c r="J502" s="10"/>
      <c r="K502" s="10"/>
    </row>
    <row r="503" spans="1:13" ht="18.75">
      <c r="A503" s="10">
        <v>1</v>
      </c>
      <c r="B503" s="88" t="s">
        <v>319</v>
      </c>
      <c r="C503" s="4"/>
      <c r="D503" s="4"/>
      <c r="E503" s="4"/>
      <c r="F503" s="2"/>
      <c r="G503" s="2"/>
      <c r="H503" s="344"/>
      <c r="I503" s="36"/>
      <c r="J503" s="10"/>
      <c r="K503" s="10">
        <v>1</v>
      </c>
    </row>
    <row r="504" spans="1:13" ht="15.75">
      <c r="A504" s="10">
        <f>A503+1</f>
        <v>2</v>
      </c>
      <c r="B504" s="88"/>
      <c r="C504" s="4"/>
      <c r="D504" s="4"/>
      <c r="E504" s="4"/>
      <c r="F504" s="2"/>
      <c r="G504" s="2"/>
      <c r="H504" s="344"/>
      <c r="I504" s="36"/>
      <c r="J504" s="10"/>
      <c r="K504" s="10">
        <f>K503+1</f>
        <v>2</v>
      </c>
    </row>
    <row r="505" spans="1:13" ht="15.75">
      <c r="A505" s="10">
        <f>A504+1</f>
        <v>3</v>
      </c>
      <c r="B505" s="88" t="s">
        <v>145</v>
      </c>
      <c r="C505" s="4"/>
      <c r="D505" s="4"/>
      <c r="E505" s="4"/>
      <c r="F505" s="2"/>
      <c r="G505" s="2"/>
      <c r="H505" s="344"/>
      <c r="I505" s="36"/>
      <c r="J505" s="10"/>
      <c r="K505" s="10">
        <f>K504+1</f>
        <v>3</v>
      </c>
    </row>
    <row r="506" spans="1:13" ht="15.75">
      <c r="A506" s="10">
        <f>A505+1</f>
        <v>4</v>
      </c>
      <c r="B506" s="3"/>
      <c r="C506" s="2"/>
      <c r="D506" s="2"/>
      <c r="E506" s="2"/>
      <c r="F506" s="2"/>
      <c r="G506" s="2"/>
      <c r="H506" s="344"/>
      <c r="I506" s="36"/>
      <c r="J506" s="10"/>
      <c r="K506" s="10">
        <f>K505+1</f>
        <v>4</v>
      </c>
    </row>
    <row r="507" spans="1:13" ht="15.75">
      <c r="A507" s="10">
        <f t="shared" ref="A507:A533" si="35">A506+1</f>
        <v>5</v>
      </c>
      <c r="B507" s="91" t="s">
        <v>85</v>
      </c>
      <c r="C507" s="2"/>
      <c r="D507" s="2"/>
      <c r="E507" s="2"/>
      <c r="F507" s="2"/>
      <c r="G507" s="2"/>
      <c r="H507" s="344"/>
      <c r="I507" s="36"/>
      <c r="J507" s="54"/>
      <c r="K507" s="10">
        <f t="shared" ref="K507:K533" si="36">K506+1</f>
        <v>5</v>
      </c>
    </row>
    <row r="508" spans="1:13" ht="15.75">
      <c r="A508" s="10">
        <f t="shared" si="35"/>
        <v>6</v>
      </c>
      <c r="B508" s="4" t="s">
        <v>91</v>
      </c>
      <c r="C508" s="4"/>
      <c r="D508" s="4"/>
      <c r="E508" s="2"/>
      <c r="F508" s="2"/>
      <c r="G508" s="2"/>
      <c r="H508" s="405">
        <f>H474</f>
        <v>5.67E-2</v>
      </c>
      <c r="I508" s="274"/>
      <c r="J508" s="276" t="s">
        <v>1160</v>
      </c>
      <c r="K508" s="10">
        <f t="shared" si="36"/>
        <v>6</v>
      </c>
      <c r="M508" s="3"/>
    </row>
    <row r="509" spans="1:13" ht="15.75">
      <c r="A509" s="10">
        <f t="shared" si="35"/>
        <v>7</v>
      </c>
      <c r="B509" s="4" t="s">
        <v>222</v>
      </c>
      <c r="C509" s="4"/>
      <c r="D509" s="4"/>
      <c r="E509" s="2"/>
      <c r="F509" s="2"/>
      <c r="G509" s="2"/>
      <c r="H509" s="385">
        <f>-H398</f>
        <v>265</v>
      </c>
      <c r="I509" s="157"/>
      <c r="J509" s="276" t="s">
        <v>503</v>
      </c>
      <c r="K509" s="10">
        <f t="shared" si="36"/>
        <v>7</v>
      </c>
      <c r="M509" s="3"/>
    </row>
    <row r="510" spans="1:13" ht="15.75">
      <c r="A510" s="10">
        <f t="shared" si="35"/>
        <v>8</v>
      </c>
      <c r="B510" s="4" t="s">
        <v>92</v>
      </c>
      <c r="C510" s="4"/>
      <c r="D510" s="4"/>
      <c r="E510" s="2"/>
      <c r="F510" s="2"/>
      <c r="G510" s="2"/>
      <c r="H510" s="406">
        <f>'Statement AV-WP'!I87</f>
        <v>4565.8044923291418</v>
      </c>
      <c r="I510" s="995"/>
      <c r="J510" s="344" t="s">
        <v>851</v>
      </c>
      <c r="K510" s="10">
        <f t="shared" si="36"/>
        <v>8</v>
      </c>
      <c r="M510" s="2"/>
    </row>
    <row r="511" spans="1:13" ht="15.75">
      <c r="A511" s="10">
        <f t="shared" si="35"/>
        <v>9</v>
      </c>
      <c r="B511" s="4" t="s">
        <v>86</v>
      </c>
      <c r="C511" s="4"/>
      <c r="D511" s="4"/>
      <c r="E511" s="2"/>
      <c r="F511" s="2"/>
      <c r="G511" s="2"/>
      <c r="H511" s="370">
        <f>'BK-1-Retail TRR'!G115</f>
        <v>3206999.6043226914</v>
      </c>
      <c r="I511" s="995"/>
      <c r="J511" s="340" t="s">
        <v>371</v>
      </c>
      <c r="K511" s="10">
        <f t="shared" si="36"/>
        <v>9</v>
      </c>
      <c r="M511" s="3"/>
    </row>
    <row r="512" spans="1:13" ht="15.75">
      <c r="A512" s="10">
        <f t="shared" si="35"/>
        <v>10</v>
      </c>
      <c r="B512" s="4" t="s">
        <v>877</v>
      </c>
      <c r="C512" s="4"/>
      <c r="D512" s="4"/>
      <c r="E512" s="2"/>
      <c r="F512" s="2"/>
      <c r="G512" s="2"/>
      <c r="H512" s="487">
        <f>'Statement AV-WP'!I89</f>
        <v>0.35</v>
      </c>
      <c r="I512" s="36"/>
      <c r="J512" s="344" t="s">
        <v>852</v>
      </c>
      <c r="K512" s="10">
        <f t="shared" si="36"/>
        <v>10</v>
      </c>
      <c r="M512" s="2"/>
    </row>
    <row r="513" spans="1:13" ht="15.75">
      <c r="A513" s="10">
        <f t="shared" si="35"/>
        <v>11</v>
      </c>
      <c r="B513" s="5"/>
      <c r="C513" s="4"/>
      <c r="D513" s="4"/>
      <c r="E513" s="4"/>
      <c r="F513" s="4"/>
      <c r="G513" s="4"/>
      <c r="H513" s="10"/>
      <c r="I513" s="10"/>
      <c r="J513" s="10"/>
      <c r="K513" s="10">
        <f t="shared" si="36"/>
        <v>11</v>
      </c>
      <c r="M513" s="10"/>
    </row>
    <row r="514" spans="1:13" ht="15.75">
      <c r="A514" s="10">
        <f t="shared" si="35"/>
        <v>12</v>
      </c>
      <c r="B514" s="4" t="s">
        <v>465</v>
      </c>
      <c r="C514" s="4"/>
      <c r="D514" s="4"/>
      <c r="E514" s="357"/>
      <c r="F514" s="357"/>
      <c r="G514" s="357"/>
      <c r="H514" s="99">
        <f>(((H508)+(H510/H511))*H512-(H509/H511))/(1-H512)</f>
        <v>3.1170251007068037E-2</v>
      </c>
      <c r="I514" s="995"/>
      <c r="J514" s="276" t="s">
        <v>334</v>
      </c>
      <c r="K514" s="10">
        <f t="shared" si="36"/>
        <v>12</v>
      </c>
      <c r="M514" s="2"/>
    </row>
    <row r="515" spans="1:13" ht="15.75">
      <c r="A515" s="10">
        <f t="shared" si="35"/>
        <v>13</v>
      </c>
      <c r="B515" s="5"/>
      <c r="C515" s="98" t="s">
        <v>659</v>
      </c>
      <c r="D515" s="4"/>
      <c r="E515" s="4"/>
      <c r="F515" s="4"/>
      <c r="G515" s="4"/>
      <c r="H515" s="10"/>
      <c r="I515" s="10"/>
      <c r="J515" s="10"/>
      <c r="K515" s="10">
        <f t="shared" si="36"/>
        <v>13</v>
      </c>
      <c r="M515" s="10"/>
    </row>
    <row r="516" spans="1:13" ht="15.75">
      <c r="A516" s="10">
        <f t="shared" si="35"/>
        <v>14</v>
      </c>
      <c r="B516" s="5"/>
      <c r="C516" s="4"/>
      <c r="D516" s="4"/>
      <c r="E516" s="4"/>
      <c r="F516" s="4"/>
      <c r="G516" s="4"/>
      <c r="H516" s="10"/>
      <c r="I516" s="10"/>
      <c r="J516" s="10"/>
      <c r="K516" s="10">
        <f t="shared" si="36"/>
        <v>14</v>
      </c>
      <c r="M516" s="10"/>
    </row>
    <row r="517" spans="1:13" ht="15.75">
      <c r="A517" s="10">
        <f t="shared" si="35"/>
        <v>15</v>
      </c>
      <c r="B517" s="88" t="s">
        <v>146</v>
      </c>
      <c r="C517" s="3"/>
      <c r="D517" s="3"/>
      <c r="E517" s="3"/>
      <c r="F517" s="3"/>
      <c r="G517" s="3"/>
      <c r="H517" s="542"/>
      <c r="I517" s="36"/>
      <c r="J517" s="100"/>
      <c r="K517" s="10">
        <f t="shared" si="36"/>
        <v>15</v>
      </c>
      <c r="M517" s="100"/>
    </row>
    <row r="518" spans="1:13" ht="15.75">
      <c r="A518" s="10">
        <f t="shared" si="35"/>
        <v>16</v>
      </c>
      <c r="B518" s="7"/>
      <c r="C518" s="3"/>
      <c r="D518" s="3"/>
      <c r="E518" s="3"/>
      <c r="F518" s="3"/>
      <c r="G518" s="3"/>
      <c r="H518" s="54"/>
      <c r="I518" s="36"/>
      <c r="J518" s="276"/>
      <c r="K518" s="10">
        <f t="shared" si="36"/>
        <v>16</v>
      </c>
      <c r="M518" s="3"/>
    </row>
    <row r="519" spans="1:13" ht="15.75">
      <c r="A519" s="10">
        <f t="shared" si="35"/>
        <v>17</v>
      </c>
      <c r="B519" s="91" t="s">
        <v>85</v>
      </c>
      <c r="C519" s="3"/>
      <c r="D519" s="3"/>
      <c r="E519" s="3"/>
      <c r="F519" s="3"/>
      <c r="G519" s="3"/>
      <c r="H519" s="54"/>
      <c r="I519" s="36"/>
      <c r="J519" s="276"/>
      <c r="K519" s="10">
        <f t="shared" si="36"/>
        <v>17</v>
      </c>
      <c r="M519" s="3"/>
    </row>
    <row r="520" spans="1:13" ht="15.75">
      <c r="A520" s="10">
        <f t="shared" si="35"/>
        <v>18</v>
      </c>
      <c r="B520" s="4" t="s">
        <v>91</v>
      </c>
      <c r="C520" s="4"/>
      <c r="D520" s="4"/>
      <c r="E520" s="3"/>
      <c r="F520" s="3"/>
      <c r="G520" s="3"/>
      <c r="H520" s="405">
        <f>H474</f>
        <v>5.67E-2</v>
      </c>
      <c r="I520" s="274"/>
      <c r="J520" s="276" t="s">
        <v>1160</v>
      </c>
      <c r="K520" s="10">
        <f t="shared" si="36"/>
        <v>18</v>
      </c>
      <c r="M520" s="3"/>
    </row>
    <row r="521" spans="1:13" ht="15.75">
      <c r="A521" s="10">
        <f t="shared" si="35"/>
        <v>19</v>
      </c>
      <c r="B521" s="4" t="s">
        <v>459</v>
      </c>
      <c r="C521" s="4"/>
      <c r="D521" s="4"/>
      <c r="E521" s="3"/>
      <c r="F521" s="3"/>
      <c r="G521" s="3"/>
      <c r="H521" s="406">
        <f>H510</f>
        <v>4565.8044923291418</v>
      </c>
      <c r="I521" s="995"/>
      <c r="J521" s="276" t="s">
        <v>381</v>
      </c>
      <c r="K521" s="10">
        <f t="shared" si="36"/>
        <v>19</v>
      </c>
      <c r="M521" s="3"/>
    </row>
    <row r="522" spans="1:13" ht="15.75">
      <c r="A522" s="10">
        <f t="shared" si="35"/>
        <v>20</v>
      </c>
      <c r="B522" s="4" t="s">
        <v>460</v>
      </c>
      <c r="C522" s="4"/>
      <c r="D522" s="4"/>
      <c r="E522" s="3"/>
      <c r="F522" s="3"/>
      <c r="G522" s="3"/>
      <c r="H522" s="370">
        <f>H511</f>
        <v>3206999.6043226914</v>
      </c>
      <c r="J522" s="340" t="s">
        <v>371</v>
      </c>
      <c r="K522" s="10">
        <f t="shared" si="36"/>
        <v>20</v>
      </c>
      <c r="M522" s="3"/>
    </row>
    <row r="523" spans="1:13" ht="15.75">
      <c r="A523" s="10">
        <f t="shared" si="35"/>
        <v>21</v>
      </c>
      <c r="B523" s="4" t="s">
        <v>395</v>
      </c>
      <c r="C523" s="4"/>
      <c r="D523" s="4"/>
      <c r="E523" s="3"/>
      <c r="F523" s="3"/>
      <c r="G523" s="3"/>
      <c r="H523" s="407">
        <f>H514</f>
        <v>3.1170251007068037E-2</v>
      </c>
      <c r="I523" s="995"/>
      <c r="J523" s="276" t="s">
        <v>333</v>
      </c>
      <c r="K523" s="10">
        <f t="shared" si="36"/>
        <v>21</v>
      </c>
      <c r="M523" s="3"/>
    </row>
    <row r="524" spans="1:13" ht="15.75">
      <c r="A524" s="10">
        <f t="shared" si="35"/>
        <v>22</v>
      </c>
      <c r="B524" s="4" t="s">
        <v>878</v>
      </c>
      <c r="C524" s="4"/>
      <c r="D524" s="4"/>
      <c r="E524" s="3"/>
      <c r="F524" s="3"/>
      <c r="G524" s="3"/>
      <c r="H524" s="405">
        <f>'Statement AV-WP'!I101</f>
        <v>8.8400000000000006E-2</v>
      </c>
      <c r="I524" s="36"/>
      <c r="J524" s="344" t="s">
        <v>853</v>
      </c>
      <c r="K524" s="10">
        <f t="shared" si="36"/>
        <v>22</v>
      </c>
      <c r="M524" s="3"/>
    </row>
    <row r="525" spans="1:13" ht="15.75">
      <c r="A525" s="10">
        <f t="shared" si="35"/>
        <v>23</v>
      </c>
      <c r="B525" s="4"/>
      <c r="C525" s="4"/>
      <c r="D525" s="4"/>
      <c r="E525" s="3"/>
      <c r="F525" s="3"/>
      <c r="G525" s="3"/>
      <c r="H525" s="57"/>
      <c r="I525" s="36"/>
      <c r="J525" s="276"/>
      <c r="K525" s="10">
        <f t="shared" si="36"/>
        <v>23</v>
      </c>
      <c r="M525" s="3"/>
    </row>
    <row r="526" spans="1:13" ht="15.75">
      <c r="A526" s="10">
        <f t="shared" si="35"/>
        <v>24</v>
      </c>
      <c r="B526" s="4" t="s">
        <v>660</v>
      </c>
      <c r="C526" s="4"/>
      <c r="D526" s="88"/>
      <c r="E526" s="344"/>
      <c r="F526" s="344"/>
      <c r="G526" s="344"/>
      <c r="H526" s="99">
        <f>((H520)+(H521/H522)+H514)*H524/(1-H524)</f>
        <v>8.6590448066593811E-3</v>
      </c>
      <c r="I526" s="274"/>
      <c r="J526" s="276" t="s">
        <v>335</v>
      </c>
      <c r="K526" s="10">
        <f t="shared" si="36"/>
        <v>24</v>
      </c>
      <c r="M526" s="3"/>
    </row>
    <row r="527" spans="1:13" ht="15.75">
      <c r="A527" s="10">
        <f t="shared" si="35"/>
        <v>25</v>
      </c>
      <c r="B527" s="5"/>
      <c r="C527" s="98" t="s">
        <v>658</v>
      </c>
      <c r="D527" s="4"/>
      <c r="E527" s="4"/>
      <c r="F527" s="4"/>
      <c r="G527" s="4"/>
      <c r="H527" s="51"/>
      <c r="I527" s="10"/>
      <c r="J527" s="10"/>
      <c r="K527" s="10">
        <f t="shared" si="36"/>
        <v>25</v>
      </c>
      <c r="M527" s="10"/>
    </row>
    <row r="528" spans="1:13" ht="15.75">
      <c r="A528" s="10">
        <f t="shared" si="35"/>
        <v>26</v>
      </c>
      <c r="B528" s="5"/>
      <c r="C528" s="4"/>
      <c r="D528" s="4"/>
      <c r="E528" s="4"/>
      <c r="F528" s="4"/>
      <c r="G528" s="4"/>
      <c r="H528" s="51"/>
      <c r="I528" s="10"/>
      <c r="J528" s="10"/>
      <c r="K528" s="10">
        <f t="shared" si="36"/>
        <v>26</v>
      </c>
      <c r="M528" s="10"/>
    </row>
    <row r="529" spans="1:13" ht="15.75">
      <c r="A529" s="10">
        <f t="shared" si="35"/>
        <v>27</v>
      </c>
      <c r="B529" s="88" t="s">
        <v>182</v>
      </c>
      <c r="C529" s="4"/>
      <c r="D529" s="4"/>
      <c r="E529" s="4"/>
      <c r="F529" s="4"/>
      <c r="G529" s="4"/>
      <c r="H529" s="99">
        <f>H526+H514</f>
        <v>3.9829295813727419E-2</v>
      </c>
      <c r="I529" s="995"/>
      <c r="J529" s="10" t="s">
        <v>463</v>
      </c>
      <c r="K529" s="10">
        <f t="shared" si="36"/>
        <v>27</v>
      </c>
      <c r="M529" s="10"/>
    </row>
    <row r="530" spans="1:13" ht="15.75">
      <c r="A530" s="10">
        <f t="shared" si="35"/>
        <v>28</v>
      </c>
      <c r="B530" s="5"/>
      <c r="C530" s="4"/>
      <c r="D530" s="4"/>
      <c r="E530" s="4"/>
      <c r="F530" s="4"/>
      <c r="G530" s="4"/>
      <c r="H530" s="51"/>
      <c r="I530" s="274"/>
      <c r="J530" s="10"/>
      <c r="K530" s="10">
        <f t="shared" si="36"/>
        <v>28</v>
      </c>
      <c r="M530" s="10"/>
    </row>
    <row r="531" spans="1:13" ht="15.75">
      <c r="A531" s="10">
        <f t="shared" si="35"/>
        <v>29</v>
      </c>
      <c r="B531" s="88" t="s">
        <v>147</v>
      </c>
      <c r="C531" s="4"/>
      <c r="D531" s="4"/>
      <c r="E531" s="4"/>
      <c r="F531" s="4"/>
      <c r="G531" s="4"/>
      <c r="H531" s="683">
        <f>H472</f>
        <v>7.7600000000000002E-2</v>
      </c>
      <c r="I531" s="274"/>
      <c r="J531" s="10" t="s">
        <v>1161</v>
      </c>
      <c r="K531" s="10">
        <f t="shared" si="36"/>
        <v>29</v>
      </c>
      <c r="M531" s="10"/>
    </row>
    <row r="532" spans="1:13" ht="15.75">
      <c r="A532" s="10">
        <f t="shared" si="35"/>
        <v>30</v>
      </c>
      <c r="B532" s="5"/>
      <c r="C532" s="4"/>
      <c r="D532" s="4"/>
      <c r="E532" s="4"/>
      <c r="F532" s="4"/>
      <c r="G532" s="4"/>
      <c r="H532" s="51"/>
      <c r="I532" s="274"/>
      <c r="J532" s="10"/>
      <c r="K532" s="10">
        <f t="shared" si="36"/>
        <v>30</v>
      </c>
      <c r="M532" s="10"/>
    </row>
    <row r="533" spans="1:13" ht="19.5" thickBot="1">
      <c r="A533" s="10">
        <f t="shared" si="35"/>
        <v>31</v>
      </c>
      <c r="B533" s="88" t="s">
        <v>320</v>
      </c>
      <c r="C533" s="4"/>
      <c r="D533" s="4"/>
      <c r="E533" s="4"/>
      <c r="F533" s="4"/>
      <c r="G533" s="4"/>
      <c r="H533" s="275">
        <f>H529+H531</f>
        <v>0.11742929581372742</v>
      </c>
      <c r="I533" s="995"/>
      <c r="J533" s="10" t="s">
        <v>464</v>
      </c>
      <c r="K533" s="10">
        <f t="shared" si="36"/>
        <v>31</v>
      </c>
      <c r="M533" s="10"/>
    </row>
    <row r="534" spans="1:13" ht="16.5" thickTop="1">
      <c r="A534" s="10"/>
      <c r="B534" s="88"/>
      <c r="C534" s="4"/>
      <c r="D534" s="4"/>
      <c r="E534" s="4"/>
      <c r="F534" s="4"/>
      <c r="G534" s="4"/>
      <c r="H534" s="394"/>
      <c r="I534" s="274"/>
      <c r="J534" s="10"/>
      <c r="K534" s="10"/>
      <c r="M534" s="10"/>
    </row>
    <row r="535" spans="1:13" ht="15.75">
      <c r="A535" s="995"/>
      <c r="B535" s="50"/>
      <c r="C535" s="4"/>
      <c r="D535" s="4"/>
      <c r="E535" s="4"/>
      <c r="F535" s="4"/>
      <c r="G535" s="4"/>
      <c r="H535" s="4"/>
      <c r="I535" s="10"/>
      <c r="J535" s="10"/>
      <c r="K535" s="10"/>
      <c r="M535" s="58"/>
    </row>
    <row r="536" spans="1:13" ht="15.75">
      <c r="A536" s="10"/>
      <c r="B536" s="1161" t="s">
        <v>42</v>
      </c>
      <c r="C536" s="1161"/>
      <c r="D536" s="1161"/>
      <c r="E536" s="1161"/>
      <c r="F536" s="1161"/>
      <c r="G536" s="1161"/>
      <c r="H536" s="1161"/>
      <c r="I536" s="1156"/>
      <c r="J536" s="1156"/>
      <c r="K536" s="10"/>
    </row>
    <row r="537" spans="1:13" ht="15.75">
      <c r="A537" s="10"/>
      <c r="B537" s="1161" t="s">
        <v>57</v>
      </c>
      <c r="C537" s="1161"/>
      <c r="D537" s="1161"/>
      <c r="E537" s="1161"/>
      <c r="F537" s="1161"/>
      <c r="G537" s="1161"/>
      <c r="H537" s="1161"/>
      <c r="I537" s="1160"/>
      <c r="J537" s="1160"/>
      <c r="K537" s="10"/>
    </row>
    <row r="538" spans="1:13" ht="15.75">
      <c r="A538" s="10"/>
      <c r="B538" s="1161" t="s">
        <v>58</v>
      </c>
      <c r="C538" s="1161"/>
      <c r="D538" s="1161"/>
      <c r="E538" s="1161"/>
      <c r="F538" s="1161"/>
      <c r="G538" s="1161"/>
      <c r="H538" s="1161"/>
      <c r="I538" s="1156"/>
      <c r="J538" s="1156"/>
      <c r="K538" s="10"/>
    </row>
    <row r="539" spans="1:13" ht="15.75">
      <c r="A539" s="10"/>
      <c r="B539" s="1157" t="str">
        <f>B5</f>
        <v>Base Period &amp; True-Up Period 12 - Months Ending December 31, 2015</v>
      </c>
      <c r="C539" s="1157"/>
      <c r="D539" s="1157"/>
      <c r="E539" s="1157"/>
      <c r="F539" s="1157"/>
      <c r="G539" s="1157"/>
      <c r="H539" s="1157"/>
      <c r="I539" s="1158"/>
      <c r="J539" s="1158"/>
      <c r="K539" s="10"/>
    </row>
    <row r="540" spans="1:13">
      <c r="B540" s="1159" t="s">
        <v>72</v>
      </c>
      <c r="C540" s="1160"/>
      <c r="D540" s="1160"/>
      <c r="E540" s="1160"/>
      <c r="F540" s="1160"/>
      <c r="G540" s="1160"/>
      <c r="H540" s="1160"/>
      <c r="I540" s="1160"/>
      <c r="J540" s="1160"/>
    </row>
    <row r="541" spans="1:13" ht="15.75">
      <c r="B541" s="241"/>
      <c r="C541" s="245"/>
      <c r="D541" s="245"/>
      <c r="E541" s="245"/>
      <c r="F541" s="245"/>
      <c r="G541" s="245"/>
      <c r="H541" s="390"/>
      <c r="I541" s="245"/>
      <c r="J541" s="278"/>
    </row>
    <row r="542" spans="1:13" ht="15.75">
      <c r="A542" s="10" t="s">
        <v>62</v>
      </c>
      <c r="B542" s="224"/>
      <c r="C542" s="225"/>
      <c r="D542" s="225"/>
      <c r="E542" s="225"/>
      <c r="F542" s="225"/>
      <c r="G542" s="225"/>
      <c r="H542" s="166"/>
      <c r="I542" s="229"/>
      <c r="J542" s="10"/>
      <c r="K542" s="10" t="s">
        <v>62</v>
      </c>
    </row>
    <row r="543" spans="1:13" ht="15.75">
      <c r="A543" s="33" t="s">
        <v>63</v>
      </c>
      <c r="B543" s="3"/>
      <c r="C543" s="3"/>
      <c r="D543" s="3"/>
      <c r="E543" s="3"/>
      <c r="F543" s="3"/>
      <c r="G543" s="3"/>
      <c r="H543" s="33" t="s">
        <v>69</v>
      </c>
      <c r="I543" s="2"/>
      <c r="J543" s="33" t="s">
        <v>65</v>
      </c>
      <c r="K543" s="33" t="s">
        <v>63</v>
      </c>
    </row>
    <row r="544" spans="1:13" ht="15.75">
      <c r="A544" s="10"/>
      <c r="B544" s="5"/>
      <c r="C544" s="4"/>
      <c r="D544" s="4"/>
      <c r="E544" s="4"/>
      <c r="F544" s="4"/>
      <c r="G544" s="4"/>
      <c r="H544" s="4"/>
      <c r="I544" s="10"/>
      <c r="J544" s="10"/>
      <c r="K544" s="10"/>
    </row>
    <row r="545" spans="1:13" ht="20.25">
      <c r="A545" s="10">
        <v>1</v>
      </c>
      <c r="B545" s="88" t="s">
        <v>774</v>
      </c>
      <c r="C545" s="4"/>
      <c r="D545" s="4"/>
      <c r="E545" s="4"/>
      <c r="F545" s="2"/>
      <c r="G545" s="2"/>
      <c r="H545" s="344"/>
      <c r="I545" s="36"/>
      <c r="J545" s="10"/>
      <c r="K545" s="10">
        <v>1</v>
      </c>
    </row>
    <row r="546" spans="1:13" ht="15.75">
      <c r="A546" s="10">
        <f>A545+1</f>
        <v>2</v>
      </c>
      <c r="B546" s="88"/>
      <c r="C546" s="4"/>
      <c r="D546" s="4"/>
      <c r="E546" s="4"/>
      <c r="F546" s="2"/>
      <c r="G546" s="2"/>
      <c r="H546" s="344"/>
      <c r="I546" s="36"/>
      <c r="J546" s="10"/>
      <c r="K546" s="10">
        <f>K545+1</f>
        <v>2</v>
      </c>
    </row>
    <row r="547" spans="1:13" ht="15.75">
      <c r="A547" s="10">
        <f>A546+1</f>
        <v>3</v>
      </c>
      <c r="B547" s="88" t="s">
        <v>145</v>
      </c>
      <c r="C547" s="4"/>
      <c r="D547" s="4"/>
      <c r="E547" s="4"/>
      <c r="F547" s="2"/>
      <c r="G547" s="2"/>
      <c r="H547" s="344"/>
      <c r="I547" s="36"/>
      <c r="J547" s="10"/>
      <c r="K547" s="10">
        <f>K546+1</f>
        <v>3</v>
      </c>
    </row>
    <row r="548" spans="1:13" ht="15.75">
      <c r="A548" s="10">
        <f>A547+1</f>
        <v>4</v>
      </c>
      <c r="B548" s="3"/>
      <c r="C548" s="2"/>
      <c r="D548" s="2"/>
      <c r="E548" s="2"/>
      <c r="F548" s="2"/>
      <c r="G548" s="2"/>
      <c r="H548" s="344"/>
      <c r="I548" s="36"/>
      <c r="J548" s="10"/>
      <c r="K548" s="10">
        <f>K547+1</f>
        <v>4</v>
      </c>
    </row>
    <row r="549" spans="1:13" ht="15.75">
      <c r="A549" s="10">
        <f t="shared" ref="A549:A575" si="37">A548+1</f>
        <v>5</v>
      </c>
      <c r="B549" s="91" t="s">
        <v>85</v>
      </c>
      <c r="C549" s="2"/>
      <c r="D549" s="2"/>
      <c r="E549" s="2"/>
      <c r="F549" s="2"/>
      <c r="G549" s="2"/>
      <c r="H549" s="344"/>
      <c r="I549" s="36"/>
      <c r="J549" s="54"/>
      <c r="K549" s="10">
        <f t="shared" ref="K549:K575" si="38">K548+1</f>
        <v>5</v>
      </c>
    </row>
    <row r="550" spans="1:13" ht="15.75">
      <c r="A550" s="10">
        <f t="shared" si="37"/>
        <v>6</v>
      </c>
      <c r="B550" s="4" t="s">
        <v>91</v>
      </c>
      <c r="C550" s="4"/>
      <c r="D550" s="4"/>
      <c r="E550" s="2"/>
      <c r="F550" s="2"/>
      <c r="G550" s="2"/>
      <c r="H550" s="405">
        <f>H487</f>
        <v>0</v>
      </c>
      <c r="I550" s="36"/>
      <c r="J550" s="276" t="s">
        <v>1162</v>
      </c>
      <c r="K550" s="10">
        <f t="shared" si="38"/>
        <v>6</v>
      </c>
      <c r="M550" s="3"/>
    </row>
    <row r="551" spans="1:13" ht="15.75">
      <c r="A551" s="10">
        <f t="shared" si="37"/>
        <v>7</v>
      </c>
      <c r="B551" s="4" t="s">
        <v>222</v>
      </c>
      <c r="C551" s="4"/>
      <c r="D551" s="4"/>
      <c r="E551" s="2"/>
      <c r="F551" s="2"/>
      <c r="G551" s="2"/>
      <c r="H551" s="385">
        <f>'Statement AV-WP'!I128</f>
        <v>0</v>
      </c>
      <c r="I551" s="157"/>
      <c r="J551" s="344" t="s">
        <v>854</v>
      </c>
      <c r="K551" s="10">
        <f t="shared" si="38"/>
        <v>7</v>
      </c>
      <c r="M551" s="3"/>
    </row>
    <row r="552" spans="1:13" ht="15.75">
      <c r="A552" s="10">
        <f t="shared" si="37"/>
        <v>8</v>
      </c>
      <c r="B552" s="4" t="s">
        <v>92</v>
      </c>
      <c r="C552" s="4"/>
      <c r="D552" s="4"/>
      <c r="E552" s="2"/>
      <c r="F552" s="2"/>
      <c r="G552" s="2"/>
      <c r="H552" s="406">
        <f>'Statement AV-WP'!I129</f>
        <v>0</v>
      </c>
      <c r="I552" s="36"/>
      <c r="J552" s="344" t="s">
        <v>855</v>
      </c>
      <c r="K552" s="10">
        <f t="shared" si="38"/>
        <v>8</v>
      </c>
      <c r="M552" s="2"/>
    </row>
    <row r="553" spans="1:13" ht="15.75">
      <c r="A553" s="10">
        <f t="shared" si="37"/>
        <v>9</v>
      </c>
      <c r="B553" s="4" t="s">
        <v>572</v>
      </c>
      <c r="C553" s="4"/>
      <c r="D553" s="4"/>
      <c r="E553" s="2"/>
      <c r="F553" s="2"/>
      <c r="G553" s="2"/>
      <c r="H553" s="406">
        <f>'BK-1-Retail TRR'!G120</f>
        <v>0</v>
      </c>
      <c r="I553" s="36"/>
      <c r="J553" s="340" t="s">
        <v>559</v>
      </c>
      <c r="K553" s="10">
        <f t="shared" si="38"/>
        <v>9</v>
      </c>
      <c r="M553" s="3"/>
    </row>
    <row r="554" spans="1:13" ht="15.75">
      <c r="A554" s="10">
        <f t="shared" si="37"/>
        <v>10</v>
      </c>
      <c r="B554" s="4" t="s">
        <v>877</v>
      </c>
      <c r="C554" s="4"/>
      <c r="D554" s="4"/>
      <c r="E554" s="2"/>
      <c r="F554" s="2"/>
      <c r="G554" s="2"/>
      <c r="H554" s="487">
        <f>'Statement AV-WP'!I131</f>
        <v>0.35</v>
      </c>
      <c r="I554" s="36"/>
      <c r="J554" s="344" t="s">
        <v>856</v>
      </c>
      <c r="K554" s="10">
        <f t="shared" si="38"/>
        <v>10</v>
      </c>
      <c r="M554" s="2"/>
    </row>
    <row r="555" spans="1:13" ht="15.75">
      <c r="A555" s="10">
        <f t="shared" si="37"/>
        <v>11</v>
      </c>
      <c r="B555" s="5"/>
      <c r="C555" s="4"/>
      <c r="D555" s="4"/>
      <c r="E555" s="4"/>
      <c r="F555" s="4"/>
      <c r="G555" s="4"/>
      <c r="H555" s="10"/>
      <c r="I555" s="10"/>
      <c r="J555" s="11"/>
      <c r="K555" s="10">
        <f t="shared" si="38"/>
        <v>11</v>
      </c>
    </row>
    <row r="556" spans="1:13" s="356" customFormat="1" ht="15.75">
      <c r="A556" s="10">
        <f t="shared" si="37"/>
        <v>12</v>
      </c>
      <c r="B556" s="4" t="s">
        <v>465</v>
      </c>
      <c r="C556" s="360"/>
      <c r="D556" s="546"/>
      <c r="E556" s="357"/>
      <c r="F556" s="357"/>
      <c r="G556" s="357"/>
      <c r="H556" s="99" t="e">
        <f>(((H550)+(H552/H553))*H554-(H551/H553))/(1-H554)</f>
        <v>#DIV/0!</v>
      </c>
      <c r="I556" s="36"/>
      <c r="J556" s="361" t="s">
        <v>334</v>
      </c>
      <c r="K556" s="10">
        <f t="shared" si="38"/>
        <v>12</v>
      </c>
    </row>
    <row r="557" spans="1:13" ht="15.75">
      <c r="A557" s="10">
        <f t="shared" si="37"/>
        <v>13</v>
      </c>
      <c r="B557" s="5"/>
      <c r="C557" s="98" t="s">
        <v>661</v>
      </c>
      <c r="D557" s="4"/>
      <c r="E557" s="4"/>
      <c r="F557" s="4"/>
      <c r="G557" s="4"/>
      <c r="H557" s="10"/>
      <c r="I557" s="10"/>
      <c r="J557" s="11"/>
      <c r="K557" s="10">
        <f t="shared" si="38"/>
        <v>13</v>
      </c>
    </row>
    <row r="558" spans="1:13" ht="15.75">
      <c r="A558" s="10">
        <f t="shared" si="37"/>
        <v>14</v>
      </c>
      <c r="B558" s="5"/>
      <c r="C558" s="4"/>
      <c r="D558" s="4"/>
      <c r="E558" s="4"/>
      <c r="F558" s="4"/>
      <c r="G558" s="4"/>
      <c r="H558" s="10"/>
      <c r="I558" s="10"/>
      <c r="J558" s="11"/>
      <c r="K558" s="10">
        <f t="shared" si="38"/>
        <v>14</v>
      </c>
    </row>
    <row r="559" spans="1:13" ht="15.75">
      <c r="A559" s="10">
        <f t="shared" si="37"/>
        <v>15</v>
      </c>
      <c r="B559" s="88" t="s">
        <v>146</v>
      </c>
      <c r="C559" s="3"/>
      <c r="D559" s="3"/>
      <c r="E559" s="3"/>
      <c r="F559" s="3"/>
      <c r="G559" s="3"/>
      <c r="H559" s="54"/>
      <c r="I559" s="36"/>
      <c r="J559" s="11"/>
      <c r="K559" s="10">
        <f t="shared" si="38"/>
        <v>15</v>
      </c>
    </row>
    <row r="560" spans="1:13" ht="15.75">
      <c r="A560" s="10">
        <f t="shared" si="37"/>
        <v>16</v>
      </c>
      <c r="B560" s="7"/>
      <c r="C560" s="3"/>
      <c r="D560" s="3"/>
      <c r="E560" s="3"/>
      <c r="F560" s="3"/>
      <c r="G560" s="3"/>
      <c r="H560" s="54"/>
      <c r="I560" s="36"/>
      <c r="J560" s="11"/>
      <c r="K560" s="10">
        <f t="shared" si="38"/>
        <v>16</v>
      </c>
    </row>
    <row r="561" spans="1:13" ht="15.75">
      <c r="A561" s="10">
        <f t="shared" si="37"/>
        <v>17</v>
      </c>
      <c r="B561" s="91" t="s">
        <v>85</v>
      </c>
      <c r="C561" s="3"/>
      <c r="D561" s="3"/>
      <c r="E561" s="3"/>
      <c r="F561" s="3"/>
      <c r="G561" s="3"/>
      <c r="H561" s="54"/>
      <c r="I561" s="36"/>
      <c r="J561" s="11"/>
      <c r="K561" s="10">
        <f t="shared" si="38"/>
        <v>17</v>
      </c>
    </row>
    <row r="562" spans="1:13" ht="15.75">
      <c r="A562" s="10">
        <f t="shared" si="37"/>
        <v>18</v>
      </c>
      <c r="B562" s="4" t="s">
        <v>91</v>
      </c>
      <c r="C562" s="4"/>
      <c r="D562" s="4"/>
      <c r="E562" s="3"/>
      <c r="F562" s="3"/>
      <c r="G562" s="3"/>
      <c r="H562" s="405">
        <f>H487</f>
        <v>0</v>
      </c>
      <c r="I562" s="36"/>
      <c r="J562" s="276" t="s">
        <v>1162</v>
      </c>
      <c r="K562" s="10">
        <f t="shared" si="38"/>
        <v>18</v>
      </c>
      <c r="M562" s="3"/>
    </row>
    <row r="563" spans="1:13" ht="15.75">
      <c r="A563" s="10">
        <f t="shared" si="37"/>
        <v>19</v>
      </c>
      <c r="B563" s="4" t="s">
        <v>459</v>
      </c>
      <c r="C563" s="4"/>
      <c r="D563" s="4"/>
      <c r="E563" s="3"/>
      <c r="F563" s="3"/>
      <c r="G563" s="3"/>
      <c r="H563" s="406">
        <f>H552</f>
        <v>0</v>
      </c>
      <c r="I563" s="36"/>
      <c r="J563" s="276" t="s">
        <v>381</v>
      </c>
      <c r="K563" s="10">
        <f t="shared" si="38"/>
        <v>19</v>
      </c>
      <c r="M563" s="3"/>
    </row>
    <row r="564" spans="1:13" ht="15.75">
      <c r="A564" s="10">
        <f t="shared" si="37"/>
        <v>20</v>
      </c>
      <c r="B564" s="4" t="s">
        <v>573</v>
      </c>
      <c r="C564" s="4"/>
      <c r="D564" s="4"/>
      <c r="E564" s="3"/>
      <c r="F564" s="3"/>
      <c r="G564" s="3"/>
      <c r="H564" s="406">
        <f>H553</f>
        <v>0</v>
      </c>
      <c r="I564" s="36"/>
      <c r="J564" s="340" t="s">
        <v>691</v>
      </c>
      <c r="K564" s="10">
        <f t="shared" si="38"/>
        <v>20</v>
      </c>
      <c r="M564" s="3"/>
    </row>
    <row r="565" spans="1:13" ht="15.75">
      <c r="A565" s="10">
        <f t="shared" si="37"/>
        <v>21</v>
      </c>
      <c r="B565" s="4" t="s">
        <v>395</v>
      </c>
      <c r="C565" s="4"/>
      <c r="D565" s="4"/>
      <c r="E565" s="3"/>
      <c r="F565" s="3"/>
      <c r="G565" s="3"/>
      <c r="H565" s="407" t="e">
        <f>H556</f>
        <v>#DIV/0!</v>
      </c>
      <c r="I565" s="36"/>
      <c r="J565" s="344" t="s">
        <v>333</v>
      </c>
      <c r="K565" s="10">
        <f t="shared" si="38"/>
        <v>21</v>
      </c>
      <c r="M565" s="3"/>
    </row>
    <row r="566" spans="1:13" ht="15.75">
      <c r="A566" s="10">
        <f t="shared" si="37"/>
        <v>22</v>
      </c>
      <c r="B566" s="4" t="s">
        <v>879</v>
      </c>
      <c r="C566" s="4"/>
      <c r="D566" s="4"/>
      <c r="E566" s="3"/>
      <c r="F566" s="3"/>
      <c r="G566" s="3"/>
      <c r="H566" s="405">
        <f>'Statement AV-WP'!I143</f>
        <v>8.8400000000000006E-2</v>
      </c>
      <c r="I566" s="36"/>
      <c r="J566" s="344" t="s">
        <v>857</v>
      </c>
      <c r="K566" s="10">
        <f t="shared" si="38"/>
        <v>22</v>
      </c>
      <c r="M566" s="3"/>
    </row>
    <row r="567" spans="1:13" ht="15.75">
      <c r="A567" s="10">
        <f t="shared" si="37"/>
        <v>23</v>
      </c>
      <c r="B567" s="4"/>
      <c r="C567" s="4"/>
      <c r="D567" s="4"/>
      <c r="E567" s="3"/>
      <c r="F567" s="3"/>
      <c r="G567" s="3"/>
      <c r="H567" s="57"/>
      <c r="I567" s="36"/>
      <c r="J567" s="276"/>
      <c r="K567" s="10">
        <f t="shared" si="38"/>
        <v>23</v>
      </c>
      <c r="M567" s="3"/>
    </row>
    <row r="568" spans="1:13" s="356" customFormat="1" ht="15.75">
      <c r="A568" s="10">
        <f t="shared" si="37"/>
        <v>24</v>
      </c>
      <c r="B568" s="4" t="s">
        <v>660</v>
      </c>
      <c r="C568" s="4"/>
      <c r="D568" s="88"/>
      <c r="E568" s="344"/>
      <c r="F568" s="344"/>
      <c r="G568" s="344"/>
      <c r="H568" s="99" t="e">
        <f>((H562)+(H563/H564)+H556)*H566/(1-H566)</f>
        <v>#DIV/0!</v>
      </c>
      <c r="I568" s="36"/>
      <c r="J568" s="361" t="s">
        <v>335</v>
      </c>
      <c r="K568" s="10">
        <f t="shared" si="38"/>
        <v>24</v>
      </c>
      <c r="M568" s="344"/>
    </row>
    <row r="569" spans="1:13" ht="15.75">
      <c r="A569" s="10">
        <f t="shared" si="37"/>
        <v>25</v>
      </c>
      <c r="B569" s="5"/>
      <c r="C569" s="98" t="s">
        <v>658</v>
      </c>
      <c r="D569" s="4"/>
      <c r="E569" s="4"/>
      <c r="F569" s="4"/>
      <c r="G569" s="4"/>
      <c r="H569" s="10"/>
      <c r="I569" s="10"/>
      <c r="J569" s="10"/>
      <c r="K569" s="10">
        <f t="shared" si="38"/>
        <v>25</v>
      </c>
      <c r="M569" s="10"/>
    </row>
    <row r="570" spans="1:13" ht="15.75">
      <c r="A570" s="10">
        <f t="shared" si="37"/>
        <v>26</v>
      </c>
      <c r="B570" s="5"/>
      <c r="C570" s="4"/>
      <c r="D570" s="4"/>
      <c r="E570" s="4"/>
      <c r="F570" s="4"/>
      <c r="G570" s="4"/>
      <c r="H570" s="10"/>
      <c r="I570" s="10"/>
      <c r="J570" s="10"/>
      <c r="K570" s="10">
        <f t="shared" si="38"/>
        <v>26</v>
      </c>
      <c r="M570" s="10"/>
    </row>
    <row r="571" spans="1:13" ht="15.75">
      <c r="A571" s="10">
        <f t="shared" si="37"/>
        <v>27</v>
      </c>
      <c r="B571" s="88" t="s">
        <v>182</v>
      </c>
      <c r="C571" s="4"/>
      <c r="D571" s="4"/>
      <c r="E571" s="4"/>
      <c r="F571" s="4"/>
      <c r="G571" s="4"/>
      <c r="H571" s="99" t="e">
        <f>H568+H556</f>
        <v>#DIV/0!</v>
      </c>
      <c r="I571" s="10"/>
      <c r="J571" s="10" t="s">
        <v>463</v>
      </c>
      <c r="K571" s="10">
        <f t="shared" si="38"/>
        <v>27</v>
      </c>
      <c r="M571" s="10"/>
    </row>
    <row r="572" spans="1:13" ht="15.75">
      <c r="A572" s="10">
        <f t="shared" si="37"/>
        <v>28</v>
      </c>
      <c r="B572" s="5"/>
      <c r="C572" s="4"/>
      <c r="D572" s="4"/>
      <c r="E572" s="4"/>
      <c r="F572" s="4"/>
      <c r="G572" s="4"/>
      <c r="H572" s="10"/>
      <c r="I572" s="10"/>
      <c r="J572" s="10"/>
      <c r="K572" s="10">
        <f t="shared" si="38"/>
        <v>28</v>
      </c>
      <c r="M572" s="10"/>
    </row>
    <row r="573" spans="1:13" ht="15.75">
      <c r="A573" s="10">
        <f t="shared" si="37"/>
        <v>29</v>
      </c>
      <c r="B573" s="88" t="s">
        <v>525</v>
      </c>
      <c r="C573" s="4"/>
      <c r="D573" s="4"/>
      <c r="E573" s="4"/>
      <c r="F573" s="4"/>
      <c r="G573" s="4"/>
      <c r="H573" s="777">
        <f>H485</f>
        <v>2.0899999999999998E-2</v>
      </c>
      <c r="I573" s="10"/>
      <c r="J573" s="10" t="s">
        <v>1163</v>
      </c>
      <c r="K573" s="10">
        <f t="shared" si="38"/>
        <v>29</v>
      </c>
      <c r="M573" s="10"/>
    </row>
    <row r="574" spans="1:13" ht="15.75">
      <c r="A574" s="10">
        <f t="shared" si="37"/>
        <v>30</v>
      </c>
      <c r="B574" s="5"/>
      <c r="C574" s="4"/>
      <c r="D574" s="4"/>
      <c r="E574" s="4"/>
      <c r="F574" s="4"/>
      <c r="G574" s="4"/>
      <c r="H574" s="51"/>
      <c r="I574" s="10"/>
      <c r="J574" s="10"/>
      <c r="K574" s="10">
        <f t="shared" si="38"/>
        <v>30</v>
      </c>
      <c r="M574" s="10"/>
    </row>
    <row r="575" spans="1:13" ht="21" thickBot="1">
      <c r="A575" s="10">
        <f t="shared" si="37"/>
        <v>31</v>
      </c>
      <c r="B575" s="88" t="s">
        <v>106</v>
      </c>
      <c r="C575" s="4"/>
      <c r="D575" s="4"/>
      <c r="E575" s="4"/>
      <c r="F575" s="4"/>
      <c r="G575" s="4"/>
      <c r="H575" s="275" t="e">
        <f>H571+H573</f>
        <v>#DIV/0!</v>
      </c>
      <c r="I575" s="237">
        <v>1</v>
      </c>
      <c r="J575" s="10" t="s">
        <v>464</v>
      </c>
      <c r="K575" s="10">
        <f t="shared" si="38"/>
        <v>31</v>
      </c>
      <c r="M575" s="10"/>
    </row>
    <row r="576" spans="1:13" ht="16.5" thickTop="1">
      <c r="A576" s="10"/>
      <c r="B576" s="88"/>
      <c r="C576" s="4"/>
      <c r="D576" s="4"/>
      <c r="E576" s="4"/>
      <c r="F576" s="4"/>
      <c r="G576" s="4"/>
      <c r="H576" s="394"/>
      <c r="I576" s="10"/>
      <c r="J576" s="10"/>
      <c r="K576" s="10"/>
      <c r="M576" s="10"/>
    </row>
    <row r="577" spans="1:13" ht="15.75">
      <c r="A577" s="10"/>
      <c r="B577" s="88"/>
      <c r="C577" s="4"/>
      <c r="D577" s="4"/>
      <c r="E577" s="4"/>
      <c r="F577" s="4"/>
      <c r="G577" s="4"/>
      <c r="H577" s="394"/>
      <c r="I577" s="10"/>
      <c r="J577" s="10"/>
      <c r="K577" s="10"/>
      <c r="M577" s="10"/>
    </row>
    <row r="578" spans="1:13" ht="18.75">
      <c r="A578" s="237">
        <v>1</v>
      </c>
      <c r="B578" s="5" t="s">
        <v>1133</v>
      </c>
      <c r="C578" s="4"/>
      <c r="D578" s="4"/>
      <c r="E578" s="4"/>
      <c r="F578" s="4"/>
      <c r="G578" s="4"/>
      <c r="H578" s="394"/>
      <c r="I578" s="10"/>
      <c r="J578" s="10"/>
      <c r="K578" s="10"/>
      <c r="M578" s="10"/>
    </row>
    <row r="579" spans="1:13" ht="18.75">
      <c r="A579" s="237"/>
      <c r="B579" s="4" t="s">
        <v>1134</v>
      </c>
      <c r="C579" s="4"/>
      <c r="D579" s="4"/>
      <c r="E579" s="4"/>
      <c r="F579" s="4"/>
      <c r="G579" s="4"/>
      <c r="H579" s="394"/>
      <c r="I579" s="10"/>
      <c r="J579" s="10"/>
      <c r="K579" s="10"/>
      <c r="M579" s="10"/>
    </row>
    <row r="582" spans="1:13" ht="15.75">
      <c r="A582" s="10"/>
      <c r="B582" s="1161" t="s">
        <v>42</v>
      </c>
      <c r="C582" s="1161"/>
      <c r="D582" s="1161"/>
      <c r="E582" s="1161"/>
      <c r="F582" s="1161"/>
      <c r="G582" s="1161"/>
      <c r="H582" s="1161"/>
      <c r="I582" s="1156"/>
      <c r="J582" s="1156"/>
      <c r="K582" s="10"/>
    </row>
    <row r="583" spans="1:13" ht="15.75">
      <c r="A583" s="10"/>
      <c r="B583" s="1161" t="s">
        <v>475</v>
      </c>
      <c r="C583" s="1161"/>
      <c r="D583" s="1161"/>
      <c r="E583" s="1161"/>
      <c r="F583" s="1161"/>
      <c r="G583" s="1161"/>
      <c r="H583" s="1161"/>
      <c r="I583" s="1160"/>
      <c r="J583" s="1160"/>
      <c r="K583" s="10"/>
    </row>
    <row r="584" spans="1:13" ht="15.75">
      <c r="A584" s="10"/>
      <c r="B584" s="1157" t="str">
        <f>B5</f>
        <v>Base Period &amp; True-Up Period 12 - Months Ending December 31, 2015</v>
      </c>
      <c r="C584" s="1157"/>
      <c r="D584" s="1157"/>
      <c r="E584" s="1157"/>
      <c r="F584" s="1157"/>
      <c r="G584" s="1157"/>
      <c r="H584" s="1157"/>
      <c r="I584" s="1158"/>
      <c r="J584" s="1158"/>
      <c r="K584" s="10"/>
    </row>
    <row r="585" spans="1:13">
      <c r="B585" s="1159" t="s">
        <v>72</v>
      </c>
      <c r="C585" s="1160"/>
      <c r="D585" s="1160"/>
      <c r="E585" s="1160"/>
      <c r="F585" s="1160"/>
      <c r="G585" s="1160"/>
      <c r="H585" s="1160"/>
      <c r="I585" s="1160"/>
      <c r="J585" s="1160"/>
      <c r="K585" s="468"/>
    </row>
    <row r="586" spans="1:13" ht="15.75">
      <c r="B586" s="471"/>
      <c r="C586" s="470"/>
      <c r="D586" s="470"/>
      <c r="E586" s="470"/>
      <c r="F586" s="470"/>
      <c r="G586" s="470"/>
      <c r="H586" s="390"/>
      <c r="I586" s="470"/>
      <c r="J586" s="278"/>
      <c r="K586" s="468"/>
    </row>
    <row r="587" spans="1:13" ht="15.75">
      <c r="A587" s="10" t="s">
        <v>62</v>
      </c>
      <c r="B587" s="224"/>
      <c r="C587" s="225"/>
      <c r="D587" s="225"/>
      <c r="E587" s="225"/>
      <c r="F587" s="225"/>
      <c r="G587" s="225"/>
      <c r="H587" s="166"/>
      <c r="I587" s="469"/>
      <c r="J587" s="10"/>
      <c r="K587" s="10" t="s">
        <v>62</v>
      </c>
    </row>
    <row r="588" spans="1:13" ht="15.75">
      <c r="A588" s="33" t="s">
        <v>63</v>
      </c>
      <c r="B588" s="344"/>
      <c r="C588" s="344"/>
      <c r="D588" s="344"/>
      <c r="E588" s="344"/>
      <c r="F588" s="344"/>
      <c r="G588" s="344"/>
      <c r="H588" s="33" t="s">
        <v>69</v>
      </c>
      <c r="I588" s="469"/>
      <c r="J588" s="33" t="s">
        <v>65</v>
      </c>
      <c r="K588" s="33" t="s">
        <v>63</v>
      </c>
    </row>
    <row r="590" spans="1:13" ht="16.5" thickBot="1">
      <c r="A590" s="344">
        <v>1</v>
      </c>
      <c r="B590" s="226" t="s">
        <v>343</v>
      </c>
      <c r="C590" s="4"/>
      <c r="D590" s="4"/>
      <c r="E590" s="4"/>
      <c r="F590" s="4"/>
      <c r="G590" s="4"/>
      <c r="H590" s="477">
        <v>0</v>
      </c>
      <c r="I590" s="274"/>
      <c r="J590" s="10" t="s">
        <v>558</v>
      </c>
      <c r="K590" s="344">
        <v>1</v>
      </c>
    </row>
    <row r="591" spans="1:13" ht="16.5" thickTop="1">
      <c r="A591" s="344">
        <f>A590+1</f>
        <v>2</v>
      </c>
      <c r="K591" s="344">
        <f>K590+1</f>
        <v>2</v>
      </c>
    </row>
    <row r="592" spans="1:13" ht="15.75">
      <c r="A592" s="344">
        <f t="shared" ref="A592:A599" si="39">A591+1</f>
        <v>3</v>
      </c>
      <c r="K592" s="344">
        <f t="shared" ref="K592:K599" si="40">K591+1</f>
        <v>3</v>
      </c>
    </row>
    <row r="593" spans="1:11" ht="16.5" thickBot="1">
      <c r="A593" s="344">
        <f t="shared" si="39"/>
        <v>4</v>
      </c>
      <c r="B593" s="226" t="s">
        <v>586</v>
      </c>
      <c r="C593" s="4"/>
      <c r="D593" s="4"/>
      <c r="E593" s="4"/>
      <c r="F593" s="4"/>
      <c r="G593" s="4"/>
      <c r="H593" s="477">
        <v>0</v>
      </c>
      <c r="I593" s="274"/>
      <c r="J593" s="10" t="s">
        <v>558</v>
      </c>
      <c r="K593" s="344">
        <f t="shared" si="40"/>
        <v>4</v>
      </c>
    </row>
    <row r="594" spans="1:11" ht="16.5" thickTop="1">
      <c r="A594" s="344">
        <f t="shared" si="39"/>
        <v>5</v>
      </c>
      <c r="K594" s="344">
        <f t="shared" si="40"/>
        <v>5</v>
      </c>
    </row>
    <row r="595" spans="1:11" ht="15.75">
      <c r="A595" s="344">
        <f t="shared" si="39"/>
        <v>6</v>
      </c>
      <c r="K595" s="344">
        <f t="shared" si="40"/>
        <v>6</v>
      </c>
    </row>
    <row r="596" spans="1:11" ht="16.5" thickBot="1">
      <c r="A596" s="344">
        <f t="shared" si="39"/>
        <v>7</v>
      </c>
      <c r="B596" s="111" t="s">
        <v>348</v>
      </c>
      <c r="H596" s="477">
        <v>0</v>
      </c>
      <c r="I596" s="274"/>
      <c r="J596" s="10" t="s">
        <v>558</v>
      </c>
      <c r="K596" s="344">
        <f t="shared" si="40"/>
        <v>7</v>
      </c>
    </row>
    <row r="597" spans="1:11" ht="16.5" thickTop="1">
      <c r="A597" s="344">
        <f t="shared" si="39"/>
        <v>8</v>
      </c>
      <c r="K597" s="344">
        <f t="shared" si="40"/>
        <v>8</v>
      </c>
    </row>
    <row r="598" spans="1:11" ht="15.75">
      <c r="A598" s="344">
        <f t="shared" si="39"/>
        <v>9</v>
      </c>
      <c r="K598" s="344">
        <f t="shared" si="40"/>
        <v>9</v>
      </c>
    </row>
    <row r="599" spans="1:11" ht="16.5" thickBot="1">
      <c r="A599" s="344">
        <f t="shared" si="39"/>
        <v>10</v>
      </c>
      <c r="B599" s="111" t="s">
        <v>588</v>
      </c>
      <c r="H599" s="477">
        <v>0</v>
      </c>
      <c r="J599" s="10" t="s">
        <v>558</v>
      </c>
      <c r="K599" s="344">
        <f t="shared" si="40"/>
        <v>10</v>
      </c>
    </row>
    <row r="600" spans="1:11" ht="15.75" thickTop="1"/>
    <row r="602" spans="1:11" ht="18.75">
      <c r="A602" s="367">
        <v>1</v>
      </c>
      <c r="B602" s="4" t="s">
        <v>1300</v>
      </c>
    </row>
    <row r="603" spans="1:11" ht="15.75">
      <c r="B603" s="4" t="s">
        <v>1301</v>
      </c>
    </row>
  </sheetData>
  <mergeCells count="84">
    <mergeCell ref="B358:J358"/>
    <mergeCell ref="B359:J359"/>
    <mergeCell ref="B360:J360"/>
    <mergeCell ref="B361:J361"/>
    <mergeCell ref="B362:J362"/>
    <mergeCell ref="B582:J582"/>
    <mergeCell ref="B583:J583"/>
    <mergeCell ref="B584:J584"/>
    <mergeCell ref="B585:J585"/>
    <mergeCell ref="B60:J60"/>
    <mergeCell ref="B97:J97"/>
    <mergeCell ref="B98:J98"/>
    <mergeCell ref="B99:J99"/>
    <mergeCell ref="B61:J61"/>
    <mergeCell ref="B62:J62"/>
    <mergeCell ref="B63:J63"/>
    <mergeCell ref="B64:J64"/>
    <mergeCell ref="B96:J96"/>
    <mergeCell ref="B237:J237"/>
    <mergeCell ref="B269:J269"/>
    <mergeCell ref="B270:J270"/>
    <mergeCell ref="B2:J2"/>
    <mergeCell ref="B3:J3"/>
    <mergeCell ref="B4:J4"/>
    <mergeCell ref="B5:J5"/>
    <mergeCell ref="B6:J6"/>
    <mergeCell ref="B271:J271"/>
    <mergeCell ref="B272:J272"/>
    <mergeCell ref="B122:J122"/>
    <mergeCell ref="B133:J133"/>
    <mergeCell ref="B134:J134"/>
    <mergeCell ref="B135:J135"/>
    <mergeCell ref="B236:J236"/>
    <mergeCell ref="B136:J136"/>
    <mergeCell ref="B137:J137"/>
    <mergeCell ref="B203:J203"/>
    <mergeCell ref="B204:J204"/>
    <mergeCell ref="B205:J205"/>
    <mergeCell ref="B206:J206"/>
    <mergeCell ref="B207:J207"/>
    <mergeCell ref="B233:J233"/>
    <mergeCell ref="B234:J234"/>
    <mergeCell ref="B235:J235"/>
    <mergeCell ref="B100:J100"/>
    <mergeCell ref="B118:J118"/>
    <mergeCell ref="B119:J119"/>
    <mergeCell ref="B120:J120"/>
    <mergeCell ref="B121:J121"/>
    <mergeCell ref="B317:J317"/>
    <mergeCell ref="B273:J273"/>
    <mergeCell ref="B313:J313"/>
    <mergeCell ref="B314:J314"/>
    <mergeCell ref="B315:J315"/>
    <mergeCell ref="B316:J316"/>
    <mergeCell ref="B377:J377"/>
    <mergeCell ref="B385:J385"/>
    <mergeCell ref="B386:J386"/>
    <mergeCell ref="B387:J387"/>
    <mergeCell ref="B373:J373"/>
    <mergeCell ref="B374:J374"/>
    <mergeCell ref="B375:J375"/>
    <mergeCell ref="B376:J376"/>
    <mergeCell ref="B388:J388"/>
    <mergeCell ref="B389:J389"/>
    <mergeCell ref="B401:J401"/>
    <mergeCell ref="B402:J402"/>
    <mergeCell ref="B403:J403"/>
    <mergeCell ref="B404:J404"/>
    <mergeCell ref="B405:J405"/>
    <mergeCell ref="B425:J425"/>
    <mergeCell ref="B426:J426"/>
    <mergeCell ref="B427:J427"/>
    <mergeCell ref="B428:J428"/>
    <mergeCell ref="B429:J429"/>
    <mergeCell ref="B494:J494"/>
    <mergeCell ref="B495:J495"/>
    <mergeCell ref="B496:J496"/>
    <mergeCell ref="B539:J539"/>
    <mergeCell ref="B540:J540"/>
    <mergeCell ref="B497:J497"/>
    <mergeCell ref="B498:J498"/>
    <mergeCell ref="B536:J536"/>
    <mergeCell ref="B537:J537"/>
    <mergeCell ref="B538:J538"/>
  </mergeCells>
  <phoneticPr fontId="0" type="noConversion"/>
  <printOptions horizontalCentered="1"/>
  <pageMargins left="0.25" right="0.25" top="0.5" bottom="0.5" header="0.25" footer="0.25"/>
  <pageSetup scale="64" orientation="portrait" r:id="rId1"/>
  <headerFooter alignWithMargins="0">
    <oddFooter>&amp;LTO4 Formula Rate - Cycle 4&amp;CPage &amp;P of &amp;N</oddFooter>
  </headerFooter>
  <rowBreaks count="16" manualBreakCount="16">
    <brk id="58" max="10" man="1"/>
    <brk id="94" max="10" man="1"/>
    <brk id="116" max="10" man="1"/>
    <brk id="131" max="10" man="1"/>
    <brk id="201" max="10" man="1"/>
    <brk id="231" max="10" man="1"/>
    <brk id="267" max="10" man="1"/>
    <brk id="311" max="10" man="1"/>
    <brk id="356" max="10" man="1"/>
    <brk id="371" max="10" man="1"/>
    <brk id="383" max="10" man="1"/>
    <brk id="399" max="10" man="1"/>
    <brk id="423" max="10" man="1"/>
    <brk id="492" max="10" man="1"/>
    <brk id="534" max="10" man="1"/>
    <brk id="58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M63"/>
  <sheetViews>
    <sheetView zoomScale="80" zoomScaleNormal="80" workbookViewId="0"/>
  </sheetViews>
  <sheetFormatPr defaultRowHeight="15"/>
  <cols>
    <col min="1" max="1" width="5.28515625" style="11" bestFit="1" customWidth="1"/>
    <col min="2" max="2" width="20.7109375" customWidth="1"/>
    <col min="3" max="3" width="14.28515625" bestFit="1" customWidth="1"/>
    <col min="4" max="4" width="15.7109375" customWidth="1"/>
    <col min="5" max="5" width="1.7109375" customWidth="1"/>
    <col min="6" max="6" width="15.7109375" customWidth="1"/>
    <col min="7" max="7" width="1.7109375" customWidth="1"/>
    <col min="8" max="8" width="15.7109375" customWidth="1"/>
    <col min="9" max="9" width="1.7109375" customWidth="1"/>
    <col min="10" max="10" width="17.7109375" bestFit="1" customWidth="1"/>
    <col min="11" max="11" width="1.7109375" customWidth="1"/>
    <col min="12" max="12" width="34.5703125" bestFit="1" customWidth="1"/>
    <col min="13" max="13" width="5.28515625" bestFit="1" customWidth="1"/>
    <col min="15" max="15" width="20.5703125" bestFit="1" customWidth="1"/>
  </cols>
  <sheetData>
    <row r="2" spans="1:13" ht="15.75">
      <c r="A2" s="4"/>
      <c r="B2" s="1161" t="s">
        <v>42</v>
      </c>
      <c r="C2" s="1161"/>
      <c r="D2" s="1161"/>
      <c r="E2" s="1161"/>
      <c r="F2" s="1161"/>
      <c r="G2" s="1161"/>
      <c r="H2" s="1161"/>
      <c r="I2" s="1161"/>
      <c r="J2" s="1161"/>
      <c r="K2" s="1161"/>
      <c r="L2" s="1161"/>
      <c r="M2" s="4"/>
    </row>
    <row r="3" spans="1:13" ht="15.75">
      <c r="A3" s="4"/>
      <c r="B3" s="1161" t="s">
        <v>164</v>
      </c>
      <c r="C3" s="1161"/>
      <c r="D3" s="1161"/>
      <c r="E3" s="1161"/>
      <c r="F3" s="1161"/>
      <c r="G3" s="1161"/>
      <c r="H3" s="1161"/>
      <c r="I3" s="1165"/>
      <c r="J3" s="1165"/>
      <c r="K3" s="1165"/>
      <c r="L3" s="1165"/>
      <c r="M3" s="4"/>
    </row>
    <row r="4" spans="1:13" ht="15.75">
      <c r="A4" s="4"/>
      <c r="B4" s="1161" t="s">
        <v>44</v>
      </c>
      <c r="C4" s="1161"/>
      <c r="D4" s="1161"/>
      <c r="E4" s="1161"/>
      <c r="F4" s="1161"/>
      <c r="G4" s="1161"/>
      <c r="H4" s="1161"/>
      <c r="I4" s="1164"/>
      <c r="J4" s="1164"/>
      <c r="K4" s="1164"/>
      <c r="L4" s="1164"/>
      <c r="M4" s="4"/>
    </row>
    <row r="5" spans="1:13" ht="15.75">
      <c r="A5" s="3"/>
      <c r="B5" s="1157" t="s">
        <v>1226</v>
      </c>
      <c r="C5" s="1157"/>
      <c r="D5" s="1157"/>
      <c r="E5" s="1157"/>
      <c r="F5" s="1157"/>
      <c r="G5" s="1157"/>
      <c r="H5" s="1157"/>
      <c r="I5" s="1166"/>
      <c r="J5" s="1166"/>
      <c r="K5" s="1166"/>
      <c r="L5" s="1166"/>
      <c r="M5" s="3"/>
    </row>
    <row r="6" spans="1:13" ht="15.75">
      <c r="A6" s="3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164"/>
      <c r="M6" s="3"/>
    </row>
    <row r="7" spans="1:13" ht="15.75">
      <c r="A7" s="3"/>
      <c r="B7" s="165"/>
      <c r="C7" s="166"/>
      <c r="D7" s="166"/>
      <c r="E7" s="166"/>
      <c r="F7" s="166"/>
      <c r="G7" s="166"/>
      <c r="H7" s="166"/>
      <c r="I7" s="2"/>
      <c r="J7" s="2"/>
      <c r="K7" s="2"/>
      <c r="L7" s="4"/>
      <c r="M7" s="3"/>
    </row>
    <row r="8" spans="1:13" ht="15.75">
      <c r="A8" s="3" t="s">
        <v>62</v>
      </c>
      <c r="B8" s="2"/>
      <c r="C8" s="2"/>
      <c r="D8" s="2"/>
      <c r="E8" s="2"/>
      <c r="F8" s="146" t="s">
        <v>165</v>
      </c>
      <c r="G8" s="3"/>
      <c r="H8" s="146" t="s">
        <v>166</v>
      </c>
      <c r="I8" s="3"/>
      <c r="J8" s="146" t="s">
        <v>167</v>
      </c>
      <c r="K8" s="2"/>
      <c r="L8" s="4"/>
      <c r="M8" s="3" t="s">
        <v>62</v>
      </c>
    </row>
    <row r="9" spans="1:13" ht="15.75">
      <c r="A9" s="77" t="s">
        <v>73</v>
      </c>
      <c r="B9" s="2"/>
      <c r="C9" s="2"/>
      <c r="D9" s="2"/>
      <c r="E9" s="2"/>
      <c r="F9" s="790">
        <v>42004</v>
      </c>
      <c r="G9" s="2"/>
      <c r="H9" s="513">
        <v>42369</v>
      </c>
      <c r="I9" s="2"/>
      <c r="J9" s="147" t="s">
        <v>168</v>
      </c>
      <c r="K9" s="2"/>
      <c r="L9" s="33" t="s">
        <v>65</v>
      </c>
      <c r="M9" s="77" t="s">
        <v>73</v>
      </c>
    </row>
    <row r="10" spans="1:13" ht="15.75">
      <c r="A10" s="3"/>
      <c r="B10" s="5"/>
      <c r="C10" s="4"/>
      <c r="D10" s="4"/>
      <c r="E10" s="4"/>
      <c r="F10" s="18"/>
      <c r="G10" s="4"/>
      <c r="H10" s="18"/>
      <c r="I10" s="18"/>
      <c r="J10" s="18"/>
      <c r="K10" s="18"/>
      <c r="L10" s="18"/>
      <c r="M10" s="3"/>
    </row>
    <row r="11" spans="1:13" s="339" customFormat="1" ht="18.75">
      <c r="A11" s="338">
        <v>1</v>
      </c>
      <c r="B11" s="4" t="s">
        <v>376</v>
      </c>
      <c r="C11" s="337"/>
      <c r="D11" s="337"/>
      <c r="E11" s="337"/>
      <c r="F11" s="445">
        <v>130236.07</v>
      </c>
      <c r="G11" s="337"/>
      <c r="H11" s="445">
        <v>144186.51362000001</v>
      </c>
      <c r="I11" s="345"/>
      <c r="J11" s="346">
        <f>ROUND((F11+H11)/2,0)</f>
        <v>137211</v>
      </c>
      <c r="K11" s="345"/>
      <c r="L11" s="347" t="s">
        <v>888</v>
      </c>
      <c r="M11" s="338">
        <v>1</v>
      </c>
    </row>
    <row r="12" spans="1:13" ht="15.75">
      <c r="A12" s="344">
        <f>A11+1</f>
        <v>2</v>
      </c>
      <c r="B12" s="4"/>
      <c r="C12" s="4"/>
      <c r="D12" s="4"/>
      <c r="E12" s="4"/>
      <c r="F12" s="64"/>
      <c r="G12" s="50"/>
      <c r="H12" s="64"/>
      <c r="I12" s="35"/>
      <c r="J12" s="60"/>
      <c r="K12" s="35"/>
      <c r="L12" s="21"/>
      <c r="M12" s="344">
        <f>M11+1</f>
        <v>2</v>
      </c>
    </row>
    <row r="13" spans="1:13" ht="18.75">
      <c r="A13" s="344">
        <f>A12+1</f>
        <v>3</v>
      </c>
      <c r="B13" s="4" t="s">
        <v>761</v>
      </c>
      <c r="C13" s="4"/>
      <c r="D13" s="4"/>
      <c r="E13" s="4"/>
      <c r="F13" s="61"/>
      <c r="G13" s="4"/>
      <c r="H13" s="61"/>
      <c r="I13" s="148"/>
      <c r="J13" s="448">
        <v>548493.07206076931</v>
      </c>
      <c r="K13" s="274"/>
      <c r="L13" s="21" t="s">
        <v>889</v>
      </c>
      <c r="M13" s="344">
        <f>M12+1</f>
        <v>3</v>
      </c>
    </row>
    <row r="14" spans="1:13" ht="15.75">
      <c r="A14" s="3">
        <f t="shared" ref="A14:A49" si="0">+A13+1</f>
        <v>4</v>
      </c>
      <c r="B14" s="4" t="s">
        <v>39</v>
      </c>
      <c r="C14" s="4"/>
      <c r="D14" s="4"/>
      <c r="E14" s="4"/>
      <c r="F14" s="61"/>
      <c r="G14" s="4"/>
      <c r="H14" s="61"/>
      <c r="I14" s="35"/>
      <c r="J14" s="61"/>
      <c r="K14" s="35"/>
      <c r="L14" s="21"/>
      <c r="M14" s="3">
        <f t="shared" ref="M14:M49" si="1">+M13+1</f>
        <v>4</v>
      </c>
    </row>
    <row r="15" spans="1:13" ht="18.75">
      <c r="A15" s="3">
        <f t="shared" si="0"/>
        <v>5</v>
      </c>
      <c r="B15" s="4" t="s">
        <v>762</v>
      </c>
      <c r="C15" s="4"/>
      <c r="D15" s="4"/>
      <c r="E15" s="4"/>
      <c r="F15" s="61"/>
      <c r="G15" s="4"/>
      <c r="H15" s="61"/>
      <c r="I15" s="148"/>
      <c r="J15" s="448">
        <v>0</v>
      </c>
      <c r="K15" s="274"/>
      <c r="L15" s="21" t="s">
        <v>890</v>
      </c>
      <c r="M15" s="3">
        <f t="shared" si="1"/>
        <v>5</v>
      </c>
    </row>
    <row r="16" spans="1:13" ht="15.75">
      <c r="A16" s="3">
        <f t="shared" si="0"/>
        <v>6</v>
      </c>
      <c r="B16" s="4"/>
      <c r="C16" s="4"/>
      <c r="D16" s="4"/>
      <c r="E16" s="4"/>
      <c r="F16" s="61"/>
      <c r="G16" s="50"/>
      <c r="H16" s="61"/>
      <c r="I16" s="35"/>
      <c r="J16" s="61"/>
      <c r="K16" s="35"/>
      <c r="L16" s="21"/>
      <c r="M16" s="3">
        <f t="shared" si="1"/>
        <v>6</v>
      </c>
    </row>
    <row r="17" spans="1:13" ht="18.75">
      <c r="A17" s="3">
        <f t="shared" si="0"/>
        <v>7</v>
      </c>
      <c r="B17" s="4" t="s">
        <v>763</v>
      </c>
      <c r="C17" s="4"/>
      <c r="D17" s="4"/>
      <c r="E17" s="4"/>
      <c r="F17" s="61"/>
      <c r="G17" s="50"/>
      <c r="H17" s="61"/>
      <c r="I17" s="148"/>
      <c r="J17" s="448">
        <v>0</v>
      </c>
      <c r="K17" s="35"/>
      <c r="L17" s="21" t="s">
        <v>891</v>
      </c>
      <c r="M17" s="3">
        <f t="shared" si="1"/>
        <v>7</v>
      </c>
    </row>
    <row r="18" spans="1:13" ht="15.75">
      <c r="A18" s="3">
        <f t="shared" si="0"/>
        <v>8</v>
      </c>
      <c r="B18" s="4"/>
      <c r="C18" s="4"/>
      <c r="D18" s="4"/>
      <c r="E18" s="4"/>
      <c r="F18" s="61"/>
      <c r="G18" s="50"/>
      <c r="H18" s="61"/>
      <c r="I18" s="35"/>
      <c r="J18" s="61"/>
      <c r="K18" s="35"/>
      <c r="L18" s="21"/>
      <c r="M18" s="3">
        <f t="shared" si="1"/>
        <v>8</v>
      </c>
    </row>
    <row r="19" spans="1:13" ht="18.75">
      <c r="A19" s="3">
        <f t="shared" si="0"/>
        <v>9</v>
      </c>
      <c r="B19" s="4" t="s">
        <v>764</v>
      </c>
      <c r="C19" s="4"/>
      <c r="D19" s="4"/>
      <c r="E19" s="4"/>
      <c r="F19" s="62"/>
      <c r="G19" s="134"/>
      <c r="H19" s="62"/>
      <c r="I19" s="149"/>
      <c r="J19" s="447">
        <v>485944.00622230762</v>
      </c>
      <c r="K19" s="274"/>
      <c r="L19" s="21" t="s">
        <v>892</v>
      </c>
      <c r="M19" s="3">
        <f t="shared" si="1"/>
        <v>9</v>
      </c>
    </row>
    <row r="20" spans="1:13" ht="15.75">
      <c r="A20" s="3">
        <f t="shared" si="0"/>
        <v>10</v>
      </c>
      <c r="B20" s="4"/>
      <c r="C20" s="4"/>
      <c r="D20" s="4"/>
      <c r="E20" s="4"/>
      <c r="F20" s="62"/>
      <c r="G20" s="50"/>
      <c r="H20" s="62"/>
      <c r="I20" s="37"/>
      <c r="J20" s="62"/>
      <c r="K20" s="37"/>
      <c r="L20" s="21"/>
      <c r="M20" s="3">
        <f t="shared" si="1"/>
        <v>10</v>
      </c>
    </row>
    <row r="21" spans="1:13" ht="15.75">
      <c r="A21" s="3">
        <f t="shared" si="0"/>
        <v>11</v>
      </c>
      <c r="B21" s="4" t="s">
        <v>272</v>
      </c>
      <c r="C21" s="4"/>
      <c r="D21" s="4"/>
      <c r="E21" s="4"/>
      <c r="F21" s="64"/>
      <c r="G21" s="257"/>
      <c r="H21" s="64"/>
      <c r="I21" s="150"/>
      <c r="J21" s="89">
        <f>SUM(J11:J19)</f>
        <v>1171648.0782830769</v>
      </c>
      <c r="K21" s="274"/>
      <c r="L21" s="21" t="s">
        <v>169</v>
      </c>
      <c r="M21" s="3">
        <f t="shared" si="1"/>
        <v>11</v>
      </c>
    </row>
    <row r="22" spans="1:13" ht="15.75">
      <c r="A22" s="3">
        <f t="shared" si="0"/>
        <v>12</v>
      </c>
      <c r="B22" s="4"/>
      <c r="C22" s="4"/>
      <c r="D22" s="4"/>
      <c r="E22" s="4"/>
      <c r="F22" s="61"/>
      <c r="G22" s="50"/>
      <c r="H22" s="61"/>
      <c r="I22" s="35"/>
      <c r="J22" s="61"/>
      <c r="K22" s="35"/>
      <c r="L22" s="21"/>
      <c r="M22" s="3">
        <f t="shared" si="1"/>
        <v>12</v>
      </c>
    </row>
    <row r="23" spans="1:13" ht="18.75">
      <c r="A23" s="3">
        <f t="shared" si="0"/>
        <v>13</v>
      </c>
      <c r="B23" s="4" t="s">
        <v>275</v>
      </c>
      <c r="C23" s="4"/>
      <c r="D23" s="4"/>
      <c r="E23" s="4"/>
      <c r="F23" s="447">
        <v>5439808.06776</v>
      </c>
      <c r="G23" s="134"/>
      <c r="H23" s="447">
        <v>5777308.8868000004</v>
      </c>
      <c r="I23" s="149"/>
      <c r="J23" s="63">
        <f>ROUND((F23+H23)/2,0)</f>
        <v>5608558</v>
      </c>
      <c r="K23" s="35"/>
      <c r="L23" s="21" t="s">
        <v>893</v>
      </c>
      <c r="M23" s="3">
        <f t="shared" si="1"/>
        <v>13</v>
      </c>
    </row>
    <row r="24" spans="1:13" ht="15.75">
      <c r="A24" s="87">
        <f t="shared" si="0"/>
        <v>14</v>
      </c>
      <c r="B24" s="133"/>
      <c r="C24" s="133"/>
      <c r="D24" s="133"/>
      <c r="E24" s="133"/>
      <c r="F24" s="62"/>
      <c r="G24" s="133"/>
      <c r="H24" s="62"/>
      <c r="I24" s="37"/>
      <c r="J24" s="62"/>
      <c r="K24" s="37"/>
      <c r="L24" s="83"/>
      <c r="M24" s="87">
        <f t="shared" si="1"/>
        <v>14</v>
      </c>
    </row>
    <row r="25" spans="1:13" ht="18.75">
      <c r="A25" s="87">
        <f t="shared" si="0"/>
        <v>15</v>
      </c>
      <c r="B25" s="133" t="s">
        <v>765</v>
      </c>
      <c r="C25" s="133"/>
      <c r="D25" s="133"/>
      <c r="E25" s="133"/>
      <c r="F25" s="149"/>
      <c r="G25" s="133"/>
      <c r="H25" s="149"/>
      <c r="I25" s="149"/>
      <c r="J25" s="448">
        <v>4574357.6782376915</v>
      </c>
      <c r="K25" s="274"/>
      <c r="L25" s="21" t="s">
        <v>894</v>
      </c>
      <c r="M25" s="87">
        <f t="shared" si="1"/>
        <v>15</v>
      </c>
    </row>
    <row r="26" spans="1:13" ht="15.75">
      <c r="A26" s="87">
        <f t="shared" si="0"/>
        <v>16</v>
      </c>
      <c r="B26" s="133"/>
      <c r="C26" s="133"/>
      <c r="D26" s="133"/>
      <c r="E26" s="133"/>
      <c r="F26" s="62"/>
      <c r="G26" s="133"/>
      <c r="H26" s="62"/>
      <c r="I26" s="37"/>
      <c r="J26" s="62"/>
      <c r="K26" s="37"/>
      <c r="L26" s="83"/>
      <c r="M26" s="87">
        <f t="shared" si="1"/>
        <v>16</v>
      </c>
    </row>
    <row r="27" spans="1:13" ht="18.75">
      <c r="A27" s="87">
        <f t="shared" si="0"/>
        <v>17</v>
      </c>
      <c r="B27" s="133" t="s">
        <v>520</v>
      </c>
      <c r="C27" s="133"/>
      <c r="D27" s="133"/>
      <c r="E27" s="133"/>
      <c r="F27" s="149"/>
      <c r="G27" s="133"/>
      <c r="H27" s="149"/>
      <c r="I27" s="149"/>
      <c r="J27" s="447">
        <v>0</v>
      </c>
      <c r="K27" s="37"/>
      <c r="L27" s="21" t="s">
        <v>895</v>
      </c>
      <c r="M27" s="87">
        <f t="shared" si="1"/>
        <v>17</v>
      </c>
    </row>
    <row r="28" spans="1:13" ht="15.75">
      <c r="A28" s="87">
        <f t="shared" si="0"/>
        <v>18</v>
      </c>
      <c r="B28" s="133"/>
      <c r="C28" s="133"/>
      <c r="D28" s="133"/>
      <c r="E28" s="133"/>
      <c r="F28" s="62"/>
      <c r="G28" s="133"/>
      <c r="H28" s="62"/>
      <c r="I28" s="37"/>
      <c r="J28" s="62"/>
      <c r="K28" s="37"/>
      <c r="L28" s="83"/>
      <c r="M28" s="87">
        <f t="shared" si="1"/>
        <v>18</v>
      </c>
    </row>
    <row r="29" spans="1:13" ht="15.75">
      <c r="A29" s="87">
        <f t="shared" si="0"/>
        <v>19</v>
      </c>
      <c r="B29" s="133" t="s">
        <v>674</v>
      </c>
      <c r="C29" s="133"/>
      <c r="D29" s="133"/>
      <c r="E29" s="133"/>
      <c r="F29" s="62"/>
      <c r="G29" s="133"/>
      <c r="H29" s="62"/>
      <c r="I29" s="149"/>
      <c r="J29" s="63">
        <f>J25+J27</f>
        <v>4574357.6782376915</v>
      </c>
      <c r="K29" s="274"/>
      <c r="L29" s="21" t="s">
        <v>400</v>
      </c>
      <c r="M29" s="87">
        <f t="shared" si="1"/>
        <v>19</v>
      </c>
    </row>
    <row r="30" spans="1:13" ht="15.75">
      <c r="A30" s="87">
        <f t="shared" si="0"/>
        <v>20</v>
      </c>
      <c r="B30" s="133"/>
      <c r="C30" s="133"/>
      <c r="D30" s="133"/>
      <c r="E30" s="133"/>
      <c r="F30" s="62"/>
      <c r="G30" s="133"/>
      <c r="H30" s="62"/>
      <c r="I30" s="37"/>
      <c r="J30" s="62"/>
      <c r="K30" s="37"/>
      <c r="L30" s="83"/>
      <c r="M30" s="87">
        <f t="shared" si="1"/>
        <v>20</v>
      </c>
    </row>
    <row r="31" spans="1:13" ht="18.75">
      <c r="A31" s="3">
        <f t="shared" si="0"/>
        <v>21</v>
      </c>
      <c r="B31" s="4" t="s">
        <v>276</v>
      </c>
      <c r="C31" s="4"/>
      <c r="D31" s="4"/>
      <c r="E31" s="4"/>
      <c r="F31" s="447">
        <v>301645.13529000001</v>
      </c>
      <c r="G31" s="50"/>
      <c r="H31" s="447">
        <v>322015.54255999997</v>
      </c>
      <c r="I31" s="148"/>
      <c r="J31" s="63">
        <f>ROUND((F31+H31)/2,0)</f>
        <v>311830</v>
      </c>
      <c r="K31" s="35"/>
      <c r="L31" s="21" t="s">
        <v>896</v>
      </c>
      <c r="M31" s="3">
        <f t="shared" si="1"/>
        <v>21</v>
      </c>
    </row>
    <row r="32" spans="1:13" ht="15.75">
      <c r="A32" s="3">
        <f t="shared" si="0"/>
        <v>22</v>
      </c>
      <c r="B32" s="4"/>
      <c r="C32" s="4"/>
      <c r="D32" s="4"/>
      <c r="E32" s="4"/>
      <c r="F32" s="61"/>
      <c r="G32" s="50"/>
      <c r="H32" s="61"/>
      <c r="I32" s="35"/>
      <c r="J32" s="61"/>
      <c r="K32" s="35"/>
      <c r="L32" s="21"/>
      <c r="M32" s="3">
        <f t="shared" si="1"/>
        <v>22</v>
      </c>
    </row>
    <row r="33" spans="1:13" ht="18.75">
      <c r="A33" s="3">
        <f t="shared" si="0"/>
        <v>23</v>
      </c>
      <c r="B33" s="4" t="s">
        <v>277</v>
      </c>
      <c r="C33" s="4"/>
      <c r="D33" s="4"/>
      <c r="E33" s="4"/>
      <c r="F33" s="447">
        <v>619062.31887224386</v>
      </c>
      <c r="G33" s="50"/>
      <c r="H33" s="447">
        <v>723524.156878824</v>
      </c>
      <c r="I33" s="149"/>
      <c r="J33" s="63">
        <f>ROUND((F33+H33)/2,0)</f>
        <v>671293</v>
      </c>
      <c r="K33" s="37"/>
      <c r="L33" s="21" t="s">
        <v>897</v>
      </c>
      <c r="M33" s="3">
        <f t="shared" si="1"/>
        <v>23</v>
      </c>
    </row>
    <row r="34" spans="1:13" ht="15.75">
      <c r="A34" s="3">
        <f t="shared" si="0"/>
        <v>24</v>
      </c>
      <c r="B34" s="4"/>
      <c r="C34" s="4"/>
      <c r="D34" s="4"/>
      <c r="E34" s="4"/>
      <c r="F34" s="62"/>
      <c r="G34" s="50"/>
      <c r="H34" s="62"/>
      <c r="I34" s="37"/>
      <c r="J34" s="62"/>
      <c r="K34" s="37"/>
      <c r="L34" s="21"/>
      <c r="M34" s="3">
        <f t="shared" si="1"/>
        <v>24</v>
      </c>
    </row>
    <row r="35" spans="1:13" ht="16.5" thickBot="1">
      <c r="A35" s="3">
        <f t="shared" si="0"/>
        <v>25</v>
      </c>
      <c r="B35" s="4" t="s">
        <v>181</v>
      </c>
      <c r="C35" s="4"/>
      <c r="D35" s="4"/>
      <c r="E35" s="4"/>
      <c r="F35" s="79"/>
      <c r="G35" s="257"/>
      <c r="H35" s="79"/>
      <c r="I35" s="21"/>
      <c r="J35" s="71">
        <f>J21+J23+J29+J31+J33</f>
        <v>12337686.756520769</v>
      </c>
      <c r="K35" s="274"/>
      <c r="L35" s="21" t="s">
        <v>401</v>
      </c>
      <c r="M35" s="3">
        <f t="shared" si="1"/>
        <v>25</v>
      </c>
    </row>
    <row r="36" spans="1:13" ht="16.5" thickTop="1">
      <c r="A36" s="3">
        <f t="shared" si="0"/>
        <v>26</v>
      </c>
      <c r="B36" s="4"/>
      <c r="C36" s="4"/>
      <c r="D36" s="4"/>
      <c r="E36" s="4"/>
      <c r="F36" s="8"/>
      <c r="G36" s="4"/>
      <c r="H36" s="8"/>
      <c r="I36" s="19"/>
      <c r="J36" s="8"/>
      <c r="K36" s="19"/>
      <c r="L36" s="21"/>
      <c r="M36" s="3">
        <f t="shared" si="1"/>
        <v>26</v>
      </c>
    </row>
    <row r="37" spans="1:13" ht="15.75">
      <c r="A37" s="228">
        <f t="shared" si="0"/>
        <v>27</v>
      </c>
      <c r="B37" s="4" t="s">
        <v>87</v>
      </c>
      <c r="C37" s="4"/>
      <c r="D37" s="4"/>
      <c r="E37" s="4"/>
      <c r="F37" s="13"/>
      <c r="G37" s="4"/>
      <c r="H37" s="13"/>
      <c r="I37" s="19"/>
      <c r="J37" s="414">
        <f>'Statement AI-WP'!$G29</f>
        <v>0.16950000000000001</v>
      </c>
      <c r="K37" s="19"/>
      <c r="L37" s="21" t="s">
        <v>502</v>
      </c>
      <c r="M37" s="228">
        <f t="shared" si="1"/>
        <v>27</v>
      </c>
    </row>
    <row r="38" spans="1:13" ht="15.75">
      <c r="A38" s="344">
        <f t="shared" si="0"/>
        <v>28</v>
      </c>
      <c r="B38" s="4"/>
      <c r="C38" s="4"/>
      <c r="D38" s="4"/>
      <c r="E38" s="4"/>
      <c r="F38" s="8"/>
      <c r="G38" s="4"/>
      <c r="H38" s="8"/>
      <c r="I38" s="19"/>
      <c r="J38" s="8"/>
      <c r="K38" s="19"/>
      <c r="L38" s="21"/>
      <c r="M38" s="228">
        <f t="shared" si="1"/>
        <v>28</v>
      </c>
    </row>
    <row r="39" spans="1:13" ht="15.75">
      <c r="A39" s="344">
        <f t="shared" si="0"/>
        <v>29</v>
      </c>
      <c r="B39" s="133" t="s">
        <v>690</v>
      </c>
      <c r="C39" s="133"/>
      <c r="D39" s="133"/>
      <c r="E39" s="133"/>
      <c r="F39" s="73"/>
      <c r="G39" s="73"/>
      <c r="H39" s="73"/>
      <c r="I39" s="190"/>
      <c r="J39" s="398">
        <f>J29</f>
        <v>4574357.6782376915</v>
      </c>
      <c r="K39" s="274"/>
      <c r="L39" s="83" t="s">
        <v>402</v>
      </c>
      <c r="M39" s="344">
        <f t="shared" si="1"/>
        <v>29</v>
      </c>
    </row>
    <row r="40" spans="1:13" ht="15.75">
      <c r="A40" s="344">
        <f t="shared" si="0"/>
        <v>30</v>
      </c>
      <c r="B40" s="4"/>
      <c r="C40" s="4"/>
      <c r="D40" s="4"/>
      <c r="E40" s="4"/>
      <c r="F40" s="8"/>
      <c r="G40" s="4"/>
      <c r="H40" s="8"/>
      <c r="I40" s="19"/>
      <c r="J40" s="8"/>
      <c r="K40" s="19"/>
      <c r="L40" s="21"/>
      <c r="M40" s="344">
        <f t="shared" si="1"/>
        <v>30</v>
      </c>
    </row>
    <row r="41" spans="1:13" ht="15.75">
      <c r="A41" s="344">
        <f t="shared" si="0"/>
        <v>31</v>
      </c>
      <c r="B41" s="4" t="s">
        <v>154</v>
      </c>
      <c r="C41" s="4"/>
      <c r="D41" s="4"/>
      <c r="E41" s="4"/>
      <c r="F41" s="68"/>
      <c r="G41" s="4"/>
      <c r="H41" s="68"/>
      <c r="I41" s="19"/>
      <c r="J41" s="426">
        <f>ROUND(+J11*J37,0)</f>
        <v>23257</v>
      </c>
      <c r="K41" s="274"/>
      <c r="L41" s="21" t="s">
        <v>403</v>
      </c>
      <c r="M41" s="344">
        <f t="shared" si="1"/>
        <v>31</v>
      </c>
    </row>
    <row r="42" spans="1:13" ht="15.75">
      <c r="A42" s="344">
        <f t="shared" si="0"/>
        <v>32</v>
      </c>
      <c r="B42" s="4"/>
      <c r="C42" s="4"/>
      <c r="D42" s="4"/>
      <c r="E42" s="4"/>
      <c r="F42" s="8"/>
      <c r="G42" s="4"/>
      <c r="H42" s="8"/>
      <c r="I42" s="19"/>
      <c r="J42" s="160"/>
      <c r="K42" s="19"/>
      <c r="L42" s="21"/>
      <c r="M42" s="344">
        <f t="shared" si="1"/>
        <v>32</v>
      </c>
    </row>
    <row r="43" spans="1:13" ht="15.75">
      <c r="A43" s="344">
        <f t="shared" si="0"/>
        <v>33</v>
      </c>
      <c r="B43" s="4" t="s">
        <v>98</v>
      </c>
      <c r="C43" s="4"/>
      <c r="D43" s="4"/>
      <c r="E43" s="4"/>
      <c r="F43" s="68"/>
      <c r="G43" s="4"/>
      <c r="H43" s="68"/>
      <c r="I43" s="19"/>
      <c r="J43" s="426">
        <f>ROUND(J31*J37,0)</f>
        <v>52855</v>
      </c>
      <c r="K43" s="19"/>
      <c r="L43" s="21" t="s">
        <v>404</v>
      </c>
      <c r="M43" s="344">
        <f t="shared" si="1"/>
        <v>33</v>
      </c>
    </row>
    <row r="44" spans="1:13" ht="15.75">
      <c r="A44" s="344">
        <f t="shared" si="0"/>
        <v>34</v>
      </c>
      <c r="B44" s="4"/>
      <c r="C44" s="4"/>
      <c r="D44" s="4"/>
      <c r="E44" s="4"/>
      <c r="F44" s="68"/>
      <c r="G44" s="4"/>
      <c r="H44" s="68"/>
      <c r="I44" s="19"/>
      <c r="J44" s="426"/>
      <c r="K44" s="19"/>
      <c r="L44" s="21"/>
      <c r="M44" s="344">
        <f t="shared" si="1"/>
        <v>34</v>
      </c>
    </row>
    <row r="45" spans="1:13" ht="15.75">
      <c r="A45" s="344">
        <f t="shared" si="0"/>
        <v>35</v>
      </c>
      <c r="B45" s="4" t="s">
        <v>112</v>
      </c>
      <c r="C45" s="4"/>
      <c r="D45" s="4"/>
      <c r="E45" s="4"/>
      <c r="F45" s="68"/>
      <c r="G45" s="4"/>
      <c r="H45" s="68"/>
      <c r="I45" s="19"/>
      <c r="J45" s="427">
        <f>ROUND(J33*J37,0)</f>
        <v>113784</v>
      </c>
      <c r="K45" s="19"/>
      <c r="L45" s="21" t="s">
        <v>405</v>
      </c>
      <c r="M45" s="344">
        <f t="shared" si="1"/>
        <v>35</v>
      </c>
    </row>
    <row r="46" spans="1:13" ht="15.75">
      <c r="A46" s="344">
        <f t="shared" si="0"/>
        <v>36</v>
      </c>
      <c r="B46" s="4" t="s">
        <v>39</v>
      </c>
      <c r="C46" s="5"/>
      <c r="D46" s="5"/>
      <c r="E46" s="5"/>
      <c r="F46" s="72"/>
      <c r="G46" s="5"/>
      <c r="H46" s="72"/>
      <c r="I46" s="38"/>
      <c r="J46" s="428"/>
      <c r="K46" s="38"/>
      <c r="L46" s="21"/>
      <c r="M46" s="344">
        <f t="shared" si="1"/>
        <v>36</v>
      </c>
    </row>
    <row r="47" spans="1:13" ht="16.5" thickBot="1">
      <c r="A47" s="344">
        <f t="shared" si="0"/>
        <v>37</v>
      </c>
      <c r="B47" s="4" t="s">
        <v>105</v>
      </c>
      <c r="C47" s="5"/>
      <c r="D47" s="5"/>
      <c r="E47" s="5"/>
      <c r="F47" s="68"/>
      <c r="G47" s="4"/>
      <c r="H47" s="68"/>
      <c r="I47" s="39"/>
      <c r="J47" s="773">
        <f>J39+J41+J43+J45</f>
        <v>4764253.6782376915</v>
      </c>
      <c r="K47" s="274"/>
      <c r="L47" s="21" t="s">
        <v>406</v>
      </c>
      <c r="M47" s="344">
        <f t="shared" si="1"/>
        <v>37</v>
      </c>
    </row>
    <row r="48" spans="1:13" ht="16.5" thickTop="1">
      <c r="A48" s="344">
        <f t="shared" si="0"/>
        <v>38</v>
      </c>
      <c r="B48" s="4"/>
      <c r="C48" s="5"/>
      <c r="D48" s="5"/>
      <c r="E48" s="5"/>
      <c r="F48" s="56"/>
      <c r="G48" s="5"/>
      <c r="H48" s="56"/>
      <c r="I48" s="39"/>
      <c r="J48" s="429"/>
      <c r="K48" s="39"/>
      <c r="L48" s="21"/>
      <c r="M48" s="344">
        <f t="shared" si="1"/>
        <v>38</v>
      </c>
    </row>
    <row r="49" spans="1:13" ht="19.5" thickBot="1">
      <c r="A49" s="344">
        <f t="shared" si="0"/>
        <v>39</v>
      </c>
      <c r="B49" s="4" t="s">
        <v>393</v>
      </c>
      <c r="C49" s="5"/>
      <c r="D49" s="5"/>
      <c r="E49" s="5"/>
      <c r="F49" s="25"/>
      <c r="G49" s="5"/>
      <c r="H49" s="25"/>
      <c r="I49" s="39"/>
      <c r="J49" s="778">
        <f>ROUND(J47/J35,4)</f>
        <v>0.38619999999999999</v>
      </c>
      <c r="K49" s="274"/>
      <c r="L49" s="21" t="s">
        <v>407</v>
      </c>
      <c r="M49" s="344">
        <f t="shared" si="1"/>
        <v>39</v>
      </c>
    </row>
    <row r="50" spans="1:13" ht="16.5" thickTop="1">
      <c r="A50" s="3"/>
      <c r="B50" s="4"/>
      <c r="C50" s="4"/>
      <c r="D50" s="4"/>
      <c r="E50" s="4"/>
      <c r="F50" s="15"/>
      <c r="G50" s="4"/>
      <c r="H50" s="83"/>
      <c r="I50" s="16"/>
      <c r="J50" s="16"/>
      <c r="K50" s="16"/>
      <c r="L50" s="10"/>
      <c r="M50" s="3"/>
    </row>
    <row r="51" spans="1:13" ht="15.75">
      <c r="A51" s="10"/>
      <c r="B51" s="76"/>
    </row>
    <row r="52" spans="1:13" ht="18.75">
      <c r="A52" s="242" t="s">
        <v>273</v>
      </c>
      <c r="B52" s="4" t="s">
        <v>366</v>
      </c>
    </row>
    <row r="53" spans="1:13" ht="18.75">
      <c r="A53" s="242"/>
      <c r="B53" s="4" t="s">
        <v>760</v>
      </c>
    </row>
    <row r="54" spans="1:13" ht="18.75">
      <c r="A54" s="239" t="s">
        <v>274</v>
      </c>
      <c r="B54" s="4" t="s">
        <v>631</v>
      </c>
    </row>
    <row r="55" spans="1:13" ht="18.75">
      <c r="A55" s="237">
        <v>1</v>
      </c>
      <c r="B55" s="132" t="s">
        <v>754</v>
      </c>
    </row>
    <row r="56" spans="1:13" ht="15.75">
      <c r="A56" s="228"/>
      <c r="B56" s="4" t="s">
        <v>373</v>
      </c>
    </row>
    <row r="57" spans="1:13" ht="18.75">
      <c r="A57" s="237">
        <v>2</v>
      </c>
      <c r="B57" s="4" t="s">
        <v>755</v>
      </c>
    </row>
    <row r="58" spans="1:13" ht="15.75">
      <c r="A58" s="228"/>
      <c r="B58" s="4" t="s">
        <v>394</v>
      </c>
    </row>
    <row r="59" spans="1:13" ht="18.75">
      <c r="A59" s="237">
        <v>3</v>
      </c>
      <c r="B59" s="4" t="s">
        <v>757</v>
      </c>
    </row>
    <row r="60" spans="1:13" ht="18.75">
      <c r="A60" s="237">
        <v>4</v>
      </c>
      <c r="B60" s="4" t="s">
        <v>278</v>
      </c>
    </row>
    <row r="61" spans="1:13" ht="18.75">
      <c r="A61" s="237"/>
      <c r="B61" s="4"/>
    </row>
    <row r="62" spans="1:13" ht="18.75">
      <c r="A62" s="237"/>
      <c r="B62" s="4"/>
    </row>
    <row r="63" spans="1:13" ht="18.75">
      <c r="A63" s="237"/>
      <c r="B63" s="4"/>
    </row>
  </sheetData>
  <mergeCells count="5">
    <mergeCell ref="B2:L2"/>
    <mergeCell ref="B6:L6"/>
    <mergeCell ref="B3:L3"/>
    <mergeCell ref="B4:L4"/>
    <mergeCell ref="B5:L5"/>
  </mergeCells>
  <phoneticPr fontId="0" type="noConversion"/>
  <printOptions horizontalCentered="1"/>
  <pageMargins left="0.5" right="0.5" top="0.5" bottom="0.5" header="0.25" footer="0.25"/>
  <pageSetup scale="64" orientation="portrait" r:id="rId1"/>
  <headerFooter alignWithMargins="0">
    <oddFooter>&amp;C&amp;12Page AD1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zoomScale="80" zoomScaleNormal="80" workbookViewId="0"/>
  </sheetViews>
  <sheetFormatPr defaultRowHeight="15"/>
  <cols>
    <col min="1" max="1" width="5.28515625" style="11" bestFit="1" customWidth="1"/>
    <col min="2" max="2" width="22.5703125" customWidth="1"/>
    <col min="3" max="3" width="15.7109375" customWidth="1"/>
    <col min="4" max="4" width="12.7109375" customWidth="1"/>
    <col min="5" max="5" width="10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17.7109375" bestFit="1" customWidth="1"/>
    <col min="12" max="12" width="1.7109375" customWidth="1"/>
    <col min="13" max="13" width="31.28515625" bestFit="1" customWidth="1"/>
    <col min="14" max="14" width="5.28515625" bestFit="1" customWidth="1"/>
    <col min="16" max="16" width="20.5703125" bestFit="1" customWidth="1"/>
  </cols>
  <sheetData>
    <row r="1" spans="1:14" ht="15.7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>
      <c r="A2" s="10"/>
      <c r="B2" s="1161" t="s">
        <v>42</v>
      </c>
      <c r="C2" s="1161"/>
      <c r="D2" s="1161"/>
      <c r="E2" s="1161"/>
      <c r="F2" s="1161"/>
      <c r="G2" s="1161"/>
      <c r="H2" s="1161"/>
      <c r="I2" s="1161"/>
      <c r="J2" s="1165"/>
      <c r="K2" s="1165"/>
      <c r="L2" s="1165"/>
      <c r="M2" s="1165"/>
      <c r="N2" s="10"/>
    </row>
    <row r="3" spans="1:14" ht="15.75">
      <c r="A3" s="10"/>
      <c r="B3" s="1161" t="s">
        <v>170</v>
      </c>
      <c r="C3" s="1161"/>
      <c r="D3" s="1161"/>
      <c r="E3" s="1161"/>
      <c r="F3" s="1161"/>
      <c r="G3" s="1161"/>
      <c r="H3" s="1161"/>
      <c r="I3" s="1161"/>
      <c r="J3" s="1165"/>
      <c r="K3" s="1165"/>
      <c r="L3" s="1165"/>
      <c r="M3" s="1165"/>
      <c r="N3" s="10"/>
    </row>
    <row r="4" spans="1:14" ht="15.75">
      <c r="A4" s="10"/>
      <c r="B4" s="1161" t="s">
        <v>46</v>
      </c>
      <c r="C4" s="1161"/>
      <c r="D4" s="1161"/>
      <c r="E4" s="1161"/>
      <c r="F4" s="1161"/>
      <c r="G4" s="1161"/>
      <c r="H4" s="1161"/>
      <c r="I4" s="1161"/>
      <c r="J4" s="1165"/>
      <c r="K4" s="1165"/>
      <c r="L4" s="1165"/>
      <c r="M4" s="1165"/>
      <c r="N4" s="10"/>
    </row>
    <row r="5" spans="1:14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57"/>
      <c r="J5" s="1167"/>
      <c r="K5" s="1167"/>
      <c r="L5" s="1167"/>
      <c r="M5" s="1167"/>
      <c r="N5" s="10"/>
    </row>
    <row r="6" spans="1:14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164"/>
      <c r="M6" s="1164"/>
      <c r="N6" s="10"/>
    </row>
    <row r="7" spans="1:14" ht="15.75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10"/>
      <c r="N7" s="10"/>
    </row>
    <row r="8" spans="1:14" ht="15.75">
      <c r="A8" s="3" t="s">
        <v>62</v>
      </c>
      <c r="B8" s="2"/>
      <c r="C8" s="2"/>
      <c r="D8" s="2"/>
      <c r="E8" s="2"/>
      <c r="F8" s="2"/>
      <c r="G8" s="146" t="s">
        <v>165</v>
      </c>
      <c r="H8" s="3"/>
      <c r="I8" s="146" t="s">
        <v>166</v>
      </c>
      <c r="J8" s="3"/>
      <c r="K8" s="146" t="s">
        <v>167</v>
      </c>
      <c r="L8" s="2"/>
      <c r="M8" s="48"/>
      <c r="N8" s="3" t="s">
        <v>62</v>
      </c>
    </row>
    <row r="9" spans="1:14" ht="15.75">
      <c r="A9" s="77" t="s">
        <v>73</v>
      </c>
      <c r="B9" s="2"/>
      <c r="C9" s="2"/>
      <c r="D9" s="2"/>
      <c r="E9" s="2"/>
      <c r="F9" s="2"/>
      <c r="G9" s="514">
        <f>'Statement AD-WP'!F9</f>
        <v>42004</v>
      </c>
      <c r="H9" s="2"/>
      <c r="I9" s="514">
        <f>'Statement AD-WP'!H9</f>
        <v>42369</v>
      </c>
      <c r="J9" s="2"/>
      <c r="K9" s="147" t="s">
        <v>168</v>
      </c>
      <c r="L9" s="2"/>
      <c r="M9" s="33" t="s">
        <v>65</v>
      </c>
      <c r="N9" s="77" t="s">
        <v>73</v>
      </c>
    </row>
    <row r="10" spans="1:14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0"/>
      <c r="N10" s="3"/>
    </row>
    <row r="11" spans="1:14" ht="18.75">
      <c r="A11" s="3">
        <v>1</v>
      </c>
      <c r="B11" s="133" t="s">
        <v>1237</v>
      </c>
      <c r="C11" s="3"/>
      <c r="D11" s="3"/>
      <c r="E11" s="3"/>
      <c r="F11" s="3"/>
      <c r="G11" s="191"/>
      <c r="H11" s="79"/>
      <c r="I11" s="191"/>
      <c r="J11" s="149"/>
      <c r="K11" s="549">
        <v>795744.9301115385</v>
      </c>
      <c r="L11" s="274"/>
      <c r="M11" s="10" t="s">
        <v>898</v>
      </c>
      <c r="N11" s="3">
        <v>1</v>
      </c>
    </row>
    <row r="12" spans="1:14" ht="15.75">
      <c r="A12" s="3">
        <f>A11+1</f>
        <v>2</v>
      </c>
      <c r="B12" s="4"/>
      <c r="C12" s="4"/>
      <c r="D12" s="4"/>
      <c r="E12" s="4"/>
      <c r="F12" s="4"/>
      <c r="G12" s="23"/>
      <c r="H12" s="4"/>
      <c r="I12" s="23"/>
      <c r="J12" s="35"/>
      <c r="K12" s="23"/>
      <c r="L12" s="35"/>
      <c r="M12" s="19"/>
      <c r="N12" s="3">
        <f>N11+1</f>
        <v>2</v>
      </c>
    </row>
    <row r="13" spans="1:14" ht="18.75">
      <c r="A13" s="3">
        <f t="shared" ref="A13:A15" si="0">+A12+1</f>
        <v>3</v>
      </c>
      <c r="B13" s="4" t="s">
        <v>1238</v>
      </c>
      <c r="C13" s="4"/>
      <c r="D13" s="4"/>
      <c r="E13" s="4"/>
      <c r="F13" s="4"/>
      <c r="G13" s="447">
        <v>38976.867969999999</v>
      </c>
      <c r="H13" s="348"/>
      <c r="I13" s="447">
        <v>61005.254229999999</v>
      </c>
      <c r="J13" s="274"/>
      <c r="K13" s="63">
        <f>ROUND((G13+I13)/2,0)</f>
        <v>49991</v>
      </c>
      <c r="L13" s="274"/>
      <c r="M13" s="10" t="s">
        <v>899</v>
      </c>
      <c r="N13" s="3">
        <f t="shared" ref="N13:N15" si="1">+N12+1</f>
        <v>3</v>
      </c>
    </row>
    <row r="14" spans="1:14" ht="15.75">
      <c r="A14" s="3">
        <f t="shared" si="0"/>
        <v>4</v>
      </c>
      <c r="B14" s="4"/>
      <c r="C14" s="4"/>
      <c r="D14" s="4"/>
      <c r="E14" s="4"/>
      <c r="F14" s="4"/>
      <c r="G14" s="23"/>
      <c r="H14" s="4"/>
      <c r="I14" s="23"/>
      <c r="J14" s="35"/>
      <c r="K14" s="61"/>
      <c r="L14" s="35"/>
      <c r="M14" s="21"/>
      <c r="N14" s="3">
        <f t="shared" si="1"/>
        <v>4</v>
      </c>
    </row>
    <row r="15" spans="1:14" ht="18.75">
      <c r="A15" s="3">
        <f t="shared" si="0"/>
        <v>5</v>
      </c>
      <c r="B15" s="4" t="s">
        <v>1239</v>
      </c>
      <c r="C15" s="4"/>
      <c r="D15" s="4"/>
      <c r="E15" s="4"/>
      <c r="F15" s="4"/>
      <c r="G15" s="447">
        <v>113625.48003999999</v>
      </c>
      <c r="H15" s="4"/>
      <c r="I15" s="447">
        <v>124471.3235</v>
      </c>
      <c r="J15" s="148"/>
      <c r="K15" s="63">
        <f>ROUND((G15+I15)/2,0)</f>
        <v>119048</v>
      </c>
      <c r="L15" s="35"/>
      <c r="M15" s="10" t="s">
        <v>900</v>
      </c>
      <c r="N15" s="3">
        <f t="shared" si="1"/>
        <v>5</v>
      </c>
    </row>
    <row r="16" spans="1:14" ht="15.75">
      <c r="A16" s="3">
        <f t="shared" ref="A16:A29" si="2">+A15+1</f>
        <v>6</v>
      </c>
      <c r="B16" s="4"/>
      <c r="C16" s="4"/>
      <c r="D16" s="4"/>
      <c r="E16" s="4"/>
      <c r="F16" s="4"/>
      <c r="G16" s="61"/>
      <c r="H16" s="4"/>
      <c r="I16" s="61"/>
      <c r="J16" s="35"/>
      <c r="K16" s="61"/>
      <c r="L16" s="35"/>
      <c r="M16" s="21"/>
      <c r="N16" s="3">
        <f t="shared" ref="N16:N29" si="3">+N15+1</f>
        <v>6</v>
      </c>
    </row>
    <row r="17" spans="1:14" ht="18.75">
      <c r="A17" s="3">
        <f t="shared" si="2"/>
        <v>7</v>
      </c>
      <c r="B17" s="4" t="s">
        <v>1240</v>
      </c>
      <c r="C17" s="4"/>
      <c r="D17" s="4"/>
      <c r="E17" s="4"/>
      <c r="F17" s="4"/>
      <c r="G17" s="447">
        <v>327892.46983807202</v>
      </c>
      <c r="H17" s="4"/>
      <c r="I17" s="447">
        <v>353683.38110162399</v>
      </c>
      <c r="J17" s="148"/>
      <c r="K17" s="63">
        <f>ROUND((G17+I17)/2,0)</f>
        <v>340788</v>
      </c>
      <c r="L17" s="35"/>
      <c r="M17" s="10" t="s">
        <v>901</v>
      </c>
      <c r="N17" s="3">
        <f t="shared" si="3"/>
        <v>7</v>
      </c>
    </row>
    <row r="18" spans="1:14" ht="15.75">
      <c r="A18" s="3">
        <f t="shared" si="2"/>
        <v>8</v>
      </c>
      <c r="B18" s="4"/>
      <c r="C18" s="4"/>
      <c r="D18" s="4"/>
      <c r="E18" s="4"/>
      <c r="F18" s="4"/>
      <c r="G18" s="23"/>
      <c r="H18" s="4"/>
      <c r="I18" s="23"/>
      <c r="J18" s="35"/>
      <c r="K18" s="23"/>
      <c r="L18" s="35"/>
      <c r="M18" s="19"/>
      <c r="N18" s="3">
        <f t="shared" si="3"/>
        <v>8</v>
      </c>
    </row>
    <row r="19" spans="1:14" ht="15.75">
      <c r="A19" s="3">
        <f t="shared" si="2"/>
        <v>9</v>
      </c>
      <c r="B19" s="4" t="s">
        <v>87</v>
      </c>
      <c r="C19" s="4"/>
      <c r="D19" s="4"/>
      <c r="E19" s="4"/>
      <c r="F19" s="4"/>
      <c r="G19" s="161"/>
      <c r="H19" s="133"/>
      <c r="I19" s="161"/>
      <c r="J19" s="40"/>
      <c r="K19" s="413">
        <f>'Statement AI-WP'!$G29</f>
        <v>0.16950000000000001</v>
      </c>
      <c r="L19" s="40"/>
      <c r="M19" s="21" t="s">
        <v>502</v>
      </c>
      <c r="N19" s="3">
        <f t="shared" si="3"/>
        <v>9</v>
      </c>
    </row>
    <row r="20" spans="1:14" ht="15.75">
      <c r="A20" s="255">
        <f t="shared" si="2"/>
        <v>10</v>
      </c>
      <c r="B20" s="4"/>
      <c r="C20" s="4"/>
      <c r="D20" s="4"/>
      <c r="E20" s="4"/>
      <c r="F20" s="4"/>
      <c r="G20" s="24"/>
      <c r="H20" s="133"/>
      <c r="I20" s="24"/>
      <c r="J20" s="35"/>
      <c r="K20" s="415"/>
      <c r="L20" s="35"/>
      <c r="M20" s="19"/>
      <c r="N20" s="255">
        <f t="shared" si="3"/>
        <v>10</v>
      </c>
    </row>
    <row r="21" spans="1:14" ht="15.75">
      <c r="A21" s="344">
        <f t="shared" si="2"/>
        <v>11</v>
      </c>
      <c r="B21" s="4" t="s">
        <v>515</v>
      </c>
      <c r="C21" s="4"/>
      <c r="D21" s="4"/>
      <c r="E21" s="4"/>
      <c r="F21" s="4"/>
      <c r="G21" s="24"/>
      <c r="H21" s="133"/>
      <c r="I21" s="24"/>
      <c r="J21" s="35"/>
      <c r="K21" s="425">
        <f>ROUND(K13*K19,0)</f>
        <v>8473</v>
      </c>
      <c r="L21" s="274"/>
      <c r="M21" s="19" t="s">
        <v>646</v>
      </c>
      <c r="N21" s="344">
        <f t="shared" si="3"/>
        <v>11</v>
      </c>
    </row>
    <row r="22" spans="1:14" ht="15.75">
      <c r="A22" s="344">
        <f t="shared" si="2"/>
        <v>12</v>
      </c>
      <c r="B22" s="4"/>
      <c r="C22" s="4"/>
      <c r="D22" s="4"/>
      <c r="E22" s="4"/>
      <c r="F22" s="4"/>
      <c r="G22" s="24"/>
      <c r="H22" s="133"/>
      <c r="I22" s="24"/>
      <c r="J22" s="35"/>
      <c r="K22" s="415"/>
      <c r="L22" s="35"/>
      <c r="M22" s="19"/>
      <c r="N22" s="344">
        <f t="shared" si="3"/>
        <v>12</v>
      </c>
    </row>
    <row r="23" spans="1:14" ht="15.75">
      <c r="A23" s="344">
        <f t="shared" si="2"/>
        <v>13</v>
      </c>
      <c r="B23" s="4" t="s">
        <v>669</v>
      </c>
      <c r="C23" s="4"/>
      <c r="D23" s="4"/>
      <c r="E23" s="4"/>
      <c r="F23" s="4"/>
      <c r="G23" s="62"/>
      <c r="H23" s="73"/>
      <c r="I23" s="62"/>
      <c r="J23" s="425"/>
      <c r="K23" s="153">
        <f>ROUND(K15*K19,0)</f>
        <v>20179</v>
      </c>
      <c r="L23" s="35"/>
      <c r="M23" s="19" t="s">
        <v>647</v>
      </c>
      <c r="N23" s="344">
        <f t="shared" si="3"/>
        <v>13</v>
      </c>
    </row>
    <row r="24" spans="1:14" ht="15.75">
      <c r="A24" s="3">
        <f t="shared" si="2"/>
        <v>14</v>
      </c>
      <c r="B24" s="4"/>
      <c r="C24" s="4"/>
      <c r="D24" s="4"/>
      <c r="E24" s="4"/>
      <c r="F24" s="4"/>
      <c r="G24" s="62"/>
      <c r="H24" s="73"/>
      <c r="I24" s="62"/>
      <c r="J24" s="148"/>
      <c r="K24" s="153"/>
      <c r="L24" s="35"/>
      <c r="M24" s="19"/>
      <c r="N24" s="3">
        <f t="shared" si="3"/>
        <v>14</v>
      </c>
    </row>
    <row r="25" spans="1:14" ht="15.75">
      <c r="A25" s="3">
        <f t="shared" si="2"/>
        <v>15</v>
      </c>
      <c r="B25" s="4" t="s">
        <v>670</v>
      </c>
      <c r="C25" s="4"/>
      <c r="D25" s="4"/>
      <c r="E25" s="4"/>
      <c r="F25" s="4"/>
      <c r="G25" s="163"/>
      <c r="H25" s="73"/>
      <c r="I25" s="163"/>
      <c r="J25" s="148"/>
      <c r="K25" s="154">
        <f>ROUND(K17*K19,0)</f>
        <v>57764</v>
      </c>
      <c r="L25" s="35"/>
      <c r="M25" s="19" t="s">
        <v>648</v>
      </c>
      <c r="N25" s="3">
        <f t="shared" si="3"/>
        <v>15</v>
      </c>
    </row>
    <row r="26" spans="1:14" ht="15.75">
      <c r="A26" s="3">
        <f t="shared" si="2"/>
        <v>16</v>
      </c>
      <c r="B26" s="4"/>
      <c r="C26" s="4"/>
      <c r="D26" s="4"/>
      <c r="E26" s="4"/>
      <c r="F26" s="4"/>
      <c r="G26" s="163"/>
      <c r="H26" s="73"/>
      <c r="I26" s="163"/>
      <c r="J26" s="148"/>
      <c r="K26" s="153"/>
      <c r="L26" s="35"/>
      <c r="M26" s="19"/>
      <c r="N26" s="3">
        <f t="shared" si="3"/>
        <v>16</v>
      </c>
    </row>
    <row r="27" spans="1:14" ht="16.5" thickBot="1">
      <c r="A27" s="3">
        <f t="shared" si="2"/>
        <v>17</v>
      </c>
      <c r="B27" s="4" t="s">
        <v>671</v>
      </c>
      <c r="C27" s="4"/>
      <c r="D27" s="4"/>
      <c r="E27" s="4"/>
      <c r="F27" s="4"/>
      <c r="G27" s="158"/>
      <c r="H27" s="73"/>
      <c r="I27" s="158"/>
      <c r="J27" s="148"/>
      <c r="K27" s="392">
        <f>K11+K21+K23+K25</f>
        <v>882160.9301115385</v>
      </c>
      <c r="L27" s="274"/>
      <c r="M27" s="19" t="s">
        <v>649</v>
      </c>
      <c r="N27" s="3">
        <f t="shared" si="3"/>
        <v>17</v>
      </c>
    </row>
    <row r="28" spans="1:14" ht="16.5" thickTop="1">
      <c r="A28" s="344">
        <f t="shared" si="2"/>
        <v>18</v>
      </c>
      <c r="B28" s="4"/>
      <c r="C28" s="4"/>
      <c r="D28" s="4"/>
      <c r="E28" s="4"/>
      <c r="F28" s="4"/>
      <c r="G28" s="133"/>
      <c r="H28" s="133"/>
      <c r="I28" s="64"/>
      <c r="J28" s="36"/>
      <c r="K28" s="36"/>
      <c r="L28" s="36"/>
      <c r="M28" s="19"/>
      <c r="N28" s="344">
        <f t="shared" si="3"/>
        <v>18</v>
      </c>
    </row>
    <row r="29" spans="1:14" ht="16.5" thickBot="1">
      <c r="A29" s="344">
        <f t="shared" si="2"/>
        <v>19</v>
      </c>
      <c r="B29" s="133" t="s">
        <v>549</v>
      </c>
      <c r="C29" s="3"/>
      <c r="D29" s="3"/>
      <c r="E29" s="3"/>
      <c r="F29" s="3"/>
      <c r="G29" s="149"/>
      <c r="H29" s="133"/>
      <c r="I29" s="149"/>
      <c r="J29" s="149"/>
      <c r="K29" s="454">
        <v>0</v>
      </c>
      <c r="L29" s="3"/>
      <c r="M29" s="10" t="s">
        <v>902</v>
      </c>
      <c r="N29" s="344">
        <f t="shared" si="3"/>
        <v>19</v>
      </c>
    </row>
    <row r="30" spans="1:14" ht="16.5" thickTop="1">
      <c r="A30" s="344"/>
      <c r="B30" s="4"/>
      <c r="C30" s="4"/>
      <c r="D30" s="4"/>
      <c r="E30" s="4"/>
      <c r="F30" s="4"/>
      <c r="G30" s="133"/>
      <c r="H30" s="133"/>
      <c r="I30" s="64"/>
      <c r="J30" s="36"/>
      <c r="K30" s="36"/>
      <c r="L30" s="36"/>
      <c r="M30" s="19"/>
      <c r="N30" s="344"/>
    </row>
    <row r="32" spans="1:14" ht="18.75">
      <c r="A32" s="239" t="s">
        <v>273</v>
      </c>
      <c r="B32" s="4" t="s">
        <v>632</v>
      </c>
    </row>
    <row r="33" spans="1:2" ht="18.75">
      <c r="A33" s="242" t="s">
        <v>274</v>
      </c>
      <c r="B33" s="4" t="s">
        <v>766</v>
      </c>
    </row>
    <row r="34" spans="1:2" ht="18.75">
      <c r="A34" s="237">
        <v>1</v>
      </c>
      <c r="B34" s="4" t="s">
        <v>755</v>
      </c>
    </row>
    <row r="35" spans="1:2" ht="15.75">
      <c r="A35" s="230"/>
      <c r="B35" s="4" t="s">
        <v>374</v>
      </c>
    </row>
    <row r="36" spans="1:2" ht="18.75">
      <c r="A36" s="237">
        <v>2</v>
      </c>
      <c r="B36" s="132" t="s">
        <v>754</v>
      </c>
    </row>
    <row r="37" spans="1:2" ht="15.75">
      <c r="A37" s="230"/>
      <c r="B37" s="4" t="s">
        <v>373</v>
      </c>
    </row>
    <row r="38" spans="1:2" ht="18.75">
      <c r="A38" s="237"/>
      <c r="B38" s="4"/>
    </row>
    <row r="39" spans="1:2" ht="15.75">
      <c r="B39" s="4"/>
    </row>
    <row r="40" spans="1:2" ht="15.75">
      <c r="A40" s="274"/>
      <c r="B40" s="50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5" right="0.5" top="0.5" bottom="0.5" header="0.25" footer="0.25"/>
  <pageSetup scale="61" orientation="portrait" r:id="rId1"/>
  <headerFooter alignWithMargins="0">
    <oddFooter>&amp;C&amp;12Page AE1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26"/>
  <sheetViews>
    <sheetView zoomScale="80" zoomScaleNormal="80" workbookViewId="0"/>
  </sheetViews>
  <sheetFormatPr defaultColWidth="9.140625" defaultRowHeight="15"/>
  <cols>
    <col min="1" max="1" width="5.7109375" style="11" customWidth="1"/>
    <col min="2" max="2" width="25.5703125" style="175" customWidth="1"/>
    <col min="3" max="3" width="17.28515625" style="175" customWidth="1"/>
    <col min="4" max="4" width="10.7109375" style="175" customWidth="1"/>
    <col min="5" max="5" width="8.7109375" style="175" customWidth="1"/>
    <col min="6" max="6" width="1.7109375" style="175" customWidth="1"/>
    <col min="7" max="7" width="13" style="175" customWidth="1"/>
    <col min="8" max="8" width="1.7109375" style="175" customWidth="1"/>
    <col min="9" max="9" width="13.140625" style="175" customWidth="1"/>
    <col min="10" max="10" width="1.7109375" style="175" customWidth="1"/>
    <col min="11" max="11" width="17.7109375" style="175" bestFit="1" customWidth="1"/>
    <col min="12" max="12" width="1.7109375" style="175" customWidth="1"/>
    <col min="13" max="13" width="38.7109375" style="175" bestFit="1" customWidth="1"/>
    <col min="14" max="14" width="5.7109375" style="175" customWidth="1"/>
    <col min="15" max="15" width="9.140625" style="175"/>
    <col min="16" max="16" width="20.5703125" style="175" bestFit="1" customWidth="1"/>
    <col min="17" max="16384" width="9.140625" style="175"/>
  </cols>
  <sheetData>
    <row r="1" spans="1:14" ht="15.75">
      <c r="A1" s="261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261"/>
    </row>
    <row r="2" spans="1:14" ht="15.75">
      <c r="A2" s="261"/>
      <c r="B2" s="1161" t="s">
        <v>42</v>
      </c>
      <c r="C2" s="1161"/>
      <c r="D2" s="1161"/>
      <c r="E2" s="1161"/>
      <c r="F2" s="1161"/>
      <c r="G2" s="1161"/>
      <c r="H2" s="1161"/>
      <c r="I2" s="1161"/>
      <c r="J2" s="1168"/>
      <c r="K2" s="1168"/>
      <c r="L2" s="1168"/>
      <c r="M2" s="1168"/>
      <c r="N2" s="261"/>
    </row>
    <row r="3" spans="1:14" ht="15.75">
      <c r="A3" s="261"/>
      <c r="B3" s="1161" t="s">
        <v>171</v>
      </c>
      <c r="C3" s="1161"/>
      <c r="D3" s="1161"/>
      <c r="E3" s="1161"/>
      <c r="F3" s="1161"/>
      <c r="G3" s="1161"/>
      <c r="H3" s="1161"/>
      <c r="I3" s="1161"/>
      <c r="J3" s="1168"/>
      <c r="K3" s="1168"/>
      <c r="L3" s="1168"/>
      <c r="M3" s="1168"/>
      <c r="N3" s="261"/>
    </row>
    <row r="4" spans="1:14" ht="15.75">
      <c r="A4" s="261"/>
      <c r="B4" s="1161" t="s">
        <v>77</v>
      </c>
      <c r="C4" s="1161"/>
      <c r="D4" s="1161"/>
      <c r="E4" s="1161"/>
      <c r="F4" s="1161"/>
      <c r="G4" s="1161"/>
      <c r="H4" s="1161"/>
      <c r="I4" s="1161"/>
      <c r="J4" s="1168"/>
      <c r="K4" s="1168"/>
      <c r="L4" s="1168"/>
      <c r="M4" s="1168"/>
      <c r="N4" s="261"/>
    </row>
    <row r="5" spans="1:14" ht="15.75">
      <c r="A5" s="261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57"/>
      <c r="J5" s="1169"/>
      <c r="K5" s="1169"/>
      <c r="L5" s="1169"/>
      <c r="M5" s="1169"/>
      <c r="N5" s="261"/>
    </row>
    <row r="6" spans="1:14" ht="15.75">
      <c r="A6" s="261"/>
      <c r="B6" s="1159" t="s">
        <v>72</v>
      </c>
      <c r="C6" s="1138"/>
      <c r="D6" s="1138"/>
      <c r="E6" s="1138"/>
      <c r="F6" s="1138"/>
      <c r="G6" s="1138"/>
      <c r="H6" s="1138"/>
      <c r="I6" s="1138"/>
      <c r="J6" s="1138"/>
      <c r="K6" s="1138"/>
      <c r="L6" s="1138"/>
      <c r="M6" s="1138"/>
      <c r="N6" s="261"/>
    </row>
    <row r="7" spans="1:14" ht="15.75">
      <c r="A7" s="261"/>
      <c r="B7" s="261"/>
      <c r="C7" s="261"/>
      <c r="D7" s="261"/>
      <c r="E7" s="261"/>
      <c r="F7" s="261"/>
      <c r="G7" s="261"/>
      <c r="H7" s="261"/>
      <c r="I7" s="261"/>
      <c r="J7" s="10"/>
      <c r="K7" s="10"/>
      <c r="L7" s="10"/>
      <c r="M7" s="10"/>
      <c r="N7" s="261"/>
    </row>
    <row r="8" spans="1:14" ht="15.75">
      <c r="A8" s="261" t="s">
        <v>62</v>
      </c>
      <c r="B8" s="260"/>
      <c r="C8" s="260"/>
      <c r="D8" s="260"/>
      <c r="E8" s="260"/>
      <c r="F8" s="260"/>
      <c r="G8" s="146" t="s">
        <v>165</v>
      </c>
      <c r="H8" s="261"/>
      <c r="I8" s="146" t="s">
        <v>166</v>
      </c>
      <c r="J8" s="10"/>
      <c r="K8" s="146" t="s">
        <v>167</v>
      </c>
      <c r="L8" s="10"/>
      <c r="M8" s="10"/>
      <c r="N8" s="261" t="s">
        <v>62</v>
      </c>
    </row>
    <row r="9" spans="1:14" ht="15.75">
      <c r="A9" s="77" t="s">
        <v>73</v>
      </c>
      <c r="B9" s="4"/>
      <c r="C9" s="4"/>
      <c r="D9" s="4"/>
      <c r="E9" s="4"/>
      <c r="F9" s="4"/>
      <c r="G9" s="514">
        <f>'Statement AD-WP'!F9</f>
        <v>42004</v>
      </c>
      <c r="H9" s="4"/>
      <c r="I9" s="514">
        <f>'Statement AD-WP'!H9</f>
        <v>42369</v>
      </c>
      <c r="J9" s="260"/>
      <c r="K9" s="147" t="s">
        <v>168</v>
      </c>
      <c r="L9" s="260"/>
      <c r="M9" s="33" t="s">
        <v>65</v>
      </c>
      <c r="N9" s="77" t="s">
        <v>73</v>
      </c>
    </row>
    <row r="10" spans="1:14" ht="15.75">
      <c r="A10" s="86"/>
      <c r="B10" s="4"/>
      <c r="C10" s="4"/>
      <c r="D10" s="4"/>
      <c r="E10" s="4"/>
      <c r="F10" s="4"/>
      <c r="G10" s="4"/>
      <c r="H10" s="4"/>
      <c r="I10" s="4"/>
      <c r="J10" s="10"/>
      <c r="K10" s="261"/>
      <c r="L10" s="10"/>
      <c r="M10" s="10"/>
      <c r="N10" s="86"/>
    </row>
    <row r="11" spans="1:14" ht="15.75">
      <c r="A11" s="261">
        <v>1</v>
      </c>
      <c r="B11" s="102" t="s">
        <v>480</v>
      </c>
      <c r="C11" s="4"/>
      <c r="D11" s="4"/>
      <c r="E11" s="4"/>
      <c r="F11" s="4"/>
      <c r="G11" s="450">
        <v>-309581.63759079739</v>
      </c>
      <c r="H11" s="12"/>
      <c r="I11" s="450">
        <v>-302921.65623873495</v>
      </c>
      <c r="J11" s="4"/>
      <c r="K11" s="12">
        <f>ROUND((G11+I11)/2,0)</f>
        <v>-306252</v>
      </c>
      <c r="L11" s="10"/>
      <c r="M11" s="10" t="s">
        <v>910</v>
      </c>
      <c r="N11" s="261">
        <v>1</v>
      </c>
    </row>
    <row r="12" spans="1:14" ht="15.75">
      <c r="A12" s="261">
        <f>A11+1</f>
        <v>2</v>
      </c>
      <c r="B12" s="102"/>
      <c r="C12" s="4"/>
      <c r="D12" s="4"/>
      <c r="E12" s="4"/>
      <c r="F12" s="4"/>
      <c r="G12" s="12"/>
      <c r="H12" s="12"/>
      <c r="I12" s="79"/>
      <c r="J12" s="4"/>
      <c r="K12" s="12"/>
      <c r="L12" s="10"/>
      <c r="M12" s="10"/>
      <c r="N12" s="261">
        <f>N11+1</f>
        <v>2</v>
      </c>
    </row>
    <row r="13" spans="1:14" ht="15.75">
      <c r="A13" s="261">
        <f t="shared" ref="A13:A22" si="0">A12+1</f>
        <v>3</v>
      </c>
      <c r="B13" s="102" t="s">
        <v>478</v>
      </c>
      <c r="C13" s="4"/>
      <c r="D13" s="4"/>
      <c r="E13" s="4"/>
      <c r="F13" s="4"/>
      <c r="G13" s="451">
        <f>-303208</f>
        <v>-303208</v>
      </c>
      <c r="H13" s="68"/>
      <c r="I13" s="451">
        <v>-575493.32683591254</v>
      </c>
      <c r="J13" s="4"/>
      <c r="K13" s="69">
        <f>ROUND((G13+I13)/2,0)</f>
        <v>-439351</v>
      </c>
      <c r="L13" s="10"/>
      <c r="M13" s="10" t="s">
        <v>911</v>
      </c>
      <c r="N13" s="261">
        <f t="shared" ref="N13:N22" si="1">N12+1</f>
        <v>3</v>
      </c>
    </row>
    <row r="14" spans="1:14" ht="15.75">
      <c r="A14" s="261">
        <f t="shared" si="0"/>
        <v>4</v>
      </c>
      <c r="B14" s="102"/>
      <c r="C14" s="4"/>
      <c r="D14" s="4"/>
      <c r="E14" s="4"/>
      <c r="F14" s="4"/>
      <c r="G14" s="12"/>
      <c r="H14" s="12"/>
      <c r="I14" s="12"/>
      <c r="J14" s="4"/>
      <c r="K14" s="12"/>
      <c r="L14" s="10"/>
      <c r="M14" s="10"/>
      <c r="N14" s="261">
        <f t="shared" si="1"/>
        <v>4</v>
      </c>
    </row>
    <row r="15" spans="1:14" ht="19.5" thickBot="1">
      <c r="A15" s="261">
        <f t="shared" si="0"/>
        <v>5</v>
      </c>
      <c r="B15" s="102" t="s">
        <v>479</v>
      </c>
      <c r="C15" s="4"/>
      <c r="D15" s="4"/>
      <c r="E15" s="4"/>
      <c r="F15" s="4"/>
      <c r="G15" s="71">
        <f>G11+G13</f>
        <v>-612789.63759079739</v>
      </c>
      <c r="H15" s="887"/>
      <c r="I15" s="71">
        <f>I11+I13</f>
        <v>-878414.98307464749</v>
      </c>
      <c r="J15" s="887"/>
      <c r="K15" s="71">
        <f>K11+K13</f>
        <v>-745603</v>
      </c>
      <c r="L15" s="10"/>
      <c r="M15" s="19" t="s">
        <v>257</v>
      </c>
      <c r="N15" s="261">
        <f t="shared" si="1"/>
        <v>5</v>
      </c>
    </row>
    <row r="16" spans="1:14" ht="16.5" thickTop="1">
      <c r="A16" s="261">
        <f t="shared" si="0"/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10"/>
      <c r="M16" s="466" t="s">
        <v>408</v>
      </c>
      <c r="N16" s="261">
        <f t="shared" si="1"/>
        <v>6</v>
      </c>
    </row>
    <row r="17" spans="1:14" ht="15.75">
      <c r="A17" s="344">
        <f t="shared" si="0"/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0"/>
      <c r="M17" s="466"/>
      <c r="N17" s="344">
        <f t="shared" si="1"/>
        <v>7</v>
      </c>
    </row>
    <row r="18" spans="1:14" ht="16.5" thickBot="1">
      <c r="A18" s="344">
        <f t="shared" si="0"/>
        <v>8</v>
      </c>
      <c r="B18" s="102" t="s">
        <v>429</v>
      </c>
      <c r="G18" s="477">
        <v>0</v>
      </c>
      <c r="H18" s="12"/>
      <c r="I18" s="477">
        <v>0</v>
      </c>
      <c r="J18" s="12"/>
      <c r="K18" s="71">
        <f>ROUND((G18+I18)/2,0)</f>
        <v>0</v>
      </c>
      <c r="M18" s="10" t="s">
        <v>912</v>
      </c>
      <c r="N18" s="344">
        <f t="shared" si="1"/>
        <v>8</v>
      </c>
    </row>
    <row r="19" spans="1:14" ht="16.5" thickTop="1">
      <c r="A19" s="344">
        <f t="shared" si="0"/>
        <v>9</v>
      </c>
      <c r="B19" s="4"/>
      <c r="G19" s="693"/>
      <c r="H19" s="693"/>
      <c r="I19" s="693"/>
      <c r="J19" s="693"/>
      <c r="K19" s="693"/>
      <c r="M19" s="10"/>
      <c r="N19" s="344">
        <f t="shared" si="1"/>
        <v>9</v>
      </c>
    </row>
    <row r="20" spans="1:14" ht="16.5" thickBot="1">
      <c r="A20" s="344">
        <f t="shared" si="0"/>
        <v>10</v>
      </c>
      <c r="B20" s="102" t="s">
        <v>788</v>
      </c>
      <c r="G20" s="788">
        <v>0</v>
      </c>
      <c r="H20" s="692"/>
      <c r="I20" s="788">
        <v>0</v>
      </c>
      <c r="J20" s="692"/>
      <c r="K20" s="789">
        <f>ROUND((G20+I20)/2,0)</f>
        <v>0</v>
      </c>
      <c r="M20" s="10" t="s">
        <v>913</v>
      </c>
      <c r="N20" s="344">
        <f t="shared" si="1"/>
        <v>10</v>
      </c>
    </row>
    <row r="21" spans="1:14" ht="16.5" thickTop="1">
      <c r="A21" s="344">
        <f t="shared" si="0"/>
        <v>11</v>
      </c>
      <c r="G21" s="693"/>
      <c r="H21" s="693"/>
      <c r="I21" s="693"/>
      <c r="J21" s="693"/>
      <c r="K21" s="693"/>
      <c r="N21" s="344">
        <f t="shared" si="1"/>
        <v>11</v>
      </c>
    </row>
    <row r="22" spans="1:14" ht="16.5" thickBot="1">
      <c r="A22" s="344">
        <f t="shared" si="0"/>
        <v>12</v>
      </c>
      <c r="B22" s="102" t="s">
        <v>787</v>
      </c>
      <c r="G22" s="477">
        <v>0</v>
      </c>
      <c r="H22" s="12"/>
      <c r="I22" s="477">
        <v>0</v>
      </c>
      <c r="J22" s="12"/>
      <c r="K22" s="71">
        <f>ROUND((G22+I22)/2,0)</f>
        <v>0</v>
      </c>
      <c r="M22" s="10" t="s">
        <v>914</v>
      </c>
      <c r="N22" s="344">
        <f t="shared" si="1"/>
        <v>12</v>
      </c>
    </row>
    <row r="23" spans="1:14" ht="15.75" thickTop="1"/>
    <row r="25" spans="1:14" ht="18.75">
      <c r="A25" s="888"/>
      <c r="B25" s="4"/>
    </row>
    <row r="26" spans="1:14" ht="15.75">
      <c r="B26" s="4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5" right="0.5" top="0.5" bottom="0.5" header="0.25" footer="0.25"/>
  <pageSetup scale="59" orientation="portrait" r:id="rId1"/>
  <headerFooter alignWithMargins="0">
    <oddFooter>&amp;C&amp;14Page AF1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18"/>
  <sheetViews>
    <sheetView zoomScale="80" zoomScaleNormal="80" workbookViewId="0"/>
  </sheetViews>
  <sheetFormatPr defaultColWidth="9.140625" defaultRowHeight="15"/>
  <cols>
    <col min="1" max="1" width="5.28515625" style="11" bestFit="1" customWidth="1"/>
    <col min="2" max="2" width="20.7109375" style="175" customWidth="1"/>
    <col min="3" max="3" width="14.28515625" style="175" bestFit="1" customWidth="1"/>
    <col min="4" max="4" width="12.7109375" style="175" customWidth="1"/>
    <col min="5" max="5" width="11.7109375" style="175" customWidth="1"/>
    <col min="6" max="6" width="1.7109375" style="175" customWidth="1"/>
    <col min="7" max="7" width="13" style="175" customWidth="1"/>
    <col min="8" max="8" width="1.7109375" style="175" customWidth="1"/>
    <col min="9" max="9" width="13.140625" style="175" customWidth="1"/>
    <col min="10" max="10" width="1.7109375" style="175" customWidth="1"/>
    <col min="11" max="11" width="17.7109375" style="175" bestFit="1" customWidth="1"/>
    <col min="12" max="12" width="1.7109375" style="175" customWidth="1"/>
    <col min="13" max="13" width="33.7109375" style="175" bestFit="1" customWidth="1"/>
    <col min="14" max="14" width="5.28515625" style="175" bestFit="1" customWidth="1"/>
    <col min="15" max="15" width="9.140625" style="175"/>
    <col min="16" max="16" width="20.5703125" style="175" bestFit="1" customWidth="1"/>
    <col min="17" max="16384" width="9.140625" style="175"/>
  </cols>
  <sheetData>
    <row r="1" spans="1:14" ht="15.7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>
      <c r="A2" s="3"/>
      <c r="B2" s="1161" t="s">
        <v>42</v>
      </c>
      <c r="C2" s="1161"/>
      <c r="D2" s="1161"/>
      <c r="E2" s="1161"/>
      <c r="F2" s="1161"/>
      <c r="G2" s="1161"/>
      <c r="H2" s="1161"/>
      <c r="I2" s="1161"/>
      <c r="J2" s="1165"/>
      <c r="K2" s="1165"/>
      <c r="L2" s="1165"/>
      <c r="M2" s="1165"/>
      <c r="N2" s="3"/>
    </row>
    <row r="3" spans="1:14" ht="15.75">
      <c r="A3" s="3"/>
      <c r="B3" s="1161" t="s">
        <v>239</v>
      </c>
      <c r="C3" s="1161"/>
      <c r="D3" s="1161"/>
      <c r="E3" s="1161"/>
      <c r="F3" s="1161"/>
      <c r="G3" s="1161"/>
      <c r="H3" s="1161"/>
      <c r="I3" s="1161"/>
      <c r="J3" s="1165"/>
      <c r="K3" s="1165"/>
      <c r="L3" s="1165"/>
      <c r="M3" s="1165"/>
      <c r="N3" s="3"/>
    </row>
    <row r="4" spans="1:14" ht="15.75">
      <c r="A4" s="3"/>
      <c r="B4" s="1161" t="s">
        <v>240</v>
      </c>
      <c r="C4" s="1161"/>
      <c r="D4" s="1161"/>
      <c r="E4" s="1161"/>
      <c r="F4" s="1161"/>
      <c r="G4" s="1161"/>
      <c r="H4" s="1161"/>
      <c r="I4" s="1161"/>
      <c r="J4" s="1165"/>
      <c r="K4" s="1165"/>
      <c r="L4" s="1165"/>
      <c r="M4" s="1165"/>
      <c r="N4" s="3"/>
    </row>
    <row r="5" spans="1:14" ht="15.75">
      <c r="A5" s="3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57"/>
      <c r="J5" s="1167"/>
      <c r="K5" s="1167"/>
      <c r="L5" s="1167"/>
      <c r="M5" s="1167"/>
      <c r="N5" s="3"/>
    </row>
    <row r="6" spans="1:14" ht="15.75">
      <c r="A6" s="3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164"/>
      <c r="M6" s="1164"/>
      <c r="N6" s="3"/>
    </row>
    <row r="7" spans="1:14" ht="15.75">
      <c r="A7" s="3"/>
      <c r="B7" s="3"/>
      <c r="C7" s="3"/>
      <c r="D7" s="3"/>
      <c r="E7" s="3"/>
      <c r="F7" s="3"/>
      <c r="G7" s="3"/>
      <c r="H7" s="3"/>
      <c r="I7" s="3"/>
      <c r="J7" s="10"/>
      <c r="K7" s="10"/>
      <c r="L7" s="10"/>
      <c r="M7" s="10"/>
      <c r="N7" s="3"/>
    </row>
    <row r="8" spans="1:14" ht="15.75">
      <c r="A8" s="3" t="s">
        <v>62</v>
      </c>
      <c r="B8" s="2"/>
      <c r="C8" s="2"/>
      <c r="D8" s="2"/>
      <c r="E8" s="2"/>
      <c r="F8" s="2"/>
      <c r="G8" s="146" t="s">
        <v>165</v>
      </c>
      <c r="H8" s="344"/>
      <c r="I8" s="146" t="s">
        <v>166</v>
      </c>
      <c r="J8" s="10"/>
      <c r="K8" s="146" t="s">
        <v>167</v>
      </c>
      <c r="L8" s="10"/>
      <c r="M8" s="10"/>
      <c r="N8" s="3" t="s">
        <v>62</v>
      </c>
    </row>
    <row r="9" spans="1:14" ht="15.75">
      <c r="A9" s="77" t="s">
        <v>73</v>
      </c>
      <c r="B9" s="4"/>
      <c r="C9" s="4"/>
      <c r="D9" s="4"/>
      <c r="E9" s="4"/>
      <c r="F9" s="4"/>
      <c r="G9" s="514">
        <f>'Statement AD-WP'!F9</f>
        <v>42004</v>
      </c>
      <c r="H9" s="4"/>
      <c r="I9" s="514">
        <f>'Statement AD-WP'!H9</f>
        <v>42369</v>
      </c>
      <c r="J9" s="894"/>
      <c r="K9" s="147" t="s">
        <v>168</v>
      </c>
      <c r="L9" s="2"/>
      <c r="M9" s="33" t="s">
        <v>65</v>
      </c>
      <c r="N9" s="77" t="s">
        <v>73</v>
      </c>
    </row>
    <row r="10" spans="1:14" ht="15.75">
      <c r="A10" s="86"/>
      <c r="B10" s="4"/>
      <c r="C10" s="4"/>
      <c r="D10" s="4"/>
      <c r="E10" s="4"/>
      <c r="F10" s="4"/>
      <c r="G10" s="4"/>
      <c r="H10" s="4"/>
      <c r="I10" s="4"/>
      <c r="J10" s="10"/>
      <c r="K10" s="3"/>
      <c r="L10" s="10"/>
      <c r="M10" s="10"/>
      <c r="N10" s="86"/>
    </row>
    <row r="11" spans="1:14" ht="19.5" thickBot="1">
      <c r="A11" s="3">
        <f>A10+1</f>
        <v>1</v>
      </c>
      <c r="B11" s="111" t="s">
        <v>292</v>
      </c>
      <c r="C11" s="4"/>
      <c r="D11" s="4"/>
      <c r="E11" s="4"/>
      <c r="G11" s="186"/>
      <c r="H11" s="181"/>
      <c r="I11" s="186"/>
      <c r="J11" s="159"/>
      <c r="K11" s="477">
        <v>5859.8561965384633</v>
      </c>
      <c r="L11" s="274"/>
      <c r="M11" s="10" t="s">
        <v>915</v>
      </c>
      <c r="N11" s="3">
        <f>N10+1</f>
        <v>1</v>
      </c>
    </row>
    <row r="12" spans="1:14" ht="16.5" thickTop="1">
      <c r="A12" s="344"/>
      <c r="B12" s="4"/>
      <c r="F12" s="181"/>
      <c r="G12" s="79"/>
      <c r="H12" s="133"/>
      <c r="I12" s="79"/>
      <c r="J12" s="133"/>
      <c r="K12" s="79"/>
      <c r="L12" s="181"/>
      <c r="N12" s="344"/>
    </row>
    <row r="13" spans="1:14" ht="15.75">
      <c r="A13" s="10"/>
      <c r="F13" s="181"/>
      <c r="G13" s="181"/>
      <c r="H13" s="181"/>
      <c r="I13" s="181"/>
      <c r="J13" s="181"/>
      <c r="K13" s="181"/>
      <c r="L13" s="181"/>
      <c r="N13" s="10"/>
    </row>
    <row r="14" spans="1:14" ht="17.25">
      <c r="A14" s="258" t="s">
        <v>194</v>
      </c>
      <c r="B14" s="4" t="s">
        <v>375</v>
      </c>
      <c r="C14" s="244"/>
      <c r="N14" s="10"/>
    </row>
    <row r="15" spans="1:14" ht="15.75">
      <c r="A15" s="10"/>
      <c r="B15" s="4"/>
      <c r="C15" s="244"/>
      <c r="N15" s="10"/>
    </row>
    <row r="16" spans="1:14" ht="15.75">
      <c r="A16" s="10"/>
      <c r="B16" s="4"/>
      <c r="C16" s="244"/>
    </row>
    <row r="17" spans="1:2" ht="15.75">
      <c r="B17" s="4"/>
    </row>
    <row r="18" spans="1:2" ht="15.75">
      <c r="A18" s="274"/>
      <c r="B18" s="50"/>
    </row>
  </sheetData>
  <mergeCells count="5">
    <mergeCell ref="B6:M6"/>
    <mergeCell ref="B2:M2"/>
    <mergeCell ref="B3:M3"/>
    <mergeCell ref="B4:M4"/>
    <mergeCell ref="B5:M5"/>
  </mergeCells>
  <phoneticPr fontId="14" type="noConversion"/>
  <printOptions horizontalCentered="1"/>
  <pageMargins left="0.25" right="0.25" top="0.5" bottom="0.5" header="0.25" footer="0.25"/>
  <pageSetup scale="67" orientation="portrait" r:id="rId1"/>
  <headerFooter alignWithMargins="0">
    <oddFooter>&amp;C&amp;12Page AG1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69"/>
  <sheetViews>
    <sheetView zoomScale="80" zoomScaleNormal="80" workbookViewId="0"/>
  </sheetViews>
  <sheetFormatPr defaultRowHeight="15"/>
  <cols>
    <col min="1" max="1" width="5.28515625" style="11" bestFit="1" customWidth="1"/>
    <col min="2" max="2" width="23.7109375" customWidth="1"/>
    <col min="3" max="5" width="15.7109375" customWidth="1"/>
    <col min="6" max="6" width="10.140625" customWidth="1"/>
    <col min="7" max="7" width="1.7109375" customWidth="1"/>
    <col min="8" max="8" width="15.7109375" style="395" customWidth="1"/>
    <col min="9" max="9" width="1.7109375" customWidth="1"/>
    <col min="10" max="10" width="53" bestFit="1" customWidth="1"/>
    <col min="11" max="11" width="5.28515625" bestFit="1" customWidth="1"/>
    <col min="13" max="13" width="20.5703125" bestFit="1" customWidth="1"/>
  </cols>
  <sheetData>
    <row r="1" spans="1:11" ht="15.75">
      <c r="A1" s="3"/>
      <c r="B1" s="4"/>
      <c r="C1" s="4"/>
      <c r="D1" s="4"/>
      <c r="E1" s="4"/>
      <c r="F1" s="4"/>
      <c r="G1" s="4"/>
      <c r="H1" s="4"/>
      <c r="I1" s="10"/>
      <c r="J1" s="10"/>
      <c r="K1" s="3"/>
    </row>
    <row r="2" spans="1:11" ht="15.75">
      <c r="A2" s="10"/>
      <c r="B2" s="1161" t="s">
        <v>42</v>
      </c>
      <c r="C2" s="1161"/>
      <c r="D2" s="1161"/>
      <c r="E2" s="1161"/>
      <c r="F2" s="1161"/>
      <c r="G2" s="1161"/>
      <c r="H2" s="1161"/>
      <c r="I2" s="1165"/>
      <c r="J2" s="1165"/>
      <c r="K2" s="10"/>
    </row>
    <row r="3" spans="1:11" ht="15.75">
      <c r="A3" s="10"/>
      <c r="B3" s="1161" t="s">
        <v>172</v>
      </c>
      <c r="C3" s="1161"/>
      <c r="D3" s="1161"/>
      <c r="E3" s="1161"/>
      <c r="F3" s="1161"/>
      <c r="G3" s="1161"/>
      <c r="H3" s="1161"/>
      <c r="I3" s="1165"/>
      <c r="J3" s="1165"/>
      <c r="K3" s="10"/>
    </row>
    <row r="4" spans="1:11" ht="15.75">
      <c r="A4" s="10"/>
      <c r="B4" s="1161" t="s">
        <v>48</v>
      </c>
      <c r="C4" s="1161"/>
      <c r="D4" s="1161"/>
      <c r="E4" s="1161"/>
      <c r="F4" s="1161"/>
      <c r="G4" s="1161"/>
      <c r="H4" s="1161"/>
      <c r="I4" s="1165"/>
      <c r="J4" s="1165"/>
      <c r="K4" s="10"/>
    </row>
    <row r="5" spans="1:11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67"/>
      <c r="J5" s="1167"/>
      <c r="K5" s="10"/>
    </row>
    <row r="6" spans="1:11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0"/>
    </row>
    <row r="7" spans="1:11" ht="15.75">
      <c r="A7" s="10"/>
      <c r="B7" s="3"/>
      <c r="C7" s="3"/>
      <c r="D7" s="3"/>
      <c r="E7" s="3"/>
      <c r="F7" s="3"/>
      <c r="G7" s="3"/>
      <c r="H7" s="174"/>
      <c r="I7" s="2"/>
      <c r="J7" s="10"/>
      <c r="K7" s="10"/>
    </row>
    <row r="8" spans="1:11" ht="15.75">
      <c r="A8" s="10" t="s">
        <v>62</v>
      </c>
      <c r="B8" s="2"/>
      <c r="C8" s="2"/>
      <c r="D8" s="2"/>
      <c r="E8" s="2"/>
      <c r="F8" s="2"/>
      <c r="G8" s="2"/>
      <c r="H8" s="151"/>
      <c r="I8" s="2"/>
      <c r="J8" s="10"/>
      <c r="K8" s="10" t="s">
        <v>62</v>
      </c>
    </row>
    <row r="9" spans="1:11" ht="15.75">
      <c r="A9" s="77" t="s">
        <v>63</v>
      </c>
      <c r="B9" s="4"/>
      <c r="C9" s="2" t="s">
        <v>39</v>
      </c>
      <c r="D9" s="2"/>
      <c r="E9" s="2"/>
      <c r="F9" s="2"/>
      <c r="G9" s="2"/>
      <c r="H9" s="147" t="s">
        <v>69</v>
      </c>
      <c r="I9" s="2"/>
      <c r="J9" s="33" t="s">
        <v>65</v>
      </c>
      <c r="K9" s="77" t="s">
        <v>63</v>
      </c>
    </row>
    <row r="10" spans="1:11" ht="15.75">
      <c r="A10" s="87"/>
      <c r="B10" s="4"/>
      <c r="C10" s="357"/>
      <c r="D10" s="357"/>
      <c r="E10" s="357"/>
      <c r="F10" s="357"/>
      <c r="G10" s="357"/>
      <c r="H10" s="362"/>
      <c r="I10" s="357"/>
      <c r="J10" s="48"/>
      <c r="K10" s="87"/>
    </row>
    <row r="11" spans="1:11" ht="15.75">
      <c r="A11" s="3">
        <v>1</v>
      </c>
      <c r="B11" s="90" t="s">
        <v>16</v>
      </c>
      <c r="C11" s="4"/>
      <c r="D11" s="4"/>
      <c r="E11" s="4"/>
      <c r="F11" s="4"/>
      <c r="G11" s="4"/>
      <c r="H11" s="4"/>
      <c r="I11" s="10"/>
      <c r="J11" s="10"/>
      <c r="K11" s="3">
        <v>1</v>
      </c>
    </row>
    <row r="12" spans="1:11" ht="15.75">
      <c r="A12" s="3">
        <f>+A11+1</f>
        <v>2</v>
      </c>
      <c r="B12" s="5" t="s">
        <v>814</v>
      </c>
      <c r="C12" s="4"/>
      <c r="D12" s="4"/>
      <c r="E12" s="4"/>
      <c r="F12" s="4"/>
      <c r="G12" s="4"/>
      <c r="H12" s="452">
        <v>85341.097000000009</v>
      </c>
      <c r="I12" s="35"/>
      <c r="J12" s="238" t="s">
        <v>1190</v>
      </c>
      <c r="K12" s="3">
        <f>+K11+1</f>
        <v>2</v>
      </c>
    </row>
    <row r="13" spans="1:11" ht="15.75">
      <c r="A13" s="344">
        <f t="shared" ref="A13:A18" si="0">+A12+1</f>
        <v>3</v>
      </c>
      <c r="B13" s="7" t="s">
        <v>815</v>
      </c>
      <c r="C13" s="4"/>
      <c r="D13" s="4"/>
      <c r="E13" s="4"/>
      <c r="F13" s="4"/>
      <c r="G13" s="4"/>
      <c r="H13" s="169"/>
      <c r="I13" s="35"/>
      <c r="J13" s="238"/>
      <c r="K13" s="344">
        <f t="shared" ref="K13:K21" si="1">+K12+1</f>
        <v>3</v>
      </c>
    </row>
    <row r="14" spans="1:11" ht="15.75">
      <c r="A14" s="344">
        <f t="shared" si="0"/>
        <v>4</v>
      </c>
      <c r="B14" s="5" t="s">
        <v>795</v>
      </c>
      <c r="C14" s="4"/>
      <c r="D14" s="4"/>
      <c r="E14" s="4"/>
      <c r="F14" s="5"/>
      <c r="G14" s="5"/>
      <c r="H14" s="446">
        <v>-6719.1620500000008</v>
      </c>
      <c r="I14" s="37"/>
      <c r="J14" s="238" t="s">
        <v>1191</v>
      </c>
      <c r="K14" s="344">
        <f t="shared" si="1"/>
        <v>4</v>
      </c>
    </row>
    <row r="15" spans="1:11" ht="15.75">
      <c r="A15" s="344">
        <f t="shared" si="0"/>
        <v>5</v>
      </c>
      <c r="B15" s="5" t="s">
        <v>796</v>
      </c>
      <c r="C15" s="5"/>
      <c r="D15" s="5"/>
      <c r="E15" s="5"/>
      <c r="F15" s="4"/>
      <c r="G15" s="4"/>
      <c r="H15" s="448">
        <v>-3031.2467700000002</v>
      </c>
      <c r="I15" s="35"/>
      <c r="J15" s="238" t="s">
        <v>1192</v>
      </c>
      <c r="K15" s="344">
        <f t="shared" si="1"/>
        <v>5</v>
      </c>
    </row>
    <row r="16" spans="1:11" ht="15.75">
      <c r="A16" s="344">
        <f t="shared" si="0"/>
        <v>6</v>
      </c>
      <c r="B16" s="5" t="s">
        <v>797</v>
      </c>
      <c r="C16" s="4"/>
      <c r="D16" s="4"/>
      <c r="E16" s="4"/>
      <c r="F16" s="4"/>
      <c r="G16" s="4"/>
      <c r="H16" s="448">
        <v>0</v>
      </c>
      <c r="I16" s="35"/>
      <c r="J16" s="238" t="s">
        <v>1172</v>
      </c>
      <c r="K16" s="344">
        <f t="shared" si="1"/>
        <v>6</v>
      </c>
    </row>
    <row r="17" spans="1:13" ht="15.75">
      <c r="A17" s="344">
        <f t="shared" si="0"/>
        <v>7</v>
      </c>
      <c r="B17" s="5" t="s">
        <v>798</v>
      </c>
      <c r="C17" s="4"/>
      <c r="D17" s="4"/>
      <c r="E17" s="4"/>
      <c r="F17" s="4"/>
      <c r="G17" s="4"/>
      <c r="H17" s="446">
        <v>-7436.97775</v>
      </c>
      <c r="I17" s="35"/>
      <c r="J17" s="238" t="s">
        <v>1251</v>
      </c>
      <c r="K17" s="344">
        <f t="shared" si="1"/>
        <v>7</v>
      </c>
    </row>
    <row r="18" spans="1:13" ht="15.75">
      <c r="A18" s="344">
        <f t="shared" si="0"/>
        <v>8</v>
      </c>
      <c r="B18" s="5" t="s">
        <v>925</v>
      </c>
      <c r="C18" s="4"/>
      <c r="D18" s="4"/>
      <c r="E18" s="4"/>
      <c r="F18" s="4"/>
      <c r="G18" s="4"/>
      <c r="H18" s="451">
        <v>0</v>
      </c>
      <c r="I18" s="55"/>
      <c r="J18" s="238" t="s">
        <v>1250</v>
      </c>
      <c r="K18" s="344">
        <f t="shared" si="1"/>
        <v>8</v>
      </c>
    </row>
    <row r="19" spans="1:13" ht="15.75">
      <c r="A19" s="344">
        <f t="shared" ref="A19:A66" si="2">+A18+1</f>
        <v>9</v>
      </c>
      <c r="B19" s="4" t="s">
        <v>799</v>
      </c>
      <c r="C19" s="4"/>
      <c r="D19" s="4"/>
      <c r="E19" s="4"/>
      <c r="F19" s="4"/>
      <c r="G19" s="4"/>
      <c r="H19" s="74">
        <f>SUM(H12:H18)</f>
        <v>68153.710430000006</v>
      </c>
      <c r="I19" s="55"/>
      <c r="J19" s="240" t="s">
        <v>794</v>
      </c>
      <c r="K19" s="344">
        <f t="shared" si="1"/>
        <v>9</v>
      </c>
    </row>
    <row r="20" spans="1:13" ht="15.75">
      <c r="A20" s="344">
        <f t="shared" si="2"/>
        <v>10</v>
      </c>
      <c r="B20" s="221"/>
      <c r="C20" s="4"/>
      <c r="D20" s="4"/>
      <c r="E20" s="4"/>
      <c r="F20" s="4"/>
      <c r="G20" s="4"/>
      <c r="H20" s="68"/>
      <c r="I20" s="4"/>
      <c r="J20" s="221"/>
      <c r="K20" s="344">
        <f t="shared" si="1"/>
        <v>10</v>
      </c>
    </row>
    <row r="21" spans="1:13" ht="15.75">
      <c r="A21" s="344">
        <f t="shared" si="2"/>
        <v>11</v>
      </c>
      <c r="B21" s="91" t="s">
        <v>17</v>
      </c>
      <c r="C21" s="230"/>
      <c r="D21" s="4"/>
      <c r="E21" s="5"/>
      <c r="F21" s="5"/>
      <c r="G21" s="5"/>
      <c r="H21" s="155"/>
      <c r="I21" s="41"/>
      <c r="J21" s="238"/>
      <c r="K21" s="344">
        <f t="shared" si="1"/>
        <v>11</v>
      </c>
    </row>
    <row r="22" spans="1:13" ht="15.75">
      <c r="A22" s="344">
        <f t="shared" si="2"/>
        <v>12</v>
      </c>
      <c r="B22" s="7" t="s">
        <v>522</v>
      </c>
      <c r="C22" s="230"/>
      <c r="D22" s="4"/>
      <c r="E22" s="5"/>
      <c r="F22" s="5"/>
      <c r="G22" s="5"/>
      <c r="H22" s="449">
        <v>330182.54595999996</v>
      </c>
      <c r="I22" s="274"/>
      <c r="J22" s="238" t="s">
        <v>916</v>
      </c>
      <c r="K22" s="230">
        <f t="shared" ref="K22:K66" si="3">+K21+1</f>
        <v>12</v>
      </c>
    </row>
    <row r="23" spans="1:13" ht="15.75">
      <c r="A23" s="3">
        <f t="shared" si="2"/>
        <v>13</v>
      </c>
      <c r="B23" s="7" t="s">
        <v>523</v>
      </c>
      <c r="C23" s="230"/>
      <c r="D23" s="4"/>
      <c r="E23" s="5"/>
      <c r="F23" s="5"/>
      <c r="G23" s="5"/>
      <c r="H23" s="62" t="s">
        <v>39</v>
      </c>
      <c r="I23" s="37"/>
      <c r="J23" s="238"/>
      <c r="K23" s="230">
        <f t="shared" si="3"/>
        <v>13</v>
      </c>
    </row>
    <row r="24" spans="1:13" ht="15.75">
      <c r="A24" s="263">
        <f t="shared" si="2"/>
        <v>14</v>
      </c>
      <c r="B24" s="7" t="s">
        <v>524</v>
      </c>
      <c r="C24" s="230"/>
      <c r="D24" s="4"/>
      <c r="E24" s="5"/>
      <c r="F24" s="5"/>
      <c r="G24" s="5"/>
      <c r="H24" s="446">
        <v>1102.5918800000002</v>
      </c>
      <c r="I24" s="37"/>
      <c r="J24" s="238" t="s">
        <v>1176</v>
      </c>
      <c r="K24" s="263">
        <f t="shared" si="3"/>
        <v>14</v>
      </c>
    </row>
    <row r="25" spans="1:13" ht="15.75">
      <c r="A25" s="272">
        <f t="shared" si="2"/>
        <v>15</v>
      </c>
      <c r="B25" s="7" t="s">
        <v>299</v>
      </c>
      <c r="C25" s="272"/>
      <c r="D25" s="4"/>
      <c r="E25" s="5"/>
      <c r="F25" s="5"/>
      <c r="G25" s="5"/>
      <c r="H25" s="996">
        <v>0</v>
      </c>
      <c r="I25" s="37"/>
      <c r="J25" s="238" t="s">
        <v>1185</v>
      </c>
      <c r="K25" s="272">
        <f t="shared" si="3"/>
        <v>15</v>
      </c>
    </row>
    <row r="26" spans="1:13" ht="15.75">
      <c r="A26" s="344">
        <f t="shared" si="2"/>
        <v>16</v>
      </c>
      <c r="B26" s="7" t="s">
        <v>767</v>
      </c>
      <c r="C26" s="263"/>
      <c r="D26" s="4"/>
      <c r="E26" s="5"/>
      <c r="F26" s="5"/>
      <c r="G26" s="5"/>
      <c r="H26" s="996">
        <v>0</v>
      </c>
      <c r="I26" s="994"/>
      <c r="J26" s="238" t="s">
        <v>1186</v>
      </c>
      <c r="K26" s="344">
        <f t="shared" si="3"/>
        <v>16</v>
      </c>
    </row>
    <row r="27" spans="1:13" ht="18.75">
      <c r="A27" s="344">
        <f t="shared" si="2"/>
        <v>17</v>
      </c>
      <c r="B27" s="7" t="s">
        <v>829</v>
      </c>
      <c r="C27" s="273"/>
      <c r="D27" s="4"/>
      <c r="E27" s="5"/>
      <c r="F27" s="5"/>
      <c r="G27" s="5"/>
      <c r="H27" s="996">
        <v>0</v>
      </c>
      <c r="I27" s="37"/>
      <c r="J27" s="238" t="s">
        <v>1177</v>
      </c>
      <c r="K27" s="273">
        <f t="shared" si="3"/>
        <v>17</v>
      </c>
    </row>
    <row r="28" spans="1:13" ht="15.75">
      <c r="A28" s="273">
        <f>+A27+1</f>
        <v>18</v>
      </c>
      <c r="B28" s="7" t="s">
        <v>800</v>
      </c>
      <c r="C28" s="263"/>
      <c r="D28" s="4"/>
      <c r="E28" s="5"/>
      <c r="F28" s="5"/>
      <c r="G28" s="5"/>
      <c r="H28" s="446">
        <v>-1112.4345899999998</v>
      </c>
      <c r="I28" s="37"/>
      <c r="J28" s="238" t="s">
        <v>1178</v>
      </c>
      <c r="K28" s="273">
        <f>+K27+1</f>
        <v>18</v>
      </c>
    </row>
    <row r="29" spans="1:13" ht="15.75">
      <c r="A29" s="344">
        <f t="shared" ref="A29:A38" si="4">+A28+1</f>
        <v>19</v>
      </c>
      <c r="B29" s="7" t="s">
        <v>258</v>
      </c>
      <c r="C29" s="230"/>
      <c r="D29" s="4"/>
      <c r="E29" s="5"/>
      <c r="F29" s="4"/>
      <c r="G29" s="4"/>
      <c r="H29" s="446">
        <v>-4565.8067599999995</v>
      </c>
      <c r="I29" s="274"/>
      <c r="J29" s="238" t="s">
        <v>1179</v>
      </c>
      <c r="K29" s="344">
        <f t="shared" ref="K29:K37" si="5">+K28+1</f>
        <v>19</v>
      </c>
      <c r="M29" s="610"/>
    </row>
    <row r="30" spans="1:13" ht="15.75">
      <c r="A30" s="344">
        <f t="shared" si="4"/>
        <v>20</v>
      </c>
      <c r="B30" s="7" t="s">
        <v>776</v>
      </c>
      <c r="C30" s="272"/>
      <c r="D30" s="4"/>
      <c r="E30" s="5"/>
      <c r="F30" s="5"/>
      <c r="G30" s="5"/>
      <c r="H30" s="446">
        <v>-136.09141</v>
      </c>
      <c r="I30" s="37"/>
      <c r="J30" s="238" t="s">
        <v>1180</v>
      </c>
      <c r="K30" s="344">
        <f t="shared" si="5"/>
        <v>20</v>
      </c>
    </row>
    <row r="31" spans="1:13" ht="15.75">
      <c r="A31" s="344">
        <f t="shared" si="4"/>
        <v>21</v>
      </c>
      <c r="B31" s="7" t="s">
        <v>259</v>
      </c>
      <c r="C31" s="4"/>
      <c r="D31" s="4"/>
      <c r="E31" s="4"/>
      <c r="F31" s="4"/>
      <c r="G31" s="4"/>
      <c r="H31" s="446">
        <v>-80.447010000000006</v>
      </c>
      <c r="I31" s="274"/>
      <c r="J31" s="238" t="s">
        <v>1181</v>
      </c>
      <c r="K31" s="344">
        <f t="shared" si="5"/>
        <v>21</v>
      </c>
    </row>
    <row r="32" spans="1:13" ht="30">
      <c r="A32" s="338">
        <f t="shared" si="4"/>
        <v>22</v>
      </c>
      <c r="B32" s="889" t="s">
        <v>260</v>
      </c>
      <c r="C32" s="337"/>
      <c r="D32" s="337"/>
      <c r="E32" s="337"/>
      <c r="F32" s="337"/>
      <c r="G32" s="337"/>
      <c r="H32" s="890">
        <v>-11342.476760000001</v>
      </c>
      <c r="I32" s="891"/>
      <c r="J32" s="892" t="s">
        <v>1244</v>
      </c>
      <c r="K32" s="338">
        <f t="shared" si="5"/>
        <v>22</v>
      </c>
    </row>
    <row r="33" spans="1:11" ht="15.75">
      <c r="A33" s="344">
        <f t="shared" si="4"/>
        <v>23</v>
      </c>
      <c r="B33" s="7" t="s">
        <v>261</v>
      </c>
      <c r="C33" s="4"/>
      <c r="D33" s="4"/>
      <c r="E33" s="4"/>
      <c r="F33" s="4"/>
      <c r="G33" s="4"/>
      <c r="H33" s="446">
        <v>-180.42536000000001</v>
      </c>
      <c r="I33" s="37"/>
      <c r="J33" s="238" t="s">
        <v>1242</v>
      </c>
      <c r="K33" s="344">
        <f t="shared" si="5"/>
        <v>23</v>
      </c>
    </row>
    <row r="34" spans="1:11" ht="15.75">
      <c r="A34" s="344">
        <f t="shared" si="4"/>
        <v>24</v>
      </c>
      <c r="B34" s="7" t="s">
        <v>262</v>
      </c>
      <c r="C34" s="230"/>
      <c r="D34" s="4"/>
      <c r="E34" s="5"/>
      <c r="F34" s="4"/>
      <c r="G34" s="4"/>
      <c r="H34" s="446">
        <v>-60.486640000000001</v>
      </c>
      <c r="I34" s="37"/>
      <c r="J34" s="238" t="s">
        <v>1243</v>
      </c>
      <c r="K34" s="344">
        <f t="shared" si="5"/>
        <v>24</v>
      </c>
    </row>
    <row r="35" spans="1:11" ht="15.75">
      <c r="A35" s="344">
        <f t="shared" si="4"/>
        <v>25</v>
      </c>
      <c r="B35" s="7" t="s">
        <v>1132</v>
      </c>
      <c r="C35" s="344"/>
      <c r="D35" s="4"/>
      <c r="E35" s="5"/>
      <c r="F35" s="5"/>
      <c r="G35" s="5"/>
      <c r="H35" s="447">
        <v>-914.71908999999994</v>
      </c>
      <c r="I35" s="274"/>
      <c r="J35" s="238" t="s">
        <v>1249</v>
      </c>
      <c r="K35" s="344">
        <f t="shared" si="5"/>
        <v>25</v>
      </c>
    </row>
    <row r="36" spans="1:11" ht="15.75">
      <c r="A36" s="344">
        <f t="shared" si="4"/>
        <v>26</v>
      </c>
      <c r="B36" s="7" t="s">
        <v>801</v>
      </c>
      <c r="C36" s="230"/>
      <c r="D36" s="4"/>
      <c r="E36" s="5"/>
      <c r="F36" s="4"/>
      <c r="G36" s="4"/>
      <c r="H36" s="233">
        <f>SUM(H22:H35)</f>
        <v>312892.25021999993</v>
      </c>
      <c r="I36" s="994"/>
      <c r="J36" s="238" t="s">
        <v>802</v>
      </c>
      <c r="K36" s="344">
        <f t="shared" si="5"/>
        <v>26</v>
      </c>
    </row>
    <row r="37" spans="1:11" ht="15.75">
      <c r="A37" s="344">
        <f t="shared" si="4"/>
        <v>27</v>
      </c>
      <c r="B37" s="7" t="s">
        <v>809</v>
      </c>
      <c r="C37" s="230"/>
      <c r="D37" s="4"/>
      <c r="E37" s="5"/>
      <c r="F37" s="4"/>
      <c r="G37" s="4"/>
      <c r="H37" s="447">
        <v>-5855.2953999999991</v>
      </c>
      <c r="I37" s="274"/>
      <c r="J37" s="238" t="s">
        <v>1182</v>
      </c>
      <c r="K37" s="344">
        <f t="shared" si="5"/>
        <v>27</v>
      </c>
    </row>
    <row r="38" spans="1:11" ht="15.75">
      <c r="A38" s="344">
        <f t="shared" si="4"/>
        <v>28</v>
      </c>
      <c r="B38" s="7" t="s">
        <v>24</v>
      </c>
      <c r="C38" s="230"/>
      <c r="D38" s="4"/>
      <c r="E38" s="5"/>
      <c r="F38" s="4"/>
      <c r="G38" s="4"/>
      <c r="H38" s="233">
        <f>SUM(H36:H37)</f>
        <v>307036.95481999993</v>
      </c>
      <c r="I38" s="994"/>
      <c r="J38" s="238" t="s">
        <v>803</v>
      </c>
      <c r="K38" s="230">
        <f t="shared" si="3"/>
        <v>28</v>
      </c>
    </row>
    <row r="39" spans="1:11" ht="15.75">
      <c r="A39" s="262">
        <f t="shared" si="2"/>
        <v>29</v>
      </c>
      <c r="B39" s="4" t="s">
        <v>87</v>
      </c>
      <c r="C39" s="3"/>
      <c r="D39" s="4"/>
      <c r="E39" s="5"/>
      <c r="F39" s="5"/>
      <c r="G39" s="5"/>
      <c r="H39" s="419">
        <f>'Statement AI-WP'!G29</f>
        <v>0.16950000000000001</v>
      </c>
      <c r="I39" s="9"/>
      <c r="J39" s="240" t="s">
        <v>502</v>
      </c>
      <c r="K39" s="230">
        <f t="shared" si="3"/>
        <v>29</v>
      </c>
    </row>
    <row r="40" spans="1:11" ht="16.5" thickBot="1">
      <c r="A40" s="262">
        <f t="shared" si="2"/>
        <v>30</v>
      </c>
      <c r="B40" s="7" t="s">
        <v>111</v>
      </c>
      <c r="C40" s="3"/>
      <c r="D40" s="4"/>
      <c r="E40" s="5"/>
      <c r="F40" s="5"/>
      <c r="G40" s="5"/>
      <c r="H40" s="420">
        <f>ROUND(H38*H39,0)</f>
        <v>52043</v>
      </c>
      <c r="I40" s="994"/>
      <c r="J40" s="222" t="s">
        <v>804</v>
      </c>
      <c r="K40" s="230">
        <f t="shared" si="3"/>
        <v>30</v>
      </c>
    </row>
    <row r="41" spans="1:11" ht="16.5" thickTop="1">
      <c r="A41" s="262">
        <f t="shared" si="2"/>
        <v>31</v>
      </c>
      <c r="B41" s="6"/>
      <c r="C41" s="3"/>
      <c r="D41" s="4"/>
      <c r="E41" s="5"/>
      <c r="F41" s="5"/>
      <c r="G41" s="5"/>
      <c r="H41" s="488"/>
      <c r="I41" s="19"/>
      <c r="J41" s="222"/>
      <c r="K41" s="230">
        <f t="shared" si="3"/>
        <v>31</v>
      </c>
    </row>
    <row r="42" spans="1:11" ht="15.75">
      <c r="A42" s="262">
        <f t="shared" si="2"/>
        <v>32</v>
      </c>
      <c r="B42" s="91" t="s">
        <v>23</v>
      </c>
      <c r="C42" s="3"/>
      <c r="D42" s="4"/>
      <c r="E42" s="5"/>
      <c r="F42" s="5"/>
      <c r="G42" s="5"/>
      <c r="H42" s="160"/>
      <c r="I42" s="19"/>
      <c r="J42" s="222"/>
      <c r="K42" s="230">
        <f t="shared" si="3"/>
        <v>32</v>
      </c>
    </row>
    <row r="43" spans="1:11" ht="15.75">
      <c r="A43" s="262">
        <f t="shared" si="2"/>
        <v>33</v>
      </c>
      <c r="B43" s="7" t="s">
        <v>693</v>
      </c>
      <c r="C43" s="3"/>
      <c r="D43" s="4"/>
      <c r="E43" s="5"/>
      <c r="F43" s="5"/>
      <c r="G43" s="5"/>
      <c r="H43" s="370">
        <f>'Statement AD-WP'!J29</f>
        <v>4574357.6782376915</v>
      </c>
      <c r="I43" s="274"/>
      <c r="J43" s="21" t="s">
        <v>1124</v>
      </c>
      <c r="K43" s="3">
        <f t="shared" si="3"/>
        <v>33</v>
      </c>
    </row>
    <row r="44" spans="1:11" ht="15.75">
      <c r="A44" s="344">
        <f t="shared" si="2"/>
        <v>34</v>
      </c>
      <c r="B44" s="7" t="s">
        <v>154</v>
      </c>
      <c r="C44" s="344"/>
      <c r="D44" s="4"/>
      <c r="E44" s="5"/>
      <c r="F44" s="5"/>
      <c r="G44" s="5"/>
      <c r="H44" s="681">
        <v>0</v>
      </c>
      <c r="I44" s="274"/>
      <c r="J44" s="19" t="s">
        <v>629</v>
      </c>
      <c r="K44" s="344">
        <f t="shared" si="3"/>
        <v>34</v>
      </c>
    </row>
    <row r="45" spans="1:11" ht="15.75">
      <c r="A45" s="344">
        <f t="shared" si="2"/>
        <v>35</v>
      </c>
      <c r="B45" s="7" t="s">
        <v>98</v>
      </c>
      <c r="C45" s="3"/>
      <c r="D45" s="4"/>
      <c r="E45" s="5"/>
      <c r="F45" s="5"/>
      <c r="G45" s="5"/>
      <c r="H45" s="371">
        <f>'Statement AD-WP'!J43</f>
        <v>52855</v>
      </c>
      <c r="I45" s="19"/>
      <c r="J45" s="21" t="s">
        <v>1125</v>
      </c>
      <c r="K45" s="344">
        <f t="shared" si="3"/>
        <v>35</v>
      </c>
    </row>
    <row r="46" spans="1:11" ht="15.75">
      <c r="A46" s="344">
        <f t="shared" si="2"/>
        <v>36</v>
      </c>
      <c r="B46" s="7" t="s">
        <v>112</v>
      </c>
      <c r="C46" s="3"/>
      <c r="D46" s="4"/>
      <c r="E46" s="5"/>
      <c r="F46" s="5"/>
      <c r="G46" s="5"/>
      <c r="H46" s="682">
        <f>'Statement AD-WP'!J45</f>
        <v>113784</v>
      </c>
      <c r="I46" s="19"/>
      <c r="J46" s="21" t="s">
        <v>1126</v>
      </c>
      <c r="K46" s="344">
        <f t="shared" si="3"/>
        <v>36</v>
      </c>
    </row>
    <row r="47" spans="1:11" ht="16.5" thickBot="1">
      <c r="A47" s="344">
        <f t="shared" si="2"/>
        <v>37</v>
      </c>
      <c r="B47" s="7" t="s">
        <v>18</v>
      </c>
      <c r="C47" s="3"/>
      <c r="D47" s="4"/>
      <c r="E47" s="5"/>
      <c r="F47" s="5"/>
      <c r="G47" s="5"/>
      <c r="H47" s="420">
        <f>SUM(H43:H46)</f>
        <v>4740996.6782376915</v>
      </c>
      <c r="I47" s="274"/>
      <c r="J47" s="222" t="s">
        <v>805</v>
      </c>
      <c r="K47" s="344">
        <f t="shared" si="3"/>
        <v>37</v>
      </c>
    </row>
    <row r="48" spans="1:11" ht="16.5" thickTop="1">
      <c r="A48" s="262">
        <f t="shared" si="2"/>
        <v>38</v>
      </c>
      <c r="B48" s="6"/>
      <c r="C48" s="3"/>
      <c r="D48" s="4"/>
      <c r="E48" s="5"/>
      <c r="F48" s="5"/>
      <c r="G48" s="5"/>
      <c r="H48" s="68"/>
      <c r="I48" s="19"/>
      <c r="J48" s="222"/>
      <c r="K48" s="3">
        <f t="shared" si="3"/>
        <v>38</v>
      </c>
    </row>
    <row r="49" spans="1:11" ht="15.75">
      <c r="A49" s="262">
        <f t="shared" si="2"/>
        <v>39</v>
      </c>
      <c r="B49" s="7" t="s">
        <v>664</v>
      </c>
      <c r="C49" s="3"/>
      <c r="D49" s="4"/>
      <c r="E49" s="5"/>
      <c r="F49" s="5"/>
      <c r="G49" s="5"/>
      <c r="H49" s="387">
        <f>'Statement AD-WP'!J39</f>
        <v>4574357.6782376915</v>
      </c>
      <c r="I49" s="274"/>
      <c r="J49" s="21" t="s">
        <v>1124</v>
      </c>
      <c r="K49" s="3">
        <f>+K48+1</f>
        <v>39</v>
      </c>
    </row>
    <row r="50" spans="1:11" ht="15.75">
      <c r="A50" s="262">
        <f t="shared" si="2"/>
        <v>40</v>
      </c>
      <c r="B50" s="7" t="s">
        <v>19</v>
      </c>
      <c r="C50" s="3"/>
      <c r="D50" s="4"/>
      <c r="E50" s="5"/>
      <c r="F50" s="5"/>
      <c r="G50" s="5"/>
      <c r="H50" s="378">
        <f>'Statement AD-WP'!J13</f>
        <v>548493.07206076931</v>
      </c>
      <c r="I50" s="274"/>
      <c r="J50" s="21" t="s">
        <v>1024</v>
      </c>
      <c r="K50" s="3">
        <f t="shared" si="3"/>
        <v>40</v>
      </c>
    </row>
    <row r="51" spans="1:11" ht="15.75">
      <c r="A51" s="262">
        <f>+A52+1</f>
        <v>42</v>
      </c>
      <c r="B51" s="7" t="s">
        <v>21</v>
      </c>
      <c r="C51" s="3"/>
      <c r="D51" s="4"/>
      <c r="E51" s="5"/>
      <c r="F51" s="5"/>
      <c r="G51" s="5"/>
      <c r="H51" s="681">
        <v>0</v>
      </c>
      <c r="I51" s="19"/>
      <c r="J51" s="19" t="s">
        <v>629</v>
      </c>
      <c r="K51" s="3">
        <f>+K52+1</f>
        <v>42</v>
      </c>
    </row>
    <row r="52" spans="1:11" ht="15.75">
      <c r="A52" s="262">
        <f>+A50+1</f>
        <v>41</v>
      </c>
      <c r="B52" s="7" t="s">
        <v>20</v>
      </c>
      <c r="C52" s="3"/>
      <c r="D52" s="4"/>
      <c r="E52" s="5"/>
      <c r="F52" s="5"/>
      <c r="G52" s="5"/>
      <c r="H52" s="378">
        <f>'Statement AD-WP'!J19</f>
        <v>485944.00622230762</v>
      </c>
      <c r="I52" s="274"/>
      <c r="J52" s="21" t="s">
        <v>1027</v>
      </c>
      <c r="K52" s="3">
        <f>+K50+1</f>
        <v>41</v>
      </c>
    </row>
    <row r="53" spans="1:11" ht="15.75">
      <c r="A53" s="262">
        <f>+A51+1</f>
        <v>43</v>
      </c>
      <c r="B53" s="7" t="s">
        <v>367</v>
      </c>
      <c r="C53" s="3"/>
      <c r="D53" s="4"/>
      <c r="E53" s="5"/>
      <c r="F53" s="5"/>
      <c r="G53" s="5"/>
      <c r="H53" s="378">
        <f>'Statement AD-WP'!J23</f>
        <v>5608558</v>
      </c>
      <c r="I53" s="19"/>
      <c r="J53" s="21" t="s">
        <v>1028</v>
      </c>
      <c r="K53" s="3">
        <f>+K51+1</f>
        <v>43</v>
      </c>
    </row>
    <row r="54" spans="1:11" ht="15.75">
      <c r="A54" s="262">
        <f t="shared" si="2"/>
        <v>44</v>
      </c>
      <c r="B54" s="7" t="s">
        <v>80</v>
      </c>
      <c r="C54" s="3"/>
      <c r="D54" s="4"/>
      <c r="E54" s="5"/>
      <c r="F54" s="5"/>
      <c r="G54" s="5"/>
      <c r="H54" s="378">
        <f>'Statement AD-WP'!J31</f>
        <v>311830</v>
      </c>
      <c r="I54" s="19"/>
      <c r="J54" s="21" t="s">
        <v>1031</v>
      </c>
      <c r="K54" s="3">
        <f t="shared" si="3"/>
        <v>44</v>
      </c>
    </row>
    <row r="55" spans="1:11" ht="15.75">
      <c r="A55" s="262">
        <f t="shared" si="2"/>
        <v>45</v>
      </c>
      <c r="B55" s="7" t="s">
        <v>79</v>
      </c>
      <c r="C55" s="3"/>
      <c r="D55" s="4"/>
      <c r="E55" s="5"/>
      <c r="F55" s="5"/>
      <c r="G55" s="5"/>
      <c r="H55" s="388">
        <f>'Statement AD-WP'!J33</f>
        <v>671293</v>
      </c>
      <c r="I55" s="19"/>
      <c r="J55" s="21" t="s">
        <v>1032</v>
      </c>
      <c r="K55" s="3">
        <f t="shared" si="3"/>
        <v>45</v>
      </c>
    </row>
    <row r="56" spans="1:11" ht="16.5" thickBot="1">
      <c r="A56" s="262">
        <f t="shared" si="2"/>
        <v>46</v>
      </c>
      <c r="B56" s="7" t="s">
        <v>22</v>
      </c>
      <c r="C56" s="3"/>
      <c r="D56" s="4"/>
      <c r="E56" s="5"/>
      <c r="F56" s="5"/>
      <c r="G56" s="5"/>
      <c r="H56" s="92">
        <f>SUM(H49:H55)</f>
        <v>12200475.756520769</v>
      </c>
      <c r="I56" s="274"/>
      <c r="J56" s="222" t="s">
        <v>806</v>
      </c>
      <c r="K56" s="3">
        <f t="shared" si="3"/>
        <v>46</v>
      </c>
    </row>
    <row r="57" spans="1:11" ht="16.5" thickTop="1">
      <c r="A57" s="262">
        <f t="shared" si="2"/>
        <v>47</v>
      </c>
      <c r="B57" s="4"/>
      <c r="C57" s="3"/>
      <c r="D57" s="4"/>
      <c r="E57" s="5"/>
      <c r="F57" s="5"/>
      <c r="G57" s="5"/>
      <c r="H57" s="28"/>
      <c r="I57" s="41"/>
      <c r="J57" s="222"/>
      <c r="K57" s="3">
        <f t="shared" si="3"/>
        <v>47</v>
      </c>
    </row>
    <row r="58" spans="1:11" ht="16.5" thickBot="1">
      <c r="A58" s="262">
        <f t="shared" si="2"/>
        <v>48</v>
      </c>
      <c r="B58" s="7" t="s">
        <v>775</v>
      </c>
      <c r="C58" s="3"/>
      <c r="D58" s="4"/>
      <c r="E58" s="5"/>
      <c r="F58" s="5"/>
      <c r="G58" s="5"/>
      <c r="H58" s="775">
        <f>ROUND(H47/H56,4)</f>
        <v>0.3886</v>
      </c>
      <c r="I58" s="4"/>
      <c r="J58" s="222" t="s">
        <v>807</v>
      </c>
      <c r="K58" s="3">
        <f t="shared" si="3"/>
        <v>48</v>
      </c>
    </row>
    <row r="59" spans="1:11" ht="16.5" thickTop="1">
      <c r="A59" s="262">
        <f t="shared" si="2"/>
        <v>49</v>
      </c>
      <c r="B59" s="7" t="s">
        <v>39</v>
      </c>
      <c r="C59" s="3"/>
      <c r="D59" s="4"/>
      <c r="E59" s="5"/>
      <c r="F59" s="5"/>
      <c r="G59" s="5"/>
      <c r="H59" s="421"/>
      <c r="I59" s="30"/>
      <c r="J59" s="222"/>
      <c r="K59" s="3">
        <f t="shared" si="3"/>
        <v>49</v>
      </c>
    </row>
    <row r="60" spans="1:11" ht="15.75">
      <c r="A60" s="262">
        <f t="shared" si="2"/>
        <v>50</v>
      </c>
      <c r="B60" s="7" t="s">
        <v>78</v>
      </c>
      <c r="C60" s="3"/>
      <c r="D60" s="4"/>
      <c r="E60" s="5"/>
      <c r="F60" s="5"/>
      <c r="G60" s="5"/>
      <c r="H60" s="417">
        <f>-H37</f>
        <v>5855.2953999999991</v>
      </c>
      <c r="I60" s="274"/>
      <c r="J60" s="222" t="s">
        <v>808</v>
      </c>
      <c r="K60" s="3">
        <f t="shared" si="3"/>
        <v>50</v>
      </c>
    </row>
    <row r="61" spans="1:11" ht="15.75">
      <c r="A61" s="262">
        <f t="shared" si="2"/>
        <v>51</v>
      </c>
      <c r="B61" s="7" t="s">
        <v>39</v>
      </c>
      <c r="C61" s="3"/>
      <c r="D61" s="4"/>
      <c r="E61" s="5"/>
      <c r="F61" s="5"/>
      <c r="G61" s="5"/>
      <c r="H61" s="423"/>
      <c r="I61" s="43"/>
      <c r="J61" s="222"/>
      <c r="K61" s="3">
        <f t="shared" si="3"/>
        <v>51</v>
      </c>
    </row>
    <row r="62" spans="1:11" ht="15.75">
      <c r="A62" s="262">
        <f t="shared" si="2"/>
        <v>52</v>
      </c>
      <c r="B62" s="4" t="s">
        <v>204</v>
      </c>
      <c r="C62" s="3"/>
      <c r="D62" s="4"/>
      <c r="E62" s="5"/>
      <c r="F62" s="5"/>
      <c r="G62" s="5"/>
      <c r="H62" s="158">
        <f>ROUND(H58*H60,0)</f>
        <v>2275</v>
      </c>
      <c r="I62" s="274"/>
      <c r="J62" s="222" t="s">
        <v>810</v>
      </c>
      <c r="K62" s="3">
        <f t="shared" si="3"/>
        <v>52</v>
      </c>
    </row>
    <row r="63" spans="1:11" ht="15.75">
      <c r="A63" s="262">
        <f t="shared" si="2"/>
        <v>53</v>
      </c>
      <c r="B63" s="4"/>
      <c r="C63" s="3"/>
      <c r="D63" s="4"/>
      <c r="E63" s="5"/>
      <c r="F63" s="5"/>
      <c r="G63" s="5"/>
      <c r="H63" s="163"/>
      <c r="I63" s="37"/>
      <c r="J63" s="222"/>
      <c r="K63" s="3">
        <f t="shared" si="3"/>
        <v>53</v>
      </c>
    </row>
    <row r="64" spans="1:11" ht="15.75">
      <c r="A64" s="262">
        <f t="shared" si="2"/>
        <v>54</v>
      </c>
      <c r="B64" s="7" t="s">
        <v>811</v>
      </c>
      <c r="C64" s="3"/>
      <c r="D64" s="4"/>
      <c r="E64" s="5"/>
      <c r="F64" s="5"/>
      <c r="G64" s="5"/>
      <c r="H64" s="682">
        <f>H40</f>
        <v>52043</v>
      </c>
      <c r="I64" s="994"/>
      <c r="J64" s="222" t="s">
        <v>385</v>
      </c>
      <c r="K64" s="3">
        <f t="shared" si="3"/>
        <v>54</v>
      </c>
    </row>
    <row r="65" spans="1:11" ht="15.75">
      <c r="A65" s="262">
        <f t="shared" si="2"/>
        <v>55</v>
      </c>
      <c r="B65" s="4"/>
      <c r="C65" s="3"/>
      <c r="D65" s="4"/>
      <c r="E65" s="5"/>
      <c r="F65" s="5"/>
      <c r="G65" s="5"/>
      <c r="H65" s="424"/>
      <c r="I65" s="41"/>
      <c r="J65" s="222"/>
      <c r="K65" s="3">
        <f t="shared" si="3"/>
        <v>55</v>
      </c>
    </row>
    <row r="66" spans="1:11" ht="16.5" thickBot="1">
      <c r="A66" s="262">
        <f t="shared" si="2"/>
        <v>56</v>
      </c>
      <c r="B66" s="7" t="s">
        <v>812</v>
      </c>
      <c r="C66" s="3"/>
      <c r="D66" s="4"/>
      <c r="E66" s="5"/>
      <c r="F66" s="5"/>
      <c r="G66" s="5"/>
      <c r="H66" s="1011">
        <f>H62+H64</f>
        <v>54318</v>
      </c>
      <c r="I66" s="994"/>
      <c r="J66" s="222" t="s">
        <v>813</v>
      </c>
      <c r="K66" s="3">
        <f t="shared" si="3"/>
        <v>56</v>
      </c>
    </row>
    <row r="67" spans="1:11" ht="16.5" thickTop="1">
      <c r="A67" s="344"/>
      <c r="B67" s="7"/>
      <c r="C67" s="344"/>
      <c r="D67" s="4"/>
      <c r="E67" s="5"/>
      <c r="F67" s="5"/>
      <c r="G67" s="5"/>
      <c r="H67" s="64"/>
      <c r="I67" s="274"/>
      <c r="J67" s="222"/>
      <c r="K67" s="344"/>
    </row>
    <row r="68" spans="1:11" ht="18.75">
      <c r="A68" s="237">
        <v>1</v>
      </c>
      <c r="B68" s="7" t="s">
        <v>830</v>
      </c>
      <c r="C68" s="4"/>
      <c r="D68" s="4"/>
      <c r="E68" s="4"/>
      <c r="F68" s="4"/>
      <c r="G68" s="4"/>
      <c r="H68" s="4"/>
      <c r="I68" s="4"/>
      <c r="J68" s="4"/>
      <c r="K68" s="3"/>
    </row>
    <row r="69" spans="1:11" ht="15.75">
      <c r="A69" s="344"/>
      <c r="B69" s="7" t="s">
        <v>831</v>
      </c>
      <c r="C69" s="3"/>
      <c r="D69" s="4"/>
      <c r="E69" s="5"/>
      <c r="F69" s="5"/>
      <c r="G69" s="5"/>
      <c r="H69" s="28"/>
      <c r="I69" s="41"/>
      <c r="J69" s="10"/>
      <c r="K69" s="3"/>
    </row>
  </sheetData>
  <mergeCells count="5">
    <mergeCell ref="B6:J6"/>
    <mergeCell ref="B2:J2"/>
    <mergeCell ref="B3:J3"/>
    <mergeCell ref="B4:J4"/>
    <mergeCell ref="B5:J5"/>
  </mergeCells>
  <phoneticPr fontId="0" type="noConversion"/>
  <printOptions horizontalCentered="1"/>
  <pageMargins left="0.25" right="0.25" top="0.5" bottom="0.5" header="0.25" footer="0.25"/>
  <pageSetup scale="63" orientation="portrait" r:id="rId1"/>
  <headerFooter alignWithMargins="0">
    <oddFooter>&amp;C&amp;12Page AH1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2"/>
  <sheetViews>
    <sheetView zoomScale="80" zoomScaleNormal="80" workbookViewId="0"/>
  </sheetViews>
  <sheetFormatPr defaultRowHeight="15"/>
  <cols>
    <col min="1" max="1" width="5.7109375" style="11" customWidth="1"/>
    <col min="2" max="2" width="20.7109375" customWidth="1"/>
    <col min="3" max="5" width="15.7109375" customWidth="1"/>
    <col min="6" max="6" width="1.7109375" customWidth="1"/>
    <col min="7" max="7" width="15.7109375" customWidth="1"/>
    <col min="8" max="8" width="1.7109375" customWidth="1"/>
    <col min="9" max="9" width="30.140625" bestFit="1" customWidth="1"/>
    <col min="10" max="10" width="5.7109375" customWidth="1"/>
    <col min="12" max="12" width="20.5703125" bestFit="1" customWidth="1"/>
  </cols>
  <sheetData>
    <row r="1" spans="1:10" ht="15.75">
      <c r="A1" s="3"/>
      <c r="B1" s="4"/>
      <c r="C1" s="4"/>
      <c r="D1" s="4"/>
      <c r="E1" s="4"/>
      <c r="F1" s="4"/>
      <c r="G1" s="27"/>
      <c r="H1" s="22"/>
      <c r="I1" s="10"/>
      <c r="J1" s="3"/>
    </row>
    <row r="2" spans="1:10" ht="15.75">
      <c r="A2" s="10"/>
      <c r="B2" s="1161" t="s">
        <v>42</v>
      </c>
      <c r="C2" s="1161"/>
      <c r="D2" s="1161"/>
      <c r="E2" s="1161"/>
      <c r="F2" s="1161"/>
      <c r="G2" s="1161"/>
      <c r="H2" s="1165"/>
      <c r="I2" s="1165"/>
      <c r="J2" s="10"/>
    </row>
    <row r="3" spans="1:10" ht="15.75">
      <c r="A3" s="10"/>
      <c r="B3" s="1161" t="s">
        <v>173</v>
      </c>
      <c r="C3" s="1161"/>
      <c r="D3" s="1161"/>
      <c r="E3" s="1161"/>
      <c r="F3" s="1161"/>
      <c r="G3" s="1161"/>
      <c r="H3" s="1165"/>
      <c r="I3" s="1165"/>
      <c r="J3" s="10"/>
    </row>
    <row r="4" spans="1:10" ht="15.75">
      <c r="A4" s="10"/>
      <c r="B4" s="1161" t="s">
        <v>50</v>
      </c>
      <c r="C4" s="1161"/>
      <c r="D4" s="1161"/>
      <c r="E4" s="1161"/>
      <c r="F4" s="1161"/>
      <c r="G4" s="1161"/>
      <c r="H4" s="1165"/>
      <c r="I4" s="1165"/>
      <c r="J4" s="10"/>
    </row>
    <row r="5" spans="1:10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67"/>
      <c r="I5" s="1167"/>
      <c r="J5" s="10"/>
    </row>
    <row r="6" spans="1:10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0"/>
    </row>
    <row r="7" spans="1:10" ht="15.75">
      <c r="A7" s="10"/>
      <c r="B7" s="3"/>
      <c r="C7" s="3"/>
      <c r="D7" s="3"/>
      <c r="E7" s="3"/>
      <c r="F7" s="3"/>
      <c r="G7" s="3"/>
      <c r="H7" s="2"/>
      <c r="I7" s="10"/>
      <c r="J7" s="10"/>
    </row>
    <row r="8" spans="1:10" ht="15.75">
      <c r="A8" s="10" t="s">
        <v>62</v>
      </c>
      <c r="B8" s="2"/>
      <c r="C8" s="2"/>
      <c r="D8" s="2"/>
      <c r="E8" s="2"/>
      <c r="F8" s="2"/>
      <c r="G8" s="2"/>
      <c r="H8" s="2"/>
      <c r="I8" s="10"/>
      <c r="J8" s="10" t="s">
        <v>62</v>
      </c>
    </row>
    <row r="9" spans="1:10" ht="15.75">
      <c r="A9" s="33" t="s">
        <v>63</v>
      </c>
      <c r="B9" s="5"/>
      <c r="C9" s="4"/>
      <c r="D9" s="4"/>
      <c r="E9" s="4"/>
      <c r="F9" s="4"/>
      <c r="G9" s="147" t="s">
        <v>69</v>
      </c>
      <c r="H9" s="10"/>
      <c r="I9" s="33" t="s">
        <v>65</v>
      </c>
      <c r="J9" s="33" t="s">
        <v>63</v>
      </c>
    </row>
    <row r="10" spans="1:10" ht="15.75">
      <c r="A10" s="3"/>
      <c r="B10" s="4"/>
      <c r="C10" s="4"/>
      <c r="D10" s="4"/>
      <c r="E10" s="4"/>
      <c r="F10" s="4"/>
      <c r="G10" s="4"/>
      <c r="H10" s="10"/>
      <c r="I10" s="47"/>
      <c r="J10" s="3"/>
    </row>
    <row r="11" spans="1:10" ht="15.75">
      <c r="A11" s="3">
        <v>1</v>
      </c>
      <c r="B11" s="4" t="s">
        <v>107</v>
      </c>
      <c r="C11" s="4"/>
      <c r="D11" s="4"/>
      <c r="E11" s="4"/>
      <c r="F11" s="4"/>
      <c r="G11" s="452">
        <v>12801.764399999998</v>
      </c>
      <c r="H11" s="35"/>
      <c r="I11" s="467" t="s">
        <v>409</v>
      </c>
      <c r="J11" s="3">
        <v>1</v>
      </c>
    </row>
    <row r="12" spans="1:10" ht="15.75">
      <c r="A12" s="3">
        <f>+A11+1</f>
        <v>2</v>
      </c>
      <c r="B12" s="4"/>
      <c r="C12" s="4"/>
      <c r="D12" s="4"/>
      <c r="E12" s="4"/>
      <c r="F12" s="4"/>
      <c r="G12" s="23"/>
      <c r="H12" s="35"/>
      <c r="I12" s="19"/>
      <c r="J12" s="3">
        <f>+J11+1</f>
        <v>2</v>
      </c>
    </row>
    <row r="13" spans="1:10" ht="15.75">
      <c r="A13" s="3">
        <f t="shared" ref="A13:A29" si="0">+A12+1</f>
        <v>3</v>
      </c>
      <c r="B13" s="5" t="s">
        <v>26</v>
      </c>
      <c r="C13" s="5"/>
      <c r="D13" s="5"/>
      <c r="E13" s="5"/>
      <c r="F13" s="5"/>
      <c r="G13" s="448">
        <v>20459.884689999999</v>
      </c>
      <c r="H13" s="35"/>
      <c r="I13" s="467" t="s">
        <v>410</v>
      </c>
      <c r="J13" s="3">
        <f t="shared" ref="J13:J29" si="1">+J12+1</f>
        <v>3</v>
      </c>
    </row>
    <row r="14" spans="1:10" ht="15.75">
      <c r="A14" s="3">
        <f t="shared" si="0"/>
        <v>4</v>
      </c>
      <c r="B14" s="5"/>
      <c r="C14" s="5"/>
      <c r="D14" s="5"/>
      <c r="E14" s="5"/>
      <c r="F14" s="5"/>
      <c r="G14" s="61"/>
      <c r="H14" s="35"/>
      <c r="I14" s="19"/>
      <c r="J14" s="3">
        <f t="shared" si="1"/>
        <v>4</v>
      </c>
    </row>
    <row r="15" spans="1:10" ht="15.75">
      <c r="A15" s="3">
        <f t="shared" si="0"/>
        <v>5</v>
      </c>
      <c r="B15" s="5" t="s">
        <v>27</v>
      </c>
      <c r="C15" s="5"/>
      <c r="D15" s="5"/>
      <c r="E15" s="5"/>
      <c r="F15" s="5"/>
      <c r="G15" s="448">
        <v>48819.502489999992</v>
      </c>
      <c r="H15" s="35"/>
      <c r="I15" s="467" t="s">
        <v>411</v>
      </c>
      <c r="J15" s="3">
        <f t="shared" si="1"/>
        <v>5</v>
      </c>
    </row>
    <row r="16" spans="1:10" ht="15.75">
      <c r="A16" s="3">
        <f t="shared" si="0"/>
        <v>6</v>
      </c>
      <c r="B16" s="5"/>
      <c r="C16" s="5"/>
      <c r="D16" s="5"/>
      <c r="E16" s="5"/>
      <c r="F16" s="5"/>
      <c r="G16" s="61"/>
      <c r="H16" s="35"/>
      <c r="I16" s="19"/>
      <c r="J16" s="3">
        <f t="shared" si="1"/>
        <v>6</v>
      </c>
    </row>
    <row r="17" spans="1:10" ht="15.75">
      <c r="A17" s="3">
        <f t="shared" si="0"/>
        <v>7</v>
      </c>
      <c r="B17" s="5" t="s">
        <v>28</v>
      </c>
      <c r="C17" s="5"/>
      <c r="D17" s="5"/>
      <c r="E17" s="5"/>
      <c r="F17" s="5"/>
      <c r="G17" s="448">
        <v>17215.795986176003</v>
      </c>
      <c r="H17" s="35"/>
      <c r="I17" s="467" t="s">
        <v>412</v>
      </c>
      <c r="J17" s="3">
        <f t="shared" si="1"/>
        <v>7</v>
      </c>
    </row>
    <row r="18" spans="1:10" ht="15.75">
      <c r="A18" s="3">
        <f t="shared" si="0"/>
        <v>8</v>
      </c>
      <c r="B18" s="5"/>
      <c r="C18" s="5"/>
      <c r="D18" s="5"/>
      <c r="E18" s="5"/>
      <c r="F18" s="5"/>
      <c r="G18" s="61"/>
      <c r="H18" s="35"/>
      <c r="I18" s="19"/>
      <c r="J18" s="3">
        <f t="shared" si="1"/>
        <v>8</v>
      </c>
    </row>
    <row r="19" spans="1:10" ht="15.75">
      <c r="A19" s="3">
        <f t="shared" si="0"/>
        <v>9</v>
      </c>
      <c r="B19" s="5" t="s">
        <v>29</v>
      </c>
      <c r="C19" s="5"/>
      <c r="D19" s="5"/>
      <c r="E19" s="5"/>
      <c r="F19" s="5"/>
      <c r="G19" s="446">
        <v>21388.36502488</v>
      </c>
      <c r="H19" s="35"/>
      <c r="I19" s="467" t="s">
        <v>413</v>
      </c>
      <c r="J19" s="3">
        <f t="shared" si="1"/>
        <v>9</v>
      </c>
    </row>
    <row r="20" spans="1:10" ht="15.75">
      <c r="A20" s="344">
        <f t="shared" si="0"/>
        <v>10</v>
      </c>
      <c r="B20" s="5"/>
      <c r="C20" s="5"/>
      <c r="D20" s="5"/>
      <c r="E20" s="5"/>
      <c r="F20" s="5"/>
      <c r="G20" s="75"/>
      <c r="H20" s="35"/>
      <c r="I20" s="467"/>
      <c r="J20" s="344">
        <f t="shared" si="1"/>
        <v>10</v>
      </c>
    </row>
    <row r="21" spans="1:10" ht="15.75">
      <c r="A21" s="344">
        <f t="shared" si="0"/>
        <v>11</v>
      </c>
      <c r="B21" s="5" t="s">
        <v>467</v>
      </c>
      <c r="C21" s="5"/>
      <c r="D21" s="5"/>
      <c r="E21" s="5"/>
      <c r="F21" s="5"/>
      <c r="G21" s="447">
        <v>0</v>
      </c>
      <c r="H21" s="35"/>
      <c r="I21" s="467" t="s">
        <v>468</v>
      </c>
      <c r="J21" s="344">
        <f t="shared" si="1"/>
        <v>11</v>
      </c>
    </row>
    <row r="22" spans="1:10" ht="15.75">
      <c r="A22" s="344">
        <f t="shared" si="0"/>
        <v>12</v>
      </c>
      <c r="B22" s="5"/>
      <c r="C22" s="5"/>
      <c r="D22" s="5"/>
      <c r="E22" s="5"/>
      <c r="F22" s="5"/>
      <c r="G22" s="23"/>
      <c r="H22" s="35"/>
      <c r="I22" s="19"/>
      <c r="J22" s="344">
        <f t="shared" si="1"/>
        <v>12</v>
      </c>
    </row>
    <row r="23" spans="1:10" ht="15.75">
      <c r="A23" s="344">
        <f t="shared" si="0"/>
        <v>13</v>
      </c>
      <c r="B23" s="5" t="s">
        <v>501</v>
      </c>
      <c r="C23" s="5"/>
      <c r="D23" s="5"/>
      <c r="E23" s="5"/>
      <c r="F23" s="5"/>
      <c r="G23" s="64">
        <f>SUM(G11:G21)</f>
        <v>120685.31259105599</v>
      </c>
      <c r="H23" s="35"/>
      <c r="I23" s="21" t="s">
        <v>474</v>
      </c>
      <c r="J23" s="344">
        <f t="shared" si="1"/>
        <v>13</v>
      </c>
    </row>
    <row r="24" spans="1:10" ht="15.75">
      <c r="A24" s="344">
        <f t="shared" si="0"/>
        <v>14</v>
      </c>
      <c r="B24" s="5"/>
      <c r="C24" s="5"/>
      <c r="D24" s="5"/>
      <c r="E24" s="5"/>
      <c r="F24" s="5"/>
      <c r="G24" s="64"/>
      <c r="H24" s="35"/>
      <c r="I24" s="21"/>
      <c r="J24" s="344">
        <f t="shared" si="1"/>
        <v>14</v>
      </c>
    </row>
    <row r="25" spans="1:10" ht="15.75">
      <c r="A25" s="344">
        <f t="shared" si="0"/>
        <v>15</v>
      </c>
      <c r="B25" s="4" t="s">
        <v>469</v>
      </c>
      <c r="C25" s="5"/>
      <c r="D25" s="5"/>
      <c r="E25" s="5"/>
      <c r="F25" s="5"/>
      <c r="G25" s="447">
        <v>40505.073442931876</v>
      </c>
      <c r="H25" s="35"/>
      <c r="I25" s="467" t="s">
        <v>470</v>
      </c>
      <c r="J25" s="344">
        <f t="shared" si="1"/>
        <v>15</v>
      </c>
    </row>
    <row r="26" spans="1:10" ht="15.75">
      <c r="A26" s="344">
        <f t="shared" si="0"/>
        <v>16</v>
      </c>
      <c r="B26" s="4"/>
      <c r="C26" s="5"/>
      <c r="D26" s="5"/>
      <c r="E26" s="5"/>
      <c r="F26" s="5"/>
      <c r="G26" s="472"/>
      <c r="H26" s="35"/>
      <c r="I26" s="467"/>
      <c r="J26" s="344">
        <f t="shared" si="1"/>
        <v>16</v>
      </c>
    </row>
    <row r="27" spans="1:10" ht="16.5" thickBot="1">
      <c r="A27" s="344">
        <f t="shared" si="0"/>
        <v>17</v>
      </c>
      <c r="B27" s="4" t="s">
        <v>471</v>
      </c>
      <c r="C27" s="5"/>
      <c r="D27" s="5"/>
      <c r="E27" s="5"/>
      <c r="F27" s="5"/>
      <c r="G27" s="66">
        <f>SUM(G23:G25)</f>
        <v>161190.38603398786</v>
      </c>
      <c r="H27" s="35"/>
      <c r="I27" s="21" t="s">
        <v>472</v>
      </c>
      <c r="J27" s="344">
        <f t="shared" si="1"/>
        <v>17</v>
      </c>
    </row>
    <row r="28" spans="1:10" ht="16.5" thickTop="1">
      <c r="A28" s="344">
        <f t="shared" si="0"/>
        <v>18</v>
      </c>
      <c r="B28" s="4"/>
      <c r="C28" s="5"/>
      <c r="D28" s="5"/>
      <c r="E28" s="5"/>
      <c r="F28" s="5"/>
      <c r="G28" s="61"/>
      <c r="H28" s="35"/>
      <c r="I28" s="10"/>
      <c r="J28" s="344">
        <f t="shared" si="1"/>
        <v>18</v>
      </c>
    </row>
    <row r="29" spans="1:10" ht="16.5" thickBot="1">
      <c r="A29" s="344">
        <f t="shared" si="0"/>
        <v>19</v>
      </c>
      <c r="B29" s="5" t="s">
        <v>87</v>
      </c>
      <c r="C29" s="5"/>
      <c r="D29" s="5"/>
      <c r="E29" s="5"/>
      <c r="F29" s="5"/>
      <c r="G29" s="418">
        <f>ROUND(G13/G23,4)</f>
        <v>0.16950000000000001</v>
      </c>
      <c r="H29" s="42"/>
      <c r="I29" s="10" t="s">
        <v>473</v>
      </c>
      <c r="J29" s="344">
        <f t="shared" si="1"/>
        <v>19</v>
      </c>
    </row>
    <row r="30" spans="1:10" ht="16.5" thickTop="1">
      <c r="A30" s="3"/>
      <c r="B30" s="5"/>
      <c r="C30" s="5"/>
      <c r="D30" s="5"/>
      <c r="E30" s="5"/>
      <c r="F30" s="5"/>
      <c r="G30" s="31"/>
      <c r="H30" s="42"/>
      <c r="I30" s="10"/>
      <c r="J30" s="3"/>
    </row>
    <row r="31" spans="1:10" ht="15.75">
      <c r="A31" s="3"/>
      <c r="B31" s="4"/>
      <c r="C31" s="5"/>
      <c r="D31" s="5"/>
      <c r="E31" s="5"/>
      <c r="F31" s="5"/>
      <c r="G31" s="31"/>
      <c r="H31" s="42"/>
      <c r="I31" s="21"/>
      <c r="J31" s="3"/>
    </row>
    <row r="32" spans="1:10" ht="15.75">
      <c r="A32" s="3"/>
      <c r="B32" s="5"/>
      <c r="C32" s="5"/>
      <c r="D32" s="5"/>
      <c r="E32" s="5"/>
      <c r="F32" s="5"/>
      <c r="G32" s="31"/>
      <c r="H32" s="42"/>
      <c r="I32" s="10"/>
      <c r="J32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5" right="0.5" top="0.5" bottom="0.5" header="0.25" footer="0.25"/>
  <pageSetup scale="75" orientation="portrait" r:id="rId1"/>
  <headerFooter alignWithMargins="0">
    <oddFooter>&amp;C&amp;12Page AI1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44"/>
  <sheetViews>
    <sheetView zoomScale="80" zoomScaleNormal="80" workbookViewId="0"/>
  </sheetViews>
  <sheetFormatPr defaultRowHeight="15"/>
  <cols>
    <col min="1" max="1" width="5.7109375" style="11" customWidth="1"/>
    <col min="2" max="2" width="35.5703125" customWidth="1"/>
    <col min="3" max="3" width="14.28515625" bestFit="1" customWidth="1"/>
    <col min="4" max="4" width="12.7109375" customWidth="1"/>
    <col min="5" max="5" width="11.7109375" customWidth="1"/>
    <col min="6" max="6" width="9.7109375" customWidth="1"/>
    <col min="7" max="7" width="7.42578125" customWidth="1"/>
    <col min="8" max="8" width="1.7109375" customWidth="1"/>
    <col min="9" max="9" width="10.5703125" customWidth="1"/>
    <col min="10" max="10" width="1.7109375" customWidth="1"/>
    <col min="11" max="11" width="41" bestFit="1" customWidth="1"/>
    <col min="12" max="12" width="5.7109375" customWidth="1"/>
    <col min="14" max="14" width="20.5703125" bestFit="1" customWidth="1"/>
  </cols>
  <sheetData>
    <row r="1" spans="1:12" ht="15.75">
      <c r="A1" s="3"/>
      <c r="B1" s="7"/>
      <c r="C1" s="3"/>
      <c r="D1" s="4"/>
      <c r="E1" s="5"/>
      <c r="F1" s="5"/>
      <c r="G1" s="5"/>
      <c r="H1" s="5"/>
      <c r="I1" s="28"/>
      <c r="J1" s="41"/>
      <c r="K1" s="10"/>
      <c r="L1" s="3"/>
    </row>
    <row r="2" spans="1:12" ht="15.75">
      <c r="A2" s="10"/>
      <c r="B2" s="1161" t="s">
        <v>42</v>
      </c>
      <c r="C2" s="1161"/>
      <c r="D2" s="1161"/>
      <c r="E2" s="1161"/>
      <c r="F2" s="1161"/>
      <c r="G2" s="1161"/>
      <c r="H2" s="1161"/>
      <c r="I2" s="1161"/>
      <c r="J2" s="1165"/>
      <c r="K2" s="1165"/>
      <c r="L2" s="10"/>
    </row>
    <row r="3" spans="1:12" ht="15.75">
      <c r="A3" s="10"/>
      <c r="B3" s="1161" t="s">
        <v>174</v>
      </c>
      <c r="C3" s="1161"/>
      <c r="D3" s="1161"/>
      <c r="E3" s="1161"/>
      <c r="F3" s="1161"/>
      <c r="G3" s="1161"/>
      <c r="H3" s="1161"/>
      <c r="I3" s="1161"/>
      <c r="J3" s="1165"/>
      <c r="K3" s="1165"/>
      <c r="L3" s="10"/>
    </row>
    <row r="4" spans="1:12" ht="15.75">
      <c r="A4" s="10"/>
      <c r="B4" s="1161" t="s">
        <v>52</v>
      </c>
      <c r="C4" s="1161"/>
      <c r="D4" s="1161"/>
      <c r="E4" s="1161"/>
      <c r="F4" s="1161"/>
      <c r="G4" s="1161"/>
      <c r="H4" s="1161"/>
      <c r="I4" s="1161"/>
      <c r="J4" s="1165"/>
      <c r="K4" s="1165"/>
      <c r="L4" s="10"/>
    </row>
    <row r="5" spans="1:12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57"/>
      <c r="J5" s="1167"/>
      <c r="K5" s="1167"/>
      <c r="L5" s="10"/>
    </row>
    <row r="6" spans="1:12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146"/>
      <c r="J8" s="2"/>
      <c r="K8" s="48"/>
      <c r="L8" s="10" t="s">
        <v>62</v>
      </c>
    </row>
    <row r="9" spans="1:12" ht="15.75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 ht="15.75">
      <c r="A10" s="48"/>
      <c r="B10" s="2"/>
      <c r="C10" s="2"/>
      <c r="D10" s="2"/>
      <c r="E10" s="2"/>
      <c r="F10" s="2"/>
      <c r="G10" s="2"/>
      <c r="H10" s="2"/>
      <c r="I10" s="48"/>
      <c r="J10" s="2"/>
      <c r="K10" s="48"/>
      <c r="L10" s="48"/>
    </row>
    <row r="11" spans="1:12" ht="15.75">
      <c r="A11" s="3">
        <v>1</v>
      </c>
      <c r="B11" s="7" t="s">
        <v>848</v>
      </c>
      <c r="C11" s="3"/>
      <c r="D11" s="3"/>
      <c r="E11" s="3"/>
      <c r="F11" s="3"/>
      <c r="G11" s="3"/>
      <c r="H11" s="3"/>
      <c r="I11" s="544">
        <v>116393.21427441202</v>
      </c>
      <c r="J11" s="3"/>
      <c r="K11" s="19" t="s">
        <v>904</v>
      </c>
      <c r="L11" s="3">
        <v>1</v>
      </c>
    </row>
    <row r="12" spans="1:12" ht="15.75">
      <c r="A12" s="3">
        <f>A11+1</f>
        <v>2</v>
      </c>
      <c r="B12" s="4"/>
      <c r="C12" s="4"/>
      <c r="D12" s="4"/>
      <c r="E12" s="4"/>
      <c r="F12" s="4"/>
      <c r="G12" s="4"/>
      <c r="H12" s="4"/>
      <c r="I12" s="84"/>
      <c r="J12" s="44"/>
      <c r="K12" s="19"/>
      <c r="L12" s="3">
        <f>L11+1</f>
        <v>2</v>
      </c>
    </row>
    <row r="13" spans="1:12" ht="15.75">
      <c r="A13" s="256">
        <f t="shared" ref="A13:A35" si="0">+A12+1</f>
        <v>3</v>
      </c>
      <c r="B13" s="4" t="s">
        <v>643</v>
      </c>
      <c r="C13" s="4"/>
      <c r="D13" s="4"/>
      <c r="E13" s="4"/>
      <c r="F13" s="4"/>
      <c r="G13" s="4"/>
      <c r="H13" s="4"/>
      <c r="I13" s="446">
        <v>22028.386260000003</v>
      </c>
      <c r="J13" s="274"/>
      <c r="K13" s="19" t="s">
        <v>903</v>
      </c>
      <c r="L13" s="256">
        <f t="shared" ref="L13:L35" si="1">+L12+1</f>
        <v>3</v>
      </c>
    </row>
    <row r="14" spans="1:12" ht="15.75">
      <c r="A14" s="256">
        <f t="shared" si="0"/>
        <v>4</v>
      </c>
      <c r="B14" s="4"/>
      <c r="C14" s="4"/>
      <c r="D14" s="4"/>
      <c r="E14" s="4"/>
      <c r="F14" s="4"/>
      <c r="G14" s="4"/>
      <c r="H14" s="4"/>
      <c r="I14" s="84"/>
      <c r="J14" s="44"/>
      <c r="K14" s="19"/>
      <c r="L14" s="256">
        <f t="shared" si="1"/>
        <v>4</v>
      </c>
    </row>
    <row r="15" spans="1:12" ht="15.75">
      <c r="A15" s="256">
        <f t="shared" si="0"/>
        <v>5</v>
      </c>
      <c r="B15" s="4" t="s">
        <v>644</v>
      </c>
      <c r="C15" s="4"/>
      <c r="D15" s="4"/>
      <c r="E15" s="4"/>
      <c r="F15" s="4"/>
      <c r="G15" s="4"/>
      <c r="H15" s="4"/>
      <c r="I15" s="453">
        <v>12105.159674999999</v>
      </c>
      <c r="J15" s="21"/>
      <c r="K15" s="19" t="s">
        <v>905</v>
      </c>
      <c r="L15" s="256">
        <f t="shared" si="1"/>
        <v>5</v>
      </c>
    </row>
    <row r="16" spans="1:12" ht="15.75">
      <c r="A16" s="256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40"/>
      <c r="K16" s="19"/>
      <c r="L16" s="256">
        <f t="shared" si="1"/>
        <v>6</v>
      </c>
    </row>
    <row r="17" spans="1:12" ht="15.75">
      <c r="A17" s="256">
        <f t="shared" si="0"/>
        <v>7</v>
      </c>
      <c r="B17" s="4" t="s">
        <v>645</v>
      </c>
      <c r="C17" s="4"/>
      <c r="D17" s="4"/>
      <c r="E17" s="4"/>
      <c r="F17" s="4"/>
      <c r="G17" s="4"/>
      <c r="H17" s="4"/>
      <c r="I17" s="448">
        <v>55496.124298944007</v>
      </c>
      <c r="J17" s="35"/>
      <c r="K17" s="19" t="s">
        <v>906</v>
      </c>
      <c r="L17" s="256">
        <f t="shared" si="1"/>
        <v>7</v>
      </c>
    </row>
    <row r="18" spans="1:12" ht="15.75">
      <c r="A18" s="256">
        <f t="shared" si="0"/>
        <v>8</v>
      </c>
      <c r="B18" s="4"/>
      <c r="C18" s="4"/>
      <c r="D18" s="4"/>
      <c r="E18" s="4"/>
      <c r="F18" s="4"/>
      <c r="G18" s="4"/>
      <c r="H18" s="4"/>
      <c r="I18" s="26"/>
      <c r="J18" s="40"/>
      <c r="K18" s="19"/>
      <c r="L18" s="256">
        <f t="shared" si="1"/>
        <v>8</v>
      </c>
    </row>
    <row r="19" spans="1:12" ht="15.75">
      <c r="A19" s="256">
        <f t="shared" si="0"/>
        <v>9</v>
      </c>
      <c r="B19" s="4" t="s">
        <v>87</v>
      </c>
      <c r="C19" s="4"/>
      <c r="D19" s="4"/>
      <c r="E19" s="4"/>
      <c r="F19" s="4"/>
      <c r="G19" s="4"/>
      <c r="H19" s="4"/>
      <c r="I19" s="413">
        <f>'Statement AI-WP'!G29</f>
        <v>0.16950000000000001</v>
      </c>
      <c r="J19" s="40"/>
      <c r="K19" s="19" t="s">
        <v>502</v>
      </c>
      <c r="L19" s="256">
        <f t="shared" si="1"/>
        <v>9</v>
      </c>
    </row>
    <row r="20" spans="1:12" ht="15.75">
      <c r="A20" s="256">
        <f t="shared" si="0"/>
        <v>10</v>
      </c>
      <c r="B20" s="4"/>
      <c r="C20" s="4"/>
      <c r="D20" s="4"/>
      <c r="E20" s="4"/>
      <c r="F20" s="4"/>
      <c r="G20" s="4"/>
      <c r="H20" s="4"/>
      <c r="I20" s="416"/>
      <c r="J20" s="40"/>
      <c r="K20" s="19"/>
      <c r="L20" s="256">
        <f t="shared" si="1"/>
        <v>10</v>
      </c>
    </row>
    <row r="21" spans="1:12" ht="15.75">
      <c r="A21" s="344">
        <f t="shared" si="0"/>
        <v>11</v>
      </c>
      <c r="B21" s="4" t="s">
        <v>382</v>
      </c>
      <c r="C21" s="4"/>
      <c r="D21" s="4"/>
      <c r="E21" s="4"/>
      <c r="F21" s="4"/>
      <c r="G21" s="4"/>
      <c r="H21" s="4"/>
      <c r="I21" s="417">
        <f>ROUND(I13*I19,0)</f>
        <v>3734</v>
      </c>
      <c r="J21" s="274"/>
      <c r="K21" s="19" t="s">
        <v>646</v>
      </c>
      <c r="L21" s="344">
        <f t="shared" si="1"/>
        <v>11</v>
      </c>
    </row>
    <row r="22" spans="1:12" ht="15.75">
      <c r="A22" s="344">
        <f t="shared" si="0"/>
        <v>12</v>
      </c>
      <c r="B22" s="4"/>
      <c r="C22" s="4"/>
      <c r="D22" s="4"/>
      <c r="E22" s="4"/>
      <c r="F22" s="4"/>
      <c r="G22" s="4"/>
      <c r="H22" s="4"/>
      <c r="I22" s="416"/>
      <c r="J22" s="40"/>
      <c r="K22" s="19"/>
      <c r="L22" s="344">
        <f t="shared" si="1"/>
        <v>12</v>
      </c>
    </row>
    <row r="23" spans="1:12" ht="15.75">
      <c r="A23" s="344">
        <f t="shared" si="0"/>
        <v>13</v>
      </c>
      <c r="B23" s="4" t="s">
        <v>113</v>
      </c>
      <c r="C23" s="4"/>
      <c r="D23" s="4"/>
      <c r="E23" s="4"/>
      <c r="F23" s="4"/>
      <c r="G23" s="4"/>
      <c r="H23" s="4"/>
      <c r="I23" s="417">
        <f>ROUND(I19*I15,0)</f>
        <v>2052</v>
      </c>
      <c r="J23" s="35"/>
      <c r="K23" s="19" t="s">
        <v>647</v>
      </c>
      <c r="L23" s="344">
        <f t="shared" si="1"/>
        <v>13</v>
      </c>
    </row>
    <row r="24" spans="1:12" ht="15.75">
      <c r="A24" s="344">
        <f t="shared" si="0"/>
        <v>14</v>
      </c>
      <c r="B24" s="4" t="s">
        <v>39</v>
      </c>
      <c r="C24" s="4"/>
      <c r="D24" s="4"/>
      <c r="E24" s="4"/>
      <c r="F24" s="4"/>
      <c r="G24" s="4"/>
      <c r="H24" s="4"/>
      <c r="I24" s="153"/>
      <c r="J24" s="35"/>
      <c r="K24" s="19"/>
      <c r="L24" s="344">
        <f t="shared" si="1"/>
        <v>14</v>
      </c>
    </row>
    <row r="25" spans="1:12" ht="15.75">
      <c r="A25" s="256">
        <f t="shared" si="0"/>
        <v>15</v>
      </c>
      <c r="B25" s="4" t="s">
        <v>263</v>
      </c>
      <c r="C25" s="4"/>
      <c r="D25" s="4"/>
      <c r="E25" s="4"/>
      <c r="F25" s="4"/>
      <c r="G25" s="4"/>
      <c r="H25" s="4"/>
      <c r="I25" s="417">
        <f>ROUND(I17*I19,0)</f>
        <v>9407</v>
      </c>
      <c r="J25" s="35"/>
      <c r="K25" s="19" t="s">
        <v>648</v>
      </c>
      <c r="L25" s="256">
        <f t="shared" si="1"/>
        <v>15</v>
      </c>
    </row>
    <row r="26" spans="1:12" ht="15.75">
      <c r="A26" s="256">
        <f t="shared" si="0"/>
        <v>16</v>
      </c>
      <c r="B26" s="4"/>
      <c r="C26" s="4"/>
      <c r="D26" s="4"/>
      <c r="E26" s="4"/>
      <c r="F26" s="4"/>
      <c r="G26" s="4"/>
      <c r="H26" s="4"/>
      <c r="I26" s="153"/>
      <c r="J26" s="35"/>
      <c r="K26" s="19"/>
      <c r="L26" s="256">
        <f t="shared" si="1"/>
        <v>16</v>
      </c>
    </row>
    <row r="27" spans="1:12" ht="16.5" thickBot="1">
      <c r="A27" s="256">
        <f t="shared" si="0"/>
        <v>17</v>
      </c>
      <c r="B27" s="4" t="s">
        <v>657</v>
      </c>
      <c r="C27" s="4"/>
      <c r="D27" s="4"/>
      <c r="E27" s="4"/>
      <c r="F27" s="4"/>
      <c r="G27" s="4"/>
      <c r="H27" s="64"/>
      <c r="I27" s="442">
        <f>I11+I21+I23+I25</f>
        <v>131586.21427441202</v>
      </c>
      <c r="J27" s="274"/>
      <c r="K27" s="19" t="s">
        <v>649</v>
      </c>
      <c r="L27" s="256">
        <f t="shared" si="1"/>
        <v>17</v>
      </c>
    </row>
    <row r="28" spans="1:12" ht="16.5" thickTop="1">
      <c r="A28" s="256">
        <f t="shared" si="0"/>
        <v>18</v>
      </c>
      <c r="B28" s="4"/>
      <c r="C28" s="4"/>
      <c r="D28" s="4"/>
      <c r="E28" s="4"/>
      <c r="F28" s="4"/>
      <c r="G28" s="4"/>
      <c r="H28" s="64"/>
      <c r="I28" s="64"/>
      <c r="J28" s="35"/>
      <c r="K28" s="19"/>
      <c r="L28" s="344">
        <f t="shared" si="1"/>
        <v>18</v>
      </c>
    </row>
    <row r="29" spans="1:12" ht="16.5" thickBot="1">
      <c r="A29" s="344">
        <f t="shared" si="0"/>
        <v>19</v>
      </c>
      <c r="B29" s="4" t="s">
        <v>1246</v>
      </c>
      <c r="C29" s="4"/>
      <c r="D29" s="4"/>
      <c r="E29" s="4"/>
      <c r="F29" s="4"/>
      <c r="G29" s="4"/>
      <c r="H29" s="64"/>
      <c r="I29" s="454">
        <v>0</v>
      </c>
      <c r="J29" s="35"/>
      <c r="K29" s="19" t="s">
        <v>1247</v>
      </c>
      <c r="L29" s="344">
        <f t="shared" si="1"/>
        <v>19</v>
      </c>
    </row>
    <row r="30" spans="1:12" ht="16.5" thickTop="1">
      <c r="A30" s="344">
        <f t="shared" si="0"/>
        <v>20</v>
      </c>
      <c r="B30" s="4"/>
      <c r="C30" s="4"/>
      <c r="D30" s="4"/>
      <c r="E30" s="4"/>
      <c r="F30" s="4"/>
      <c r="G30" s="4"/>
      <c r="H30" s="64"/>
      <c r="I30" s="64"/>
      <c r="J30" s="35"/>
      <c r="K30" s="19"/>
      <c r="L30" s="344">
        <f t="shared" si="1"/>
        <v>20</v>
      </c>
    </row>
    <row r="31" spans="1:12" ht="16.5" thickBot="1">
      <c r="A31" s="344">
        <f t="shared" si="0"/>
        <v>21</v>
      </c>
      <c r="B31" s="4" t="s">
        <v>513</v>
      </c>
      <c r="C31" s="4"/>
      <c r="D31" s="4"/>
      <c r="E31" s="4"/>
      <c r="F31" s="4"/>
      <c r="G31" s="4"/>
      <c r="H31" s="64"/>
      <c r="I31" s="454">
        <v>0</v>
      </c>
      <c r="J31" s="35"/>
      <c r="K31" s="19" t="s">
        <v>907</v>
      </c>
      <c r="L31" s="344">
        <f t="shared" si="1"/>
        <v>21</v>
      </c>
    </row>
    <row r="32" spans="1:12" ht="16.5" thickTop="1">
      <c r="A32" s="344">
        <f t="shared" si="0"/>
        <v>22</v>
      </c>
      <c r="B32" s="4"/>
      <c r="C32" s="4"/>
      <c r="D32" s="4"/>
      <c r="E32" s="4"/>
      <c r="F32" s="4"/>
      <c r="G32" s="4"/>
      <c r="H32" s="62"/>
      <c r="I32" s="61"/>
      <c r="J32" s="35"/>
      <c r="K32" s="19"/>
      <c r="L32" s="344">
        <f t="shared" si="1"/>
        <v>22</v>
      </c>
    </row>
    <row r="33" spans="1:12" ht="16.5" thickBot="1">
      <c r="A33" s="344">
        <f t="shared" si="0"/>
        <v>23</v>
      </c>
      <c r="B33" s="4" t="s">
        <v>574</v>
      </c>
      <c r="C33" s="50"/>
      <c r="D33" s="50"/>
      <c r="E33" s="50"/>
      <c r="F33" s="50"/>
      <c r="G33" s="50"/>
      <c r="H33" s="176"/>
      <c r="I33" s="454">
        <v>0</v>
      </c>
      <c r="J33" s="35"/>
      <c r="K33" s="19" t="s">
        <v>908</v>
      </c>
      <c r="L33" s="344">
        <f t="shared" si="1"/>
        <v>23</v>
      </c>
    </row>
    <row r="34" spans="1:12" ht="16.5" thickTop="1">
      <c r="A34" s="344">
        <f t="shared" si="0"/>
        <v>24</v>
      </c>
      <c r="B34" s="111"/>
      <c r="C34" s="4"/>
      <c r="D34" s="4"/>
      <c r="E34" s="4"/>
      <c r="F34" s="4"/>
      <c r="G34" s="4"/>
      <c r="H34" s="4"/>
      <c r="I34" s="84"/>
      <c r="J34" s="35"/>
      <c r="K34" s="160"/>
      <c r="L34" s="344">
        <f t="shared" si="1"/>
        <v>24</v>
      </c>
    </row>
    <row r="35" spans="1:12" ht="16.5" thickBot="1">
      <c r="A35" s="344">
        <f t="shared" si="0"/>
        <v>25</v>
      </c>
      <c r="B35" s="111" t="s">
        <v>575</v>
      </c>
      <c r="C35" s="4"/>
      <c r="D35" s="4"/>
      <c r="E35" s="4"/>
      <c r="F35" s="4"/>
      <c r="G35" s="4"/>
      <c r="H35" s="4"/>
      <c r="I35" s="454">
        <v>0</v>
      </c>
      <c r="J35" s="35"/>
      <c r="K35" s="19" t="s">
        <v>909</v>
      </c>
      <c r="L35" s="344">
        <f t="shared" si="1"/>
        <v>25</v>
      </c>
    </row>
    <row r="36" spans="1:12" ht="16.5" thickTop="1">
      <c r="A36" s="344"/>
      <c r="B36" s="111"/>
      <c r="C36" s="4"/>
      <c r="D36" s="4"/>
      <c r="E36" s="4"/>
      <c r="F36" s="4"/>
      <c r="G36" s="4"/>
      <c r="H36" s="4"/>
      <c r="I36" s="84"/>
      <c r="J36" s="35"/>
      <c r="K36" s="160"/>
      <c r="L36" s="344"/>
    </row>
    <row r="37" spans="1:12" ht="15.75">
      <c r="A37" s="344"/>
      <c r="B37" s="111"/>
      <c r="C37" s="4"/>
      <c r="D37" s="4"/>
      <c r="E37" s="4"/>
      <c r="F37" s="4"/>
      <c r="G37" s="4"/>
      <c r="H37" s="4"/>
      <c r="I37" s="84"/>
      <c r="J37" s="35"/>
      <c r="K37" s="160"/>
      <c r="L37" s="344"/>
    </row>
    <row r="38" spans="1:12" ht="17.25">
      <c r="A38" s="258"/>
      <c r="B38" s="102"/>
      <c r="C38" s="4"/>
      <c r="D38" s="4"/>
      <c r="E38" s="4"/>
      <c r="F38" s="4"/>
      <c r="G38" s="4"/>
      <c r="H38" s="4"/>
      <c r="I38" s="64"/>
      <c r="J38" s="35"/>
      <c r="K38" s="19"/>
      <c r="L38" s="3"/>
    </row>
    <row r="39" spans="1:12" ht="15.75">
      <c r="A39" s="274"/>
      <c r="B39" s="102"/>
      <c r="C39" s="4"/>
      <c r="D39" s="4"/>
      <c r="E39" s="4"/>
      <c r="F39" s="4"/>
      <c r="G39" s="4"/>
      <c r="H39" s="4"/>
      <c r="I39" s="64"/>
      <c r="J39" s="35"/>
      <c r="K39" s="19"/>
      <c r="L39" s="3"/>
    </row>
    <row r="40" spans="1:12" ht="15.75">
      <c r="A40" s="3"/>
      <c r="B40" s="4"/>
      <c r="C40" s="4"/>
      <c r="D40" s="4"/>
      <c r="E40" s="4"/>
      <c r="F40" s="4"/>
      <c r="G40" s="4"/>
      <c r="H40" s="4"/>
      <c r="I40" s="64"/>
      <c r="J40" s="35"/>
      <c r="K40" s="19"/>
      <c r="L40" s="3"/>
    </row>
    <row r="41" spans="1:12" ht="15.75">
      <c r="A41" s="3"/>
      <c r="B41" s="88"/>
      <c r="C41" s="4"/>
      <c r="D41" s="4"/>
      <c r="E41" s="4"/>
      <c r="F41" s="4"/>
      <c r="G41" s="4"/>
      <c r="H41" s="4"/>
      <c r="I41" s="67"/>
      <c r="J41" s="36"/>
      <c r="K41" s="19"/>
      <c r="L41" s="3"/>
    </row>
    <row r="42" spans="1:12" ht="15.75">
      <c r="A42" s="3"/>
      <c r="B42" s="50"/>
      <c r="C42" s="4"/>
      <c r="D42" s="4"/>
      <c r="E42" s="4"/>
      <c r="F42" s="4"/>
      <c r="G42" s="59"/>
      <c r="H42" s="4"/>
      <c r="I42" s="78"/>
      <c r="J42" s="36"/>
      <c r="K42" s="55"/>
      <c r="L42" s="3"/>
    </row>
    <row r="43" spans="1:12" ht="15.75">
      <c r="A43" s="3"/>
      <c r="B43" s="88"/>
      <c r="C43" s="4"/>
      <c r="D43" s="4"/>
      <c r="E43" s="4"/>
      <c r="F43" s="4"/>
      <c r="G43" s="4"/>
      <c r="H43" s="4"/>
      <c r="I43" s="1"/>
      <c r="J43" s="36"/>
      <c r="K43" s="55"/>
      <c r="L43" s="3"/>
    </row>
    <row r="44" spans="1:12" ht="15.75">
      <c r="A44" s="3"/>
      <c r="B44" s="4"/>
      <c r="C44" s="4"/>
      <c r="D44" s="4"/>
      <c r="E44" s="4"/>
      <c r="F44" s="4"/>
      <c r="G44" s="4"/>
      <c r="H44" s="4"/>
      <c r="I44" s="4"/>
      <c r="J44" s="10"/>
      <c r="K44" s="19"/>
      <c r="L44" s="3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5" right="0.5" top="0.5" bottom="0.5" header="0.25" footer="0.25"/>
  <pageSetup scale="61" orientation="portrait" r:id="rId1"/>
  <headerFooter alignWithMargins="0">
    <oddFooter>&amp;C&amp;12Page AJ1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58"/>
  <sheetViews>
    <sheetView zoomScale="90" zoomScaleNormal="90" workbookViewId="0">
      <selection sqref="A1:G1"/>
    </sheetView>
  </sheetViews>
  <sheetFormatPr defaultColWidth="9.85546875" defaultRowHeight="12.75"/>
  <cols>
    <col min="1" max="1" width="4.85546875" style="794" bestFit="1" customWidth="1"/>
    <col min="2" max="2" width="14.85546875" style="794" bestFit="1" customWidth="1"/>
    <col min="3" max="3" width="25.5703125" style="794" customWidth="1"/>
    <col min="4" max="6" width="14.5703125" style="795" customWidth="1"/>
    <col min="7" max="7" width="4.85546875" style="794" bestFit="1" customWidth="1"/>
    <col min="8" max="8" width="7.85546875" style="794" customWidth="1"/>
    <col min="9" max="16384" width="9.85546875" style="794"/>
  </cols>
  <sheetData>
    <row r="1" spans="1:8">
      <c r="A1" s="1172" t="s">
        <v>42</v>
      </c>
      <c r="B1" s="1165"/>
      <c r="C1" s="1165"/>
      <c r="D1" s="1165"/>
      <c r="E1" s="1165"/>
      <c r="F1" s="1165"/>
      <c r="G1" s="1165"/>
    </row>
    <row r="2" spans="1:8">
      <c r="A2" s="1172" t="s">
        <v>174</v>
      </c>
      <c r="B2" s="1165"/>
      <c r="C2" s="1165"/>
      <c r="D2" s="1165"/>
      <c r="E2" s="1165"/>
      <c r="F2" s="1165"/>
      <c r="G2" s="1165"/>
    </row>
    <row r="3" spans="1:8" ht="14.25">
      <c r="A3" s="1172" t="s">
        <v>1164</v>
      </c>
      <c r="B3" s="1165"/>
      <c r="C3" s="1165"/>
      <c r="D3" s="1165"/>
      <c r="E3" s="1165"/>
      <c r="F3" s="1165"/>
      <c r="G3" s="1165"/>
    </row>
    <row r="4" spans="1:8">
      <c r="A4" s="1173" t="s">
        <v>1229</v>
      </c>
      <c r="B4" s="1173"/>
      <c r="C4" s="1173"/>
      <c r="D4" s="1173"/>
      <c r="E4" s="1173"/>
      <c r="F4" s="1173"/>
      <c r="G4" s="1173"/>
    </row>
    <row r="5" spans="1:8">
      <c r="A5" s="1173" t="s">
        <v>1230</v>
      </c>
      <c r="B5" s="1174"/>
      <c r="C5" s="1174"/>
      <c r="D5" s="1174"/>
      <c r="E5" s="1174"/>
      <c r="F5" s="1174"/>
      <c r="G5" s="1163"/>
    </row>
    <row r="6" spans="1:8" ht="12.6" customHeight="1">
      <c r="A6" s="1098"/>
      <c r="B6" s="850"/>
      <c r="C6" s="850"/>
      <c r="D6" s="850"/>
      <c r="E6" s="850"/>
      <c r="F6" s="850"/>
      <c r="G6" s="1100"/>
    </row>
    <row r="7" spans="1:8">
      <c r="B7" s="796"/>
      <c r="C7" s="796"/>
      <c r="D7" s="797"/>
      <c r="E7" s="797"/>
      <c r="F7" s="797"/>
      <c r="G7" s="796"/>
      <c r="H7" s="796"/>
    </row>
    <row r="8" spans="1:8" ht="15">
      <c r="A8" s="798"/>
      <c r="B8" s="799"/>
      <c r="C8" s="799"/>
      <c r="D8" s="799" t="s">
        <v>165</v>
      </c>
      <c r="E8" s="799" t="s">
        <v>166</v>
      </c>
      <c r="F8" s="800" t="s">
        <v>975</v>
      </c>
      <c r="G8" s="798"/>
      <c r="H8" s="801"/>
    </row>
    <row r="9" spans="1:8" ht="15">
      <c r="A9" s="802" t="s">
        <v>62</v>
      </c>
      <c r="B9" s="803" t="s">
        <v>926</v>
      </c>
      <c r="C9" s="803"/>
      <c r="D9" s="803" t="s">
        <v>927</v>
      </c>
      <c r="E9" s="803" t="s">
        <v>928</v>
      </c>
      <c r="F9" s="803" t="s">
        <v>67</v>
      </c>
      <c r="G9" s="802" t="s">
        <v>62</v>
      </c>
      <c r="H9" s="801"/>
    </row>
    <row r="10" spans="1:8" ht="15">
      <c r="A10" s="802" t="s">
        <v>73</v>
      </c>
      <c r="B10" s="1055" t="s">
        <v>929</v>
      </c>
      <c r="C10" s="1055" t="s">
        <v>596</v>
      </c>
      <c r="D10" s="1055" t="s">
        <v>930</v>
      </c>
      <c r="E10" s="1055" t="s">
        <v>930</v>
      </c>
      <c r="F10" s="1055" t="s">
        <v>930</v>
      </c>
      <c r="G10" s="802" t="s">
        <v>73</v>
      </c>
      <c r="H10" s="801"/>
    </row>
    <row r="11" spans="1:8">
      <c r="A11" s="804">
        <v>1</v>
      </c>
      <c r="B11" s="804" t="s">
        <v>931</v>
      </c>
      <c r="C11" s="804" t="s">
        <v>932</v>
      </c>
      <c r="D11" s="805">
        <v>1.3600000033161384E-2</v>
      </c>
      <c r="E11" s="805">
        <v>8.200000023897782E-3</v>
      </c>
      <c r="F11" s="805">
        <v>2.1800000057059166E-2</v>
      </c>
      <c r="G11" s="804">
        <v>1</v>
      </c>
      <c r="H11" s="806"/>
    </row>
    <row r="12" spans="1:8">
      <c r="A12" s="804">
        <f>A11+1</f>
        <v>2</v>
      </c>
      <c r="B12" s="804" t="s">
        <v>933</v>
      </c>
      <c r="C12" s="804" t="s">
        <v>934</v>
      </c>
      <c r="D12" s="805">
        <v>1.0099999031601043E-2</v>
      </c>
      <c r="E12" s="805">
        <v>6.1000008743114179E-3</v>
      </c>
      <c r="F12" s="805">
        <v>1.6199999905912463E-2</v>
      </c>
      <c r="G12" s="804">
        <f>G11+1</f>
        <v>2</v>
      </c>
      <c r="H12" s="806"/>
    </row>
    <row r="13" spans="1:8">
      <c r="A13" s="804">
        <f t="shared" ref="A13:A43" si="0">A12+1</f>
        <v>3</v>
      </c>
      <c r="B13" s="804" t="s">
        <v>935</v>
      </c>
      <c r="C13" s="804" t="s">
        <v>936</v>
      </c>
      <c r="D13" s="805">
        <v>1.3900000071280491E-2</v>
      </c>
      <c r="E13" s="805">
        <v>0</v>
      </c>
      <c r="F13" s="805">
        <v>1.3900000071280491E-2</v>
      </c>
      <c r="G13" s="804">
        <f t="shared" ref="G13:G43" si="1">G12+1</f>
        <v>3</v>
      </c>
      <c r="H13" s="806"/>
    </row>
    <row r="14" spans="1:8" ht="15">
      <c r="A14" s="804">
        <f t="shared" si="0"/>
        <v>4</v>
      </c>
      <c r="B14" s="807" t="s">
        <v>937</v>
      </c>
      <c r="C14" s="807" t="s">
        <v>938</v>
      </c>
      <c r="D14" s="885">
        <v>1.3601110591364981E-2</v>
      </c>
      <c r="E14" s="885">
        <v>5.6334649222873111E-3</v>
      </c>
      <c r="F14" s="885">
        <v>1.9234575513652291E-2</v>
      </c>
      <c r="G14" s="804">
        <f t="shared" si="1"/>
        <v>4</v>
      </c>
      <c r="H14" s="806"/>
    </row>
    <row r="15" spans="1:8">
      <c r="A15" s="804">
        <f t="shared" si="0"/>
        <v>5</v>
      </c>
      <c r="B15" s="804" t="s">
        <v>939</v>
      </c>
      <c r="C15" s="804" t="s">
        <v>932</v>
      </c>
      <c r="D15" s="809">
        <v>2.1999999997038736E-2</v>
      </c>
      <c r="E15" s="809">
        <v>1.3199999998223242E-2</v>
      </c>
      <c r="F15" s="805">
        <v>3.519999999526198E-2</v>
      </c>
      <c r="G15" s="804">
        <f t="shared" si="1"/>
        <v>5</v>
      </c>
      <c r="H15" s="806"/>
    </row>
    <row r="16" spans="1:8">
      <c r="A16" s="804">
        <f t="shared" si="0"/>
        <v>6</v>
      </c>
      <c r="B16" s="804" t="s">
        <v>940</v>
      </c>
      <c r="C16" s="804" t="s">
        <v>934</v>
      </c>
      <c r="D16" s="809">
        <v>2.5099410684629592E-2</v>
      </c>
      <c r="E16" s="809">
        <v>1.50996455307164E-2</v>
      </c>
      <c r="F16" s="805">
        <v>4.0199056215345988E-2</v>
      </c>
      <c r="G16" s="804">
        <f t="shared" si="1"/>
        <v>6</v>
      </c>
      <c r="H16" s="806"/>
    </row>
    <row r="17" spans="1:8">
      <c r="A17" s="804">
        <f t="shared" si="0"/>
        <v>7</v>
      </c>
      <c r="B17" s="804" t="s">
        <v>1199</v>
      </c>
      <c r="C17" s="804" t="s">
        <v>941</v>
      </c>
      <c r="D17" s="809">
        <v>2.0299989112871373E-2</v>
      </c>
      <c r="E17" s="809">
        <v>1.2200032993688339E-2</v>
      </c>
      <c r="F17" s="805">
        <v>3.2500022106559709E-2</v>
      </c>
      <c r="G17" s="804">
        <f t="shared" si="1"/>
        <v>7</v>
      </c>
      <c r="H17" s="806"/>
    </row>
    <row r="18" spans="1:8">
      <c r="A18" s="804">
        <f t="shared" si="0"/>
        <v>8</v>
      </c>
      <c r="B18" s="804" t="s">
        <v>942</v>
      </c>
      <c r="C18" s="804" t="s">
        <v>936</v>
      </c>
      <c r="D18" s="805">
        <v>2.0100000039878569E-2</v>
      </c>
      <c r="E18" s="805">
        <v>0</v>
      </c>
      <c r="F18" s="805">
        <v>2.0100000039878569E-2</v>
      </c>
      <c r="G18" s="804">
        <f t="shared" si="1"/>
        <v>8</v>
      </c>
      <c r="H18" s="806"/>
    </row>
    <row r="19" spans="1:8" ht="15">
      <c r="A19" s="804">
        <f t="shared" si="0"/>
        <v>9</v>
      </c>
      <c r="B19" s="807" t="s">
        <v>943</v>
      </c>
      <c r="C19" s="807" t="s">
        <v>944</v>
      </c>
      <c r="D19" s="885">
        <v>2.2286525054274611E-2</v>
      </c>
      <c r="E19" s="885">
        <v>1.1789573233123223E-2</v>
      </c>
      <c r="F19" s="885">
        <v>3.4076098287397834E-2</v>
      </c>
      <c r="G19" s="804">
        <f t="shared" si="1"/>
        <v>9</v>
      </c>
      <c r="H19" s="806"/>
    </row>
    <row r="20" spans="1:8">
      <c r="A20" s="804">
        <f t="shared" si="0"/>
        <v>10</v>
      </c>
      <c r="B20" s="804" t="s">
        <v>945</v>
      </c>
      <c r="C20" s="804" t="s">
        <v>932</v>
      </c>
      <c r="D20" s="805">
        <v>1.5700000349973764E-2</v>
      </c>
      <c r="E20" s="805">
        <v>1.5600000052780597E-2</v>
      </c>
      <c r="F20" s="805">
        <v>3.1300000402754359E-2</v>
      </c>
      <c r="G20" s="804">
        <f t="shared" si="1"/>
        <v>10</v>
      </c>
      <c r="H20" s="806"/>
    </row>
    <row r="21" spans="1:8">
      <c r="A21" s="804">
        <f t="shared" si="0"/>
        <v>11</v>
      </c>
      <c r="B21" s="804" t="s">
        <v>946</v>
      </c>
      <c r="C21" s="804" t="s">
        <v>934</v>
      </c>
      <c r="D21" s="805">
        <v>1.3299999751760338E-2</v>
      </c>
      <c r="E21" s="805">
        <v>1.3199999884623725E-2</v>
      </c>
      <c r="F21" s="805">
        <v>2.6499999636384063E-2</v>
      </c>
      <c r="G21" s="804">
        <f t="shared" si="1"/>
        <v>11</v>
      </c>
      <c r="H21" s="806"/>
    </row>
    <row r="22" spans="1:8">
      <c r="A22" s="804">
        <f t="shared" si="0"/>
        <v>12</v>
      </c>
      <c r="B22" s="804" t="s">
        <v>947</v>
      </c>
      <c r="C22" s="804" t="s">
        <v>936</v>
      </c>
      <c r="D22" s="805">
        <v>1.4699999994031605E-2</v>
      </c>
      <c r="E22" s="805">
        <v>0</v>
      </c>
      <c r="F22" s="805">
        <v>1.4699999994031605E-2</v>
      </c>
      <c r="G22" s="804">
        <f t="shared" si="1"/>
        <v>12</v>
      </c>
      <c r="H22" s="806"/>
    </row>
    <row r="23" spans="1:8" ht="15">
      <c r="A23" s="804">
        <f t="shared" si="0"/>
        <v>13</v>
      </c>
      <c r="B23" s="807" t="s">
        <v>948</v>
      </c>
      <c r="C23" s="807" t="s">
        <v>949</v>
      </c>
      <c r="D23" s="885">
        <v>1.4677068675075889E-2</v>
      </c>
      <c r="E23" s="885">
        <v>2.0730768767361165E-3</v>
      </c>
      <c r="F23" s="885">
        <v>1.6750145551812007E-2</v>
      </c>
      <c r="G23" s="804">
        <f t="shared" si="1"/>
        <v>13</v>
      </c>
      <c r="H23" s="806"/>
    </row>
    <row r="24" spans="1:8">
      <c r="A24" s="804">
        <f t="shared" si="0"/>
        <v>14</v>
      </c>
      <c r="B24" s="804" t="s">
        <v>1200</v>
      </c>
      <c r="C24" s="804" t="s">
        <v>932</v>
      </c>
      <c r="D24" s="809">
        <v>2.330000002266791E-2</v>
      </c>
      <c r="E24" s="809">
        <v>2.3199999970687085E-2</v>
      </c>
      <c r="F24" s="809">
        <v>4.6499999993354996E-2</v>
      </c>
      <c r="G24" s="804">
        <f t="shared" si="1"/>
        <v>14</v>
      </c>
      <c r="H24" s="806"/>
    </row>
    <row r="25" spans="1:8">
      <c r="A25" s="804">
        <f t="shared" si="0"/>
        <v>15</v>
      </c>
      <c r="B25" s="804" t="s">
        <v>950</v>
      </c>
      <c r="C25" s="804" t="s">
        <v>934</v>
      </c>
      <c r="D25" s="805">
        <v>2.5400001165684333E-2</v>
      </c>
      <c r="E25" s="805">
        <v>2.5400001165684333E-2</v>
      </c>
      <c r="F25" s="805">
        <v>5.0800002331368665E-2</v>
      </c>
      <c r="G25" s="804">
        <f t="shared" si="1"/>
        <v>15</v>
      </c>
      <c r="H25" s="806"/>
    </row>
    <row r="26" spans="1:8">
      <c r="A26" s="804">
        <f t="shared" si="0"/>
        <v>16</v>
      </c>
      <c r="B26" s="804" t="s">
        <v>951</v>
      </c>
      <c r="C26" s="804" t="s">
        <v>936</v>
      </c>
      <c r="D26" s="805">
        <v>2.2599994273063015E-2</v>
      </c>
      <c r="E26" s="805">
        <v>0</v>
      </c>
      <c r="F26" s="805">
        <v>2.2599994273063015E-2</v>
      </c>
      <c r="G26" s="804">
        <f t="shared" si="1"/>
        <v>16</v>
      </c>
      <c r="H26" s="806"/>
    </row>
    <row r="27" spans="1:8" ht="15">
      <c r="A27" s="804">
        <f t="shared" si="0"/>
        <v>17</v>
      </c>
      <c r="B27" s="807" t="s">
        <v>952</v>
      </c>
      <c r="C27" s="807" t="s">
        <v>953</v>
      </c>
      <c r="D27" s="885">
        <v>2.3348819105833925E-2</v>
      </c>
      <c r="E27" s="885">
        <v>2.3055686204687103E-2</v>
      </c>
      <c r="F27" s="885">
        <v>4.6404505310521024E-2</v>
      </c>
      <c r="G27" s="804">
        <f t="shared" si="1"/>
        <v>17</v>
      </c>
      <c r="H27" s="806"/>
    </row>
    <row r="28" spans="1:8">
      <c r="A28" s="804">
        <f t="shared" si="0"/>
        <v>18</v>
      </c>
      <c r="B28" s="804" t="s">
        <v>954</v>
      </c>
      <c r="C28" s="804" t="s">
        <v>932</v>
      </c>
      <c r="D28" s="805">
        <v>1.5999999958006585E-2</v>
      </c>
      <c r="E28" s="805">
        <v>1.5999999958006585E-2</v>
      </c>
      <c r="F28" s="805">
        <v>3.1999999916013169E-2</v>
      </c>
      <c r="G28" s="804">
        <f t="shared" si="1"/>
        <v>18</v>
      </c>
      <c r="H28" s="806"/>
    </row>
    <row r="29" spans="1:8">
      <c r="A29" s="804">
        <f t="shared" si="0"/>
        <v>19</v>
      </c>
      <c r="B29" s="804" t="s">
        <v>955</v>
      </c>
      <c r="C29" s="804" t="s">
        <v>934</v>
      </c>
      <c r="D29" s="805">
        <v>8.8999999365602898E-3</v>
      </c>
      <c r="E29" s="805">
        <v>8.79999976989892E-3</v>
      </c>
      <c r="F29" s="805">
        <v>1.7699999706459212E-2</v>
      </c>
      <c r="G29" s="804">
        <f t="shared" si="1"/>
        <v>19</v>
      </c>
      <c r="H29" s="806"/>
    </row>
    <row r="30" spans="1:8">
      <c r="A30" s="804">
        <f t="shared" si="0"/>
        <v>20</v>
      </c>
      <c r="B30" s="804" t="s">
        <v>956</v>
      </c>
      <c r="C30" s="804" t="s">
        <v>936</v>
      </c>
      <c r="D30" s="805">
        <v>1.7500000183055996E-2</v>
      </c>
      <c r="E30" s="805">
        <v>0</v>
      </c>
      <c r="F30" s="805">
        <v>1.7500000183055996E-2</v>
      </c>
      <c r="G30" s="804">
        <f t="shared" si="1"/>
        <v>20</v>
      </c>
      <c r="H30" s="806"/>
    </row>
    <row r="31" spans="1:8" ht="15">
      <c r="A31" s="804">
        <f t="shared" si="0"/>
        <v>21</v>
      </c>
      <c r="B31" s="807" t="s">
        <v>957</v>
      </c>
      <c r="C31" s="807" t="s">
        <v>958</v>
      </c>
      <c r="D31" s="885">
        <v>1.5870538372603472E-2</v>
      </c>
      <c r="E31" s="885">
        <v>1.0155166389900848E-2</v>
      </c>
      <c r="F31" s="885">
        <v>2.612570476250432E-2</v>
      </c>
      <c r="G31" s="804">
        <f t="shared" si="1"/>
        <v>21</v>
      </c>
      <c r="H31" s="806"/>
    </row>
    <row r="32" spans="1:8">
      <c r="A32" s="804">
        <f t="shared" si="0"/>
        <v>22</v>
      </c>
      <c r="B32" s="804" t="s">
        <v>959</v>
      </c>
      <c r="C32" s="804" t="s">
        <v>960</v>
      </c>
      <c r="D32" s="809">
        <v>1.6800000052076138E-2</v>
      </c>
      <c r="E32" s="805">
        <v>7.499999929315852E-3</v>
      </c>
      <c r="F32" s="805">
        <v>2.4299999981391991E-2</v>
      </c>
      <c r="G32" s="804">
        <f t="shared" si="1"/>
        <v>22</v>
      </c>
      <c r="H32" s="806"/>
    </row>
    <row r="33" spans="1:8">
      <c r="A33" s="804">
        <f t="shared" si="0"/>
        <v>23</v>
      </c>
      <c r="B33" s="804" t="s">
        <v>961</v>
      </c>
      <c r="C33" s="804" t="s">
        <v>962</v>
      </c>
      <c r="D33" s="805">
        <v>1.6900000047551565E-2</v>
      </c>
      <c r="E33" s="805">
        <v>0</v>
      </c>
      <c r="F33" s="805">
        <v>1.6900000047551565E-2</v>
      </c>
      <c r="G33" s="804">
        <f t="shared" si="1"/>
        <v>23</v>
      </c>
      <c r="H33" s="806"/>
    </row>
    <row r="34" spans="1:8" ht="15">
      <c r="A34" s="804">
        <f t="shared" si="0"/>
        <v>24</v>
      </c>
      <c r="B34" s="807" t="s">
        <v>963</v>
      </c>
      <c r="C34" s="807" t="s">
        <v>964</v>
      </c>
      <c r="D34" s="885">
        <v>1.682414994335947E-2</v>
      </c>
      <c r="E34" s="885">
        <v>5.6887580181852974E-3</v>
      </c>
      <c r="F34" s="885">
        <v>2.2512907961544766E-2</v>
      </c>
      <c r="G34" s="804">
        <f t="shared" si="1"/>
        <v>24</v>
      </c>
      <c r="H34" s="806"/>
    </row>
    <row r="35" spans="1:8">
      <c r="A35" s="804">
        <f t="shared" si="0"/>
        <v>25</v>
      </c>
      <c r="B35" s="804" t="s">
        <v>965</v>
      </c>
      <c r="C35" s="804" t="s">
        <v>960</v>
      </c>
      <c r="D35" s="809">
        <v>1.8900000032502497E-2</v>
      </c>
      <c r="E35" s="805">
        <v>1.8999999681478955E-3</v>
      </c>
      <c r="F35" s="805">
        <v>2.0800000000650392E-2</v>
      </c>
      <c r="G35" s="804">
        <f t="shared" si="1"/>
        <v>25</v>
      </c>
      <c r="H35" s="806"/>
    </row>
    <row r="36" spans="1:8">
      <c r="A36" s="804">
        <f t="shared" si="0"/>
        <v>26</v>
      </c>
      <c r="B36" s="804" t="s">
        <v>966</v>
      </c>
      <c r="C36" s="804" t="s">
        <v>962</v>
      </c>
      <c r="D36" s="805">
        <v>2.0200000309349445E-2</v>
      </c>
      <c r="E36" s="805">
        <v>0</v>
      </c>
      <c r="F36" s="805">
        <v>2.0200000309349445E-2</v>
      </c>
      <c r="G36" s="804">
        <f t="shared" si="1"/>
        <v>26</v>
      </c>
      <c r="H36" s="806"/>
    </row>
    <row r="37" spans="1:8" ht="15">
      <c r="A37" s="804">
        <f t="shared" si="0"/>
        <v>27</v>
      </c>
      <c r="B37" s="807" t="s">
        <v>967</v>
      </c>
      <c r="C37" s="807" t="s">
        <v>968</v>
      </c>
      <c r="D37" s="885">
        <v>1.9368434205718377E-2</v>
      </c>
      <c r="E37" s="885">
        <v>1.2153655645705005E-3</v>
      </c>
      <c r="F37" s="885">
        <v>2.0583799770288878E-2</v>
      </c>
      <c r="G37" s="804">
        <f t="shared" si="1"/>
        <v>27</v>
      </c>
      <c r="H37" s="806"/>
    </row>
    <row r="38" spans="1:8">
      <c r="A38" s="804">
        <f t="shared" si="0"/>
        <v>28</v>
      </c>
      <c r="B38" s="804" t="s">
        <v>969</v>
      </c>
      <c r="C38" s="804" t="s">
        <v>932</v>
      </c>
      <c r="D38" s="805">
        <v>1.6500000285339052E-2</v>
      </c>
      <c r="E38" s="805">
        <v>0</v>
      </c>
      <c r="F38" s="805">
        <v>1.6500000285339052E-2</v>
      </c>
      <c r="G38" s="804">
        <f t="shared" si="1"/>
        <v>28</v>
      </c>
      <c r="H38" s="806"/>
    </row>
    <row r="39" spans="1:8">
      <c r="A39" s="804">
        <f t="shared" si="0"/>
        <v>29</v>
      </c>
      <c r="B39" s="804" t="s">
        <v>970</v>
      </c>
      <c r="C39" s="804" t="s">
        <v>934</v>
      </c>
      <c r="D39" s="805">
        <v>1.4399989469464067E-2</v>
      </c>
      <c r="E39" s="805">
        <v>0</v>
      </c>
      <c r="F39" s="805">
        <v>1.4399989469464067E-2</v>
      </c>
      <c r="G39" s="804">
        <f t="shared" si="1"/>
        <v>29</v>
      </c>
      <c r="H39" s="806"/>
    </row>
    <row r="40" spans="1:8">
      <c r="A40" s="804">
        <f t="shared" si="0"/>
        <v>30</v>
      </c>
      <c r="B40" s="804" t="s">
        <v>971</v>
      </c>
      <c r="C40" s="804" t="s">
        <v>936</v>
      </c>
      <c r="D40" s="805">
        <v>1.6799999936483519E-2</v>
      </c>
      <c r="E40" s="805">
        <v>0</v>
      </c>
      <c r="F40" s="805">
        <v>1.6799999936483519E-2</v>
      </c>
      <c r="G40" s="804">
        <f t="shared" si="1"/>
        <v>30</v>
      </c>
      <c r="H40" s="806"/>
    </row>
    <row r="41" spans="1:8" ht="15">
      <c r="A41" s="804">
        <f t="shared" si="0"/>
        <v>31</v>
      </c>
      <c r="B41" s="807" t="s">
        <v>972</v>
      </c>
      <c r="C41" s="807" t="s">
        <v>973</v>
      </c>
      <c r="D41" s="885">
        <v>1.6685906212693519E-2</v>
      </c>
      <c r="E41" s="885">
        <v>0</v>
      </c>
      <c r="F41" s="885">
        <v>1.6685906212693519E-2</v>
      </c>
      <c r="G41" s="804">
        <f t="shared" si="1"/>
        <v>31</v>
      </c>
      <c r="H41" s="806"/>
    </row>
    <row r="42" spans="1:8">
      <c r="A42" s="804">
        <f t="shared" si="0"/>
        <v>32</v>
      </c>
      <c r="B42" s="808"/>
      <c r="C42" s="1053"/>
      <c r="D42" s="809"/>
      <c r="E42" s="809"/>
      <c r="F42" s="810"/>
      <c r="G42" s="804">
        <f t="shared" si="1"/>
        <v>32</v>
      </c>
      <c r="H42" s="806"/>
    </row>
    <row r="43" spans="1:8" ht="15">
      <c r="A43" s="804">
        <f t="shared" si="0"/>
        <v>33</v>
      </c>
      <c r="B43" s="1170" t="s">
        <v>974</v>
      </c>
      <c r="C43" s="1171"/>
      <c r="D43" s="885">
        <v>1.8159274919399091E-2</v>
      </c>
      <c r="E43" s="885">
        <v>7.9779648000487674E-3</v>
      </c>
      <c r="F43" s="885">
        <v>2.6237239719447858E-2</v>
      </c>
      <c r="G43" s="804">
        <f t="shared" si="1"/>
        <v>33</v>
      </c>
      <c r="H43" s="806"/>
    </row>
    <row r="44" spans="1:8">
      <c r="B44" s="811"/>
      <c r="G44" s="796"/>
      <c r="H44" s="796"/>
    </row>
    <row r="45" spans="1:8" ht="14.25">
      <c r="A45" s="884">
        <v>1</v>
      </c>
      <c r="B45" s="796" t="s">
        <v>1197</v>
      </c>
    </row>
    <row r="46" spans="1:8">
      <c r="B46" s="794" t="s">
        <v>1198</v>
      </c>
      <c r="D46" s="812"/>
      <c r="E46" s="812"/>
    </row>
    <row r="47" spans="1:8">
      <c r="B47" s="794" t="s">
        <v>1201</v>
      </c>
      <c r="D47" s="1056"/>
      <c r="E47" s="1057"/>
    </row>
    <row r="48" spans="1:8">
      <c r="D48" s="1056"/>
      <c r="E48" s="1057"/>
    </row>
    <row r="49" spans="1:6">
      <c r="F49" s="794"/>
    </row>
    <row r="50" spans="1:6">
      <c r="F50" s="794"/>
    </row>
    <row r="51" spans="1:6">
      <c r="F51" s="794"/>
    </row>
    <row r="52" spans="1:6">
      <c r="F52" s="794"/>
    </row>
    <row r="53" spans="1:6">
      <c r="F53" s="794"/>
    </row>
    <row r="54" spans="1:6">
      <c r="B54" s="1054"/>
      <c r="F54" s="794"/>
    </row>
    <row r="55" spans="1:6">
      <c r="B55" s="1054"/>
      <c r="F55" s="794"/>
    </row>
    <row r="56" spans="1:6">
      <c r="B56" s="1054"/>
      <c r="F56" s="794"/>
    </row>
    <row r="58" spans="1:6" ht="14.25">
      <c r="A58" s="884"/>
    </row>
  </sheetData>
  <mergeCells count="6">
    <mergeCell ref="B43:C43"/>
    <mergeCell ref="A1:G1"/>
    <mergeCell ref="A2:G2"/>
    <mergeCell ref="A3:G3"/>
    <mergeCell ref="A5:G5"/>
    <mergeCell ref="A4:G4"/>
  </mergeCells>
  <printOptions horizontalCentered="1"/>
  <pageMargins left="0" right="0" top="0.5" bottom="0.25" header="0.25" footer="0"/>
  <pageSetup scale="99" orientation="portrait" r:id="rId1"/>
  <headerFooter>
    <oddFooter xml:space="preserve">&amp;C2015 Transmission Plant Depreciation Rates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zoomScale="80" zoomScaleNormal="80" workbookViewId="0"/>
  </sheetViews>
  <sheetFormatPr defaultRowHeight="12.75"/>
  <cols>
    <col min="1" max="1" width="4.7109375" bestFit="1" customWidth="1"/>
    <col min="2" max="2" width="8.7109375" style="791" customWidth="1"/>
    <col min="3" max="3" width="50.7109375" bestFit="1" customWidth="1"/>
    <col min="4" max="4" width="15" style="791" bestFit="1" customWidth="1"/>
    <col min="5" max="5" width="4.7109375" bestFit="1" customWidth="1"/>
  </cols>
  <sheetData>
    <row r="1" spans="1:8">
      <c r="B1" s="793"/>
      <c r="C1" s="793"/>
      <c r="D1" s="793"/>
      <c r="E1" s="793"/>
      <c r="F1" s="793"/>
      <c r="G1" s="792"/>
      <c r="H1" s="792"/>
    </row>
    <row r="2" spans="1:8">
      <c r="B2" s="1172" t="s">
        <v>42</v>
      </c>
      <c r="C2" s="1156"/>
      <c r="D2" s="1156"/>
      <c r="E2" s="793"/>
      <c r="F2" s="793"/>
      <c r="G2" s="793"/>
      <c r="H2" s="793"/>
    </row>
    <row r="3" spans="1:8">
      <c r="B3" s="1172" t="s">
        <v>174</v>
      </c>
      <c r="C3" s="1156"/>
      <c r="D3" s="1156"/>
      <c r="E3" s="793"/>
      <c r="F3" s="793"/>
      <c r="G3" s="793"/>
      <c r="H3" s="793"/>
    </row>
    <row r="4" spans="1:8">
      <c r="B4" s="1172" t="s">
        <v>1166</v>
      </c>
      <c r="C4" s="1156"/>
      <c r="D4" s="1156"/>
      <c r="E4" s="793"/>
      <c r="F4" s="793"/>
      <c r="G4" s="793"/>
      <c r="H4" s="793"/>
    </row>
    <row r="5" spans="1:8">
      <c r="B5" s="1173" t="s">
        <v>1229</v>
      </c>
      <c r="C5" s="1175"/>
      <c r="D5" s="1175"/>
      <c r="E5" s="793"/>
      <c r="F5" s="793"/>
      <c r="G5" s="793"/>
      <c r="H5" s="793"/>
    </row>
    <row r="8" spans="1:8" ht="15">
      <c r="A8" s="823" t="s">
        <v>62</v>
      </c>
      <c r="B8" s="825" t="s">
        <v>926</v>
      </c>
      <c r="C8" s="818"/>
      <c r="D8" s="833" t="s">
        <v>985</v>
      </c>
      <c r="E8" s="830" t="s">
        <v>62</v>
      </c>
    </row>
    <row r="9" spans="1:8" s="817" customFormat="1" ht="15">
      <c r="A9" s="824" t="s">
        <v>73</v>
      </c>
      <c r="B9" s="826" t="s">
        <v>986</v>
      </c>
      <c r="C9" s="822" t="s">
        <v>976</v>
      </c>
      <c r="D9" s="834" t="s">
        <v>1136</v>
      </c>
      <c r="E9" s="831" t="s">
        <v>73</v>
      </c>
    </row>
    <row r="10" spans="1:8">
      <c r="A10" s="819">
        <v>1</v>
      </c>
      <c r="B10" s="827"/>
      <c r="C10" s="162"/>
      <c r="D10" s="827"/>
      <c r="E10" s="832">
        <v>1</v>
      </c>
    </row>
    <row r="11" spans="1:8">
      <c r="A11" s="837">
        <f>A10+1</f>
        <v>2</v>
      </c>
      <c r="B11" s="838"/>
      <c r="C11" s="839" t="s">
        <v>977</v>
      </c>
      <c r="D11" s="840"/>
      <c r="E11" s="841">
        <f>E10+1</f>
        <v>2</v>
      </c>
    </row>
    <row r="12" spans="1:8">
      <c r="A12" s="819">
        <f>A11+1</f>
        <v>3</v>
      </c>
      <c r="B12" s="828" t="s">
        <v>978</v>
      </c>
      <c r="C12" s="820" t="s">
        <v>979</v>
      </c>
      <c r="D12" s="882" t="s">
        <v>1137</v>
      </c>
      <c r="E12" s="832">
        <f>E11+1</f>
        <v>3</v>
      </c>
    </row>
    <row r="13" spans="1:8">
      <c r="A13" s="837">
        <f t="shared" ref="A13:A16" si="0">A12+1</f>
        <v>4</v>
      </c>
      <c r="B13" s="842" t="s">
        <v>980</v>
      </c>
      <c r="C13" s="843" t="s">
        <v>981</v>
      </c>
      <c r="D13" s="883" t="s">
        <v>1138</v>
      </c>
      <c r="E13" s="844">
        <f t="shared" ref="E13:E17" si="1">E12+1</f>
        <v>4</v>
      </c>
    </row>
    <row r="14" spans="1:8" ht="15">
      <c r="A14" s="819">
        <f t="shared" si="0"/>
        <v>5</v>
      </c>
      <c r="B14" s="827"/>
      <c r="C14" s="162"/>
      <c r="D14" s="835"/>
      <c r="E14" s="832">
        <f t="shared" si="1"/>
        <v>5</v>
      </c>
    </row>
    <row r="15" spans="1:8" ht="15">
      <c r="A15" s="837">
        <f t="shared" si="0"/>
        <v>6</v>
      </c>
      <c r="B15" s="844"/>
      <c r="C15" s="845" t="s">
        <v>982</v>
      </c>
      <c r="D15" s="846"/>
      <c r="E15" s="844">
        <f t="shared" si="1"/>
        <v>6</v>
      </c>
    </row>
    <row r="16" spans="1:8">
      <c r="A16" s="837">
        <f t="shared" si="0"/>
        <v>7</v>
      </c>
      <c r="B16" s="842" t="s">
        <v>983</v>
      </c>
      <c r="C16" s="843" t="s">
        <v>984</v>
      </c>
      <c r="D16" s="883" t="s">
        <v>1139</v>
      </c>
      <c r="E16" s="832">
        <f t="shared" si="1"/>
        <v>7</v>
      </c>
    </row>
    <row r="17" spans="1:5">
      <c r="A17" s="847">
        <f>A16+1</f>
        <v>8</v>
      </c>
      <c r="B17" s="829"/>
      <c r="C17" s="821"/>
      <c r="D17" s="836"/>
      <c r="E17" s="844">
        <f t="shared" si="1"/>
        <v>8</v>
      </c>
    </row>
    <row r="18" spans="1:5">
      <c r="B18" s="814"/>
      <c r="C18" s="815"/>
      <c r="D18" s="816"/>
    </row>
    <row r="19" spans="1:5">
      <c r="B19" s="814"/>
      <c r="C19" s="815"/>
      <c r="D19" s="816"/>
    </row>
    <row r="20" spans="1:5" ht="14.25">
      <c r="A20" s="881">
        <v>1</v>
      </c>
      <c r="B20" s="815" t="s">
        <v>1165</v>
      </c>
      <c r="D20" s="813"/>
    </row>
    <row r="21" spans="1:5">
      <c r="B21" s="395" t="s">
        <v>1169</v>
      </c>
    </row>
    <row r="22" spans="1:5">
      <c r="B22" s="886" t="s">
        <v>1170</v>
      </c>
    </row>
    <row r="23" spans="1:5">
      <c r="B23" s="849" t="s">
        <v>1171</v>
      </c>
    </row>
  </sheetData>
  <mergeCells count="4">
    <mergeCell ref="B2:D2"/>
    <mergeCell ref="B3:D3"/>
    <mergeCell ref="B4:D4"/>
    <mergeCell ref="B5:D5"/>
  </mergeCells>
  <printOptions horizontalCentered="1"/>
  <pageMargins left="0.25" right="0.25" top="0.5" bottom="0.25" header="0.25" footer="0"/>
  <pageSetup orientation="portrait" r:id="rId1"/>
  <headerFooter>
    <oddFooter xml:space="preserve">&amp;C2015 Intangible Plant Amortization Period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34"/>
  <sheetViews>
    <sheetView zoomScale="80" zoomScaleNormal="80" workbookViewId="0">
      <selection sqref="A1:G1"/>
    </sheetView>
  </sheetViews>
  <sheetFormatPr defaultColWidth="8.7109375" defaultRowHeight="12.75"/>
  <cols>
    <col min="1" max="1" width="5.5703125" style="849" customWidth="1"/>
    <col min="2" max="2" width="15.5703125" style="849" customWidth="1"/>
    <col min="3" max="3" width="21.85546875" style="849" customWidth="1"/>
    <col min="4" max="4" width="10.5703125" style="850" customWidth="1"/>
    <col min="5" max="5" width="12.140625" style="850" customWidth="1"/>
    <col min="6" max="6" width="12.5703125" style="850" customWidth="1"/>
    <col min="7" max="7" width="5.5703125" style="849" customWidth="1"/>
    <col min="8" max="8" width="10.85546875" style="849" customWidth="1"/>
    <col min="9" max="9" width="8.140625" style="849" bestFit="1" customWidth="1"/>
    <col min="10" max="16384" width="8.7109375" style="849"/>
  </cols>
  <sheetData>
    <row r="1" spans="1:9">
      <c r="A1" s="1180" t="s">
        <v>42</v>
      </c>
      <c r="B1" s="1181"/>
      <c r="C1" s="1181"/>
      <c r="D1" s="1181"/>
      <c r="E1" s="1181"/>
      <c r="F1" s="1181"/>
      <c r="G1" s="1160"/>
    </row>
    <row r="2" spans="1:9">
      <c r="A2" s="1180" t="s">
        <v>174</v>
      </c>
      <c r="B2" s="1181"/>
      <c r="C2" s="1181"/>
      <c r="D2" s="1181"/>
      <c r="E2" s="1181"/>
      <c r="F2" s="1181"/>
      <c r="G2" s="1160"/>
    </row>
    <row r="3" spans="1:9">
      <c r="A3" s="1180" t="s">
        <v>1167</v>
      </c>
      <c r="B3" s="1181"/>
      <c r="C3" s="1181"/>
      <c r="D3" s="1181"/>
      <c r="E3" s="1181"/>
      <c r="F3" s="1181"/>
      <c r="G3" s="1160"/>
    </row>
    <row r="4" spans="1:9">
      <c r="A4" s="1173" t="s">
        <v>1229</v>
      </c>
      <c r="B4" s="1182"/>
      <c r="C4" s="1182"/>
      <c r="D4" s="1182"/>
      <c r="E4" s="1182"/>
      <c r="F4" s="1182"/>
      <c r="G4" s="1163"/>
    </row>
    <row r="5" spans="1:9">
      <c r="A5" s="1173" t="s">
        <v>1230</v>
      </c>
      <c r="B5" s="1174"/>
      <c r="C5" s="1174"/>
      <c r="D5" s="1174"/>
      <c r="E5" s="1174"/>
      <c r="F5" s="1174"/>
      <c r="G5" s="1163"/>
    </row>
    <row r="6" spans="1:9">
      <c r="A6" s="1180"/>
      <c r="B6" s="1181"/>
      <c r="C6" s="1181"/>
      <c r="D6" s="1181"/>
      <c r="E6" s="1181"/>
      <c r="F6" s="1181"/>
    </row>
    <row r="7" spans="1:9">
      <c r="B7" s="850"/>
    </row>
    <row r="8" spans="1:9" ht="17.25">
      <c r="B8" s="1176" t="s">
        <v>1231</v>
      </c>
      <c r="C8" s="1176"/>
      <c r="D8" s="1176"/>
      <c r="E8" s="1176"/>
      <c r="F8" s="1176"/>
    </row>
    <row r="9" spans="1:9" ht="15">
      <c r="A9" s="874"/>
      <c r="B9" s="1177" t="s">
        <v>1232</v>
      </c>
      <c r="C9" s="1178"/>
      <c r="D9" s="1178"/>
      <c r="E9" s="1178"/>
      <c r="F9" s="1179"/>
      <c r="G9" s="875"/>
    </row>
    <row r="10" spans="1:9" ht="15">
      <c r="A10" s="848"/>
      <c r="B10" s="871"/>
      <c r="C10" s="872"/>
      <c r="D10" s="871" t="s">
        <v>165</v>
      </c>
      <c r="E10" s="872" t="s">
        <v>166</v>
      </c>
      <c r="F10" s="800" t="s">
        <v>975</v>
      </c>
      <c r="G10" s="873"/>
    </row>
    <row r="11" spans="1:9" s="851" customFormat="1" ht="15">
      <c r="A11" s="802" t="s">
        <v>62</v>
      </c>
      <c r="B11" s="803" t="s">
        <v>926</v>
      </c>
      <c r="C11" s="862"/>
      <c r="D11" s="803" t="s">
        <v>927</v>
      </c>
      <c r="E11" s="803" t="s">
        <v>928</v>
      </c>
      <c r="F11" s="803" t="s">
        <v>67</v>
      </c>
      <c r="G11" s="802" t="s">
        <v>62</v>
      </c>
    </row>
    <row r="12" spans="1:9" ht="15">
      <c r="A12" s="857" t="s">
        <v>73</v>
      </c>
      <c r="B12" s="863" t="s">
        <v>929</v>
      </c>
      <c r="C12" s="864" t="s">
        <v>596</v>
      </c>
      <c r="D12" s="863" t="s">
        <v>930</v>
      </c>
      <c r="E12" s="865" t="s">
        <v>930</v>
      </c>
      <c r="F12" s="863" t="s">
        <v>930</v>
      </c>
      <c r="G12" s="857" t="s">
        <v>73</v>
      </c>
      <c r="I12" s="866"/>
    </row>
    <row r="13" spans="1:9">
      <c r="A13" s="855">
        <v>1</v>
      </c>
      <c r="B13" s="867"/>
      <c r="C13" s="868"/>
      <c r="D13" s="866"/>
      <c r="E13" s="869"/>
      <c r="F13" s="866"/>
      <c r="G13" s="855">
        <v>1</v>
      </c>
    </row>
    <row r="14" spans="1:9">
      <c r="A14" s="858">
        <f>A13+1</f>
        <v>2</v>
      </c>
      <c r="B14" s="859" t="s">
        <v>987</v>
      </c>
      <c r="C14" s="860" t="s">
        <v>988</v>
      </c>
      <c r="D14" s="877">
        <v>4.3766098532902718E-2</v>
      </c>
      <c r="E14" s="878">
        <v>1.094152463322568E-2</v>
      </c>
      <c r="F14" s="870">
        <f>D14+E14</f>
        <v>5.47076231661284E-2</v>
      </c>
      <c r="G14" s="858">
        <f>G13+1</f>
        <v>2</v>
      </c>
      <c r="I14" s="853"/>
    </row>
    <row r="15" spans="1:9">
      <c r="A15" s="855">
        <f t="shared" ref="A15:A24" si="0">A14+1</f>
        <v>3</v>
      </c>
      <c r="B15" s="854" t="s">
        <v>989</v>
      </c>
      <c r="C15" s="856" t="s">
        <v>990</v>
      </c>
      <c r="D15" s="879">
        <v>4.4339404778919032E-2</v>
      </c>
      <c r="E15" s="880">
        <v>0</v>
      </c>
      <c r="F15" s="870">
        <f t="shared" ref="F15:F23" si="1">D15+E15</f>
        <v>4.4339404778919032E-2</v>
      </c>
      <c r="G15" s="855">
        <f t="shared" ref="G15:G24" si="2">G14+1</f>
        <v>3</v>
      </c>
      <c r="I15" s="853"/>
    </row>
    <row r="16" spans="1:9">
      <c r="A16" s="858">
        <f t="shared" si="0"/>
        <v>4</v>
      </c>
      <c r="B16" s="859" t="s">
        <v>991</v>
      </c>
      <c r="C16" s="860" t="s">
        <v>992</v>
      </c>
      <c r="D16" s="877">
        <v>4.5038524050153303E-3</v>
      </c>
      <c r="E16" s="878">
        <v>0</v>
      </c>
      <c r="F16" s="870">
        <f t="shared" si="1"/>
        <v>4.5038524050153303E-3</v>
      </c>
      <c r="G16" s="858">
        <f t="shared" si="2"/>
        <v>4</v>
      </c>
      <c r="I16" s="853"/>
    </row>
    <row r="17" spans="1:9">
      <c r="A17" s="855">
        <f t="shared" si="0"/>
        <v>5</v>
      </c>
      <c r="B17" s="854" t="s">
        <v>993</v>
      </c>
      <c r="C17" s="856" t="s">
        <v>994</v>
      </c>
      <c r="D17" s="879">
        <v>3.754458431091643E-2</v>
      </c>
      <c r="E17" s="880">
        <v>0</v>
      </c>
      <c r="F17" s="870">
        <f t="shared" si="1"/>
        <v>3.754458431091643E-2</v>
      </c>
      <c r="G17" s="855">
        <f t="shared" si="2"/>
        <v>5</v>
      </c>
      <c r="I17" s="853"/>
    </row>
    <row r="18" spans="1:9">
      <c r="A18" s="858">
        <f t="shared" si="0"/>
        <v>6</v>
      </c>
      <c r="B18" s="859" t="s">
        <v>995</v>
      </c>
      <c r="C18" s="860" t="s">
        <v>996</v>
      </c>
      <c r="D18" s="877">
        <v>4.7246510329047128E-2</v>
      </c>
      <c r="E18" s="878">
        <v>0</v>
      </c>
      <c r="F18" s="870">
        <f t="shared" si="1"/>
        <v>4.7246510329047128E-2</v>
      </c>
      <c r="G18" s="858">
        <f t="shared" si="2"/>
        <v>6</v>
      </c>
      <c r="I18" s="853"/>
    </row>
    <row r="19" spans="1:9">
      <c r="A19" s="855">
        <f t="shared" si="0"/>
        <v>7</v>
      </c>
      <c r="B19" s="854" t="s">
        <v>997</v>
      </c>
      <c r="C19" s="856" t="s">
        <v>998</v>
      </c>
      <c r="D19" s="879">
        <v>5.1907204438494357E-2</v>
      </c>
      <c r="E19" s="880">
        <v>0</v>
      </c>
      <c r="F19" s="870">
        <f t="shared" si="1"/>
        <v>5.1907204438494357E-2</v>
      </c>
      <c r="G19" s="855">
        <f t="shared" si="2"/>
        <v>7</v>
      </c>
      <c r="I19" s="853"/>
    </row>
    <row r="20" spans="1:9">
      <c r="A20" s="858">
        <f t="shared" si="0"/>
        <v>8</v>
      </c>
      <c r="B20" s="859" t="s">
        <v>999</v>
      </c>
      <c r="C20" s="860" t="s">
        <v>1000</v>
      </c>
      <c r="D20" s="877">
        <v>3.2764007776223396E-2</v>
      </c>
      <c r="E20" s="878">
        <v>4.9146011664335095E-3</v>
      </c>
      <c r="F20" s="870">
        <f t="shared" si="1"/>
        <v>3.7678608942656906E-2</v>
      </c>
      <c r="G20" s="858">
        <f t="shared" si="2"/>
        <v>8</v>
      </c>
      <c r="I20" s="853"/>
    </row>
    <row r="21" spans="1:9">
      <c r="A21" s="855">
        <f t="shared" si="0"/>
        <v>9</v>
      </c>
      <c r="B21" s="854" t="s">
        <v>1001</v>
      </c>
      <c r="C21" s="856" t="s">
        <v>1002</v>
      </c>
      <c r="D21" s="879">
        <v>2.5387406680896937E-2</v>
      </c>
      <c r="E21" s="880">
        <v>3.8081110021345407E-3</v>
      </c>
      <c r="F21" s="870">
        <f t="shared" si="1"/>
        <v>2.9195517683031479E-2</v>
      </c>
      <c r="G21" s="855">
        <f t="shared" si="2"/>
        <v>9</v>
      </c>
      <c r="I21" s="853"/>
    </row>
    <row r="22" spans="1:9">
      <c r="A22" s="858">
        <f t="shared" si="0"/>
        <v>10</v>
      </c>
      <c r="B22" s="859" t="s">
        <v>1003</v>
      </c>
      <c r="C22" s="860" t="s">
        <v>1004</v>
      </c>
      <c r="D22" s="877">
        <v>3.529328842284498E-2</v>
      </c>
      <c r="E22" s="878">
        <v>5.2939932634267469E-3</v>
      </c>
      <c r="F22" s="870">
        <f t="shared" si="1"/>
        <v>4.058728168627173E-2</v>
      </c>
      <c r="G22" s="858">
        <f t="shared" si="2"/>
        <v>10</v>
      </c>
      <c r="I22" s="853"/>
    </row>
    <row r="23" spans="1:9">
      <c r="A23" s="855">
        <f t="shared" si="0"/>
        <v>11</v>
      </c>
      <c r="B23" s="854" t="s">
        <v>1005</v>
      </c>
      <c r="C23" s="856" t="s">
        <v>1006</v>
      </c>
      <c r="D23" s="879">
        <v>6.8461983317165867E-2</v>
      </c>
      <c r="E23" s="880">
        <v>0</v>
      </c>
      <c r="F23" s="870">
        <f t="shared" si="1"/>
        <v>6.8461983317165867E-2</v>
      </c>
      <c r="G23" s="855">
        <f t="shared" si="2"/>
        <v>11</v>
      </c>
      <c r="I23" s="853"/>
    </row>
    <row r="24" spans="1:9">
      <c r="A24" s="858">
        <f t="shared" si="0"/>
        <v>12</v>
      </c>
      <c r="B24" s="861"/>
      <c r="C24" s="860"/>
      <c r="D24" s="859" t="s">
        <v>39</v>
      </c>
      <c r="E24" s="858" t="s">
        <v>39</v>
      </c>
      <c r="F24" s="859" t="s">
        <v>39</v>
      </c>
      <c r="G24" s="858">
        <f t="shared" si="2"/>
        <v>12</v>
      </c>
    </row>
    <row r="26" spans="1:9">
      <c r="B26" s="852" t="s">
        <v>39</v>
      </c>
    </row>
    <row r="27" spans="1:9" ht="14.25">
      <c r="A27" s="876">
        <v>1</v>
      </c>
      <c r="B27" s="852" t="s">
        <v>1235</v>
      </c>
    </row>
    <row r="28" spans="1:9">
      <c r="B28" s="852" t="s">
        <v>1187</v>
      </c>
    </row>
    <row r="30" spans="1:9" ht="14.25">
      <c r="A30" s="876">
        <v>2</v>
      </c>
      <c r="B30" s="815" t="s">
        <v>1135</v>
      </c>
    </row>
    <row r="31" spans="1:9">
      <c r="B31" s="849" t="s">
        <v>1302</v>
      </c>
    </row>
    <row r="32" spans="1:9">
      <c r="B32" s="852" t="s">
        <v>1303</v>
      </c>
    </row>
    <row r="33" spans="2:2">
      <c r="B33" s="849" t="s">
        <v>1304</v>
      </c>
    </row>
    <row r="34" spans="2:2">
      <c r="B34" s="849" t="s">
        <v>1305</v>
      </c>
    </row>
  </sheetData>
  <mergeCells count="8">
    <mergeCell ref="B8:F8"/>
    <mergeCell ref="B9:F9"/>
    <mergeCell ref="A6:F6"/>
    <mergeCell ref="A1:G1"/>
    <mergeCell ref="A2:G2"/>
    <mergeCell ref="A3:G3"/>
    <mergeCell ref="A4:G4"/>
    <mergeCell ref="A5:G5"/>
  </mergeCells>
  <printOptions horizontalCentered="1"/>
  <pageMargins left="0.25" right="0.25" top="0.5" bottom="0.25" header="0.25" footer="0"/>
  <pageSetup orientation="portrait" r:id="rId1"/>
  <headerFooter>
    <oddFooter xml:space="preserve">&amp;C2015 General Plant Depreciation Rates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5"/>
  <sheetViews>
    <sheetView zoomScaleNormal="100" workbookViewId="0">
      <selection sqref="A1:G1"/>
    </sheetView>
  </sheetViews>
  <sheetFormatPr defaultColWidth="8.7109375" defaultRowHeight="12.75"/>
  <cols>
    <col min="1" max="1" width="5.5703125" style="849" customWidth="1"/>
    <col min="2" max="2" width="15.5703125" style="849" customWidth="1"/>
    <col min="3" max="3" width="21.85546875" style="849" customWidth="1"/>
    <col min="4" max="4" width="10.5703125" style="850" customWidth="1"/>
    <col min="5" max="5" width="12.140625" style="850" customWidth="1"/>
    <col min="6" max="6" width="12.5703125" style="850" customWidth="1"/>
    <col min="7" max="7" width="5.5703125" style="849" customWidth="1"/>
    <col min="8" max="8" width="10.85546875" style="849" customWidth="1"/>
    <col min="9" max="9" width="8.140625" style="849" bestFit="1" customWidth="1"/>
    <col min="10" max="16384" width="8.7109375" style="849"/>
  </cols>
  <sheetData>
    <row r="1" spans="1:9">
      <c r="A1" s="1180" t="s">
        <v>42</v>
      </c>
      <c r="B1" s="1181"/>
      <c r="C1" s="1181"/>
      <c r="D1" s="1181"/>
      <c r="E1" s="1181"/>
      <c r="F1" s="1181"/>
      <c r="G1" s="1160"/>
    </row>
    <row r="2" spans="1:9">
      <c r="A2" s="1180" t="s">
        <v>174</v>
      </c>
      <c r="B2" s="1181"/>
      <c r="C2" s="1181"/>
      <c r="D2" s="1181"/>
      <c r="E2" s="1181"/>
      <c r="F2" s="1181"/>
      <c r="G2" s="1160"/>
    </row>
    <row r="3" spans="1:9">
      <c r="A3" s="1180" t="s">
        <v>1168</v>
      </c>
      <c r="B3" s="1181"/>
      <c r="C3" s="1181"/>
      <c r="D3" s="1181"/>
      <c r="E3" s="1181"/>
      <c r="F3" s="1181"/>
      <c r="G3" s="1160"/>
    </row>
    <row r="4" spans="1:9">
      <c r="A4" s="1173" t="s">
        <v>1229</v>
      </c>
      <c r="B4" s="1182"/>
      <c r="C4" s="1182"/>
      <c r="D4" s="1182"/>
      <c r="E4" s="1182"/>
      <c r="F4" s="1182"/>
      <c r="G4" s="1163"/>
    </row>
    <row r="5" spans="1:9">
      <c r="A5" s="1173" t="s">
        <v>1230</v>
      </c>
      <c r="B5" s="1174"/>
      <c r="C5" s="1174"/>
      <c r="D5" s="1174"/>
      <c r="E5" s="1174"/>
      <c r="F5" s="1174"/>
      <c r="G5" s="1163"/>
    </row>
    <row r="6" spans="1:9">
      <c r="A6" s="1180"/>
      <c r="B6" s="1181"/>
      <c r="C6" s="1181"/>
      <c r="D6" s="1181"/>
      <c r="E6" s="1181"/>
      <c r="F6" s="1181"/>
    </row>
    <row r="7" spans="1:9">
      <c r="B7" s="850"/>
    </row>
    <row r="8" spans="1:9" ht="17.25">
      <c r="B8" s="1176" t="s">
        <v>1233</v>
      </c>
      <c r="C8" s="1176"/>
      <c r="D8" s="1176"/>
      <c r="E8" s="1176"/>
      <c r="F8" s="1176"/>
    </row>
    <row r="9" spans="1:9" ht="15">
      <c r="A9" s="874"/>
      <c r="B9" s="1177" t="s">
        <v>1232</v>
      </c>
      <c r="C9" s="1178"/>
      <c r="D9" s="1178"/>
      <c r="E9" s="1178"/>
      <c r="F9" s="1179"/>
      <c r="G9" s="875"/>
    </row>
    <row r="10" spans="1:9" ht="15">
      <c r="A10" s="848"/>
      <c r="B10" s="871"/>
      <c r="C10" s="872"/>
      <c r="D10" s="871" t="s">
        <v>165</v>
      </c>
      <c r="E10" s="872" t="s">
        <v>166</v>
      </c>
      <c r="F10" s="800" t="s">
        <v>975</v>
      </c>
      <c r="G10" s="873"/>
    </row>
    <row r="11" spans="1:9" s="851" customFormat="1" ht="15">
      <c r="A11" s="802" t="s">
        <v>62</v>
      </c>
      <c r="B11" s="803" t="s">
        <v>926</v>
      </c>
      <c r="C11" s="862"/>
      <c r="D11" s="803" t="s">
        <v>927</v>
      </c>
      <c r="E11" s="803" t="s">
        <v>928</v>
      </c>
      <c r="F11" s="803" t="s">
        <v>67</v>
      </c>
      <c r="G11" s="802" t="s">
        <v>62</v>
      </c>
    </row>
    <row r="12" spans="1:9" ht="15">
      <c r="A12" s="857" t="s">
        <v>73</v>
      </c>
      <c r="B12" s="863" t="s">
        <v>929</v>
      </c>
      <c r="C12" s="864" t="s">
        <v>596</v>
      </c>
      <c r="D12" s="863" t="s">
        <v>930</v>
      </c>
      <c r="E12" s="865" t="s">
        <v>930</v>
      </c>
      <c r="F12" s="863" t="s">
        <v>930</v>
      </c>
      <c r="G12" s="857" t="s">
        <v>73</v>
      </c>
      <c r="I12" s="866"/>
    </row>
    <row r="13" spans="1:9">
      <c r="A13" s="855">
        <v>1</v>
      </c>
      <c r="B13" s="867"/>
      <c r="C13" s="868"/>
      <c r="D13" s="866"/>
      <c r="E13" s="869"/>
      <c r="F13" s="866"/>
      <c r="G13" s="855">
        <v>1</v>
      </c>
    </row>
    <row r="14" spans="1:9">
      <c r="A14" s="858">
        <f>A13+1</f>
        <v>2</v>
      </c>
      <c r="B14" s="859" t="s">
        <v>1007</v>
      </c>
      <c r="C14" s="860" t="s">
        <v>1008</v>
      </c>
      <c r="D14" s="877">
        <v>3.5400000000000001E-2</v>
      </c>
      <c r="E14" s="878">
        <v>3.5000000000000001E-3</v>
      </c>
      <c r="F14" s="870">
        <f>D14+E14</f>
        <v>3.8900000000000004E-2</v>
      </c>
      <c r="G14" s="858">
        <f>G13+1</f>
        <v>2</v>
      </c>
      <c r="I14" s="853"/>
    </row>
    <row r="15" spans="1:9">
      <c r="A15" s="855">
        <f t="shared" ref="A15:A25" si="0">A14+1</f>
        <v>3</v>
      </c>
      <c r="B15" s="854" t="s">
        <v>1009</v>
      </c>
      <c r="C15" s="856" t="s">
        <v>1010</v>
      </c>
      <c r="D15" s="879">
        <v>5.7299999999999997E-2</v>
      </c>
      <c r="E15" s="880">
        <v>0</v>
      </c>
      <c r="F15" s="870">
        <f t="shared" ref="F15:F24" si="1">D15+E15</f>
        <v>5.7299999999999997E-2</v>
      </c>
      <c r="G15" s="855">
        <f t="shared" ref="G15:G25" si="2">G14+1</f>
        <v>3</v>
      </c>
      <c r="I15" s="853"/>
    </row>
    <row r="16" spans="1:9">
      <c r="A16" s="858">
        <f t="shared" si="0"/>
        <v>4</v>
      </c>
      <c r="B16" s="859" t="s">
        <v>1011</v>
      </c>
      <c r="C16" s="860" t="s">
        <v>1012</v>
      </c>
      <c r="D16" s="877">
        <v>0.1139</v>
      </c>
      <c r="E16" s="878">
        <v>0</v>
      </c>
      <c r="F16" s="870">
        <f t="shared" si="1"/>
        <v>0.1139</v>
      </c>
      <c r="G16" s="858">
        <f t="shared" si="2"/>
        <v>4</v>
      </c>
      <c r="I16" s="853"/>
    </row>
    <row r="17" spans="1:9">
      <c r="A17" s="855">
        <f t="shared" si="0"/>
        <v>5</v>
      </c>
      <c r="B17" s="854" t="s">
        <v>1013</v>
      </c>
      <c r="C17" s="856" t="s">
        <v>990</v>
      </c>
      <c r="D17" s="879">
        <v>0.1211</v>
      </c>
      <c r="E17" s="880">
        <v>0</v>
      </c>
      <c r="F17" s="870">
        <f t="shared" si="1"/>
        <v>0.1211</v>
      </c>
      <c r="G17" s="855">
        <f t="shared" si="2"/>
        <v>5</v>
      </c>
      <c r="I17" s="853"/>
    </row>
    <row r="18" spans="1:9">
      <c r="A18" s="858">
        <f t="shared" si="0"/>
        <v>6</v>
      </c>
      <c r="B18" s="859" t="s">
        <v>1014</v>
      </c>
      <c r="C18" s="860" t="s">
        <v>992</v>
      </c>
      <c r="D18" s="877">
        <v>0.1061</v>
      </c>
      <c r="E18" s="878">
        <v>0</v>
      </c>
      <c r="F18" s="870">
        <f t="shared" si="1"/>
        <v>0.1061</v>
      </c>
      <c r="G18" s="858">
        <f t="shared" si="2"/>
        <v>6</v>
      </c>
      <c r="I18" s="853"/>
    </row>
    <row r="19" spans="1:9">
      <c r="A19" s="855">
        <f t="shared" si="0"/>
        <v>7</v>
      </c>
      <c r="B19" s="854" t="s">
        <v>1015</v>
      </c>
      <c r="C19" s="856" t="s">
        <v>994</v>
      </c>
      <c r="D19" s="879">
        <v>4.4900000000000002E-2</v>
      </c>
      <c r="E19" s="880">
        <v>0</v>
      </c>
      <c r="F19" s="870">
        <f t="shared" si="1"/>
        <v>4.4900000000000002E-2</v>
      </c>
      <c r="G19" s="855">
        <f t="shared" si="2"/>
        <v>7</v>
      </c>
      <c r="I19" s="853"/>
    </row>
    <row r="20" spans="1:9">
      <c r="A20" s="858">
        <f t="shared" si="0"/>
        <v>8</v>
      </c>
      <c r="B20" s="859" t="s">
        <v>1016</v>
      </c>
      <c r="C20" s="860" t="s">
        <v>1017</v>
      </c>
      <c r="D20" s="877">
        <v>4.82E-2</v>
      </c>
      <c r="E20" s="878">
        <v>0</v>
      </c>
      <c r="F20" s="870">
        <f t="shared" si="1"/>
        <v>4.82E-2</v>
      </c>
      <c r="G20" s="858">
        <f t="shared" si="2"/>
        <v>8</v>
      </c>
      <c r="I20" s="853"/>
    </row>
    <row r="21" spans="1:9">
      <c r="A21" s="855">
        <f t="shared" si="0"/>
        <v>9</v>
      </c>
      <c r="B21" s="854" t="s">
        <v>1018</v>
      </c>
      <c r="C21" s="856" t="s">
        <v>1019</v>
      </c>
      <c r="D21" s="879">
        <v>8.6099999999999996E-2</v>
      </c>
      <c r="E21" s="880">
        <v>0</v>
      </c>
      <c r="F21" s="870">
        <f t="shared" si="1"/>
        <v>8.6099999999999996E-2</v>
      </c>
      <c r="G21" s="855">
        <f t="shared" si="2"/>
        <v>9</v>
      </c>
      <c r="I21" s="853"/>
    </row>
    <row r="22" spans="1:9">
      <c r="A22" s="858">
        <f t="shared" si="0"/>
        <v>10</v>
      </c>
      <c r="B22" s="859" t="s">
        <v>1020</v>
      </c>
      <c r="C22" s="860" t="s">
        <v>998</v>
      </c>
      <c r="D22" s="877">
        <v>4.24E-2</v>
      </c>
      <c r="E22" s="878">
        <v>0</v>
      </c>
      <c r="F22" s="870">
        <f t="shared" si="1"/>
        <v>4.24E-2</v>
      </c>
      <c r="G22" s="858">
        <f t="shared" si="2"/>
        <v>10</v>
      </c>
      <c r="I22" s="853"/>
    </row>
    <row r="23" spans="1:9">
      <c r="A23" s="858">
        <f t="shared" si="0"/>
        <v>11</v>
      </c>
      <c r="B23" s="859" t="s">
        <v>1021</v>
      </c>
      <c r="C23" s="860" t="s">
        <v>1000</v>
      </c>
      <c r="D23" s="877">
        <v>7.3300000000000004E-2</v>
      </c>
      <c r="E23" s="878">
        <v>0</v>
      </c>
      <c r="F23" s="870">
        <f t="shared" si="1"/>
        <v>7.3300000000000004E-2</v>
      </c>
      <c r="G23" s="855">
        <f t="shared" si="2"/>
        <v>11</v>
      </c>
      <c r="I23" s="853"/>
    </row>
    <row r="24" spans="1:9">
      <c r="A24" s="855">
        <f t="shared" si="0"/>
        <v>12</v>
      </c>
      <c r="B24" s="854" t="s">
        <v>1022</v>
      </c>
      <c r="C24" s="856" t="s">
        <v>1006</v>
      </c>
      <c r="D24" s="879">
        <v>9.4399999999999998E-2</v>
      </c>
      <c r="E24" s="880">
        <v>1.3962689415272442E-5</v>
      </c>
      <c r="F24" s="870">
        <f t="shared" si="1"/>
        <v>9.4413962689415265E-2</v>
      </c>
      <c r="G24" s="858">
        <f t="shared" si="2"/>
        <v>12</v>
      </c>
      <c r="I24" s="853"/>
    </row>
    <row r="25" spans="1:9">
      <c r="A25" s="858">
        <f t="shared" si="0"/>
        <v>13</v>
      </c>
      <c r="B25" s="861"/>
      <c r="C25" s="860"/>
      <c r="D25" s="859" t="s">
        <v>39</v>
      </c>
      <c r="E25" s="858" t="s">
        <v>39</v>
      </c>
      <c r="F25" s="859" t="s">
        <v>39</v>
      </c>
      <c r="G25" s="858">
        <f t="shared" si="2"/>
        <v>13</v>
      </c>
    </row>
    <row r="27" spans="1:9">
      <c r="B27" s="852" t="s">
        <v>39</v>
      </c>
    </row>
    <row r="28" spans="1:9" ht="14.25">
      <c r="A28" s="876">
        <v>1</v>
      </c>
      <c r="B28" s="852" t="s">
        <v>1234</v>
      </c>
    </row>
    <row r="29" spans="1:9">
      <c r="B29" s="852" t="s">
        <v>1188</v>
      </c>
    </row>
    <row r="31" spans="1:9" ht="14.25">
      <c r="A31" s="876">
        <v>2</v>
      </c>
      <c r="B31" s="815" t="s">
        <v>1135</v>
      </c>
    </row>
    <row r="32" spans="1:9">
      <c r="B32" s="849" t="s">
        <v>1302</v>
      </c>
    </row>
    <row r="33" spans="2:2">
      <c r="B33" s="852" t="s">
        <v>1303</v>
      </c>
    </row>
    <row r="34" spans="2:2">
      <c r="B34" s="849" t="s">
        <v>1304</v>
      </c>
    </row>
    <row r="35" spans="2:2">
      <c r="B35" s="849" t="s">
        <v>1305</v>
      </c>
    </row>
  </sheetData>
  <mergeCells count="8">
    <mergeCell ref="B8:F8"/>
    <mergeCell ref="B9:F9"/>
    <mergeCell ref="A1:G1"/>
    <mergeCell ref="A2:G2"/>
    <mergeCell ref="A3:G3"/>
    <mergeCell ref="A4:G4"/>
    <mergeCell ref="A5:G5"/>
    <mergeCell ref="A6:F6"/>
  </mergeCells>
  <printOptions horizontalCentered="1"/>
  <pageMargins left="0.25" right="0.25" top="0.75" bottom="0.25" header="0.25" footer="0"/>
  <pageSetup orientation="portrait" r:id="rId1"/>
  <headerFooter>
    <oddFooter xml:space="preserve">&amp;C2015 Common Plant Depreciation Rates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34"/>
  <sheetViews>
    <sheetView zoomScale="80" zoomScaleNormal="80" workbookViewId="0"/>
  </sheetViews>
  <sheetFormatPr defaultRowHeight="15"/>
  <cols>
    <col min="1" max="1" width="5.28515625" style="11" bestFit="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36.5703125" bestFit="1" customWidth="1"/>
    <col min="12" max="12" width="5.28515625" bestFit="1" customWidth="1"/>
    <col min="14" max="14" width="20.5703125" bestFit="1" customWidth="1"/>
  </cols>
  <sheetData>
    <row r="1" spans="1:12" ht="15.75">
      <c r="A1" s="3" t="s">
        <v>39</v>
      </c>
      <c r="B1" s="4"/>
      <c r="C1" s="4"/>
      <c r="D1" s="4"/>
      <c r="E1" s="4"/>
      <c r="F1" s="4"/>
      <c r="G1" s="4"/>
      <c r="H1" s="4"/>
      <c r="I1" s="4"/>
      <c r="J1" s="10"/>
      <c r="K1" s="10"/>
      <c r="L1" s="3"/>
    </row>
    <row r="2" spans="1:12" ht="15.75">
      <c r="A2" s="10"/>
      <c r="B2" s="1161" t="s">
        <v>42</v>
      </c>
      <c r="C2" s="1161"/>
      <c r="D2" s="1161"/>
      <c r="E2" s="1161"/>
      <c r="F2" s="1161"/>
      <c r="G2" s="1161"/>
      <c r="H2" s="1161"/>
      <c r="I2" s="1161"/>
      <c r="J2" s="1165"/>
      <c r="K2" s="1165"/>
      <c r="L2" s="10"/>
    </row>
    <row r="3" spans="1:12" ht="15.75">
      <c r="A3" s="10"/>
      <c r="B3" s="1161" t="s">
        <v>175</v>
      </c>
      <c r="C3" s="1161"/>
      <c r="D3" s="1161"/>
      <c r="E3" s="1161"/>
      <c r="F3" s="1161"/>
      <c r="G3" s="1161"/>
      <c r="H3" s="1161"/>
      <c r="I3" s="1161"/>
      <c r="J3" s="1165"/>
      <c r="K3" s="1165"/>
      <c r="L3" s="10"/>
    </row>
    <row r="4" spans="1:12" ht="15.75">
      <c r="A4" s="10"/>
      <c r="B4" s="1161" t="s">
        <v>54</v>
      </c>
      <c r="C4" s="1161"/>
      <c r="D4" s="1161"/>
      <c r="E4" s="1161"/>
      <c r="F4" s="1161"/>
      <c r="G4" s="1161"/>
      <c r="H4" s="1161"/>
      <c r="I4" s="1161"/>
      <c r="J4" s="1165"/>
      <c r="K4" s="1165"/>
      <c r="L4" s="10"/>
    </row>
    <row r="5" spans="1:12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57"/>
      <c r="J5" s="1167"/>
      <c r="K5" s="1167"/>
      <c r="L5" s="10"/>
    </row>
    <row r="6" spans="1:12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 ht="15.75">
      <c r="A10" s="10"/>
      <c r="B10" s="3"/>
      <c r="C10" s="3"/>
      <c r="D10" s="3"/>
      <c r="E10" s="3"/>
      <c r="F10" s="3"/>
      <c r="G10" s="3"/>
      <c r="H10" s="3"/>
      <c r="I10" s="3"/>
      <c r="J10" s="3"/>
      <c r="K10" s="10"/>
      <c r="L10" s="10"/>
    </row>
    <row r="11" spans="1:12" ht="15.75">
      <c r="A11" s="3">
        <v>1</v>
      </c>
      <c r="B11" s="4" t="s">
        <v>250</v>
      </c>
      <c r="C11" s="4"/>
      <c r="D11" s="4"/>
      <c r="E11" s="4"/>
      <c r="F11" s="4"/>
      <c r="G11" s="4"/>
      <c r="H11" s="4"/>
      <c r="I11" s="452">
        <v>96002.204959999988</v>
      </c>
      <c r="J11" s="994"/>
      <c r="K11" s="238" t="s">
        <v>1184</v>
      </c>
      <c r="L11" s="3">
        <v>1</v>
      </c>
    </row>
    <row r="12" spans="1:12" ht="18" customHeight="1">
      <c r="A12" s="3">
        <f>+A11+1</f>
        <v>2</v>
      </c>
      <c r="B12" s="4"/>
      <c r="C12" s="4"/>
      <c r="D12" s="4"/>
      <c r="E12" s="4"/>
      <c r="F12" s="4"/>
      <c r="G12" s="4"/>
      <c r="H12" s="4"/>
      <c r="I12" s="169"/>
      <c r="J12" s="35"/>
      <c r="K12" s="893" t="s">
        <v>414</v>
      </c>
      <c r="L12" s="3">
        <f>+L11+1</f>
        <v>2</v>
      </c>
    </row>
    <row r="13" spans="1:12" ht="15.75">
      <c r="A13" s="3">
        <f t="shared" ref="A13:A30" si="0">+A12+1</f>
        <v>3</v>
      </c>
      <c r="B13" s="4" t="s">
        <v>1183</v>
      </c>
      <c r="C13" s="4"/>
      <c r="D13" s="4"/>
      <c r="E13" s="4"/>
      <c r="F13" s="4"/>
      <c r="G13" s="4"/>
      <c r="H13" s="4"/>
      <c r="I13" s="447">
        <v>-50.732990000000001</v>
      </c>
      <c r="J13" s="37"/>
      <c r="K13" s="238" t="s">
        <v>1127</v>
      </c>
      <c r="L13" s="3">
        <f t="shared" ref="L13:L30" si="1">+L12+1</f>
        <v>3</v>
      </c>
    </row>
    <row r="14" spans="1:12" ht="15.7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172"/>
      <c r="J14" s="37"/>
      <c r="L14" s="3">
        <f t="shared" si="1"/>
        <v>4</v>
      </c>
    </row>
    <row r="15" spans="1:12" ht="15.75">
      <c r="A15" s="3">
        <f t="shared" si="0"/>
        <v>5</v>
      </c>
      <c r="B15" s="4" t="s">
        <v>251</v>
      </c>
      <c r="C15" s="4"/>
      <c r="D15" s="4"/>
      <c r="E15" s="4"/>
      <c r="F15" s="4"/>
      <c r="G15" s="4"/>
      <c r="H15" s="4"/>
      <c r="I15" s="169">
        <f>I11+I13</f>
        <v>95951.471969999984</v>
      </c>
      <c r="J15" s="994"/>
      <c r="K15" s="19" t="s">
        <v>205</v>
      </c>
      <c r="L15" s="3">
        <f t="shared" si="1"/>
        <v>5</v>
      </c>
    </row>
    <row r="16" spans="1:12" ht="15.7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169"/>
      <c r="J16" s="4"/>
      <c r="L16" s="3">
        <f t="shared" si="1"/>
        <v>6</v>
      </c>
    </row>
    <row r="17" spans="1:12" ht="15.75">
      <c r="A17" s="3">
        <f t="shared" si="0"/>
        <v>7</v>
      </c>
      <c r="B17" s="4" t="s">
        <v>768</v>
      </c>
      <c r="C17" s="4"/>
      <c r="D17" s="4"/>
      <c r="E17" s="4"/>
      <c r="F17" s="4"/>
      <c r="G17" s="4"/>
      <c r="H17" s="4"/>
      <c r="I17" s="447">
        <v>-1961.1809899351431</v>
      </c>
      <c r="J17" s="35"/>
      <c r="K17" s="467" t="s">
        <v>1175</v>
      </c>
      <c r="L17" s="3">
        <f t="shared" si="1"/>
        <v>7</v>
      </c>
    </row>
    <row r="18" spans="1:12" ht="15.7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232"/>
      <c r="J18" s="35"/>
      <c r="K18" s="19"/>
      <c r="L18" s="3">
        <f t="shared" si="1"/>
        <v>8</v>
      </c>
    </row>
    <row r="19" spans="1:12" ht="15.75">
      <c r="A19" s="3">
        <f>+A18+1</f>
        <v>9</v>
      </c>
      <c r="B19" s="4" t="s">
        <v>252</v>
      </c>
      <c r="C19" s="4"/>
      <c r="D19" s="4"/>
      <c r="E19" s="4"/>
      <c r="F19" s="4"/>
      <c r="G19" s="51"/>
      <c r="H19" s="4"/>
      <c r="I19" s="233">
        <f>I15+I17</f>
        <v>93990.290980064834</v>
      </c>
      <c r="J19" s="994"/>
      <c r="K19" s="19" t="s">
        <v>253</v>
      </c>
      <c r="L19" s="3">
        <f>+L18+1</f>
        <v>9</v>
      </c>
    </row>
    <row r="20" spans="1:12" ht="15.75">
      <c r="A20" s="3">
        <f t="shared" si="0"/>
        <v>10</v>
      </c>
      <c r="B20" s="4"/>
      <c r="C20" s="4"/>
      <c r="D20" s="4"/>
      <c r="E20" s="4"/>
      <c r="F20" s="4"/>
      <c r="G20" s="51"/>
      <c r="H20" s="4"/>
      <c r="I20" s="4"/>
      <c r="J20" s="35"/>
      <c r="K20" s="10"/>
      <c r="L20" s="3">
        <f t="shared" si="1"/>
        <v>10</v>
      </c>
    </row>
    <row r="21" spans="1:12" ht="15.75">
      <c r="A21" s="3">
        <f t="shared" si="0"/>
        <v>11</v>
      </c>
      <c r="B21" s="4" t="s">
        <v>114</v>
      </c>
      <c r="C21" s="4"/>
      <c r="D21" s="4"/>
      <c r="E21" s="4"/>
      <c r="F21" s="4"/>
      <c r="G21" s="51"/>
      <c r="H21" s="4"/>
      <c r="I21" s="414">
        <f>'Cost Statements'!H302</f>
        <v>0.3886</v>
      </c>
      <c r="J21" s="35"/>
      <c r="K21" s="222" t="s">
        <v>504</v>
      </c>
      <c r="L21" s="3">
        <f t="shared" si="1"/>
        <v>11</v>
      </c>
    </row>
    <row r="22" spans="1:12" ht="15.75">
      <c r="A22" s="228">
        <f t="shared" si="0"/>
        <v>12</v>
      </c>
      <c r="B22" s="4"/>
      <c r="C22" s="4"/>
      <c r="D22" s="4"/>
      <c r="E22" s="4"/>
      <c r="F22" s="4"/>
      <c r="G22" s="51"/>
      <c r="H22" s="4"/>
      <c r="I22" s="51"/>
      <c r="J22" s="36"/>
      <c r="K22" s="4"/>
      <c r="L22" s="230">
        <f t="shared" si="1"/>
        <v>12</v>
      </c>
    </row>
    <row r="23" spans="1:12" ht="16.5" thickBot="1">
      <c r="A23" s="228">
        <f t="shared" si="0"/>
        <v>13</v>
      </c>
      <c r="B23" s="4" t="s">
        <v>115</v>
      </c>
      <c r="C23" s="4"/>
      <c r="D23" s="4"/>
      <c r="E23" s="4"/>
      <c r="F23" s="4"/>
      <c r="G23" s="51"/>
      <c r="H23" s="4"/>
      <c r="I23" s="1011">
        <f>ROUND(I19*I21,0)</f>
        <v>36525</v>
      </c>
      <c r="J23" s="994"/>
      <c r="K23" s="10" t="s">
        <v>254</v>
      </c>
      <c r="L23" s="230">
        <f t="shared" si="1"/>
        <v>13</v>
      </c>
    </row>
    <row r="24" spans="1:12" ht="17.25" thickTop="1" thickBot="1">
      <c r="A24" s="228">
        <f t="shared" si="0"/>
        <v>14</v>
      </c>
      <c r="B24" s="177"/>
      <c r="C24" s="177"/>
      <c r="D24" s="177"/>
      <c r="E24" s="177"/>
      <c r="F24" s="177"/>
      <c r="G24" s="234"/>
      <c r="H24" s="177"/>
      <c r="I24" s="177"/>
      <c r="J24" s="267"/>
      <c r="K24" s="177"/>
      <c r="L24" s="230">
        <f t="shared" si="1"/>
        <v>14</v>
      </c>
    </row>
    <row r="25" spans="1:12" ht="15.75">
      <c r="A25" s="228">
        <f t="shared" si="0"/>
        <v>15</v>
      </c>
      <c r="B25" s="4"/>
      <c r="C25" s="4"/>
      <c r="D25" s="4"/>
      <c r="E25" s="4"/>
      <c r="F25" s="4"/>
      <c r="G25" s="51"/>
      <c r="H25" s="4"/>
      <c r="I25" s="4"/>
      <c r="K25" s="10"/>
      <c r="L25" s="230">
        <f t="shared" si="1"/>
        <v>15</v>
      </c>
    </row>
    <row r="26" spans="1:12" ht="15.75">
      <c r="A26" s="228">
        <f t="shared" si="0"/>
        <v>16</v>
      </c>
      <c r="B26" s="235" t="s">
        <v>139</v>
      </c>
      <c r="C26" s="4"/>
      <c r="D26" s="50"/>
      <c r="E26" s="4"/>
      <c r="F26" s="4"/>
      <c r="G26" s="4"/>
      <c r="H26" s="4"/>
      <c r="I26" s="452">
        <v>15184.590880084001</v>
      </c>
      <c r="J26" s="994"/>
      <c r="K26" s="466" t="s">
        <v>1189</v>
      </c>
      <c r="L26" s="230">
        <f t="shared" si="1"/>
        <v>16</v>
      </c>
    </row>
    <row r="27" spans="1:12" ht="15.75">
      <c r="A27" s="228">
        <f t="shared" si="0"/>
        <v>17</v>
      </c>
      <c r="B27" s="4"/>
      <c r="C27" s="4"/>
      <c r="D27" s="4"/>
      <c r="E27" s="4"/>
      <c r="F27" s="4"/>
      <c r="G27" s="4"/>
      <c r="H27" s="4"/>
      <c r="I27" s="23"/>
      <c r="K27" s="19"/>
      <c r="L27" s="230">
        <f t="shared" si="1"/>
        <v>17</v>
      </c>
    </row>
    <row r="28" spans="1:12" ht="15.75">
      <c r="A28" s="228">
        <f t="shared" si="0"/>
        <v>18</v>
      </c>
      <c r="B28" s="4" t="s">
        <v>87</v>
      </c>
      <c r="C28" s="4"/>
      <c r="D28" s="4"/>
      <c r="E28" s="4"/>
      <c r="F28" s="4"/>
      <c r="G28" s="4"/>
      <c r="H28" s="4"/>
      <c r="I28" s="414">
        <f>'Statement AI-WP'!G29</f>
        <v>0.16950000000000001</v>
      </c>
      <c r="K28" s="10" t="s">
        <v>502</v>
      </c>
      <c r="L28" s="230">
        <f t="shared" si="1"/>
        <v>18</v>
      </c>
    </row>
    <row r="29" spans="1:12" ht="15.75">
      <c r="A29" s="228">
        <f t="shared" si="0"/>
        <v>19</v>
      </c>
      <c r="B29" s="4"/>
      <c r="C29" s="4"/>
      <c r="D29" s="4"/>
      <c r="E29" s="4"/>
      <c r="F29" s="4"/>
      <c r="G29" s="4"/>
      <c r="H29" s="4"/>
      <c r="I29" s="415"/>
      <c r="K29" s="10"/>
      <c r="L29" s="230">
        <f t="shared" si="1"/>
        <v>19</v>
      </c>
    </row>
    <row r="30" spans="1:12" ht="16.5" thickBot="1">
      <c r="A30" s="228">
        <f t="shared" si="0"/>
        <v>20</v>
      </c>
      <c r="B30" s="4" t="s">
        <v>157</v>
      </c>
      <c r="C30" s="4"/>
      <c r="D30" s="4"/>
      <c r="E30" s="4"/>
      <c r="F30" s="4"/>
      <c r="G30" s="4"/>
      <c r="H30" s="4"/>
      <c r="I30" s="1011">
        <f>ROUND(I26*I28,0)</f>
        <v>2574</v>
      </c>
      <c r="J30" s="994"/>
      <c r="K30" s="20" t="s">
        <v>255</v>
      </c>
      <c r="L30" s="230">
        <f t="shared" si="1"/>
        <v>20</v>
      </c>
    </row>
    <row r="31" spans="1:12" ht="16.5" thickTop="1">
      <c r="B31" s="4" t="s">
        <v>39</v>
      </c>
      <c r="C31" s="4"/>
      <c r="D31" s="4"/>
      <c r="E31" s="4"/>
      <c r="F31" s="4"/>
      <c r="G31" s="4"/>
      <c r="H31" s="4"/>
      <c r="I31" s="1"/>
    </row>
    <row r="32" spans="1:12" ht="15.75">
      <c r="B32" s="4"/>
      <c r="C32" s="4"/>
      <c r="D32" s="4"/>
      <c r="E32" s="4"/>
      <c r="F32" s="4"/>
      <c r="G32" s="4"/>
      <c r="H32" s="4"/>
      <c r="I32" s="1"/>
    </row>
    <row r="33" spans="1:9" ht="15.75">
      <c r="A33" s="358"/>
      <c r="B33" s="4"/>
      <c r="C33" s="4"/>
      <c r="D33" s="4"/>
      <c r="E33" s="4"/>
      <c r="F33" s="4"/>
      <c r="G33" s="4"/>
      <c r="H33" s="4"/>
      <c r="I33" s="1"/>
    </row>
    <row r="34" spans="1:9" ht="18.75">
      <c r="A34" s="367"/>
      <c r="B34" s="4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5" right="0.5" top="0.5" bottom="0.5" header="0.25" footer="0.25"/>
  <pageSetup scale="68" orientation="portrait" r:id="rId1"/>
  <headerFooter alignWithMargins="0">
    <oddFooter>&amp;C&amp;12Page AK1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45"/>
  <sheetViews>
    <sheetView zoomScale="80" zoomScaleNormal="80" workbookViewId="0"/>
  </sheetViews>
  <sheetFormatPr defaultRowHeight="15"/>
  <cols>
    <col min="1" max="1" width="5.28515625" style="11" bestFit="1" customWidth="1"/>
    <col min="2" max="2" width="15.7109375" customWidth="1"/>
    <col min="3" max="3" width="17.5703125" customWidth="1"/>
    <col min="4" max="5" width="15.7109375" customWidth="1"/>
    <col min="6" max="6" width="1.7109375" customWidth="1"/>
    <col min="7" max="7" width="15.7109375" customWidth="1"/>
    <col min="8" max="8" width="1.7109375" customWidth="1"/>
    <col min="9" max="9" width="17.7109375" bestFit="1" customWidth="1"/>
    <col min="10" max="10" width="1.7109375" customWidth="1"/>
    <col min="11" max="11" width="38" bestFit="1" customWidth="1"/>
    <col min="12" max="12" width="5.28515625" customWidth="1"/>
  </cols>
  <sheetData>
    <row r="1" spans="1:12" ht="15.7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</row>
    <row r="2" spans="1:12" ht="15.75">
      <c r="A2" s="10"/>
      <c r="B2" s="1161" t="s">
        <v>42</v>
      </c>
      <c r="C2" s="1156"/>
      <c r="D2" s="1156"/>
      <c r="E2" s="1156"/>
      <c r="F2" s="1156"/>
      <c r="G2" s="1156"/>
      <c r="H2" s="1156"/>
      <c r="I2" s="1156"/>
      <c r="J2" s="1156"/>
      <c r="K2" s="1156"/>
      <c r="L2" s="483"/>
    </row>
    <row r="3" spans="1:12" ht="15.75">
      <c r="A3" s="10"/>
      <c r="B3" s="1161" t="s">
        <v>176</v>
      </c>
      <c r="C3" s="1156"/>
      <c r="D3" s="1156"/>
      <c r="E3" s="1156"/>
      <c r="F3" s="1156"/>
      <c r="G3" s="1156"/>
      <c r="H3" s="1156"/>
      <c r="I3" s="1156"/>
      <c r="J3" s="1156"/>
      <c r="K3" s="1156"/>
      <c r="L3" s="483"/>
    </row>
    <row r="4" spans="1:12" ht="15.75">
      <c r="A4" s="10"/>
      <c r="B4" s="1161" t="s">
        <v>40</v>
      </c>
      <c r="C4" s="1156"/>
      <c r="D4" s="1156"/>
      <c r="E4" s="1156"/>
      <c r="F4" s="1156"/>
      <c r="G4" s="1156"/>
      <c r="H4" s="1156"/>
      <c r="I4" s="1156"/>
      <c r="J4" s="1156"/>
      <c r="K4" s="1156"/>
      <c r="L4" s="483"/>
    </row>
    <row r="5" spans="1:12" ht="15.75">
      <c r="A5" s="10"/>
      <c r="B5" s="1157" t="str">
        <f>'Statement AD-WP'!B5:L5</f>
        <v>Base Period &amp; True-Up Period 12 - Months Ending December 31, 2015</v>
      </c>
      <c r="C5" s="1156"/>
      <c r="D5" s="1156"/>
      <c r="E5" s="1156"/>
      <c r="F5" s="1156"/>
      <c r="G5" s="1156"/>
      <c r="H5" s="1156"/>
      <c r="I5" s="1156"/>
      <c r="J5" s="1156"/>
      <c r="K5" s="1156"/>
      <c r="L5" s="504"/>
    </row>
    <row r="6" spans="1:12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164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</row>
    <row r="8" spans="1:12" ht="15.75">
      <c r="A8" s="10" t="s">
        <v>62</v>
      </c>
      <c r="B8" s="231"/>
      <c r="C8" s="231"/>
      <c r="D8" s="231"/>
      <c r="E8" s="231"/>
      <c r="F8" s="230"/>
      <c r="G8" s="230" t="s">
        <v>279</v>
      </c>
      <c r="H8" s="230"/>
      <c r="I8" s="230" t="s">
        <v>280</v>
      </c>
      <c r="J8" s="231"/>
      <c r="K8" s="34"/>
      <c r="L8" s="10" t="s">
        <v>62</v>
      </c>
    </row>
    <row r="9" spans="1:12" ht="15.75">
      <c r="A9" s="33" t="s">
        <v>63</v>
      </c>
      <c r="B9" s="231"/>
      <c r="C9" s="231"/>
      <c r="D9" s="231"/>
      <c r="E9" s="231"/>
      <c r="F9" s="231"/>
      <c r="G9" s="147" t="s">
        <v>281</v>
      </c>
      <c r="H9" s="231"/>
      <c r="I9" s="147" t="s">
        <v>168</v>
      </c>
      <c r="J9" s="231"/>
      <c r="K9" s="33" t="s">
        <v>65</v>
      </c>
      <c r="L9" s="33" t="s">
        <v>63</v>
      </c>
    </row>
    <row r="10" spans="1:12" ht="15.75">
      <c r="A10" s="10"/>
      <c r="B10" s="230"/>
      <c r="C10" s="230"/>
      <c r="D10" s="230"/>
      <c r="E10" s="230"/>
      <c r="F10" s="230"/>
      <c r="G10" s="230"/>
      <c r="H10" s="230"/>
      <c r="I10" s="230"/>
      <c r="J10" s="230"/>
      <c r="K10" s="10"/>
      <c r="L10" s="10"/>
    </row>
    <row r="11" spans="1:12" ht="18.75">
      <c r="A11" s="230">
        <v>1</v>
      </c>
      <c r="B11" s="4" t="s">
        <v>841</v>
      </c>
      <c r="C11" s="4"/>
      <c r="D11" s="4"/>
      <c r="E11" s="4"/>
      <c r="F11" s="133"/>
      <c r="G11" s="64"/>
      <c r="H11" s="44"/>
      <c r="I11" s="452">
        <v>91724.081307692308</v>
      </c>
      <c r="J11" s="274"/>
      <c r="K11" s="19" t="s">
        <v>917</v>
      </c>
      <c r="L11" s="230">
        <v>1</v>
      </c>
    </row>
    <row r="12" spans="1:12" ht="15.75">
      <c r="A12" s="230">
        <f>+A11+1</f>
        <v>2</v>
      </c>
      <c r="B12" s="4"/>
      <c r="C12" s="4"/>
      <c r="D12" s="4"/>
      <c r="E12" s="4"/>
      <c r="F12" s="133"/>
      <c r="G12" s="24"/>
      <c r="H12" s="35"/>
      <c r="I12" s="35"/>
      <c r="J12" s="35"/>
      <c r="K12" s="19"/>
      <c r="L12" s="230">
        <f>+L11+1</f>
        <v>2</v>
      </c>
    </row>
    <row r="13" spans="1:12" ht="15.75">
      <c r="A13" s="230">
        <f t="shared" ref="A13:A40" si="0">+A12+1</f>
        <v>3</v>
      </c>
      <c r="B13" s="4" t="s">
        <v>180</v>
      </c>
      <c r="C13" s="4"/>
      <c r="D13" s="4"/>
      <c r="E13" s="4"/>
      <c r="F13" s="133"/>
      <c r="G13" s="161"/>
      <c r="H13" s="46"/>
      <c r="I13" s="413">
        <f>'Statement AD-WP'!J49</f>
        <v>0.38619999999999999</v>
      </c>
      <c r="J13" s="274"/>
      <c r="K13" s="170" t="s">
        <v>1093</v>
      </c>
      <c r="L13" s="230">
        <f t="shared" ref="L13:L40" si="1">+L12+1</f>
        <v>3</v>
      </c>
    </row>
    <row r="14" spans="1:12" ht="15.75">
      <c r="A14" s="230">
        <f t="shared" si="0"/>
        <v>4</v>
      </c>
      <c r="B14" s="4"/>
      <c r="C14" s="4"/>
      <c r="D14" s="4"/>
      <c r="E14" s="4"/>
      <c r="F14" s="133"/>
      <c r="G14" s="24"/>
      <c r="H14" s="35"/>
      <c r="I14" s="23"/>
      <c r="J14" s="35"/>
      <c r="K14" s="19"/>
      <c r="L14" s="230">
        <f t="shared" si="1"/>
        <v>4</v>
      </c>
    </row>
    <row r="15" spans="1:12" ht="16.5" thickBot="1">
      <c r="A15" s="230">
        <f t="shared" si="0"/>
        <v>5</v>
      </c>
      <c r="B15" s="4" t="s">
        <v>183</v>
      </c>
      <c r="C15" s="4"/>
      <c r="D15" s="4"/>
      <c r="E15" s="4"/>
      <c r="F15" s="133"/>
      <c r="G15" s="158"/>
      <c r="H15" s="35"/>
      <c r="I15" s="392">
        <f>ROUND(I11*I13,0)</f>
        <v>35424</v>
      </c>
      <c r="J15" s="274"/>
      <c r="K15" s="19" t="s">
        <v>14</v>
      </c>
      <c r="L15" s="230">
        <f t="shared" si="1"/>
        <v>5</v>
      </c>
    </row>
    <row r="16" spans="1:12" ht="16.5" thickTop="1">
      <c r="A16" s="230">
        <f t="shared" si="0"/>
        <v>6</v>
      </c>
      <c r="B16" s="4"/>
      <c r="C16" s="4"/>
      <c r="D16" s="4"/>
      <c r="E16" s="4"/>
      <c r="F16" s="133"/>
      <c r="G16" s="73"/>
      <c r="H16" s="10"/>
      <c r="I16" s="10"/>
      <c r="J16" s="10"/>
      <c r="K16" s="19"/>
      <c r="L16" s="230">
        <f t="shared" si="1"/>
        <v>6</v>
      </c>
    </row>
    <row r="17" spans="1:12" ht="18.75">
      <c r="A17" s="230">
        <f t="shared" si="0"/>
        <v>7</v>
      </c>
      <c r="B17" s="4" t="s">
        <v>843</v>
      </c>
      <c r="C17" s="4"/>
      <c r="D17" s="4"/>
      <c r="E17" s="4"/>
      <c r="F17" s="79"/>
      <c r="G17" s="64"/>
      <c r="H17" s="35"/>
      <c r="I17" s="455">
        <v>36035.692307692305</v>
      </c>
      <c r="J17" s="274"/>
      <c r="K17" s="19" t="s">
        <v>918</v>
      </c>
      <c r="L17" s="230">
        <f t="shared" si="1"/>
        <v>7</v>
      </c>
    </row>
    <row r="18" spans="1:12" ht="15.75">
      <c r="A18" s="230">
        <f t="shared" si="0"/>
        <v>8</v>
      </c>
      <c r="B18" s="4"/>
      <c r="C18" s="4"/>
      <c r="D18" s="4"/>
      <c r="E18" s="4"/>
      <c r="F18" s="133"/>
      <c r="G18" s="62"/>
      <c r="H18" s="35"/>
      <c r="I18" s="35"/>
      <c r="J18" s="35"/>
      <c r="K18" s="19"/>
      <c r="L18" s="230">
        <f t="shared" si="1"/>
        <v>8</v>
      </c>
    </row>
    <row r="19" spans="1:12" ht="16.5" thickBot="1">
      <c r="A19" s="230">
        <f t="shared" si="0"/>
        <v>9</v>
      </c>
      <c r="B19" s="4" t="s">
        <v>184</v>
      </c>
      <c r="C19" s="4"/>
      <c r="D19" s="4"/>
      <c r="E19" s="4"/>
      <c r="F19" s="133"/>
      <c r="G19" s="64"/>
      <c r="H19" s="35"/>
      <c r="I19" s="392">
        <f>ROUND(I13*I17,0)</f>
        <v>13917</v>
      </c>
      <c r="J19" s="274"/>
      <c r="K19" s="19" t="s">
        <v>15</v>
      </c>
      <c r="L19" s="230">
        <f t="shared" si="1"/>
        <v>9</v>
      </c>
    </row>
    <row r="20" spans="1:12" ht="16.5" thickTop="1">
      <c r="A20" s="230">
        <f t="shared" si="0"/>
        <v>10</v>
      </c>
      <c r="B20" s="4"/>
      <c r="C20" s="4"/>
      <c r="D20" s="4"/>
      <c r="E20" s="4"/>
      <c r="F20" s="4"/>
      <c r="G20" s="61"/>
      <c r="H20" s="35"/>
      <c r="I20" s="35"/>
      <c r="J20" s="35"/>
      <c r="K20" s="19"/>
      <c r="L20" s="230">
        <f t="shared" si="1"/>
        <v>10</v>
      </c>
    </row>
    <row r="21" spans="1:12" ht="15.75">
      <c r="A21" s="230">
        <f t="shared" si="0"/>
        <v>11</v>
      </c>
      <c r="B21" s="156" t="s">
        <v>844</v>
      </c>
      <c r="C21" s="4"/>
      <c r="D21" s="4"/>
      <c r="E21" s="4"/>
      <c r="F21" s="4"/>
      <c r="G21" s="61"/>
      <c r="H21" s="35"/>
      <c r="I21" s="35"/>
      <c r="J21" s="35"/>
      <c r="K21" s="19"/>
      <c r="L21" s="230">
        <f t="shared" si="1"/>
        <v>11</v>
      </c>
    </row>
    <row r="22" spans="1:12" s="171" customFormat="1" ht="15.75">
      <c r="A22" s="167">
        <f t="shared" si="0"/>
        <v>12</v>
      </c>
      <c r="B22" s="102" t="s">
        <v>874</v>
      </c>
      <c r="C22" s="102"/>
      <c r="D22" s="102"/>
      <c r="E22" s="102"/>
      <c r="F22" s="102"/>
      <c r="G22" s="389">
        <f>'Statement AH-WP'!H19</f>
        <v>68153.710430000006</v>
      </c>
      <c r="H22" s="168"/>
      <c r="I22" s="233"/>
      <c r="J22" s="168"/>
      <c r="K22" s="170" t="s">
        <v>336</v>
      </c>
      <c r="L22" s="167">
        <f t="shared" si="1"/>
        <v>12</v>
      </c>
    </row>
    <row r="23" spans="1:12" s="171" customFormat="1" ht="15.75">
      <c r="A23" s="167">
        <f t="shared" si="0"/>
        <v>13</v>
      </c>
      <c r="B23" s="102" t="s">
        <v>434</v>
      </c>
      <c r="C23" s="102"/>
      <c r="D23" s="102"/>
      <c r="E23" s="102"/>
      <c r="F23" s="102"/>
      <c r="G23" s="1012">
        <f>'Statement AH-WP'!H66</f>
        <v>54318</v>
      </c>
      <c r="H23" s="994"/>
      <c r="I23" s="75"/>
      <c r="J23" s="168"/>
      <c r="K23" s="170" t="s">
        <v>833</v>
      </c>
      <c r="L23" s="167">
        <f t="shared" si="1"/>
        <v>13</v>
      </c>
    </row>
    <row r="24" spans="1:12" s="171" customFormat="1" ht="15.75">
      <c r="A24" s="167">
        <f t="shared" si="0"/>
        <v>14</v>
      </c>
      <c r="B24" s="4" t="s">
        <v>886</v>
      </c>
      <c r="C24" s="102"/>
      <c r="D24" s="102"/>
      <c r="E24" s="102"/>
      <c r="F24" s="102"/>
      <c r="G24" s="779">
        <f>-'Statement AH-WP'!H27</f>
        <v>0</v>
      </c>
      <c r="H24" s="173"/>
      <c r="I24" s="75"/>
      <c r="J24" s="173"/>
      <c r="K24" s="170" t="s">
        <v>818</v>
      </c>
      <c r="L24" s="167">
        <f t="shared" si="1"/>
        <v>14</v>
      </c>
    </row>
    <row r="25" spans="1:12" ht="15.75">
      <c r="A25" s="230">
        <f t="shared" si="0"/>
        <v>15</v>
      </c>
      <c r="B25" s="4" t="s">
        <v>4</v>
      </c>
      <c r="C25" s="4"/>
      <c r="D25" s="4"/>
      <c r="E25" s="4"/>
      <c r="F25" s="4"/>
      <c r="G25" s="1010">
        <f>SUM(G22:G24)</f>
        <v>122471.71043000001</v>
      </c>
      <c r="H25" s="994"/>
      <c r="I25" s="79"/>
      <c r="J25" s="19"/>
      <c r="K25" s="19" t="s">
        <v>317</v>
      </c>
      <c r="L25" s="230">
        <f t="shared" si="1"/>
        <v>15</v>
      </c>
    </row>
    <row r="26" spans="1:12" ht="15.75">
      <c r="A26" s="230">
        <f t="shared" si="0"/>
        <v>16</v>
      </c>
      <c r="B26" s="4"/>
      <c r="C26" s="4"/>
      <c r="D26" s="4"/>
      <c r="E26" s="4"/>
      <c r="F26" s="4"/>
      <c r="G26" s="4"/>
      <c r="H26" s="10"/>
      <c r="I26" s="133"/>
      <c r="J26" s="10"/>
      <c r="K26" s="19"/>
      <c r="L26" s="230">
        <f t="shared" si="1"/>
        <v>16</v>
      </c>
    </row>
    <row r="27" spans="1:12" ht="15.75">
      <c r="A27" s="230">
        <f t="shared" si="0"/>
        <v>17</v>
      </c>
      <c r="B27" s="4" t="s">
        <v>875</v>
      </c>
      <c r="C27" s="4"/>
      <c r="D27" s="4"/>
      <c r="E27" s="4"/>
      <c r="F27" s="4"/>
      <c r="G27" s="70">
        <f>1/8</f>
        <v>0.125</v>
      </c>
      <c r="H27" s="10"/>
      <c r="I27" s="143"/>
      <c r="J27" s="10"/>
      <c r="K27" s="19" t="s">
        <v>282</v>
      </c>
      <c r="L27" s="230">
        <f t="shared" si="1"/>
        <v>17</v>
      </c>
    </row>
    <row r="28" spans="1:12" ht="15.75">
      <c r="A28" s="230">
        <f t="shared" si="0"/>
        <v>18</v>
      </c>
      <c r="B28" s="4"/>
      <c r="C28" s="4"/>
      <c r="D28" s="4"/>
      <c r="E28" s="4"/>
      <c r="F28" s="4"/>
      <c r="G28" s="23" t="s">
        <v>39</v>
      </c>
      <c r="H28" s="35"/>
      <c r="I28" s="24"/>
      <c r="J28" s="35"/>
      <c r="K28" s="19"/>
      <c r="L28" s="230">
        <f t="shared" si="1"/>
        <v>18</v>
      </c>
    </row>
    <row r="29" spans="1:12" ht="16.5" thickBot="1">
      <c r="A29" s="230">
        <f t="shared" si="0"/>
        <v>19</v>
      </c>
      <c r="B29" s="4" t="s">
        <v>224</v>
      </c>
      <c r="C29" s="4"/>
      <c r="D29" s="4"/>
      <c r="E29" s="4"/>
      <c r="F29" s="4"/>
      <c r="G29" s="392">
        <f>ROUND(G25*G27,0)</f>
        <v>15309</v>
      </c>
      <c r="H29" s="994"/>
      <c r="I29" s="158"/>
      <c r="J29" s="35"/>
      <c r="K29" s="10" t="s">
        <v>149</v>
      </c>
      <c r="L29" s="230">
        <f t="shared" si="1"/>
        <v>19</v>
      </c>
    </row>
    <row r="30" spans="1:12" ht="16.5" thickTop="1">
      <c r="A30" s="344">
        <f t="shared" si="0"/>
        <v>20</v>
      </c>
      <c r="B30" s="4"/>
      <c r="C30" s="4"/>
      <c r="D30" s="4"/>
      <c r="E30" s="4"/>
      <c r="F30" s="4"/>
      <c r="G30" s="158"/>
      <c r="H30" s="274"/>
      <c r="I30" s="158"/>
      <c r="J30" s="35"/>
      <c r="K30" s="10"/>
      <c r="L30" s="344">
        <f t="shared" si="1"/>
        <v>20</v>
      </c>
    </row>
    <row r="31" spans="1:12" ht="15.75">
      <c r="A31" s="344">
        <f t="shared" si="0"/>
        <v>21</v>
      </c>
      <c r="B31" s="156" t="s">
        <v>845</v>
      </c>
      <c r="C31" s="4"/>
      <c r="D31" s="4"/>
      <c r="E31" s="4"/>
      <c r="F31" s="4"/>
      <c r="G31" s="61"/>
      <c r="H31" s="35"/>
      <c r="I31" s="35"/>
      <c r="J31" s="35"/>
      <c r="K31" s="19"/>
      <c r="L31" s="344">
        <f t="shared" si="1"/>
        <v>21</v>
      </c>
    </row>
    <row r="32" spans="1:12" s="171" customFormat="1" ht="15.75">
      <c r="A32" s="344">
        <f t="shared" si="0"/>
        <v>22</v>
      </c>
      <c r="B32" s="4" t="s">
        <v>886</v>
      </c>
      <c r="C32" s="102"/>
      <c r="D32" s="102"/>
      <c r="E32" s="102"/>
      <c r="F32" s="102"/>
      <c r="G32" s="389">
        <f>G24</f>
        <v>0</v>
      </c>
      <c r="H32" s="168"/>
      <c r="I32" s="233"/>
      <c r="J32" s="168"/>
      <c r="K32" s="170" t="s">
        <v>819</v>
      </c>
      <c r="L32" s="344">
        <f t="shared" si="1"/>
        <v>22</v>
      </c>
    </row>
    <row r="33" spans="1:12" s="171" customFormat="1" ht="15.75">
      <c r="A33" s="344">
        <f t="shared" si="0"/>
        <v>23</v>
      </c>
      <c r="B33" s="102"/>
      <c r="C33" s="102"/>
      <c r="D33" s="102"/>
      <c r="E33" s="102"/>
      <c r="F33" s="102"/>
      <c r="G33" s="751"/>
      <c r="H33" s="168"/>
      <c r="I33" s="233"/>
      <c r="J33" s="168"/>
      <c r="K33" s="170"/>
      <c r="L33" s="344">
        <f t="shared" si="1"/>
        <v>23</v>
      </c>
    </row>
    <row r="34" spans="1:12" ht="15.75">
      <c r="A34" s="344">
        <f t="shared" si="0"/>
        <v>24</v>
      </c>
      <c r="B34" s="4" t="s">
        <v>875</v>
      </c>
      <c r="C34" s="4"/>
      <c r="D34" s="4"/>
      <c r="E34" s="4"/>
      <c r="F34" s="4"/>
      <c r="G34" s="754">
        <f>G27</f>
        <v>0.125</v>
      </c>
      <c r="H34" s="10"/>
      <c r="I34" s="143"/>
      <c r="J34" s="10"/>
      <c r="K34" s="19" t="s">
        <v>282</v>
      </c>
      <c r="L34" s="344">
        <f t="shared" si="1"/>
        <v>24</v>
      </c>
    </row>
    <row r="35" spans="1:12" ht="15.75">
      <c r="A35" s="344">
        <f t="shared" si="0"/>
        <v>25</v>
      </c>
      <c r="B35" s="4"/>
      <c r="C35" s="4"/>
      <c r="D35" s="4"/>
      <c r="E35" s="4"/>
      <c r="F35" s="4"/>
      <c r="G35" s="143"/>
      <c r="H35" s="10"/>
      <c r="I35" s="143"/>
      <c r="J35" s="10"/>
      <c r="K35" s="19"/>
      <c r="L35" s="344">
        <f t="shared" si="1"/>
        <v>25</v>
      </c>
    </row>
    <row r="36" spans="1:12" ht="15.75">
      <c r="A36" s="344">
        <f t="shared" si="0"/>
        <v>26</v>
      </c>
      <c r="B36" s="4" t="s">
        <v>858</v>
      </c>
      <c r="C36" s="4"/>
      <c r="D36" s="4"/>
      <c r="E36" s="4"/>
      <c r="F36" s="4"/>
      <c r="G36" s="79">
        <f>ROUND(G32*G34,0)</f>
        <v>0</v>
      </c>
      <c r="H36" s="10"/>
      <c r="I36" s="143"/>
      <c r="J36" s="10"/>
      <c r="K36" s="10" t="s">
        <v>821</v>
      </c>
      <c r="L36" s="344">
        <f t="shared" si="1"/>
        <v>26</v>
      </c>
    </row>
    <row r="37" spans="1:12" ht="15.75">
      <c r="A37" s="344">
        <f t="shared" si="0"/>
        <v>27</v>
      </c>
      <c r="I37" s="162"/>
      <c r="L37" s="344">
        <f t="shared" si="1"/>
        <v>27</v>
      </c>
    </row>
    <row r="38" spans="1:12" ht="18.75">
      <c r="A38" s="344">
        <f t="shared" si="0"/>
        <v>28</v>
      </c>
      <c r="B38" s="117" t="s">
        <v>337</v>
      </c>
      <c r="G38" s="683">
        <f>'Statement AV-WP'!I110</f>
        <v>0.11742929581372742</v>
      </c>
      <c r="H38" s="994"/>
      <c r="I38" s="162"/>
      <c r="K38" s="344" t="s">
        <v>820</v>
      </c>
      <c r="L38" s="344">
        <f t="shared" si="1"/>
        <v>28</v>
      </c>
    </row>
    <row r="39" spans="1:12" ht="15.75">
      <c r="A39" s="344">
        <f t="shared" si="0"/>
        <v>29</v>
      </c>
      <c r="I39" s="162"/>
      <c r="L39" s="344">
        <f t="shared" si="1"/>
        <v>29</v>
      </c>
    </row>
    <row r="40" spans="1:12" ht="19.5" thickBot="1">
      <c r="A40" s="344">
        <f t="shared" si="0"/>
        <v>30</v>
      </c>
      <c r="B40" s="4" t="s">
        <v>846</v>
      </c>
      <c r="G40" s="392">
        <f>ROUND(G36*G38,0)</f>
        <v>0</v>
      </c>
      <c r="I40" s="162"/>
      <c r="K40" s="10" t="s">
        <v>859</v>
      </c>
      <c r="L40" s="344">
        <f t="shared" si="1"/>
        <v>30</v>
      </c>
    </row>
    <row r="41" spans="1:12" ht="15.75" thickTop="1">
      <c r="A41" s="265"/>
      <c r="I41" s="162"/>
    </row>
    <row r="42" spans="1:12">
      <c r="A42" s="265"/>
      <c r="I42" s="162"/>
    </row>
    <row r="43" spans="1:12" ht="18.75">
      <c r="A43" s="239" t="s">
        <v>273</v>
      </c>
      <c r="B43" s="4" t="s">
        <v>630</v>
      </c>
    </row>
    <row r="44" spans="1:12" ht="18.75">
      <c r="A44" s="239" t="s">
        <v>274</v>
      </c>
      <c r="B44" s="4" t="s">
        <v>847</v>
      </c>
    </row>
    <row r="45" spans="1:12" ht="15.75">
      <c r="A45" s="995"/>
      <c r="B45" s="50"/>
    </row>
  </sheetData>
  <mergeCells count="5">
    <mergeCell ref="B6:L6"/>
    <mergeCell ref="B2:K2"/>
    <mergeCell ref="B3:K3"/>
    <mergeCell ref="B4:K4"/>
    <mergeCell ref="B5:K5"/>
  </mergeCells>
  <phoneticPr fontId="0" type="noConversion"/>
  <printOptions horizontalCentered="1"/>
  <pageMargins left="0.25" right="0.25" top="0.5" bottom="0.5" header="0.25" footer="0.25"/>
  <pageSetup scale="68" orientation="portrait" r:id="rId1"/>
  <headerFooter alignWithMargins="0">
    <oddFooter>&amp;C&amp;12Page AL1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18"/>
  <sheetViews>
    <sheetView zoomScale="80" zoomScaleNormal="80" workbookViewId="0"/>
  </sheetViews>
  <sheetFormatPr defaultRowHeight="15"/>
  <cols>
    <col min="1" max="1" width="4.8554687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0.5703125" bestFit="1" customWidth="1"/>
    <col min="7" max="7" width="1.7109375" customWidth="1"/>
    <col min="8" max="8" width="10.5703125" bestFit="1" customWidth="1"/>
    <col min="9" max="9" width="1.5703125" customWidth="1"/>
    <col min="10" max="10" width="15.85546875" bestFit="1" customWidth="1"/>
    <col min="11" max="11" width="1.5703125" customWidth="1"/>
    <col min="12" max="12" width="32.42578125" bestFit="1" customWidth="1"/>
    <col min="13" max="13" width="4.85546875" bestFit="1" customWidth="1"/>
  </cols>
  <sheetData>
    <row r="1" spans="1:14" ht="15.75">
      <c r="A1" s="344"/>
      <c r="B1" s="4"/>
      <c r="C1" s="4"/>
      <c r="D1" s="4"/>
      <c r="E1" s="4"/>
      <c r="F1" s="23"/>
      <c r="G1" s="35"/>
      <c r="H1" s="10"/>
      <c r="I1" s="344"/>
    </row>
    <row r="2" spans="1:14" ht="15.75">
      <c r="B2" s="1161" t="s">
        <v>42</v>
      </c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482"/>
    </row>
    <row r="3" spans="1:14" ht="15.75">
      <c r="B3" s="1161" t="s">
        <v>537</v>
      </c>
      <c r="C3" s="1160"/>
      <c r="D3" s="1160"/>
      <c r="E3" s="1160"/>
      <c r="F3" s="1160"/>
      <c r="G3" s="1160"/>
      <c r="H3" s="1160"/>
      <c r="I3" s="1160"/>
      <c r="J3" s="1160"/>
      <c r="K3" s="1160"/>
      <c r="L3" s="1160"/>
      <c r="M3" s="482"/>
    </row>
    <row r="4" spans="1:14" ht="15.75">
      <c r="B4" s="1161" t="s">
        <v>538</v>
      </c>
      <c r="C4" s="1160"/>
      <c r="D4" s="1160"/>
      <c r="E4" s="1160"/>
      <c r="F4" s="1160"/>
      <c r="G4" s="1160"/>
      <c r="H4" s="1160"/>
      <c r="I4" s="1160"/>
      <c r="J4" s="1160"/>
      <c r="K4" s="1160"/>
      <c r="L4" s="1160"/>
      <c r="M4" s="482"/>
    </row>
    <row r="5" spans="1:14" ht="15.75">
      <c r="B5" s="1157" t="str">
        <f>'Statement AD-WP'!B5</f>
        <v>Base Period &amp; True-Up Period 12 - Months Ending December 31, 2015</v>
      </c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482"/>
      <c r="N5" s="482"/>
    </row>
    <row r="6" spans="1:14" ht="18" customHeight="1">
      <c r="B6" s="1159" t="s">
        <v>72</v>
      </c>
      <c r="C6" s="1160"/>
      <c r="D6" s="1160"/>
      <c r="E6" s="1160"/>
      <c r="F6" s="1160"/>
      <c r="G6" s="1160"/>
      <c r="H6" s="1160"/>
      <c r="I6" s="1160"/>
      <c r="J6" s="1160"/>
      <c r="K6" s="1160"/>
      <c r="L6" s="1160"/>
      <c r="M6" s="482"/>
    </row>
    <row r="7" spans="1:14" ht="15.75">
      <c r="A7" s="10"/>
      <c r="B7" s="344"/>
      <c r="C7" s="344"/>
      <c r="D7" s="344"/>
      <c r="E7" s="344"/>
      <c r="F7" s="344"/>
      <c r="G7" s="344"/>
      <c r="H7" s="10"/>
      <c r="I7" s="10"/>
    </row>
    <row r="8" spans="1:14" ht="15.75">
      <c r="A8" s="344" t="s">
        <v>62</v>
      </c>
      <c r="B8" s="481"/>
      <c r="C8" s="481"/>
      <c r="D8" s="481"/>
      <c r="E8" s="481"/>
      <c r="F8" s="146"/>
      <c r="G8" s="344"/>
      <c r="H8" s="146"/>
      <c r="I8" s="344"/>
      <c r="J8" s="344" t="s">
        <v>280</v>
      </c>
      <c r="K8" s="481"/>
      <c r="L8" s="4"/>
      <c r="M8" s="344" t="s">
        <v>62</v>
      </c>
    </row>
    <row r="9" spans="1:14" ht="15.75">
      <c r="A9" s="77" t="s">
        <v>73</v>
      </c>
      <c r="B9" s="481"/>
      <c r="C9" s="481"/>
      <c r="D9" s="481"/>
      <c r="E9" s="481"/>
      <c r="F9" s="508"/>
      <c r="G9" s="509"/>
      <c r="H9" s="508"/>
      <c r="I9" s="481"/>
      <c r="J9" s="147" t="s">
        <v>168</v>
      </c>
      <c r="K9" s="481"/>
      <c r="L9" s="33" t="s">
        <v>65</v>
      </c>
      <c r="M9" s="77" t="s">
        <v>73</v>
      </c>
    </row>
    <row r="10" spans="1:14" ht="15.75">
      <c r="A10" s="344"/>
      <c r="B10" s="5"/>
      <c r="C10" s="4"/>
      <c r="D10" s="4"/>
      <c r="E10" s="4"/>
      <c r="F10" s="510"/>
      <c r="G10" s="105"/>
      <c r="H10" s="510"/>
      <c r="I10" s="18"/>
      <c r="J10" s="18"/>
      <c r="K10" s="18"/>
      <c r="L10" s="18"/>
      <c r="M10" s="344"/>
    </row>
    <row r="11" spans="1:14" ht="20.100000000000001" customHeight="1" thickBot="1">
      <c r="A11" s="338">
        <v>1</v>
      </c>
      <c r="B11" s="4" t="s">
        <v>675</v>
      </c>
      <c r="C11" s="337"/>
      <c r="D11" s="337"/>
      <c r="E11" s="337"/>
      <c r="F11" s="511"/>
      <c r="G11" s="512"/>
      <c r="H11" s="511"/>
      <c r="I11" s="345"/>
      <c r="J11" s="454">
        <v>0</v>
      </c>
      <c r="K11" s="345"/>
      <c r="L11" s="19" t="s">
        <v>919</v>
      </c>
      <c r="M11" s="338">
        <v>1</v>
      </c>
    </row>
    <row r="12" spans="1:14" ht="16.5" thickTop="1">
      <c r="A12" s="344"/>
      <c r="B12" s="4"/>
      <c r="C12" s="4"/>
      <c r="D12" s="4"/>
      <c r="E12" s="4"/>
      <c r="F12" s="23"/>
      <c r="G12" s="35"/>
      <c r="H12" s="10"/>
      <c r="I12" s="344"/>
    </row>
    <row r="13" spans="1:14" ht="15.75">
      <c r="A13" s="344"/>
      <c r="B13" s="4"/>
      <c r="C13" s="4"/>
      <c r="D13" s="4"/>
      <c r="E13" s="4"/>
      <c r="F13" s="23"/>
      <c r="G13" s="35"/>
      <c r="H13" s="10"/>
      <c r="I13" s="344"/>
    </row>
    <row r="14" spans="1:14" ht="18.75">
      <c r="A14" s="242" t="s">
        <v>273</v>
      </c>
      <c r="B14" s="4" t="s">
        <v>772</v>
      </c>
      <c r="C14" s="4"/>
      <c r="D14" s="4"/>
      <c r="E14" s="4"/>
      <c r="F14" s="23"/>
      <c r="G14" s="35"/>
      <c r="H14" s="10"/>
      <c r="I14" s="344"/>
    </row>
    <row r="15" spans="1:14" ht="18.75">
      <c r="A15" s="242"/>
      <c r="B15" s="4" t="s">
        <v>769</v>
      </c>
      <c r="C15" s="4"/>
      <c r="D15" s="4"/>
      <c r="E15" s="4"/>
      <c r="F15" s="23"/>
      <c r="G15" s="35"/>
      <c r="H15" s="10"/>
      <c r="I15" s="344"/>
    </row>
    <row r="16" spans="1:14" ht="15.75">
      <c r="A16" s="344"/>
      <c r="B16" s="4"/>
      <c r="C16" s="4"/>
      <c r="D16" s="4"/>
      <c r="E16" s="4"/>
      <c r="F16" s="23"/>
      <c r="G16" s="35"/>
      <c r="H16" s="10"/>
      <c r="I16" s="344"/>
    </row>
    <row r="17" spans="1:9" ht="15.75">
      <c r="A17" s="344"/>
      <c r="B17" s="4"/>
      <c r="C17" s="4"/>
      <c r="D17" s="4"/>
      <c r="E17" s="4"/>
      <c r="F17" s="23"/>
      <c r="G17" s="35"/>
      <c r="H17" s="10"/>
      <c r="I17" s="344"/>
    </row>
    <row r="18" spans="1:9" ht="15.75">
      <c r="A18" s="344"/>
      <c r="B18" s="4"/>
      <c r="C18" s="4"/>
      <c r="D18" s="4"/>
      <c r="E18" s="4"/>
      <c r="F18" s="23"/>
      <c r="G18" s="35"/>
      <c r="H18" s="10"/>
      <c r="I18" s="344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70" orientation="portrait" r:id="rId1"/>
  <headerFooter>
    <oddFooter>&amp;C&amp;12Page AM1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20"/>
  <sheetViews>
    <sheetView zoomScale="80" zoomScaleNormal="80" workbookViewId="0">
      <selection activeCell="H32" sqref="H32"/>
    </sheetView>
  </sheetViews>
  <sheetFormatPr defaultRowHeight="15"/>
  <cols>
    <col min="1" max="1" width="5.2851562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8.7109375" customWidth="1"/>
    <col min="7" max="7" width="1.7109375" customWidth="1"/>
    <col min="8" max="8" width="42.28515625" bestFit="1" customWidth="1"/>
    <col min="9" max="9" width="5.7109375" customWidth="1"/>
    <col min="11" max="11" width="20.5703125" bestFit="1" customWidth="1"/>
  </cols>
  <sheetData>
    <row r="1" spans="1:9" ht="15.75">
      <c r="A1" s="3"/>
      <c r="B1" s="4"/>
      <c r="C1" s="4"/>
      <c r="D1" s="4"/>
      <c r="E1" s="4"/>
      <c r="F1" s="23"/>
      <c r="G1" s="35"/>
      <c r="H1" s="10"/>
      <c r="I1" s="3"/>
    </row>
    <row r="2" spans="1:9" ht="15.75">
      <c r="A2" s="3"/>
      <c r="B2" s="1161" t="s">
        <v>42</v>
      </c>
      <c r="C2" s="1161"/>
      <c r="D2" s="1161"/>
      <c r="E2" s="1161"/>
      <c r="F2" s="1161"/>
      <c r="G2" s="1165"/>
      <c r="H2" s="1165"/>
      <c r="I2" s="3"/>
    </row>
    <row r="3" spans="1:9" ht="15.75">
      <c r="A3" s="3"/>
      <c r="B3" s="1161" t="s">
        <v>539</v>
      </c>
      <c r="C3" s="1161"/>
      <c r="D3" s="1161"/>
      <c r="E3" s="1161"/>
      <c r="F3" s="1161"/>
      <c r="G3" s="1165"/>
      <c r="H3" s="1165"/>
      <c r="I3" s="3"/>
    </row>
    <row r="4" spans="1:9" ht="15.75">
      <c r="A4" s="3"/>
      <c r="B4" s="1161" t="s">
        <v>156</v>
      </c>
      <c r="C4" s="1161"/>
      <c r="D4" s="1161"/>
      <c r="E4" s="1161"/>
      <c r="F4" s="1161"/>
      <c r="G4" s="1165"/>
      <c r="H4" s="1165"/>
      <c r="I4" s="3"/>
    </row>
    <row r="5" spans="1:9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67"/>
      <c r="H5" s="1167"/>
      <c r="I5" s="10"/>
    </row>
    <row r="6" spans="1:9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0"/>
    </row>
    <row r="7" spans="1:9" ht="15.75">
      <c r="A7" s="10"/>
      <c r="B7" s="3"/>
      <c r="C7" s="3"/>
      <c r="D7" s="3"/>
      <c r="E7" s="3"/>
      <c r="F7" s="3"/>
      <c r="G7" s="3"/>
      <c r="H7" s="10"/>
      <c r="I7" s="10"/>
    </row>
    <row r="8" spans="1:9" ht="15.75">
      <c r="A8" s="10" t="s">
        <v>62</v>
      </c>
      <c r="B8" s="3"/>
      <c r="C8" s="3"/>
      <c r="D8" s="3"/>
      <c r="E8" s="3"/>
      <c r="F8" s="3"/>
      <c r="G8" s="3"/>
      <c r="H8" s="10"/>
      <c r="I8" s="10" t="s">
        <v>62</v>
      </c>
    </row>
    <row r="9" spans="1:9" ht="15.75">
      <c r="A9" s="33" t="s">
        <v>63</v>
      </c>
      <c r="B9" s="4"/>
      <c r="C9" s="4"/>
      <c r="D9" s="4"/>
      <c r="E9" s="4"/>
      <c r="F9" s="33" t="s">
        <v>69</v>
      </c>
      <c r="G9" s="2"/>
      <c r="H9" s="33" t="s">
        <v>65</v>
      </c>
      <c r="I9" s="33" t="s">
        <v>63</v>
      </c>
    </row>
    <row r="10" spans="1:9" ht="15.75">
      <c r="A10" s="10"/>
      <c r="B10" s="4"/>
      <c r="C10" s="4"/>
      <c r="D10" s="4"/>
      <c r="E10" s="4"/>
      <c r="F10" s="23"/>
      <c r="G10" s="35"/>
      <c r="H10" s="10"/>
      <c r="I10" s="10"/>
    </row>
    <row r="11" spans="1:9" ht="16.5" thickBot="1">
      <c r="A11" s="3">
        <v>1</v>
      </c>
      <c r="B11" s="5" t="s">
        <v>269</v>
      </c>
      <c r="C11" s="4"/>
      <c r="D11" s="4"/>
      <c r="E11" s="4"/>
      <c r="F11" s="456">
        <v>2333</v>
      </c>
      <c r="G11" s="35"/>
      <c r="H11" s="238" t="s">
        <v>1195</v>
      </c>
      <c r="I11" s="3">
        <v>1</v>
      </c>
    </row>
    <row r="12" spans="1:9" ht="16.5" thickTop="1">
      <c r="A12" s="3"/>
      <c r="B12" s="4"/>
      <c r="C12" s="4"/>
      <c r="D12" s="4"/>
      <c r="E12" s="4"/>
      <c r="F12" s="23"/>
      <c r="G12" s="35"/>
      <c r="H12" s="10"/>
      <c r="I12" s="3"/>
    </row>
    <row r="13" spans="1:9" ht="15.75">
      <c r="A13" s="3"/>
      <c r="B13" s="4"/>
      <c r="C13" s="4"/>
      <c r="D13" s="4"/>
      <c r="E13" s="4"/>
      <c r="F13" s="23"/>
      <c r="G13" s="35"/>
      <c r="H13" s="10"/>
      <c r="I13" s="3"/>
    </row>
    <row r="14" spans="1:9" ht="15.75">
      <c r="A14" s="3"/>
      <c r="B14" s="4"/>
      <c r="C14" s="4"/>
      <c r="D14" s="4"/>
      <c r="E14" s="4"/>
      <c r="F14" s="23"/>
      <c r="G14" s="35"/>
      <c r="H14" s="10"/>
      <c r="I14" s="3"/>
    </row>
    <row r="15" spans="1:9" ht="15.75">
      <c r="A15" s="3"/>
      <c r="B15" s="4"/>
      <c r="C15" s="4"/>
      <c r="D15" s="4"/>
      <c r="E15" s="4"/>
      <c r="F15" s="23"/>
      <c r="G15" s="35"/>
      <c r="H15" s="10"/>
      <c r="I15" s="3"/>
    </row>
    <row r="16" spans="1:9" ht="15.75">
      <c r="A16" s="3"/>
      <c r="B16" s="4"/>
      <c r="C16" s="4"/>
      <c r="D16" s="4"/>
      <c r="E16" s="4"/>
      <c r="F16" s="23"/>
      <c r="G16" s="35"/>
      <c r="H16" s="10"/>
      <c r="I16" s="3"/>
    </row>
    <row r="17" spans="1:9" ht="15.75">
      <c r="A17" s="3"/>
      <c r="B17" s="4"/>
      <c r="C17" s="4"/>
      <c r="D17" s="4"/>
      <c r="E17" s="4"/>
      <c r="F17" s="23"/>
      <c r="G17" s="35"/>
      <c r="H17" s="10"/>
      <c r="I17" s="3"/>
    </row>
    <row r="18" spans="1:9" ht="15.75">
      <c r="A18" s="3"/>
      <c r="B18" s="4"/>
      <c r="C18" s="4"/>
      <c r="D18" s="4"/>
      <c r="E18" s="4"/>
      <c r="F18" s="23"/>
      <c r="G18" s="35"/>
      <c r="H18" s="10"/>
      <c r="I18" s="3"/>
    </row>
    <row r="19" spans="1:9" ht="15.75">
      <c r="A19" s="3"/>
      <c r="B19" s="4"/>
      <c r="C19" s="4"/>
      <c r="D19" s="4"/>
      <c r="E19" s="4"/>
      <c r="F19" s="23"/>
      <c r="G19" s="35"/>
      <c r="H19" s="10"/>
      <c r="I19" s="3"/>
    </row>
    <row r="20" spans="1:9" ht="15.75">
      <c r="A20" s="3"/>
      <c r="B20" s="4"/>
      <c r="C20" s="4"/>
      <c r="D20" s="4"/>
      <c r="E20" s="4"/>
      <c r="F20" s="23"/>
      <c r="G20" s="35"/>
      <c r="H20" s="10"/>
      <c r="I20" s="3"/>
    </row>
  </sheetData>
  <mergeCells count="5">
    <mergeCell ref="B6:H6"/>
    <mergeCell ref="B2:H2"/>
    <mergeCell ref="B3:H3"/>
    <mergeCell ref="B4:H4"/>
    <mergeCell ref="B5:H5"/>
  </mergeCells>
  <phoneticPr fontId="0" type="noConversion"/>
  <printOptions horizontalCentered="1"/>
  <pageMargins left="0.5" right="0.5" top="0.5" bottom="0.5" header="0.25" footer="0.25"/>
  <pageSetup scale="76" orientation="portrait" r:id="rId1"/>
  <headerFooter alignWithMargins="0">
    <oddFooter>&amp;C&amp;11Page AQ1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19"/>
  <sheetViews>
    <sheetView zoomScale="80" zoomScaleNormal="80" workbookViewId="0"/>
  </sheetViews>
  <sheetFormatPr defaultRowHeight="15"/>
  <cols>
    <col min="1" max="1" width="5.28515625" style="11" bestFit="1" customWidth="1"/>
    <col min="2" max="2" width="20.7109375" customWidth="1"/>
    <col min="3" max="3" width="15.140625" customWidth="1"/>
    <col min="4" max="4" width="11.7109375" customWidth="1"/>
    <col min="5" max="5" width="17.7109375" customWidth="1"/>
    <col min="6" max="6" width="1.7109375" customWidth="1"/>
    <col min="7" max="7" width="15.7109375" customWidth="1"/>
    <col min="8" max="8" width="1.7109375" customWidth="1"/>
    <col min="9" max="9" width="41.140625" bestFit="1" customWidth="1"/>
    <col min="10" max="10" width="5.7109375" customWidth="1"/>
    <col min="12" max="12" width="20.5703125" bestFit="1" customWidth="1"/>
  </cols>
  <sheetData>
    <row r="1" spans="1:10" ht="15.75">
      <c r="A1" s="3"/>
      <c r="B1" s="4"/>
      <c r="C1" s="4"/>
      <c r="D1" s="4"/>
      <c r="E1" s="4"/>
      <c r="F1" s="4"/>
      <c r="G1" s="23"/>
      <c r="H1" s="35"/>
      <c r="I1" s="10"/>
      <c r="J1" s="3"/>
    </row>
    <row r="2" spans="1:10" ht="15.75">
      <c r="A2" s="3"/>
      <c r="B2" s="1161" t="s">
        <v>42</v>
      </c>
      <c r="C2" s="1161"/>
      <c r="D2" s="1161"/>
      <c r="E2" s="1161"/>
      <c r="F2" s="1161"/>
      <c r="G2" s="1161"/>
      <c r="H2" s="1165"/>
      <c r="I2" s="1165"/>
      <c r="J2" s="3"/>
    </row>
    <row r="3" spans="1:10" ht="15.75">
      <c r="A3" s="3"/>
      <c r="B3" s="1161" t="s">
        <v>540</v>
      </c>
      <c r="C3" s="1161"/>
      <c r="D3" s="1161"/>
      <c r="E3" s="1161"/>
      <c r="F3" s="1161"/>
      <c r="G3" s="1161"/>
      <c r="H3" s="1165"/>
      <c r="I3" s="1165"/>
      <c r="J3" s="3"/>
    </row>
    <row r="4" spans="1:10" ht="15.75">
      <c r="A4" s="3"/>
      <c r="B4" s="1161" t="s">
        <v>155</v>
      </c>
      <c r="C4" s="1161"/>
      <c r="D4" s="1161"/>
      <c r="E4" s="1161"/>
      <c r="F4" s="1161"/>
      <c r="G4" s="1161"/>
      <c r="H4" s="1165"/>
      <c r="I4" s="1165"/>
      <c r="J4" s="3"/>
    </row>
    <row r="5" spans="1:10" ht="15.75">
      <c r="A5" s="3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67"/>
      <c r="I5" s="1167"/>
      <c r="J5" s="3"/>
    </row>
    <row r="6" spans="1:10" ht="15.75">
      <c r="A6" s="3"/>
      <c r="B6" s="1159" t="s">
        <v>72</v>
      </c>
      <c r="C6" s="1164"/>
      <c r="D6" s="1164"/>
      <c r="E6" s="1164"/>
      <c r="F6" s="1164"/>
      <c r="G6" s="1164"/>
      <c r="H6" s="1164"/>
      <c r="I6" s="1164"/>
      <c r="J6" s="3"/>
    </row>
    <row r="7" spans="1:10" ht="15.75">
      <c r="A7" s="3"/>
      <c r="B7" s="3"/>
      <c r="C7" s="3"/>
      <c r="D7" s="3"/>
      <c r="E7" s="3"/>
      <c r="F7" s="3"/>
      <c r="G7" s="3"/>
      <c r="H7" s="35"/>
      <c r="I7" s="10"/>
      <c r="J7" s="3"/>
    </row>
    <row r="8" spans="1:10" ht="15.75">
      <c r="A8" s="3" t="s">
        <v>62</v>
      </c>
      <c r="B8" s="4"/>
      <c r="C8" s="4"/>
      <c r="D8" s="4"/>
      <c r="E8" s="4"/>
      <c r="F8" s="4"/>
      <c r="G8" s="48"/>
      <c r="H8" s="85"/>
      <c r="I8" s="48"/>
      <c r="J8" s="3" t="s">
        <v>62</v>
      </c>
    </row>
    <row r="9" spans="1:10" ht="15.75">
      <c r="A9" s="77" t="s">
        <v>63</v>
      </c>
      <c r="B9" s="4" t="s">
        <v>39</v>
      </c>
      <c r="C9" s="4"/>
      <c r="D9" s="4"/>
      <c r="E9" s="4"/>
      <c r="F9" s="4"/>
      <c r="G9" s="33" t="s">
        <v>69</v>
      </c>
      <c r="H9" s="2"/>
      <c r="I9" s="33" t="s">
        <v>65</v>
      </c>
      <c r="J9" s="77" t="s">
        <v>63</v>
      </c>
    </row>
    <row r="10" spans="1:10" ht="15.75">
      <c r="A10" s="3"/>
      <c r="B10" s="4"/>
      <c r="C10" s="4"/>
      <c r="D10" s="4"/>
      <c r="E10" s="4"/>
      <c r="F10" s="4"/>
      <c r="G10" s="23"/>
      <c r="H10" s="35"/>
      <c r="I10" s="10"/>
      <c r="J10" s="3"/>
    </row>
    <row r="11" spans="1:10" ht="15.75">
      <c r="A11" s="3">
        <f>+A10+1</f>
        <v>1</v>
      </c>
      <c r="B11" s="4" t="s">
        <v>88</v>
      </c>
      <c r="C11" s="4"/>
      <c r="D11" s="4"/>
      <c r="E11" s="4"/>
      <c r="F11" s="4"/>
      <c r="G11" s="457">
        <v>-265</v>
      </c>
      <c r="H11" s="35"/>
      <c r="I11" s="222" t="s">
        <v>1173</v>
      </c>
      <c r="J11" s="3">
        <f>+J10+1</f>
        <v>1</v>
      </c>
    </row>
    <row r="12" spans="1:10" ht="15.75">
      <c r="A12" s="3">
        <f>+A11+1</f>
        <v>2</v>
      </c>
      <c r="B12" s="4"/>
      <c r="C12" s="4"/>
      <c r="D12" s="4"/>
      <c r="E12" s="4"/>
      <c r="F12" s="4"/>
      <c r="G12" s="23"/>
      <c r="H12" s="35"/>
      <c r="I12" s="222"/>
      <c r="J12" s="3">
        <f>+J11+1</f>
        <v>2</v>
      </c>
    </row>
    <row r="13" spans="1:10" ht="15.75">
      <c r="A13" s="3">
        <f>+A12+1</f>
        <v>3</v>
      </c>
      <c r="B13" s="4" t="s">
        <v>89</v>
      </c>
      <c r="C13" s="4"/>
      <c r="D13" s="4"/>
      <c r="E13" s="4"/>
      <c r="F13" s="4"/>
      <c r="G13" s="447">
        <v>0</v>
      </c>
      <c r="H13" s="35"/>
      <c r="I13" s="222" t="s">
        <v>1174</v>
      </c>
      <c r="J13" s="3">
        <f>+J12+1</f>
        <v>3</v>
      </c>
    </row>
    <row r="14" spans="1:10" ht="15.75">
      <c r="A14" s="3">
        <f>+A13+1</f>
        <v>4</v>
      </c>
      <c r="B14" s="4"/>
      <c r="C14" s="4"/>
      <c r="D14" s="4"/>
      <c r="E14" s="4"/>
      <c r="F14" s="4"/>
      <c r="G14" s="68"/>
      <c r="H14" s="4"/>
      <c r="I14" s="21"/>
      <c r="J14" s="3">
        <f>+J13+1</f>
        <v>4</v>
      </c>
    </row>
    <row r="15" spans="1:10" ht="16.5" thickBot="1">
      <c r="A15" s="3">
        <f>+A14+1</f>
        <v>5</v>
      </c>
      <c r="B15" s="4" t="s">
        <v>66</v>
      </c>
      <c r="C15" s="4"/>
      <c r="D15" s="4"/>
      <c r="E15" s="4"/>
      <c r="F15" s="4"/>
      <c r="G15" s="71">
        <f>+G13+G11</f>
        <v>-265</v>
      </c>
      <c r="H15" s="4"/>
      <c r="I15" s="10" t="s">
        <v>150</v>
      </c>
      <c r="J15" s="3">
        <f>+J14+1</f>
        <v>5</v>
      </c>
    </row>
    <row r="16" spans="1:10" ht="16.5" thickTop="1">
      <c r="A16" s="3"/>
      <c r="B16" s="4"/>
      <c r="C16" s="4"/>
      <c r="D16" s="4"/>
      <c r="E16" s="4"/>
      <c r="F16" s="4"/>
      <c r="G16" s="4"/>
      <c r="H16" s="4"/>
      <c r="I16" s="4"/>
      <c r="J16" s="3"/>
    </row>
    <row r="17" spans="1:10" ht="15.75">
      <c r="A17" s="3"/>
      <c r="B17" s="4"/>
      <c r="C17" s="4"/>
      <c r="D17" s="4"/>
      <c r="E17" s="4"/>
      <c r="F17" s="4"/>
      <c r="G17" s="4"/>
      <c r="H17" s="4"/>
      <c r="I17" s="4"/>
      <c r="J17" s="3"/>
    </row>
    <row r="18" spans="1:10" ht="15.75">
      <c r="A18" s="3"/>
      <c r="B18" s="4"/>
      <c r="C18" s="4"/>
      <c r="D18" s="4"/>
      <c r="E18" s="4"/>
      <c r="F18" s="4"/>
      <c r="G18" s="4"/>
      <c r="H18" s="4"/>
      <c r="I18" s="4"/>
      <c r="J18" s="3"/>
    </row>
    <row r="19" spans="1:10" ht="15.75">
      <c r="A19" s="3"/>
      <c r="B19" s="4"/>
      <c r="C19" s="4"/>
      <c r="D19" s="4"/>
      <c r="E19" s="4"/>
      <c r="F19" s="4"/>
      <c r="G19" s="4"/>
      <c r="H19" s="4"/>
      <c r="I19" s="4"/>
      <c r="J19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5" right="0.5" top="0.5" bottom="0.5" header="0.25" footer="0.25"/>
  <pageSetup scale="70" orientation="portrait" r:id="rId1"/>
  <headerFooter alignWithMargins="0">
    <oddFooter>&amp;C&amp;12Page AR1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24"/>
  <sheetViews>
    <sheetView zoomScale="80" zoomScaleNormal="80" workbookViewId="0"/>
  </sheetViews>
  <sheetFormatPr defaultRowHeight="15"/>
  <cols>
    <col min="1" max="1" width="5.7109375" style="1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0.7109375" customWidth="1"/>
    <col min="8" max="8" width="1.7109375" customWidth="1"/>
    <col min="9" max="9" width="15.7109375" customWidth="1"/>
    <col min="10" max="10" width="1.7109375" customWidth="1"/>
    <col min="11" max="11" width="40" bestFit="1" customWidth="1"/>
    <col min="12" max="12" width="5.7109375" customWidth="1"/>
    <col min="14" max="14" width="20.5703125" bestFit="1" customWidth="1"/>
  </cols>
  <sheetData>
    <row r="1" spans="1:12" ht="15.75">
      <c r="A1" s="3"/>
      <c r="B1" s="4"/>
      <c r="C1" s="4"/>
      <c r="D1" s="4"/>
      <c r="E1" s="4"/>
      <c r="F1" s="4"/>
      <c r="G1" s="4"/>
      <c r="H1" s="4"/>
      <c r="I1" s="1"/>
      <c r="J1" s="36"/>
      <c r="K1" s="10"/>
      <c r="L1" s="3"/>
    </row>
    <row r="2" spans="1:12" ht="15.75">
      <c r="A2" s="10"/>
      <c r="B2" s="1161" t="s">
        <v>42</v>
      </c>
      <c r="C2" s="1161"/>
      <c r="D2" s="1161"/>
      <c r="E2" s="1161"/>
      <c r="F2" s="1161"/>
      <c r="G2" s="1161"/>
      <c r="H2" s="1161"/>
      <c r="I2" s="1161"/>
      <c r="J2" s="1165"/>
      <c r="K2" s="1165"/>
      <c r="L2" s="10"/>
    </row>
    <row r="3" spans="1:12" ht="15.75">
      <c r="A3" s="10"/>
      <c r="B3" s="1161" t="s">
        <v>541</v>
      </c>
      <c r="C3" s="1161"/>
      <c r="D3" s="1161"/>
      <c r="E3" s="1161"/>
      <c r="F3" s="1161"/>
      <c r="G3" s="1161"/>
      <c r="H3" s="1161"/>
      <c r="I3" s="1161"/>
      <c r="J3" s="1165"/>
      <c r="K3" s="1165"/>
      <c r="L3" s="10"/>
    </row>
    <row r="4" spans="1:12" ht="15.75">
      <c r="A4" s="10"/>
      <c r="B4" s="1161" t="s">
        <v>41</v>
      </c>
      <c r="C4" s="1161"/>
      <c r="D4" s="1161"/>
      <c r="E4" s="1161"/>
      <c r="F4" s="1161"/>
      <c r="G4" s="1161"/>
      <c r="H4" s="1161"/>
      <c r="I4" s="1161"/>
      <c r="J4" s="1165"/>
      <c r="K4" s="1165"/>
      <c r="L4" s="10"/>
    </row>
    <row r="5" spans="1:12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57"/>
      <c r="J5" s="1167"/>
      <c r="K5" s="1167"/>
      <c r="L5" s="10"/>
    </row>
    <row r="6" spans="1:12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 ht="15.75">
      <c r="A10" s="10"/>
      <c r="B10" s="3"/>
      <c r="C10" s="3"/>
      <c r="D10" s="3"/>
      <c r="E10" s="3"/>
      <c r="F10" s="3"/>
      <c r="G10" s="3"/>
      <c r="H10" s="3"/>
      <c r="I10" s="3"/>
      <c r="J10" s="3"/>
      <c r="K10" s="49"/>
      <c r="L10" s="10"/>
    </row>
    <row r="11" spans="1:12" ht="15.75">
      <c r="A11" s="3">
        <v>1</v>
      </c>
      <c r="B11" s="4" t="s">
        <v>128</v>
      </c>
      <c r="C11" s="4"/>
      <c r="D11" s="4"/>
      <c r="E11" s="4"/>
      <c r="F11" s="4"/>
      <c r="G11" s="4"/>
      <c r="H11" s="4"/>
      <c r="I11" s="452">
        <v>0</v>
      </c>
      <c r="J11" s="35"/>
      <c r="K11" s="21" t="s">
        <v>1128</v>
      </c>
      <c r="L11" s="3">
        <v>1</v>
      </c>
    </row>
    <row r="12" spans="1:12" ht="15.75">
      <c r="A12" s="3">
        <f>+A11+1</f>
        <v>2</v>
      </c>
      <c r="B12" s="4"/>
      <c r="C12" s="4"/>
      <c r="D12" s="4"/>
      <c r="E12" s="4"/>
      <c r="F12" s="4"/>
      <c r="G12" s="4"/>
      <c r="H12" s="4"/>
      <c r="I12" s="61"/>
      <c r="J12" s="35"/>
      <c r="K12" s="19"/>
      <c r="L12" s="3">
        <f>+L11+1</f>
        <v>2</v>
      </c>
    </row>
    <row r="13" spans="1:12" ht="15.75">
      <c r="A13" s="3">
        <f t="shared" ref="A13:A23" si="0">+A12+1</f>
        <v>3</v>
      </c>
      <c r="B13" s="4" t="s">
        <v>129</v>
      </c>
      <c r="C13" s="4"/>
      <c r="D13" s="4"/>
      <c r="E13" s="4"/>
      <c r="F13" s="4"/>
      <c r="G13" s="4"/>
      <c r="H13" s="4"/>
      <c r="I13" s="448">
        <v>0</v>
      </c>
      <c r="J13" s="35"/>
      <c r="K13" s="21" t="s">
        <v>1129</v>
      </c>
      <c r="L13" s="3">
        <f t="shared" ref="L13:L23" si="1">+L12+1</f>
        <v>3</v>
      </c>
    </row>
    <row r="14" spans="1:12" ht="15.7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61"/>
      <c r="J14" s="35"/>
      <c r="K14" s="19"/>
      <c r="L14" s="3">
        <f t="shared" si="1"/>
        <v>4</v>
      </c>
    </row>
    <row r="15" spans="1:12" ht="15.75">
      <c r="A15" s="3">
        <f t="shared" si="0"/>
        <v>5</v>
      </c>
      <c r="B15" s="4" t="s">
        <v>130</v>
      </c>
      <c r="C15" s="4"/>
      <c r="D15" s="4"/>
      <c r="E15" s="4"/>
      <c r="F15" s="4"/>
      <c r="G15" s="4"/>
      <c r="H15" s="4"/>
      <c r="I15" s="448">
        <v>709.93036999999993</v>
      </c>
      <c r="J15" s="35"/>
      <c r="K15" s="21" t="s">
        <v>1130</v>
      </c>
      <c r="L15" s="3">
        <f t="shared" si="1"/>
        <v>5</v>
      </c>
    </row>
    <row r="16" spans="1:12" ht="15.7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35"/>
      <c r="K16" s="19"/>
      <c r="L16" s="3">
        <f t="shared" si="1"/>
        <v>6</v>
      </c>
    </row>
    <row r="17" spans="1:12" ht="15.75">
      <c r="A17" s="3">
        <f t="shared" si="0"/>
        <v>7</v>
      </c>
      <c r="B17" s="4" t="s">
        <v>131</v>
      </c>
      <c r="C17" s="4"/>
      <c r="D17" s="4"/>
      <c r="E17" s="4"/>
      <c r="F17" s="4"/>
      <c r="G17" s="4"/>
      <c r="H17" s="4"/>
      <c r="I17" s="448">
        <v>0</v>
      </c>
      <c r="J17" s="35"/>
      <c r="K17" s="21" t="s">
        <v>1131</v>
      </c>
      <c r="L17" s="3">
        <f t="shared" si="1"/>
        <v>7</v>
      </c>
    </row>
    <row r="18" spans="1:12" ht="15.7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61"/>
      <c r="J18" s="35"/>
      <c r="K18" s="19"/>
      <c r="L18" s="3">
        <f t="shared" si="1"/>
        <v>8</v>
      </c>
    </row>
    <row r="19" spans="1:12" ht="15.75">
      <c r="A19" s="3">
        <f t="shared" si="0"/>
        <v>9</v>
      </c>
      <c r="B19" s="4" t="s">
        <v>132</v>
      </c>
      <c r="C19" s="4"/>
      <c r="D19" s="4"/>
      <c r="E19" s="4"/>
      <c r="F19" s="4"/>
      <c r="G19" s="4"/>
      <c r="H19" s="4"/>
      <c r="I19" s="447">
        <v>6415.763818511934</v>
      </c>
      <c r="J19" s="994"/>
      <c r="K19" s="21" t="s">
        <v>1193</v>
      </c>
      <c r="L19" s="3">
        <f t="shared" si="1"/>
        <v>9</v>
      </c>
    </row>
    <row r="20" spans="1:12" ht="15.75">
      <c r="A20" s="3">
        <f t="shared" si="0"/>
        <v>10</v>
      </c>
      <c r="B20" s="4"/>
      <c r="C20" s="4"/>
      <c r="D20" s="4"/>
      <c r="E20" s="4"/>
      <c r="F20" s="4"/>
      <c r="G20" s="4"/>
      <c r="H20" s="4"/>
      <c r="I20" s="61"/>
      <c r="J20" s="35"/>
      <c r="K20" s="19"/>
      <c r="L20" s="3">
        <f t="shared" si="1"/>
        <v>10</v>
      </c>
    </row>
    <row r="21" spans="1:12" ht="16.5" thickBot="1">
      <c r="A21" s="3">
        <f t="shared" si="0"/>
        <v>11</v>
      </c>
      <c r="B21" s="4" t="s">
        <v>133</v>
      </c>
      <c r="C21" s="4"/>
      <c r="D21" s="4"/>
      <c r="E21" s="4"/>
      <c r="F21" s="4"/>
      <c r="G21" s="4"/>
      <c r="H21" s="4"/>
      <c r="I21" s="66">
        <f>SUM(I11:I19)</f>
        <v>7125.694188511934</v>
      </c>
      <c r="J21" s="994"/>
      <c r="K21" s="21" t="s">
        <v>169</v>
      </c>
      <c r="L21" s="3">
        <f t="shared" si="1"/>
        <v>11</v>
      </c>
    </row>
    <row r="22" spans="1:12" ht="16.5" thickTop="1">
      <c r="A22" s="228">
        <f t="shared" si="0"/>
        <v>12</v>
      </c>
      <c r="B22" s="4"/>
      <c r="C22" s="4"/>
      <c r="D22" s="4"/>
      <c r="E22" s="4"/>
      <c r="F22" s="4"/>
      <c r="G22" s="4"/>
      <c r="H22" s="4"/>
      <c r="I22" s="23" t="s">
        <v>39</v>
      </c>
      <c r="J22" s="35"/>
      <c r="K22" s="10"/>
      <c r="L22" s="228">
        <f t="shared" si="1"/>
        <v>12</v>
      </c>
    </row>
    <row r="23" spans="1:12" ht="16.5" thickBot="1">
      <c r="A23" s="228">
        <f t="shared" si="0"/>
        <v>13</v>
      </c>
      <c r="B23" s="4" t="s">
        <v>270</v>
      </c>
      <c r="I23" s="454">
        <v>0</v>
      </c>
      <c r="K23" s="10" t="s">
        <v>271</v>
      </c>
      <c r="L23" s="228">
        <f t="shared" si="1"/>
        <v>13</v>
      </c>
    </row>
    <row r="24" spans="1:12" ht="15.75" thickTop="1"/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73" orientation="portrait" r:id="rId1"/>
  <headerFooter alignWithMargins="0">
    <oddFooter>&amp;C&amp;12Page AU1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156"/>
  <sheetViews>
    <sheetView zoomScale="80" zoomScaleNormal="80" workbookViewId="0"/>
  </sheetViews>
  <sheetFormatPr defaultRowHeight="15"/>
  <cols>
    <col min="1" max="1" width="5.7109375" style="11" customWidth="1"/>
    <col min="2" max="2" width="20.7109375" customWidth="1"/>
    <col min="3" max="3" width="14.28515625" bestFit="1" customWidth="1"/>
    <col min="4" max="4" width="15.570312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2.42578125" bestFit="1" customWidth="1"/>
    <col min="11" max="11" width="44.140625" customWidth="1"/>
    <col min="12" max="12" width="5.7109375" customWidth="1"/>
    <col min="14" max="14" width="25" customWidth="1"/>
    <col min="15" max="15" width="10.5703125" bestFit="1" customWidth="1"/>
  </cols>
  <sheetData>
    <row r="1" spans="1:12" ht="15.75">
      <c r="A1" s="3"/>
      <c r="B1" s="4"/>
      <c r="C1" s="4"/>
      <c r="D1" s="4"/>
      <c r="E1" s="4"/>
      <c r="F1" s="4"/>
      <c r="G1" s="4"/>
      <c r="H1" s="4"/>
      <c r="I1" s="1"/>
      <c r="J1" s="36"/>
      <c r="K1" s="19"/>
      <c r="L1" s="3"/>
    </row>
    <row r="2" spans="1:12" ht="15.75">
      <c r="A2" s="10"/>
      <c r="B2" s="1161" t="s">
        <v>42</v>
      </c>
      <c r="C2" s="1161"/>
      <c r="D2" s="1161"/>
      <c r="E2" s="1161"/>
      <c r="F2" s="1161"/>
      <c r="G2" s="1161"/>
      <c r="H2" s="1161"/>
      <c r="I2" s="1161"/>
      <c r="J2" s="1165"/>
      <c r="K2" s="1165"/>
      <c r="L2" s="10"/>
    </row>
    <row r="3" spans="1:12" ht="15.75">
      <c r="A3" s="10"/>
      <c r="B3" s="1161" t="s">
        <v>542</v>
      </c>
      <c r="C3" s="1161"/>
      <c r="D3" s="1161"/>
      <c r="E3" s="1161"/>
      <c r="F3" s="1161"/>
      <c r="G3" s="1161"/>
      <c r="H3" s="1161"/>
      <c r="I3" s="1161"/>
      <c r="J3" s="1165"/>
      <c r="K3" s="1165"/>
      <c r="L3" s="10"/>
    </row>
    <row r="4" spans="1:12" ht="15.75">
      <c r="A4" s="10"/>
      <c r="B4" s="1161" t="s">
        <v>58</v>
      </c>
      <c r="C4" s="1161"/>
      <c r="D4" s="1161"/>
      <c r="E4" s="1161"/>
      <c r="F4" s="1161"/>
      <c r="G4" s="1161"/>
      <c r="H4" s="1161"/>
      <c r="I4" s="1161"/>
      <c r="J4" s="1165"/>
      <c r="K4" s="1165"/>
      <c r="L4" s="10"/>
    </row>
    <row r="5" spans="1:12" ht="15.75">
      <c r="A5" s="10"/>
      <c r="B5" s="1157" t="str">
        <f>'Statement AD-WP'!B5:L5</f>
        <v>Base Period &amp; True-Up Period 12 - Months Ending December 31, 2015</v>
      </c>
      <c r="C5" s="1157"/>
      <c r="D5" s="1157"/>
      <c r="E5" s="1157"/>
      <c r="F5" s="1157"/>
      <c r="G5" s="1157"/>
      <c r="H5" s="1157"/>
      <c r="I5" s="1157"/>
      <c r="J5" s="1167"/>
      <c r="K5" s="1167"/>
      <c r="L5" s="10"/>
    </row>
    <row r="6" spans="1:12" ht="15.75">
      <c r="A6" s="10"/>
      <c r="B6" s="1159" t="s">
        <v>72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>
      <c r="A9" s="33" t="s">
        <v>63</v>
      </c>
      <c r="B9" s="3"/>
      <c r="C9" s="3"/>
      <c r="D9" s="3"/>
      <c r="E9" s="3"/>
      <c r="F9" s="3"/>
      <c r="G9" s="3"/>
      <c r="H9" s="3"/>
      <c r="I9" s="147" t="s">
        <v>69</v>
      </c>
      <c r="J9" s="3"/>
      <c r="K9" s="33" t="s">
        <v>65</v>
      </c>
      <c r="L9" s="33" t="s">
        <v>63</v>
      </c>
    </row>
    <row r="10" spans="1:12" ht="15.75">
      <c r="A10" s="10"/>
      <c r="B10" s="3"/>
      <c r="C10" s="3"/>
      <c r="D10" s="3"/>
      <c r="E10" s="3"/>
      <c r="F10" s="3"/>
      <c r="G10" s="3"/>
      <c r="H10" s="3"/>
      <c r="I10" s="3"/>
      <c r="J10" s="3"/>
      <c r="K10" s="48"/>
      <c r="L10" s="10"/>
    </row>
    <row r="11" spans="1:12" ht="15.75">
      <c r="A11" s="10">
        <v>1</v>
      </c>
      <c r="B11" s="90" t="s">
        <v>116</v>
      </c>
      <c r="C11" s="4"/>
      <c r="D11" s="4"/>
      <c r="E11" s="4"/>
      <c r="F11" s="4"/>
      <c r="G11" s="4"/>
      <c r="H11" s="4"/>
      <c r="I11" s="4"/>
      <c r="J11" s="10"/>
      <c r="K11" s="10"/>
      <c r="L11" s="10">
        <v>1</v>
      </c>
    </row>
    <row r="12" spans="1:12" ht="15.75">
      <c r="A12" s="10">
        <f>A11+1</f>
        <v>2</v>
      </c>
      <c r="B12" s="5" t="s">
        <v>185</v>
      </c>
      <c r="C12" s="4"/>
      <c r="D12" s="4"/>
      <c r="E12" s="4"/>
      <c r="F12" s="4"/>
      <c r="G12" s="4"/>
      <c r="H12" s="4"/>
      <c r="I12" s="452">
        <v>3989648</v>
      </c>
      <c r="J12" s="10"/>
      <c r="K12" s="10" t="s">
        <v>415</v>
      </c>
      <c r="L12" s="10">
        <f>L11+1</f>
        <v>2</v>
      </c>
    </row>
    <row r="13" spans="1:12" ht="15.75">
      <c r="A13" s="10">
        <f t="shared" ref="A13:A51" si="0">A12+1</f>
        <v>3</v>
      </c>
      <c r="B13" s="5" t="s">
        <v>186</v>
      </c>
      <c r="C13" s="4"/>
      <c r="D13" s="4"/>
      <c r="E13" s="4"/>
      <c r="F13" s="4"/>
      <c r="G13" s="4"/>
      <c r="H13" s="4"/>
      <c r="I13" s="448">
        <v>0</v>
      </c>
      <c r="J13" s="10"/>
      <c r="K13" s="10" t="s">
        <v>416</v>
      </c>
      <c r="L13" s="10">
        <f t="shared" ref="L13:L51" si="1">L12+1</f>
        <v>3</v>
      </c>
    </row>
    <row r="14" spans="1:12" ht="15.75">
      <c r="A14" s="10">
        <f t="shared" si="0"/>
        <v>4</v>
      </c>
      <c r="B14" s="5" t="s">
        <v>187</v>
      </c>
      <c r="C14" s="4"/>
      <c r="D14" s="4"/>
      <c r="E14" s="4"/>
      <c r="F14" s="4"/>
      <c r="G14" s="4"/>
      <c r="H14" s="4"/>
      <c r="I14" s="446">
        <v>53650</v>
      </c>
      <c r="J14" s="10"/>
      <c r="K14" s="10" t="s">
        <v>417</v>
      </c>
      <c r="L14" s="10">
        <f t="shared" si="1"/>
        <v>4</v>
      </c>
    </row>
    <row r="15" spans="1:12" ht="15.75">
      <c r="A15" s="10">
        <f t="shared" si="0"/>
        <v>5</v>
      </c>
      <c r="B15" s="5" t="s">
        <v>189</v>
      </c>
      <c r="C15" s="4"/>
      <c r="D15" s="4"/>
      <c r="E15" s="4"/>
      <c r="F15" s="4"/>
      <c r="G15" s="4"/>
      <c r="H15" s="4"/>
      <c r="I15" s="446">
        <v>0</v>
      </c>
      <c r="J15" s="10"/>
      <c r="K15" s="10" t="s">
        <v>418</v>
      </c>
      <c r="L15" s="10">
        <f t="shared" si="1"/>
        <v>5</v>
      </c>
    </row>
    <row r="16" spans="1:12" ht="15.75">
      <c r="A16" s="10">
        <f t="shared" si="0"/>
        <v>6</v>
      </c>
      <c r="B16" s="5" t="s">
        <v>190</v>
      </c>
      <c r="C16" s="4"/>
      <c r="D16" s="4"/>
      <c r="E16" s="4"/>
      <c r="F16" s="4"/>
      <c r="G16" s="4"/>
      <c r="H16" s="4"/>
      <c r="I16" s="447">
        <v>9710.098</v>
      </c>
      <c r="J16" s="10"/>
      <c r="K16" s="10" t="s">
        <v>419</v>
      </c>
      <c r="L16" s="10">
        <f t="shared" si="1"/>
        <v>6</v>
      </c>
    </row>
    <row r="17" spans="1:12" ht="31.5">
      <c r="A17" s="10">
        <f t="shared" si="0"/>
        <v>7</v>
      </c>
      <c r="B17" s="5" t="s">
        <v>117</v>
      </c>
      <c r="C17" s="4"/>
      <c r="D17" s="5"/>
      <c r="E17" s="5"/>
      <c r="F17" s="5"/>
      <c r="G17" s="5"/>
      <c r="H17" s="5"/>
      <c r="I17" s="74">
        <f>+I12-I13+I14+I15-I16</f>
        <v>4033587.9019999998</v>
      </c>
      <c r="J17" s="10"/>
      <c r="K17" s="336" t="s">
        <v>109</v>
      </c>
      <c r="L17" s="10">
        <f t="shared" si="1"/>
        <v>7</v>
      </c>
    </row>
    <row r="18" spans="1:12" ht="15.75">
      <c r="A18" s="10">
        <f t="shared" si="0"/>
        <v>8</v>
      </c>
      <c r="B18" s="5"/>
      <c r="C18" s="4"/>
      <c r="D18" s="4"/>
      <c r="E18" s="4"/>
      <c r="F18" s="4"/>
      <c r="G18" s="4"/>
      <c r="H18" s="4"/>
      <c r="I18" s="4"/>
      <c r="J18" s="10"/>
      <c r="K18" s="10"/>
      <c r="L18" s="10">
        <f t="shared" si="1"/>
        <v>8</v>
      </c>
    </row>
    <row r="19" spans="1:12" ht="15.75">
      <c r="A19" s="10">
        <f t="shared" si="0"/>
        <v>9</v>
      </c>
      <c r="B19" s="88" t="s">
        <v>118</v>
      </c>
      <c r="C19" s="4"/>
      <c r="D19" s="4"/>
      <c r="E19" s="4"/>
      <c r="F19" s="4"/>
      <c r="G19" s="4"/>
      <c r="H19" s="4"/>
      <c r="I19" s="68"/>
      <c r="J19" s="10"/>
      <c r="K19" s="10"/>
      <c r="L19" s="10">
        <f t="shared" si="1"/>
        <v>9</v>
      </c>
    </row>
    <row r="20" spans="1:12" ht="15.75">
      <c r="A20" s="10">
        <f t="shared" si="0"/>
        <v>10</v>
      </c>
      <c r="B20" s="4" t="s">
        <v>191</v>
      </c>
      <c r="C20" s="4"/>
      <c r="D20" s="4"/>
      <c r="E20" s="4"/>
      <c r="F20" s="4"/>
      <c r="G20" s="4"/>
      <c r="H20" s="4"/>
      <c r="I20" s="452">
        <v>188053.79800000001</v>
      </c>
      <c r="J20" s="10"/>
      <c r="K20" s="10" t="s">
        <v>420</v>
      </c>
      <c r="L20" s="10">
        <f t="shared" si="1"/>
        <v>10</v>
      </c>
    </row>
    <row r="21" spans="1:12" ht="15.75">
      <c r="A21" s="10">
        <f t="shared" si="0"/>
        <v>11</v>
      </c>
      <c r="B21" s="4" t="s">
        <v>192</v>
      </c>
      <c r="C21" s="4"/>
      <c r="D21" s="4"/>
      <c r="E21" s="4"/>
      <c r="F21" s="4"/>
      <c r="G21" s="4"/>
      <c r="H21" s="4"/>
      <c r="I21" s="448">
        <v>3313.2779999999998</v>
      </c>
      <c r="J21" s="10"/>
      <c r="K21" s="10" t="s">
        <v>421</v>
      </c>
      <c r="L21" s="10">
        <f t="shared" si="1"/>
        <v>11</v>
      </c>
    </row>
    <row r="22" spans="1:12" ht="15.75">
      <c r="A22" s="10">
        <f t="shared" si="0"/>
        <v>12</v>
      </c>
      <c r="B22" s="4" t="s">
        <v>193</v>
      </c>
      <c r="C22" s="4"/>
      <c r="D22" s="4"/>
      <c r="E22" s="4"/>
      <c r="F22" s="4"/>
      <c r="G22" s="4"/>
      <c r="H22" s="4"/>
      <c r="I22" s="448">
        <v>2807.3890000000001</v>
      </c>
      <c r="J22" s="10"/>
      <c r="K22" s="10" t="s">
        <v>422</v>
      </c>
      <c r="L22" s="10">
        <f t="shared" si="1"/>
        <v>12</v>
      </c>
    </row>
    <row r="23" spans="1:12" ht="15.75">
      <c r="A23" s="10">
        <f t="shared" si="0"/>
        <v>13</v>
      </c>
      <c r="B23" s="4" t="s">
        <v>195</v>
      </c>
      <c r="C23" s="4"/>
      <c r="D23" s="4"/>
      <c r="E23" s="4"/>
      <c r="F23" s="4"/>
      <c r="G23" s="4"/>
      <c r="H23" s="4"/>
      <c r="I23" s="448">
        <v>0</v>
      </c>
      <c r="J23" s="10"/>
      <c r="K23" s="10" t="s">
        <v>423</v>
      </c>
      <c r="L23" s="10">
        <f t="shared" si="1"/>
        <v>13</v>
      </c>
    </row>
    <row r="24" spans="1:12" ht="15.75">
      <c r="A24" s="10">
        <f t="shared" si="0"/>
        <v>14</v>
      </c>
      <c r="B24" s="4" t="s">
        <v>196</v>
      </c>
      <c r="C24" s="4"/>
      <c r="D24" s="4"/>
      <c r="E24" s="4"/>
      <c r="F24" s="4"/>
      <c r="G24" s="4"/>
      <c r="H24" s="4"/>
      <c r="I24" s="447">
        <v>0</v>
      </c>
      <c r="J24" s="10"/>
      <c r="K24" s="10" t="s">
        <v>424</v>
      </c>
      <c r="L24" s="10">
        <f t="shared" si="1"/>
        <v>14</v>
      </c>
    </row>
    <row r="25" spans="1:12" ht="16.5" thickBot="1">
      <c r="A25" s="10">
        <f t="shared" si="0"/>
        <v>15</v>
      </c>
      <c r="B25" s="5" t="s">
        <v>119</v>
      </c>
      <c r="C25" s="4"/>
      <c r="D25" s="5"/>
      <c r="E25" s="5"/>
      <c r="F25" s="5"/>
      <c r="G25" s="5"/>
      <c r="H25" s="5"/>
      <c r="I25" s="94">
        <f>+I20+I21+I22-I23-I24</f>
        <v>194174.465</v>
      </c>
      <c r="J25" s="10"/>
      <c r="K25" s="10" t="s">
        <v>110</v>
      </c>
      <c r="L25" s="10">
        <f t="shared" si="1"/>
        <v>15</v>
      </c>
    </row>
    <row r="26" spans="1:12" ht="16.5" thickTop="1">
      <c r="A26" s="10">
        <f t="shared" si="0"/>
        <v>16</v>
      </c>
      <c r="B26" s="5"/>
      <c r="C26" s="4"/>
      <c r="D26" s="4"/>
      <c r="E26" s="4"/>
      <c r="F26" s="4"/>
      <c r="G26" s="4"/>
      <c r="H26" s="4"/>
      <c r="I26" s="4"/>
      <c r="J26" s="10"/>
      <c r="K26" s="10"/>
      <c r="L26" s="10">
        <f t="shared" si="1"/>
        <v>16</v>
      </c>
    </row>
    <row r="27" spans="1:12" ht="16.5" thickBot="1">
      <c r="A27" s="10">
        <f t="shared" si="0"/>
        <v>17</v>
      </c>
      <c r="B27" s="90" t="s">
        <v>120</v>
      </c>
      <c r="C27" s="4"/>
      <c r="D27" s="4"/>
      <c r="E27" s="4"/>
      <c r="F27" s="4"/>
      <c r="G27" s="4"/>
      <c r="H27" s="4"/>
      <c r="I27" s="437">
        <f>ROUND(I25/I17,4)</f>
        <v>4.8099999999999997E-2</v>
      </c>
      <c r="J27" s="10"/>
      <c r="K27" s="10" t="s">
        <v>148</v>
      </c>
      <c r="L27" s="10">
        <f t="shared" si="1"/>
        <v>17</v>
      </c>
    </row>
    <row r="28" spans="1:12" ht="16.5" thickTop="1">
      <c r="A28" s="10">
        <f t="shared" si="0"/>
        <v>18</v>
      </c>
      <c r="B28" s="5"/>
      <c r="C28" s="4"/>
      <c r="D28" s="4"/>
      <c r="E28" s="4"/>
      <c r="F28" s="4"/>
      <c r="G28" s="4"/>
      <c r="H28" s="4"/>
      <c r="I28" s="4"/>
      <c r="J28" s="10"/>
      <c r="K28" s="10"/>
      <c r="L28" s="10">
        <f t="shared" si="1"/>
        <v>18</v>
      </c>
    </row>
    <row r="29" spans="1:12" ht="15.75">
      <c r="A29" s="10">
        <f t="shared" si="0"/>
        <v>19</v>
      </c>
      <c r="B29" s="90" t="s">
        <v>121</v>
      </c>
      <c r="C29" s="4"/>
      <c r="D29" s="4"/>
      <c r="E29" s="4"/>
      <c r="F29" s="4"/>
      <c r="G29" s="4"/>
      <c r="H29" s="4"/>
      <c r="I29" s="4"/>
      <c r="J29" s="10"/>
      <c r="K29" s="10"/>
      <c r="L29" s="10">
        <f t="shared" si="1"/>
        <v>19</v>
      </c>
    </row>
    <row r="30" spans="1:12" ht="15.75">
      <c r="A30" s="10">
        <f t="shared" si="0"/>
        <v>20</v>
      </c>
      <c r="B30" s="5" t="s">
        <v>197</v>
      </c>
      <c r="C30" s="4"/>
      <c r="D30" s="4"/>
      <c r="E30" s="4"/>
      <c r="F30" s="4"/>
      <c r="G30" s="4"/>
      <c r="H30" s="4"/>
      <c r="I30" s="458">
        <v>0</v>
      </c>
      <c r="J30" s="10"/>
      <c r="K30" s="10" t="s">
        <v>425</v>
      </c>
      <c r="L30" s="10">
        <f t="shared" si="1"/>
        <v>20</v>
      </c>
    </row>
    <row r="31" spans="1:12" ht="15.75">
      <c r="A31" s="10">
        <f t="shared" si="0"/>
        <v>21</v>
      </c>
      <c r="B31" s="5" t="s">
        <v>60</v>
      </c>
      <c r="C31" s="4"/>
      <c r="D31" s="5"/>
      <c r="E31" s="5"/>
      <c r="F31" s="5"/>
      <c r="G31" s="5"/>
      <c r="H31" s="5"/>
      <c r="I31" s="449">
        <v>0</v>
      </c>
      <c r="J31" s="10"/>
      <c r="K31" s="10" t="s">
        <v>426</v>
      </c>
      <c r="L31" s="10">
        <f t="shared" si="1"/>
        <v>21</v>
      </c>
    </row>
    <row r="32" spans="1:12" ht="16.5" thickBot="1">
      <c r="A32" s="10">
        <f t="shared" si="0"/>
        <v>22</v>
      </c>
      <c r="B32" s="5" t="s">
        <v>122</v>
      </c>
      <c r="C32" s="4"/>
      <c r="D32" s="4"/>
      <c r="E32" s="4"/>
      <c r="F32" s="4"/>
      <c r="G32" s="4"/>
      <c r="H32" s="4"/>
      <c r="I32" s="437">
        <v>0</v>
      </c>
      <c r="J32" s="10"/>
      <c r="K32" s="10" t="s">
        <v>388</v>
      </c>
      <c r="L32" s="10">
        <f t="shared" si="1"/>
        <v>22</v>
      </c>
    </row>
    <row r="33" spans="1:12" ht="16.5" thickTop="1">
      <c r="A33" s="10">
        <f t="shared" si="0"/>
        <v>23</v>
      </c>
      <c r="B33" s="5"/>
      <c r="C33" s="4"/>
      <c r="D33" s="4"/>
      <c r="E33" s="4"/>
      <c r="F33" s="4"/>
      <c r="G33" s="4"/>
      <c r="H33" s="4"/>
      <c r="I33" s="4"/>
      <c r="J33" s="10"/>
      <c r="K33" s="10"/>
      <c r="L33" s="10">
        <f t="shared" si="1"/>
        <v>23</v>
      </c>
    </row>
    <row r="34" spans="1:12" ht="15.75">
      <c r="A34" s="10">
        <f t="shared" si="0"/>
        <v>24</v>
      </c>
      <c r="B34" s="90" t="s">
        <v>123</v>
      </c>
      <c r="C34" s="4"/>
      <c r="D34" s="4"/>
      <c r="E34" s="4"/>
      <c r="F34" s="4"/>
      <c r="G34" s="4"/>
      <c r="H34" s="4"/>
      <c r="I34" s="4"/>
      <c r="J34" s="10"/>
      <c r="K34" s="10"/>
      <c r="L34" s="10">
        <f t="shared" si="1"/>
        <v>24</v>
      </c>
    </row>
    <row r="35" spans="1:12" ht="15.75">
      <c r="A35" s="10">
        <f t="shared" si="0"/>
        <v>25</v>
      </c>
      <c r="B35" s="5" t="s">
        <v>198</v>
      </c>
      <c r="C35" s="4"/>
      <c r="D35" s="4"/>
      <c r="E35" s="4"/>
      <c r="F35" s="4"/>
      <c r="G35" s="4"/>
      <c r="H35" s="4"/>
      <c r="I35" s="452">
        <v>5222823.5659999996</v>
      </c>
      <c r="J35" s="10"/>
      <c r="K35" s="10" t="s">
        <v>427</v>
      </c>
      <c r="L35" s="10">
        <f t="shared" si="1"/>
        <v>25</v>
      </c>
    </row>
    <row r="36" spans="1:12" ht="15.75">
      <c r="A36" s="10">
        <f t="shared" si="0"/>
        <v>26</v>
      </c>
      <c r="B36" s="5" t="s">
        <v>199</v>
      </c>
      <c r="C36" s="4"/>
      <c r="D36" s="4"/>
      <c r="E36" s="4"/>
      <c r="F36" s="4"/>
      <c r="G36" s="4"/>
      <c r="H36" s="4"/>
      <c r="I36" s="391">
        <f>I30</f>
        <v>0</v>
      </c>
      <c r="J36" s="10"/>
      <c r="K36" s="10" t="s">
        <v>425</v>
      </c>
      <c r="L36" s="10">
        <f t="shared" si="1"/>
        <v>26</v>
      </c>
    </row>
    <row r="37" spans="1:12" ht="15.75">
      <c r="A37" s="10">
        <f t="shared" si="0"/>
        <v>27</v>
      </c>
      <c r="B37" s="5" t="s">
        <v>200</v>
      </c>
      <c r="C37" s="4"/>
      <c r="D37" s="4"/>
      <c r="E37" s="4"/>
      <c r="F37" s="4"/>
      <c r="G37" s="4"/>
      <c r="H37" s="4"/>
      <c r="I37" s="446">
        <v>0</v>
      </c>
      <c r="J37" s="10"/>
      <c r="K37" s="10" t="s">
        <v>428</v>
      </c>
      <c r="L37" s="10">
        <f t="shared" si="1"/>
        <v>27</v>
      </c>
    </row>
    <row r="38" spans="1:12" ht="15.75">
      <c r="A38" s="10">
        <f t="shared" si="0"/>
        <v>28</v>
      </c>
      <c r="B38" s="5" t="s">
        <v>1140</v>
      </c>
      <c r="C38" s="4"/>
      <c r="D38" s="4"/>
      <c r="E38" s="4"/>
      <c r="F38" s="4"/>
      <c r="G38" s="4"/>
      <c r="H38" s="4"/>
      <c r="I38" s="446">
        <v>-7840.3140000000003</v>
      </c>
      <c r="J38" s="10"/>
      <c r="K38" s="10" t="s">
        <v>1141</v>
      </c>
      <c r="L38" s="10">
        <f t="shared" si="1"/>
        <v>28</v>
      </c>
    </row>
    <row r="39" spans="1:12" ht="16.5" thickBot="1">
      <c r="A39" s="10">
        <f t="shared" si="0"/>
        <v>29</v>
      </c>
      <c r="B39" s="5" t="s">
        <v>59</v>
      </c>
      <c r="C39" s="4"/>
      <c r="D39" s="5"/>
      <c r="E39" s="5"/>
      <c r="F39" s="5"/>
      <c r="G39" s="5"/>
      <c r="H39" s="5"/>
      <c r="I39" s="95">
        <f>+I35-I36-I37-I38</f>
        <v>5230663.88</v>
      </c>
      <c r="J39" s="10"/>
      <c r="K39" s="10" t="s">
        <v>1143</v>
      </c>
      <c r="L39" s="10">
        <f t="shared" si="1"/>
        <v>29</v>
      </c>
    </row>
    <row r="40" spans="1:12" ht="17.25" thickTop="1" thickBot="1">
      <c r="A40" s="182">
        <f t="shared" si="0"/>
        <v>30</v>
      </c>
      <c r="B40" s="183"/>
      <c r="C40" s="177"/>
      <c r="D40" s="177"/>
      <c r="E40" s="177"/>
      <c r="F40" s="177"/>
      <c r="G40" s="177"/>
      <c r="H40" s="177"/>
      <c r="I40" s="177"/>
      <c r="J40" s="182"/>
      <c r="K40" s="182"/>
      <c r="L40" s="182">
        <f t="shared" si="1"/>
        <v>30</v>
      </c>
    </row>
    <row r="41" spans="1:12" ht="30.75" thickBot="1">
      <c r="A41" s="10">
        <f t="shared" si="0"/>
        <v>31</v>
      </c>
      <c r="B41" s="90" t="s">
        <v>364</v>
      </c>
      <c r="C41" s="4"/>
      <c r="D41" s="4"/>
      <c r="E41" s="4"/>
      <c r="F41" s="4"/>
      <c r="G41" s="4"/>
      <c r="H41" s="4"/>
      <c r="I41" s="706">
        <v>0.10050000000000001</v>
      </c>
      <c r="J41" s="274"/>
      <c r="K41" s="408" t="s">
        <v>861</v>
      </c>
      <c r="L41" s="10">
        <f t="shared" si="1"/>
        <v>31</v>
      </c>
    </row>
    <row r="42" spans="1:12" ht="16.5" thickTop="1">
      <c r="A42" s="10">
        <f t="shared" si="0"/>
        <v>32</v>
      </c>
      <c r="B42" s="5"/>
      <c r="C42" s="4"/>
      <c r="D42" s="144" t="s">
        <v>165</v>
      </c>
      <c r="E42" s="144" t="s">
        <v>166</v>
      </c>
      <c r="F42" s="10"/>
      <c r="G42" s="144" t="s">
        <v>218</v>
      </c>
      <c r="H42" s="4"/>
      <c r="I42" s="144" t="s">
        <v>219</v>
      </c>
      <c r="J42" s="10"/>
      <c r="K42" s="10"/>
      <c r="L42" s="10">
        <f t="shared" si="1"/>
        <v>32</v>
      </c>
    </row>
    <row r="43" spans="1:12" ht="15.75">
      <c r="A43" s="10">
        <f t="shared" si="0"/>
        <v>33</v>
      </c>
      <c r="B43" s="5"/>
      <c r="C43" s="4"/>
      <c r="D43" s="4"/>
      <c r="E43" s="10" t="s">
        <v>217</v>
      </c>
      <c r="F43" s="10"/>
      <c r="G43" s="10" t="s">
        <v>370</v>
      </c>
      <c r="H43" s="4"/>
      <c r="I43" s="10" t="s">
        <v>68</v>
      </c>
      <c r="J43" s="10"/>
      <c r="K43" s="10"/>
      <c r="L43" s="10">
        <f t="shared" si="1"/>
        <v>33</v>
      </c>
    </row>
    <row r="44" spans="1:12" ht="18.75">
      <c r="A44" s="10">
        <f t="shared" si="0"/>
        <v>34</v>
      </c>
      <c r="B44" s="90" t="s">
        <v>124</v>
      </c>
      <c r="C44" s="4"/>
      <c r="D44" s="33" t="s">
        <v>635</v>
      </c>
      <c r="E44" s="33" t="s">
        <v>125</v>
      </c>
      <c r="F44" s="33"/>
      <c r="G44" s="33" t="s">
        <v>369</v>
      </c>
      <c r="H44" s="33"/>
      <c r="I44" s="33" t="s">
        <v>126</v>
      </c>
      <c r="J44" s="10"/>
      <c r="K44" s="10"/>
      <c r="L44" s="10">
        <f t="shared" si="1"/>
        <v>34</v>
      </c>
    </row>
    <row r="45" spans="1:12" ht="15.75">
      <c r="A45" s="10">
        <f t="shared" si="0"/>
        <v>35</v>
      </c>
      <c r="B45" s="5"/>
      <c r="C45" s="4"/>
      <c r="D45" s="4"/>
      <c r="E45" s="4"/>
      <c r="F45" s="4"/>
      <c r="G45" s="4"/>
      <c r="H45" s="4"/>
      <c r="I45" s="4"/>
      <c r="J45" s="10"/>
      <c r="K45" s="10"/>
      <c r="L45" s="10">
        <f t="shared" si="1"/>
        <v>35</v>
      </c>
    </row>
    <row r="46" spans="1:12" ht="15.75">
      <c r="A46" s="10">
        <f t="shared" si="0"/>
        <v>36</v>
      </c>
      <c r="B46" s="5" t="s">
        <v>141</v>
      </c>
      <c r="C46" s="4"/>
      <c r="D46" s="387">
        <f>I17</f>
        <v>4033587.9019999998</v>
      </c>
      <c r="E46" s="17">
        <f>ROUND(D46/D$49,5)</f>
        <v>0.43539</v>
      </c>
      <c r="F46" s="96"/>
      <c r="G46" s="412">
        <f>I27</f>
        <v>4.8099999999999997E-2</v>
      </c>
      <c r="H46" s="4"/>
      <c r="I46" s="17">
        <f>ROUND(E46*G46,4)</f>
        <v>2.0899999999999998E-2</v>
      </c>
      <c r="J46" s="10"/>
      <c r="K46" s="10" t="s">
        <v>221</v>
      </c>
      <c r="L46" s="10">
        <f t="shared" si="1"/>
        <v>36</v>
      </c>
    </row>
    <row r="47" spans="1:12" ht="15.75">
      <c r="A47" s="10">
        <f t="shared" si="0"/>
        <v>37</v>
      </c>
      <c r="B47" s="5" t="s">
        <v>142</v>
      </c>
      <c r="C47" s="4"/>
      <c r="D47" s="378">
        <f>I30</f>
        <v>0</v>
      </c>
      <c r="E47" s="17">
        <f>ROUND(D47/D$49,5)</f>
        <v>0</v>
      </c>
      <c r="F47" s="96"/>
      <c r="G47" s="412">
        <f>I32</f>
        <v>0</v>
      </c>
      <c r="H47" s="4"/>
      <c r="I47" s="17">
        <f>ROUND(E47*G47,4)</f>
        <v>0</v>
      </c>
      <c r="J47" s="10"/>
      <c r="K47" s="10" t="s">
        <v>389</v>
      </c>
      <c r="L47" s="10">
        <f t="shared" si="1"/>
        <v>37</v>
      </c>
    </row>
    <row r="48" spans="1:12" ht="15.75">
      <c r="A48" s="10">
        <f t="shared" si="0"/>
        <v>38</v>
      </c>
      <c r="B48" s="5" t="s">
        <v>143</v>
      </c>
      <c r="C48" s="4"/>
      <c r="D48" s="378">
        <f>I39</f>
        <v>5230663.88</v>
      </c>
      <c r="E48" s="781">
        <f>ROUND(D48/D$49,5)</f>
        <v>0.56460999999999995</v>
      </c>
      <c r="F48" s="96"/>
      <c r="G48" s="404">
        <f>I41</f>
        <v>0.10050000000000001</v>
      </c>
      <c r="H48" s="348"/>
      <c r="I48" s="781">
        <f>ROUND(E48*G48,4)</f>
        <v>5.67E-2</v>
      </c>
      <c r="J48" s="274"/>
      <c r="K48" s="10" t="s">
        <v>1152</v>
      </c>
      <c r="L48" s="10">
        <f t="shared" si="1"/>
        <v>38</v>
      </c>
    </row>
    <row r="49" spans="1:12" ht="16.5" thickBot="1">
      <c r="A49" s="10">
        <f t="shared" si="0"/>
        <v>39</v>
      </c>
      <c r="B49" s="5" t="s">
        <v>144</v>
      </c>
      <c r="C49" s="4"/>
      <c r="D49" s="80">
        <f>SUM(D46:D48)</f>
        <v>9264251.7819999997</v>
      </c>
      <c r="E49" s="437">
        <f>SUM(E46:E48)</f>
        <v>1</v>
      </c>
      <c r="F49" s="143"/>
      <c r="G49" s="4"/>
      <c r="H49" s="4"/>
      <c r="I49" s="437">
        <f>SUM(I46:I48)</f>
        <v>7.7600000000000002E-2</v>
      </c>
      <c r="J49" s="274"/>
      <c r="K49" s="10" t="s">
        <v>1144</v>
      </c>
      <c r="L49" s="10">
        <f t="shared" si="1"/>
        <v>39</v>
      </c>
    </row>
    <row r="50" spans="1:12" ht="16.5" thickTop="1">
      <c r="A50" s="10">
        <f t="shared" si="0"/>
        <v>40</v>
      </c>
      <c r="B50" s="5"/>
      <c r="C50" s="4"/>
      <c r="D50" s="4"/>
      <c r="E50" s="4"/>
      <c r="F50" s="4"/>
      <c r="G50" s="4"/>
      <c r="H50" s="4"/>
      <c r="I50" s="4"/>
      <c r="J50" s="10"/>
      <c r="K50" s="10"/>
      <c r="L50" s="10">
        <f t="shared" si="1"/>
        <v>40</v>
      </c>
    </row>
    <row r="51" spans="1:12" ht="16.5" thickBot="1">
      <c r="A51" s="10">
        <f t="shared" si="0"/>
        <v>41</v>
      </c>
      <c r="B51" s="90" t="s">
        <v>163</v>
      </c>
      <c r="C51" s="4"/>
      <c r="D51" s="4"/>
      <c r="E51" s="4"/>
      <c r="F51" s="4"/>
      <c r="G51" s="4"/>
      <c r="H51" s="4"/>
      <c r="I51" s="437">
        <f>I47+I48</f>
        <v>5.67E-2</v>
      </c>
      <c r="J51" s="274"/>
      <c r="K51" s="10" t="s">
        <v>1145</v>
      </c>
      <c r="L51" s="10">
        <f t="shared" si="1"/>
        <v>41</v>
      </c>
    </row>
    <row r="52" spans="1:12" ht="17.25" thickTop="1" thickBot="1">
      <c r="A52" s="182">
        <f>A51+1</f>
        <v>42</v>
      </c>
      <c r="B52" s="183"/>
      <c r="C52" s="177"/>
      <c r="D52" s="177"/>
      <c r="E52" s="177"/>
      <c r="F52" s="177"/>
      <c r="G52" s="177"/>
      <c r="H52" s="177"/>
      <c r="I52" s="177"/>
      <c r="J52" s="182"/>
      <c r="K52" s="182"/>
      <c r="L52" s="182">
        <f>L51+1</f>
        <v>42</v>
      </c>
    </row>
    <row r="53" spans="1:12" ht="15.75">
      <c r="A53" s="48">
        <f>A52+1</f>
        <v>43</v>
      </c>
      <c r="B53" s="368"/>
      <c r="C53" s="133"/>
      <c r="D53" s="133"/>
      <c r="E53" s="133"/>
      <c r="F53" s="133"/>
      <c r="G53" s="133"/>
      <c r="H53" s="133"/>
      <c r="I53" s="133"/>
      <c r="J53" s="48"/>
      <c r="K53" s="48"/>
      <c r="L53" s="48">
        <f>L52+1</f>
        <v>43</v>
      </c>
    </row>
    <row r="54" spans="1:12" ht="19.5" thickBot="1">
      <c r="A54" s="48">
        <f t="shared" ref="A54:A55" si="2">A53+1</f>
        <v>44</v>
      </c>
      <c r="B54" s="90" t="s">
        <v>773</v>
      </c>
      <c r="C54" s="4"/>
      <c r="D54" s="4"/>
      <c r="E54" s="4"/>
      <c r="F54" s="4"/>
      <c r="G54" s="4"/>
      <c r="H54" s="4"/>
      <c r="I54" s="780">
        <v>0</v>
      </c>
      <c r="J54" s="10"/>
      <c r="K54" s="19" t="s">
        <v>920</v>
      </c>
      <c r="L54" s="48">
        <f t="shared" ref="L54:L55" si="3">L53+1</f>
        <v>44</v>
      </c>
    </row>
    <row r="55" spans="1:12" ht="16.5" thickTop="1">
      <c r="A55" s="48">
        <f t="shared" si="2"/>
        <v>45</v>
      </c>
      <c r="B55" s="5"/>
      <c r="C55" s="4"/>
      <c r="D55" s="144" t="s">
        <v>165</v>
      </c>
      <c r="E55" s="144" t="s">
        <v>166</v>
      </c>
      <c r="F55" s="10"/>
      <c r="G55" s="144" t="s">
        <v>218</v>
      </c>
      <c r="H55" s="4"/>
      <c r="I55" s="144" t="s">
        <v>219</v>
      </c>
      <c r="J55" s="10"/>
      <c r="K55" s="10"/>
      <c r="L55" s="48">
        <f t="shared" si="3"/>
        <v>45</v>
      </c>
    </row>
    <row r="56" spans="1:12" ht="15.75">
      <c r="A56" s="10">
        <f t="shared" ref="A56:A64" si="4">A55+1</f>
        <v>46</v>
      </c>
      <c r="B56" s="5"/>
      <c r="C56" s="4"/>
      <c r="D56" s="4"/>
      <c r="E56" s="10" t="s">
        <v>217</v>
      </c>
      <c r="F56" s="10"/>
      <c r="G56" s="10" t="s">
        <v>370</v>
      </c>
      <c r="H56" s="4"/>
      <c r="I56" s="10" t="s">
        <v>68</v>
      </c>
      <c r="J56" s="10"/>
      <c r="K56" s="10"/>
      <c r="L56" s="10">
        <f t="shared" ref="L56:L64" si="5">L55+1</f>
        <v>46</v>
      </c>
    </row>
    <row r="57" spans="1:12" ht="18.75">
      <c r="A57" s="10">
        <f t="shared" si="4"/>
        <v>47</v>
      </c>
      <c r="B57" s="90" t="s">
        <v>124</v>
      </c>
      <c r="C57" s="4"/>
      <c r="D57" s="33" t="s">
        <v>635</v>
      </c>
      <c r="E57" s="33" t="s">
        <v>125</v>
      </c>
      <c r="F57" s="33"/>
      <c r="G57" s="33" t="s">
        <v>369</v>
      </c>
      <c r="H57" s="33"/>
      <c r="I57" s="33" t="s">
        <v>126</v>
      </c>
      <c r="J57" s="10"/>
      <c r="K57" s="10"/>
      <c r="L57" s="10">
        <f t="shared" si="5"/>
        <v>47</v>
      </c>
    </row>
    <row r="58" spans="1:12" ht="15.75">
      <c r="A58" s="10">
        <f t="shared" si="4"/>
        <v>48</v>
      </c>
      <c r="B58" s="5"/>
      <c r="C58" s="4"/>
      <c r="D58" s="4"/>
      <c r="E58" s="4"/>
      <c r="F58" s="4"/>
      <c r="G58" s="4"/>
      <c r="H58" s="4"/>
      <c r="I58" s="4"/>
      <c r="J58" s="10"/>
      <c r="K58" s="10"/>
      <c r="L58" s="10">
        <f t="shared" si="5"/>
        <v>48</v>
      </c>
    </row>
    <row r="59" spans="1:12" ht="15.75">
      <c r="A59" s="10">
        <f t="shared" si="4"/>
        <v>49</v>
      </c>
      <c r="B59" s="5" t="s">
        <v>141</v>
      </c>
      <c r="C59" s="4"/>
      <c r="D59" s="387">
        <f>I17</f>
        <v>4033587.9019999998</v>
      </c>
      <c r="E59" s="17">
        <f>ROUND(D59/D$49,5)</f>
        <v>0.43539</v>
      </c>
      <c r="F59" s="96"/>
      <c r="G59" s="412">
        <f>I27</f>
        <v>4.8099999999999997E-2</v>
      </c>
      <c r="H59" s="4"/>
      <c r="I59" s="17">
        <f>ROUND(E59*G59,4)</f>
        <v>2.0899999999999998E-2</v>
      </c>
      <c r="J59" s="10"/>
      <c r="K59" s="10" t="s">
        <v>221</v>
      </c>
      <c r="L59" s="10">
        <f t="shared" si="5"/>
        <v>49</v>
      </c>
    </row>
    <row r="60" spans="1:12" ht="15.75">
      <c r="A60" s="10">
        <f t="shared" si="4"/>
        <v>50</v>
      </c>
      <c r="B60" s="5" t="s">
        <v>142</v>
      </c>
      <c r="C60" s="4"/>
      <c r="D60" s="378">
        <f>I30</f>
        <v>0</v>
      </c>
      <c r="E60" s="17">
        <f>ROUND(D60/D$49,5)</f>
        <v>0</v>
      </c>
      <c r="F60" s="96"/>
      <c r="G60" s="412">
        <f>I32</f>
        <v>0</v>
      </c>
      <c r="H60" s="4"/>
      <c r="I60" s="17">
        <f>ROUND(E60*G60,4)</f>
        <v>0</v>
      </c>
      <c r="J60" s="10"/>
      <c r="K60" s="10" t="s">
        <v>389</v>
      </c>
      <c r="L60" s="10">
        <f t="shared" si="5"/>
        <v>50</v>
      </c>
    </row>
    <row r="61" spans="1:12" ht="15.75">
      <c r="A61" s="10">
        <f t="shared" si="4"/>
        <v>51</v>
      </c>
      <c r="B61" s="5" t="s">
        <v>143</v>
      </c>
      <c r="C61" s="4"/>
      <c r="D61" s="378">
        <f>I39</f>
        <v>5230663.88</v>
      </c>
      <c r="E61" s="781">
        <f>ROUND(D61/D$49,5)</f>
        <v>0.56460999999999995</v>
      </c>
      <c r="F61" s="96"/>
      <c r="G61" s="404">
        <f>I54</f>
        <v>0</v>
      </c>
      <c r="H61" s="97"/>
      <c r="I61" s="781">
        <f>ROUND(E61*G61,4)</f>
        <v>0</v>
      </c>
      <c r="J61" s="10"/>
      <c r="K61" s="10" t="s">
        <v>1153</v>
      </c>
      <c r="L61" s="10">
        <f t="shared" si="5"/>
        <v>51</v>
      </c>
    </row>
    <row r="62" spans="1:12" ht="16.5" thickBot="1">
      <c r="A62" s="10">
        <f t="shared" si="4"/>
        <v>52</v>
      </c>
      <c r="B62" s="5" t="s">
        <v>144</v>
      </c>
      <c r="C62" s="4"/>
      <c r="D62" s="80">
        <f>SUM(D59:D61)</f>
        <v>9264251.7819999997</v>
      </c>
      <c r="E62" s="437">
        <f>SUM(E59:E61)</f>
        <v>1</v>
      </c>
      <c r="F62" s="143"/>
      <c r="G62" s="4"/>
      <c r="H62" s="4"/>
      <c r="I62" s="437">
        <f>SUM(I59:I61)</f>
        <v>2.0899999999999998E-2</v>
      </c>
      <c r="J62" s="10"/>
      <c r="K62" s="10" t="s">
        <v>1146</v>
      </c>
      <c r="L62" s="10">
        <f t="shared" si="5"/>
        <v>52</v>
      </c>
    </row>
    <row r="63" spans="1:12" ht="16.5" thickTop="1">
      <c r="A63" s="10">
        <f t="shared" si="4"/>
        <v>53</v>
      </c>
      <c r="B63" s="5"/>
      <c r="C63" s="4"/>
      <c r="D63" s="4"/>
      <c r="E63" s="4"/>
      <c r="F63" s="4"/>
      <c r="G63" s="4"/>
      <c r="H63" s="4"/>
      <c r="I63" s="4"/>
      <c r="J63" s="10"/>
      <c r="K63" s="10"/>
      <c r="L63" s="10">
        <f t="shared" si="5"/>
        <v>53</v>
      </c>
    </row>
    <row r="64" spans="1:12" ht="16.5" thickBot="1">
      <c r="A64" s="10">
        <f t="shared" si="4"/>
        <v>54</v>
      </c>
      <c r="B64" s="90" t="s">
        <v>521</v>
      </c>
      <c r="C64" s="4"/>
      <c r="D64" s="4"/>
      <c r="E64" s="4"/>
      <c r="F64" s="4"/>
      <c r="G64" s="4"/>
      <c r="H64" s="4"/>
      <c r="I64" s="437">
        <f>I60+I61</f>
        <v>0</v>
      </c>
      <c r="J64" s="10"/>
      <c r="K64" s="10" t="s">
        <v>1147</v>
      </c>
      <c r="L64" s="10">
        <f t="shared" si="5"/>
        <v>54</v>
      </c>
    </row>
    <row r="65" spans="1:12" ht="16.5" thickTop="1">
      <c r="A65" s="10"/>
      <c r="B65" s="90"/>
      <c r="C65" s="4"/>
      <c r="D65" s="4"/>
      <c r="E65" s="4"/>
      <c r="F65" s="4"/>
      <c r="G65" s="4"/>
      <c r="H65" s="4"/>
      <c r="I65" s="680"/>
      <c r="J65" s="10"/>
      <c r="K65" s="10"/>
      <c r="L65" s="10"/>
    </row>
    <row r="66" spans="1:12" ht="15.75">
      <c r="A66" s="10"/>
      <c r="B66" s="90"/>
      <c r="C66" s="4"/>
      <c r="D66" s="4"/>
      <c r="E66" s="4"/>
      <c r="F66" s="4"/>
      <c r="G66" s="4"/>
      <c r="H66" s="4"/>
      <c r="I66" s="81"/>
      <c r="J66" s="10"/>
      <c r="K66" s="10"/>
      <c r="L66" s="10"/>
    </row>
    <row r="67" spans="1:12" ht="18.75">
      <c r="A67" s="237">
        <v>1</v>
      </c>
      <c r="B67" s="5" t="s">
        <v>634</v>
      </c>
      <c r="C67" s="4"/>
      <c r="D67" s="5"/>
      <c r="E67" s="5"/>
      <c r="F67" s="5"/>
      <c r="G67" s="5"/>
      <c r="H67" s="5"/>
      <c r="I67" s="1"/>
      <c r="J67" s="36"/>
      <c r="K67" s="4"/>
      <c r="L67" s="3" t="s">
        <v>39</v>
      </c>
    </row>
    <row r="68" spans="1:12" ht="18.75">
      <c r="A68" s="237">
        <v>2</v>
      </c>
      <c r="B68" s="5" t="s">
        <v>1148</v>
      </c>
      <c r="C68" s="4"/>
      <c r="D68" s="5"/>
      <c r="E68" s="5"/>
      <c r="F68" s="5"/>
      <c r="G68" s="5"/>
      <c r="H68" s="5"/>
      <c r="I68" s="1"/>
      <c r="J68" s="36"/>
      <c r="K68" s="4"/>
      <c r="L68" s="344"/>
    </row>
    <row r="69" spans="1:12" ht="18.75">
      <c r="A69" s="237"/>
      <c r="B69" s="5"/>
      <c r="C69" s="4"/>
      <c r="D69" s="5"/>
      <c r="E69" s="5"/>
      <c r="F69" s="5"/>
      <c r="G69" s="5"/>
      <c r="H69" s="5"/>
      <c r="I69" s="1"/>
      <c r="J69" s="36"/>
      <c r="K69" s="4"/>
      <c r="L69" s="344"/>
    </row>
    <row r="70" spans="1:12" ht="18.75">
      <c r="A70" s="237"/>
      <c r="B70" s="5"/>
      <c r="C70" s="4"/>
      <c r="D70" s="5"/>
      <c r="E70" s="5"/>
      <c r="F70" s="5"/>
      <c r="G70" s="5"/>
      <c r="H70" s="5"/>
      <c r="I70" s="1"/>
      <c r="J70" s="36"/>
      <c r="K70" s="4"/>
      <c r="L70" s="344"/>
    </row>
    <row r="71" spans="1:12" ht="15.75">
      <c r="A71" s="10"/>
      <c r="B71" s="1161" t="s">
        <v>42</v>
      </c>
      <c r="C71" s="1161"/>
      <c r="D71" s="1161"/>
      <c r="E71" s="1161"/>
      <c r="F71" s="1161"/>
      <c r="G71" s="1161"/>
      <c r="H71" s="1161"/>
      <c r="I71" s="1161"/>
      <c r="J71" s="1165"/>
      <c r="K71" s="1165"/>
      <c r="L71" s="10"/>
    </row>
    <row r="72" spans="1:12" ht="15.75">
      <c r="A72" s="10"/>
      <c r="B72" s="1161" t="s">
        <v>57</v>
      </c>
      <c r="C72" s="1161"/>
      <c r="D72" s="1161"/>
      <c r="E72" s="1161"/>
      <c r="F72" s="1161"/>
      <c r="G72" s="1161"/>
      <c r="H72" s="1161"/>
      <c r="I72" s="1161"/>
      <c r="J72" s="1165"/>
      <c r="K72" s="1165"/>
      <c r="L72" s="10"/>
    </row>
    <row r="73" spans="1:12" ht="15.75">
      <c r="A73" s="10"/>
      <c r="B73" s="1161" t="s">
        <v>58</v>
      </c>
      <c r="C73" s="1161"/>
      <c r="D73" s="1161"/>
      <c r="E73" s="1161"/>
      <c r="F73" s="1161"/>
      <c r="G73" s="1161"/>
      <c r="H73" s="1161"/>
      <c r="I73" s="1161"/>
      <c r="J73" s="1165"/>
      <c r="K73" s="1165"/>
      <c r="L73" s="10"/>
    </row>
    <row r="74" spans="1:12" ht="15.75">
      <c r="A74" s="10"/>
      <c r="B74" s="1157" t="str">
        <f>B5</f>
        <v>Base Period &amp; True-Up Period 12 - Months Ending December 31, 2015</v>
      </c>
      <c r="C74" s="1157"/>
      <c r="D74" s="1157"/>
      <c r="E74" s="1157"/>
      <c r="F74" s="1157"/>
      <c r="G74" s="1157"/>
      <c r="H74" s="1157"/>
      <c r="I74" s="1157"/>
      <c r="J74" s="1167"/>
      <c r="K74" s="1167"/>
      <c r="L74" s="10"/>
    </row>
    <row r="75" spans="1:12" s="441" customFormat="1" ht="15.75">
      <c r="A75" s="101"/>
      <c r="B75" s="1159" t="s">
        <v>72</v>
      </c>
      <c r="C75" s="1164"/>
      <c r="D75" s="1164"/>
      <c r="E75" s="1164"/>
      <c r="F75" s="1164"/>
      <c r="G75" s="1164"/>
      <c r="H75" s="1164"/>
      <c r="I75" s="1164"/>
      <c r="J75" s="1164"/>
      <c r="K75" s="1164"/>
      <c r="L75" s="101"/>
    </row>
    <row r="76" spans="1:12" ht="15.75">
      <c r="A76" s="10"/>
      <c r="B76" s="3"/>
      <c r="C76" s="3"/>
      <c r="D76" s="3"/>
      <c r="E76" s="3"/>
      <c r="F76" s="3"/>
      <c r="G76" s="3"/>
      <c r="H76" s="3"/>
      <c r="I76" s="3"/>
      <c r="J76" s="2"/>
      <c r="K76" s="10"/>
      <c r="L76" s="10"/>
    </row>
    <row r="77" spans="1:12" ht="15.75">
      <c r="A77" s="10" t="s">
        <v>62</v>
      </c>
      <c r="B77" s="2"/>
      <c r="C77" s="2"/>
      <c r="D77" s="2"/>
      <c r="E77" s="2"/>
      <c r="F77" s="2"/>
      <c r="G77" s="2"/>
      <c r="H77" s="2"/>
      <c r="I77" s="2"/>
      <c r="J77" s="2"/>
      <c r="K77" s="10"/>
      <c r="L77" s="10" t="s">
        <v>62</v>
      </c>
    </row>
    <row r="78" spans="1:12" ht="15.75">
      <c r="A78" s="33" t="s">
        <v>63</v>
      </c>
      <c r="B78" s="228"/>
      <c r="C78" s="228"/>
      <c r="D78" s="228"/>
      <c r="E78" s="228"/>
      <c r="F78" s="228"/>
      <c r="G78" s="228"/>
      <c r="H78" s="228"/>
      <c r="I78" s="33" t="s">
        <v>69</v>
      </c>
      <c r="J78" s="2"/>
      <c r="K78" s="33" t="s">
        <v>65</v>
      </c>
      <c r="L78" s="33" t="s">
        <v>63</v>
      </c>
    </row>
    <row r="79" spans="1:12" ht="15.75">
      <c r="A79" s="10"/>
      <c r="B79" s="5"/>
      <c r="C79" s="4"/>
      <c r="D79" s="4"/>
      <c r="E79" s="4"/>
      <c r="F79" s="4"/>
      <c r="G79" s="4"/>
      <c r="H79" s="4"/>
      <c r="I79" s="10"/>
      <c r="J79" s="10"/>
      <c r="K79" s="10"/>
      <c r="L79" s="10"/>
    </row>
    <row r="80" spans="1:12" ht="18.75">
      <c r="A80" s="10">
        <v>1</v>
      </c>
      <c r="B80" s="88" t="s">
        <v>319</v>
      </c>
      <c r="C80" s="4"/>
      <c r="D80" s="4"/>
      <c r="E80" s="4"/>
      <c r="F80" s="4"/>
      <c r="G80" s="229"/>
      <c r="H80" s="229"/>
      <c r="I80" s="36"/>
      <c r="J80" s="36"/>
      <c r="K80" s="10"/>
      <c r="L80" s="10">
        <v>1</v>
      </c>
    </row>
    <row r="81" spans="1:15" ht="15.75">
      <c r="A81" s="10">
        <f>A80+1</f>
        <v>2</v>
      </c>
      <c r="B81" s="76"/>
      <c r="C81" s="4"/>
      <c r="D81" s="4"/>
      <c r="E81" s="4"/>
      <c r="F81" s="4"/>
      <c r="G81" s="229"/>
      <c r="H81" s="229"/>
      <c r="I81" s="36"/>
      <c r="J81" s="36"/>
      <c r="K81" s="10"/>
      <c r="L81" s="10">
        <f>L80+1</f>
        <v>2</v>
      </c>
    </row>
    <row r="82" spans="1:15" ht="15.75">
      <c r="A82" s="10">
        <f>A81+1</f>
        <v>3</v>
      </c>
      <c r="B82" s="88" t="s">
        <v>0</v>
      </c>
      <c r="C82" s="4"/>
      <c r="D82" s="4"/>
      <c r="E82" s="4"/>
      <c r="F82" s="4"/>
      <c r="G82" s="229"/>
      <c r="H82" s="229"/>
      <c r="I82" s="36"/>
      <c r="J82" s="36"/>
      <c r="K82" s="10"/>
      <c r="L82" s="10">
        <f>L81+1</f>
        <v>3</v>
      </c>
    </row>
    <row r="83" spans="1:15" ht="15.75">
      <c r="A83" s="10">
        <f>A82+1</f>
        <v>4</v>
      </c>
      <c r="B83" s="229"/>
      <c r="C83" s="229"/>
      <c r="D83" s="229"/>
      <c r="E83" s="229"/>
      <c r="F83" s="229"/>
      <c r="G83" s="229"/>
      <c r="H83" s="229"/>
      <c r="I83" s="36"/>
      <c r="J83" s="36"/>
      <c r="K83" s="10"/>
      <c r="L83" s="10">
        <f>L82+1</f>
        <v>4</v>
      </c>
    </row>
    <row r="84" spans="1:15" ht="15.75">
      <c r="A84" s="10">
        <f t="shared" ref="A84:A110" si="6">A83+1</f>
        <v>5</v>
      </c>
      <c r="B84" s="7" t="s">
        <v>85</v>
      </c>
      <c r="C84" s="229"/>
      <c r="D84" s="229"/>
      <c r="E84" s="229"/>
      <c r="F84" s="229"/>
      <c r="G84" s="229"/>
      <c r="H84" s="229"/>
      <c r="I84" s="36"/>
      <c r="J84" s="36"/>
      <c r="K84" s="54"/>
      <c r="L84" s="10">
        <f t="shared" ref="L84:L110" si="7">L83+1</f>
        <v>5</v>
      </c>
    </row>
    <row r="85" spans="1:15" ht="15.75">
      <c r="A85" s="10">
        <f t="shared" si="6"/>
        <v>6</v>
      </c>
      <c r="B85" s="4" t="s">
        <v>91</v>
      </c>
      <c r="C85" s="4"/>
      <c r="D85" s="4"/>
      <c r="E85" s="229"/>
      <c r="F85" s="229"/>
      <c r="G85" s="229"/>
      <c r="H85" s="229"/>
      <c r="I85" s="405">
        <f>I51</f>
        <v>5.67E-2</v>
      </c>
      <c r="J85" s="274"/>
      <c r="K85" s="3" t="s">
        <v>1154</v>
      </c>
      <c r="L85" s="10">
        <f t="shared" si="7"/>
        <v>6</v>
      </c>
      <c r="N85" s="3"/>
    </row>
    <row r="86" spans="1:15" ht="15.75">
      <c r="A86" s="10">
        <f t="shared" si="6"/>
        <v>7</v>
      </c>
      <c r="B86" s="4" t="s">
        <v>222</v>
      </c>
      <c r="C86" s="4"/>
      <c r="D86" s="4"/>
      <c r="E86" s="229"/>
      <c r="F86" s="229"/>
      <c r="G86" s="229"/>
      <c r="H86" s="229"/>
      <c r="I86" s="139">
        <f>-'Cost Statements'!H398</f>
        <v>265</v>
      </c>
      <c r="J86" s="36"/>
      <c r="K86" s="276" t="s">
        <v>1241</v>
      </c>
      <c r="L86" s="10">
        <f t="shared" si="7"/>
        <v>7</v>
      </c>
      <c r="N86" s="3"/>
    </row>
    <row r="87" spans="1:15" ht="15.75">
      <c r="A87" s="10">
        <f t="shared" si="6"/>
        <v>8</v>
      </c>
      <c r="B87" s="4" t="s">
        <v>92</v>
      </c>
      <c r="C87" s="4"/>
      <c r="D87" s="4"/>
      <c r="E87" s="229"/>
      <c r="F87" s="229"/>
      <c r="G87" s="229"/>
      <c r="H87" s="229"/>
      <c r="I87" s="459">
        <v>4565.8044923291418</v>
      </c>
      <c r="J87" s="994"/>
      <c r="K87" s="19" t="s">
        <v>921</v>
      </c>
      <c r="L87" s="10">
        <f t="shared" si="7"/>
        <v>8</v>
      </c>
      <c r="N87" s="2"/>
    </row>
    <row r="88" spans="1:15" ht="15.75">
      <c r="A88" s="10">
        <f t="shared" si="6"/>
        <v>9</v>
      </c>
      <c r="B88" s="4" t="s">
        <v>86</v>
      </c>
      <c r="C88" s="4"/>
      <c r="D88" s="4"/>
      <c r="E88" s="229"/>
      <c r="F88" s="229"/>
      <c r="G88" s="229"/>
      <c r="H88" s="229"/>
      <c r="I88" s="370">
        <f>'BK-1-Retail TRR'!G115</f>
        <v>3206999.6043226914</v>
      </c>
      <c r="J88" s="994"/>
      <c r="K88" s="340" t="s">
        <v>371</v>
      </c>
      <c r="L88" s="10">
        <f t="shared" si="7"/>
        <v>9</v>
      </c>
      <c r="N88" s="3"/>
    </row>
    <row r="89" spans="1:15" ht="15.75">
      <c r="A89" s="10">
        <f t="shared" si="6"/>
        <v>10</v>
      </c>
      <c r="B89" s="4" t="s">
        <v>877</v>
      </c>
      <c r="C89" s="4"/>
      <c r="D89" s="4"/>
      <c r="E89" s="96"/>
      <c r="F89" s="229"/>
      <c r="G89" s="229"/>
      <c r="H89" s="229"/>
      <c r="I89" s="461">
        <v>0.35</v>
      </c>
      <c r="J89" s="36"/>
      <c r="K89" s="3" t="s">
        <v>6</v>
      </c>
      <c r="L89" s="10">
        <f t="shared" si="7"/>
        <v>10</v>
      </c>
      <c r="N89" s="349"/>
      <c r="O89" s="350"/>
    </row>
    <row r="90" spans="1:15" ht="15.75">
      <c r="A90" s="10">
        <f t="shared" si="6"/>
        <v>11</v>
      </c>
      <c r="B90" s="5"/>
      <c r="C90" s="4"/>
      <c r="D90" s="4"/>
      <c r="E90" s="4"/>
      <c r="F90" s="4"/>
      <c r="G90" s="4"/>
      <c r="H90" s="4"/>
      <c r="I90" s="10"/>
      <c r="J90" s="10"/>
      <c r="K90" s="4"/>
      <c r="L90" s="10">
        <f t="shared" si="7"/>
        <v>11</v>
      </c>
      <c r="N90" s="4"/>
    </row>
    <row r="91" spans="1:15" ht="15.75">
      <c r="A91" s="10">
        <f t="shared" si="6"/>
        <v>12</v>
      </c>
      <c r="B91" s="4" t="s">
        <v>462</v>
      </c>
      <c r="C91" s="4"/>
      <c r="D91" s="4"/>
      <c r="E91" s="229"/>
      <c r="F91" s="229"/>
      <c r="G91" s="229"/>
      <c r="H91" s="229"/>
      <c r="I91" s="99">
        <f>(((I85)+(I87/I88))*I89-(I86/I88))/(1-I89)</f>
        <v>3.1170251007068037E-2</v>
      </c>
      <c r="J91" s="994"/>
      <c r="K91" s="276" t="s">
        <v>334</v>
      </c>
      <c r="L91" s="10">
        <f t="shared" si="7"/>
        <v>12</v>
      </c>
      <c r="N91" s="351"/>
      <c r="O91" s="352"/>
    </row>
    <row r="92" spans="1:15" ht="15.75">
      <c r="A92" s="10">
        <f t="shared" si="6"/>
        <v>13</v>
      </c>
      <c r="B92" s="5"/>
      <c r="C92" s="98" t="s">
        <v>383</v>
      </c>
      <c r="D92" s="4"/>
      <c r="E92" s="4"/>
      <c r="F92" s="4"/>
      <c r="G92" s="4"/>
      <c r="H92" s="4"/>
      <c r="I92" s="10"/>
      <c r="J92" s="10"/>
      <c r="K92" s="4"/>
      <c r="L92" s="10">
        <f t="shared" si="7"/>
        <v>13</v>
      </c>
      <c r="N92" s="4"/>
    </row>
    <row r="93" spans="1:15" ht="15.75">
      <c r="A93" s="10">
        <f t="shared" si="6"/>
        <v>14</v>
      </c>
      <c r="B93" s="5"/>
      <c r="C93" s="4"/>
      <c r="D93" s="4"/>
      <c r="E93" s="4"/>
      <c r="F93" s="4"/>
      <c r="G93" s="4"/>
      <c r="H93" s="4"/>
      <c r="I93" s="10"/>
      <c r="J93" s="10"/>
      <c r="K93" s="4"/>
      <c r="L93" s="10">
        <f t="shared" si="7"/>
        <v>14</v>
      </c>
      <c r="N93" s="4"/>
    </row>
    <row r="94" spans="1:15" ht="15.75">
      <c r="A94" s="10">
        <f t="shared" si="6"/>
        <v>15</v>
      </c>
      <c r="B94" s="88" t="s">
        <v>177</v>
      </c>
      <c r="C94" s="229"/>
      <c r="D94" s="229"/>
      <c r="E94" s="229"/>
      <c r="F94" s="229"/>
      <c r="G94" s="229"/>
      <c r="H94" s="229"/>
      <c r="I94" s="54"/>
      <c r="J94" s="36"/>
      <c r="K94" s="152"/>
      <c r="L94" s="10">
        <f t="shared" si="7"/>
        <v>15</v>
      </c>
      <c r="N94" s="152"/>
    </row>
    <row r="95" spans="1:15" ht="15.75">
      <c r="A95" s="10">
        <f t="shared" si="6"/>
        <v>16</v>
      </c>
      <c r="B95" s="6"/>
      <c r="C95" s="229"/>
      <c r="D95" s="229"/>
      <c r="E95" s="229"/>
      <c r="F95" s="229"/>
      <c r="G95" s="229"/>
      <c r="H95" s="229"/>
      <c r="I95" s="54"/>
      <c r="J95" s="36"/>
      <c r="K95" s="2"/>
      <c r="L95" s="10">
        <f t="shared" si="7"/>
        <v>16</v>
      </c>
      <c r="N95" s="2"/>
    </row>
    <row r="96" spans="1:15" ht="15.75">
      <c r="A96" s="10">
        <f t="shared" si="6"/>
        <v>17</v>
      </c>
      <c r="B96" s="7" t="s">
        <v>85</v>
      </c>
      <c r="C96" s="229"/>
      <c r="D96" s="229"/>
      <c r="E96" s="229"/>
      <c r="F96" s="229"/>
      <c r="G96" s="229"/>
      <c r="H96" s="229"/>
      <c r="I96" s="54"/>
      <c r="J96" s="36"/>
      <c r="K96" s="2"/>
      <c r="L96" s="10">
        <f t="shared" si="7"/>
        <v>17</v>
      </c>
      <c r="N96" s="2"/>
    </row>
    <row r="97" spans="1:15" ht="15.75">
      <c r="A97" s="10">
        <f t="shared" si="6"/>
        <v>18</v>
      </c>
      <c r="B97" s="4" t="s">
        <v>91</v>
      </c>
      <c r="C97" s="4"/>
      <c r="D97" s="4"/>
      <c r="E97" s="229"/>
      <c r="F97" s="229"/>
      <c r="G97" s="229"/>
      <c r="H97" s="229"/>
      <c r="I97" s="405">
        <f>I51</f>
        <v>5.67E-2</v>
      </c>
      <c r="J97" s="274"/>
      <c r="K97" s="3" t="s">
        <v>1154</v>
      </c>
      <c r="L97" s="10">
        <f t="shared" si="7"/>
        <v>18</v>
      </c>
      <c r="N97" s="3"/>
    </row>
    <row r="98" spans="1:15" ht="15.75">
      <c r="A98" s="10">
        <f t="shared" si="6"/>
        <v>19</v>
      </c>
      <c r="B98" s="4" t="s">
        <v>459</v>
      </c>
      <c r="C98" s="4"/>
      <c r="D98" s="4"/>
      <c r="E98" s="229"/>
      <c r="F98" s="229"/>
      <c r="G98" s="229"/>
      <c r="H98" s="229"/>
      <c r="I98" s="406">
        <f>I87</f>
        <v>4565.8044923291418</v>
      </c>
      <c r="J98" s="994"/>
      <c r="K98" s="3" t="s">
        <v>381</v>
      </c>
      <c r="L98" s="10">
        <f t="shared" si="7"/>
        <v>19</v>
      </c>
      <c r="N98" s="3"/>
    </row>
    <row r="99" spans="1:15" ht="15.75">
      <c r="A99" s="10">
        <f t="shared" si="6"/>
        <v>20</v>
      </c>
      <c r="B99" s="4" t="s">
        <v>460</v>
      </c>
      <c r="C99" s="4"/>
      <c r="D99" s="4"/>
      <c r="E99" s="229"/>
      <c r="F99" s="229"/>
      <c r="G99" s="229"/>
      <c r="H99" s="229"/>
      <c r="I99" s="370">
        <f>'BK-1-Retail TRR'!G115</f>
        <v>3206999.6043226914</v>
      </c>
      <c r="K99" s="340" t="s">
        <v>371</v>
      </c>
      <c r="L99" s="10">
        <f t="shared" si="7"/>
        <v>20</v>
      </c>
      <c r="N99" s="3"/>
    </row>
    <row r="100" spans="1:15" ht="15.75">
      <c r="A100" s="10">
        <f t="shared" si="6"/>
        <v>21</v>
      </c>
      <c r="B100" s="4" t="s">
        <v>395</v>
      </c>
      <c r="C100" s="4"/>
      <c r="D100" s="4"/>
      <c r="E100" s="229"/>
      <c r="F100" s="229"/>
      <c r="G100" s="229"/>
      <c r="H100" s="229"/>
      <c r="I100" s="407">
        <f>I91</f>
        <v>3.1170251007068037E-2</v>
      </c>
      <c r="J100" s="994"/>
      <c r="K100" s="3" t="s">
        <v>333</v>
      </c>
      <c r="L100" s="10">
        <f t="shared" si="7"/>
        <v>21</v>
      </c>
      <c r="N100" s="3"/>
    </row>
    <row r="101" spans="1:15" ht="15.75">
      <c r="A101" s="10">
        <f t="shared" si="6"/>
        <v>22</v>
      </c>
      <c r="B101" s="4" t="s">
        <v>879</v>
      </c>
      <c r="C101" s="4"/>
      <c r="D101" s="4"/>
      <c r="E101" s="229"/>
      <c r="F101" s="229"/>
      <c r="G101" s="229"/>
      <c r="H101" s="229"/>
      <c r="I101" s="460">
        <v>8.8400000000000006E-2</v>
      </c>
      <c r="J101" s="36"/>
      <c r="K101" s="3" t="s">
        <v>5</v>
      </c>
      <c r="L101" s="10">
        <f t="shared" si="7"/>
        <v>22</v>
      </c>
      <c r="N101" s="2"/>
    </row>
    <row r="102" spans="1:15" ht="15.75">
      <c r="A102" s="10">
        <f t="shared" si="6"/>
        <v>23</v>
      </c>
      <c r="B102" s="50"/>
      <c r="C102" s="4"/>
      <c r="D102" s="4"/>
      <c r="E102" s="229"/>
      <c r="F102" s="229"/>
      <c r="G102" s="229"/>
      <c r="H102" s="229"/>
      <c r="I102" s="57"/>
      <c r="J102" s="36"/>
      <c r="K102" s="2"/>
      <c r="L102" s="10">
        <f t="shared" si="7"/>
        <v>23</v>
      </c>
      <c r="N102" s="2"/>
    </row>
    <row r="103" spans="1:15" ht="15.75">
      <c r="A103" s="10">
        <f t="shared" si="6"/>
        <v>24</v>
      </c>
      <c r="B103" s="4" t="s">
        <v>461</v>
      </c>
      <c r="C103" s="4"/>
      <c r="D103" s="4"/>
      <c r="E103" s="344"/>
      <c r="F103" s="229"/>
      <c r="G103" s="229"/>
      <c r="H103" s="229"/>
      <c r="I103" s="99">
        <f>((I97)+(I98/I99)+I91)*I101/(1-I101)</f>
        <v>8.6590448066593811E-3</v>
      </c>
      <c r="J103" s="994"/>
      <c r="K103" s="276" t="s">
        <v>335</v>
      </c>
      <c r="L103" s="10">
        <f t="shared" si="7"/>
        <v>24</v>
      </c>
      <c r="N103" s="351"/>
      <c r="O103" s="352"/>
    </row>
    <row r="104" spans="1:15" ht="15.75">
      <c r="A104" s="10">
        <f t="shared" si="6"/>
        <v>25</v>
      </c>
      <c r="B104" s="5"/>
      <c r="C104" s="98" t="s">
        <v>384</v>
      </c>
      <c r="D104" s="4"/>
      <c r="E104" s="4"/>
      <c r="F104" s="4"/>
      <c r="G104" s="4"/>
      <c r="H104" s="4"/>
      <c r="I104" s="10"/>
      <c r="J104" s="10"/>
      <c r="K104" s="10"/>
      <c r="L104" s="10">
        <f t="shared" si="7"/>
        <v>25</v>
      </c>
      <c r="N104" s="10"/>
    </row>
    <row r="105" spans="1:15" ht="15.75">
      <c r="A105" s="10">
        <f t="shared" si="6"/>
        <v>26</v>
      </c>
      <c r="B105" s="5"/>
      <c r="C105" s="4"/>
      <c r="D105" s="4"/>
      <c r="E105" s="4"/>
      <c r="F105" s="4"/>
      <c r="G105" s="4"/>
      <c r="H105" s="4"/>
      <c r="I105" s="10"/>
      <c r="J105" s="10"/>
      <c r="K105" s="10"/>
      <c r="L105" s="10">
        <f t="shared" si="7"/>
        <v>26</v>
      </c>
      <c r="N105" s="10"/>
    </row>
    <row r="106" spans="1:15" ht="15.75">
      <c r="A106" s="10">
        <f t="shared" si="6"/>
        <v>27</v>
      </c>
      <c r="B106" s="88" t="s">
        <v>178</v>
      </c>
      <c r="C106" s="4"/>
      <c r="D106" s="4"/>
      <c r="E106" s="4"/>
      <c r="F106" s="4"/>
      <c r="G106" s="4"/>
      <c r="H106" s="4"/>
      <c r="I106" s="99">
        <f>I103+I91</f>
        <v>3.9829295813727419E-2</v>
      </c>
      <c r="J106" s="994"/>
      <c r="K106" s="10" t="s">
        <v>463</v>
      </c>
      <c r="L106" s="10">
        <f t="shared" si="7"/>
        <v>27</v>
      </c>
      <c r="N106" s="10"/>
    </row>
    <row r="107" spans="1:15" ht="15.75">
      <c r="A107" s="10">
        <f t="shared" si="6"/>
        <v>28</v>
      </c>
      <c r="B107" s="5"/>
      <c r="C107" s="4"/>
      <c r="D107" s="4"/>
      <c r="E107" s="4"/>
      <c r="F107" s="4"/>
      <c r="G107" s="4"/>
      <c r="H107" s="4"/>
      <c r="I107" s="10"/>
      <c r="J107" s="10"/>
      <c r="K107" s="10"/>
      <c r="L107" s="10">
        <f t="shared" si="7"/>
        <v>28</v>
      </c>
      <c r="N107" s="10"/>
    </row>
    <row r="108" spans="1:15" ht="15.75">
      <c r="A108" s="10">
        <f t="shared" si="6"/>
        <v>29</v>
      </c>
      <c r="B108" s="88" t="s">
        <v>527</v>
      </c>
      <c r="C108" s="4"/>
      <c r="D108" s="4"/>
      <c r="E108" s="4"/>
      <c r="F108" s="4"/>
      <c r="G108" s="4"/>
      <c r="H108" s="4"/>
      <c r="I108" s="683">
        <f>I49</f>
        <v>7.7600000000000002E-2</v>
      </c>
      <c r="J108" s="274"/>
      <c r="K108" s="3" t="s">
        <v>1155</v>
      </c>
      <c r="L108" s="10">
        <f t="shared" si="7"/>
        <v>29</v>
      </c>
      <c r="N108" s="3"/>
    </row>
    <row r="109" spans="1:15" ht="15.75">
      <c r="A109" s="10">
        <f t="shared" si="6"/>
        <v>30</v>
      </c>
      <c r="B109" s="5"/>
      <c r="C109" s="4"/>
      <c r="D109" s="4"/>
      <c r="E109" s="4"/>
      <c r="F109" s="4"/>
      <c r="G109" s="4"/>
      <c r="H109" s="4"/>
      <c r="I109" s="440"/>
      <c r="J109" s="10"/>
      <c r="K109" s="10"/>
      <c r="L109" s="10">
        <f t="shared" si="7"/>
        <v>30</v>
      </c>
      <c r="N109" s="10"/>
    </row>
    <row r="110" spans="1:15" ht="19.5" thickBot="1">
      <c r="A110" s="10">
        <f t="shared" si="6"/>
        <v>31</v>
      </c>
      <c r="B110" s="88" t="s">
        <v>365</v>
      </c>
      <c r="C110" s="4"/>
      <c r="D110" s="4"/>
      <c r="E110" s="4"/>
      <c r="F110" s="4"/>
      <c r="G110" s="4"/>
      <c r="H110" s="4"/>
      <c r="I110" s="1036">
        <f>I106+I108</f>
        <v>0.11742929581372742</v>
      </c>
      <c r="J110" s="994"/>
      <c r="K110" s="10" t="s">
        <v>464</v>
      </c>
      <c r="L110" s="10">
        <f t="shared" si="7"/>
        <v>31</v>
      </c>
      <c r="N110" s="353"/>
      <c r="O110" s="352"/>
    </row>
    <row r="111" spans="1:15" ht="16.5" thickTop="1">
      <c r="A111" s="10"/>
      <c r="B111" s="88"/>
      <c r="C111" s="4"/>
      <c r="D111" s="4"/>
      <c r="E111" s="4"/>
      <c r="F111" s="4"/>
      <c r="G111" s="4"/>
      <c r="H111" s="4"/>
      <c r="I111" s="363"/>
      <c r="J111" s="274"/>
      <c r="K111" s="10"/>
      <c r="L111" s="10"/>
      <c r="N111" s="353"/>
      <c r="O111" s="352"/>
    </row>
    <row r="112" spans="1:15" ht="15.75">
      <c r="A112" s="274"/>
      <c r="B112" s="50"/>
      <c r="C112" s="52"/>
      <c r="D112" s="52"/>
      <c r="E112" s="52"/>
      <c r="F112" s="52"/>
      <c r="G112" s="52"/>
      <c r="H112" s="52"/>
      <c r="I112" s="53"/>
      <c r="J112" s="53"/>
      <c r="K112" s="51"/>
      <c r="L112" s="10"/>
    </row>
    <row r="113" spans="1:12" ht="15.75">
      <c r="A113" s="10"/>
      <c r="B113" s="1161" t="s">
        <v>42</v>
      </c>
      <c r="C113" s="1161"/>
      <c r="D113" s="1161"/>
      <c r="E113" s="1161"/>
      <c r="F113" s="1161"/>
      <c r="G113" s="1161"/>
      <c r="H113" s="1161"/>
      <c r="I113" s="1161"/>
      <c r="J113" s="1165"/>
      <c r="K113" s="1165"/>
      <c r="L113" s="10"/>
    </row>
    <row r="114" spans="1:12" ht="15.75">
      <c r="A114" s="10"/>
      <c r="B114" s="1161" t="s">
        <v>57</v>
      </c>
      <c r="C114" s="1161"/>
      <c r="D114" s="1161"/>
      <c r="E114" s="1161"/>
      <c r="F114" s="1161"/>
      <c r="G114" s="1161"/>
      <c r="H114" s="1161"/>
      <c r="I114" s="1161"/>
      <c r="J114" s="1165"/>
      <c r="K114" s="1165"/>
      <c r="L114" s="10"/>
    </row>
    <row r="115" spans="1:12" ht="15.75">
      <c r="A115" s="10"/>
      <c r="B115" s="1161" t="s">
        <v>58</v>
      </c>
      <c r="C115" s="1161"/>
      <c r="D115" s="1161"/>
      <c r="E115" s="1161"/>
      <c r="F115" s="1161"/>
      <c r="G115" s="1161"/>
      <c r="H115" s="1161"/>
      <c r="I115" s="1161"/>
      <c r="J115" s="1165"/>
      <c r="K115" s="1165"/>
      <c r="L115" s="10"/>
    </row>
    <row r="116" spans="1:12" ht="15.75">
      <c r="A116" s="10"/>
      <c r="B116" s="1157" t="str">
        <f>B74</f>
        <v>Base Period &amp; True-Up Period 12 - Months Ending December 31, 2015</v>
      </c>
      <c r="C116" s="1157"/>
      <c r="D116" s="1157"/>
      <c r="E116" s="1157"/>
      <c r="F116" s="1157"/>
      <c r="G116" s="1157"/>
      <c r="H116" s="1157"/>
      <c r="I116" s="1157"/>
      <c r="J116" s="1167"/>
      <c r="K116" s="1167"/>
      <c r="L116" s="10"/>
    </row>
    <row r="117" spans="1:12" ht="15.75">
      <c r="A117" s="10"/>
      <c r="B117" s="1159" t="s">
        <v>72</v>
      </c>
      <c r="C117" s="1164"/>
      <c r="D117" s="1164"/>
      <c r="E117" s="1164"/>
      <c r="F117" s="1164"/>
      <c r="G117" s="1164"/>
      <c r="H117" s="1164"/>
      <c r="I117" s="1164"/>
      <c r="J117" s="1164"/>
      <c r="K117" s="1164"/>
      <c r="L117" s="10"/>
    </row>
    <row r="118" spans="1:12" ht="15.75">
      <c r="A118" s="10"/>
      <c r="B118" s="228"/>
      <c r="C118" s="228"/>
      <c r="D118" s="228"/>
      <c r="E118" s="228"/>
      <c r="F118" s="228"/>
      <c r="G118" s="228"/>
      <c r="H118" s="228"/>
      <c r="I118" s="2"/>
      <c r="J118" s="2"/>
      <c r="K118" s="10"/>
      <c r="L118" s="10"/>
    </row>
    <row r="119" spans="1:12" ht="15.75">
      <c r="A119" s="10" t="s">
        <v>62</v>
      </c>
      <c r="B119" s="229"/>
      <c r="C119" s="229"/>
      <c r="D119" s="229"/>
      <c r="E119" s="229"/>
      <c r="F119" s="229"/>
      <c r="G119" s="229"/>
      <c r="H119" s="229"/>
      <c r="I119" s="2"/>
      <c r="J119" s="2"/>
      <c r="K119" s="10"/>
      <c r="L119" s="10" t="s">
        <v>62</v>
      </c>
    </row>
    <row r="120" spans="1:12" ht="15.75">
      <c r="A120" s="33" t="s">
        <v>63</v>
      </c>
      <c r="B120" s="228"/>
      <c r="C120" s="228"/>
      <c r="D120" s="228"/>
      <c r="E120" s="228"/>
      <c r="F120" s="228"/>
      <c r="G120" s="228"/>
      <c r="H120" s="228"/>
      <c r="I120" s="33" t="s">
        <v>69</v>
      </c>
      <c r="J120" s="2"/>
      <c r="K120" s="33" t="s">
        <v>65</v>
      </c>
      <c r="L120" s="33" t="s">
        <v>63</v>
      </c>
    </row>
    <row r="121" spans="1:12" ht="15.75">
      <c r="A121" s="10"/>
      <c r="B121" s="5"/>
      <c r="C121" s="4"/>
      <c r="D121" s="4"/>
      <c r="E121" s="4"/>
      <c r="F121" s="4"/>
      <c r="G121" s="4"/>
      <c r="H121" s="4"/>
      <c r="I121" s="10"/>
      <c r="J121" s="10"/>
      <c r="K121" s="10"/>
      <c r="L121" s="10"/>
    </row>
    <row r="122" spans="1:12" ht="20.25">
      <c r="A122" s="10">
        <v>1</v>
      </c>
      <c r="B122" s="88" t="s">
        <v>774</v>
      </c>
      <c r="C122" s="4"/>
      <c r="D122" s="4"/>
      <c r="E122" s="4"/>
      <c r="F122" s="4"/>
      <c r="G122" s="229"/>
      <c r="H122" s="229"/>
      <c r="I122" s="36"/>
      <c r="J122" s="36"/>
      <c r="K122" s="10"/>
      <c r="L122" s="10">
        <v>1</v>
      </c>
    </row>
    <row r="123" spans="1:12" ht="15.75">
      <c r="A123" s="10">
        <f>A122+1</f>
        <v>2</v>
      </c>
      <c r="B123" s="76"/>
      <c r="C123" s="4"/>
      <c r="D123" s="4"/>
      <c r="E123" s="4"/>
      <c r="F123" s="4"/>
      <c r="G123" s="229"/>
      <c r="H123" s="229"/>
      <c r="I123" s="36"/>
      <c r="J123" s="36"/>
      <c r="K123" s="10"/>
      <c r="L123" s="10">
        <f>L122+1</f>
        <v>2</v>
      </c>
    </row>
    <row r="124" spans="1:12" ht="15.75">
      <c r="A124" s="10">
        <f>A123+1</f>
        <v>3</v>
      </c>
      <c r="B124" s="88" t="s">
        <v>0</v>
      </c>
      <c r="C124" s="4"/>
      <c r="D124" s="4"/>
      <c r="E124" s="4"/>
      <c r="F124" s="4"/>
      <c r="G124" s="229"/>
      <c r="H124" s="229"/>
      <c r="I124" s="36"/>
      <c r="J124" s="36"/>
      <c r="K124" s="10"/>
      <c r="L124" s="10">
        <f>L123+1</f>
        <v>3</v>
      </c>
    </row>
    <row r="125" spans="1:12" ht="15.75">
      <c r="A125" s="10">
        <f>A124+1</f>
        <v>4</v>
      </c>
      <c r="B125" s="229"/>
      <c r="C125" s="229"/>
      <c r="D125" s="229"/>
      <c r="E125" s="229"/>
      <c r="F125" s="229"/>
      <c r="G125" s="229"/>
      <c r="H125" s="229"/>
      <c r="I125" s="36"/>
      <c r="J125" s="36"/>
      <c r="K125" s="10"/>
      <c r="L125" s="10">
        <f>L124+1</f>
        <v>4</v>
      </c>
    </row>
    <row r="126" spans="1:12" ht="15.75">
      <c r="A126" s="10">
        <f t="shared" ref="A126:A152" si="8">A125+1</f>
        <v>5</v>
      </c>
      <c r="B126" s="7" t="s">
        <v>85</v>
      </c>
      <c r="C126" s="229"/>
      <c r="D126" s="229"/>
      <c r="E126" s="229"/>
      <c r="F126" s="229"/>
      <c r="G126" s="229"/>
      <c r="H126" s="229"/>
      <c r="I126" s="36"/>
      <c r="J126" s="36"/>
      <c r="K126" s="54"/>
      <c r="L126" s="10">
        <f t="shared" ref="L126:L152" si="9">L125+1</f>
        <v>5</v>
      </c>
    </row>
    <row r="127" spans="1:12" ht="15.75">
      <c r="A127" s="10">
        <f t="shared" si="8"/>
        <v>6</v>
      </c>
      <c r="B127" s="4" t="s">
        <v>91</v>
      </c>
      <c r="C127" s="4"/>
      <c r="D127" s="4"/>
      <c r="E127" s="229"/>
      <c r="F127" s="229"/>
      <c r="G127" s="229"/>
      <c r="H127" s="229"/>
      <c r="I127" s="405">
        <f>I64</f>
        <v>0</v>
      </c>
      <c r="J127" s="36"/>
      <c r="K127" s="3" t="s">
        <v>1156</v>
      </c>
      <c r="L127" s="10">
        <f t="shared" si="9"/>
        <v>6</v>
      </c>
    </row>
    <row r="128" spans="1:12" ht="15.75">
      <c r="A128" s="10">
        <f t="shared" si="8"/>
        <v>7</v>
      </c>
      <c r="B128" s="4" t="s">
        <v>222</v>
      </c>
      <c r="C128" s="4"/>
      <c r="D128" s="4"/>
      <c r="E128" s="229"/>
      <c r="F128" s="229"/>
      <c r="G128" s="229"/>
      <c r="H128" s="229"/>
      <c r="I128" s="685">
        <v>0</v>
      </c>
      <c r="J128" s="36"/>
      <c r="K128" s="276" t="s">
        <v>790</v>
      </c>
      <c r="L128" s="10">
        <f t="shared" si="9"/>
        <v>7</v>
      </c>
    </row>
    <row r="129" spans="1:12" ht="15.75">
      <c r="A129" s="10">
        <f t="shared" si="8"/>
        <v>8</v>
      </c>
      <c r="B129" s="4" t="s">
        <v>92</v>
      </c>
      <c r="C129" s="4"/>
      <c r="D129" s="4"/>
      <c r="E129" s="229"/>
      <c r="F129" s="229"/>
      <c r="G129" s="229"/>
      <c r="H129" s="229"/>
      <c r="I129" s="459">
        <v>0</v>
      </c>
      <c r="J129" s="36"/>
      <c r="K129" s="19" t="s">
        <v>922</v>
      </c>
      <c r="L129" s="10">
        <f t="shared" si="9"/>
        <v>8</v>
      </c>
    </row>
    <row r="130" spans="1:12" ht="15.75">
      <c r="A130" s="10">
        <f t="shared" si="8"/>
        <v>9</v>
      </c>
      <c r="B130" s="4" t="s">
        <v>572</v>
      </c>
      <c r="C130" s="4"/>
      <c r="D130" s="4"/>
      <c r="E130" s="229"/>
      <c r="F130" s="229"/>
      <c r="G130" s="229"/>
      <c r="H130" s="229"/>
      <c r="I130" s="406">
        <f>'BK-1-Retail TRR'!G120</f>
        <v>0</v>
      </c>
      <c r="J130" s="36"/>
      <c r="K130" s="340" t="s">
        <v>559</v>
      </c>
      <c r="L130" s="10">
        <f t="shared" si="9"/>
        <v>9</v>
      </c>
    </row>
    <row r="131" spans="1:12" ht="15.75">
      <c r="A131" s="10">
        <f t="shared" si="8"/>
        <v>10</v>
      </c>
      <c r="B131" s="707" t="s">
        <v>835</v>
      </c>
      <c r="C131" s="707"/>
      <c r="D131" s="707"/>
      <c r="E131" s="229"/>
      <c r="F131" s="229"/>
      <c r="G131" s="229"/>
      <c r="H131" s="229"/>
      <c r="I131" s="487">
        <f>I89</f>
        <v>0.35</v>
      </c>
      <c r="J131" s="36"/>
      <c r="K131" s="344" t="s">
        <v>852</v>
      </c>
      <c r="L131" s="10">
        <f t="shared" si="9"/>
        <v>10</v>
      </c>
    </row>
    <row r="132" spans="1:12" ht="15.75">
      <c r="A132" s="10">
        <f t="shared" si="8"/>
        <v>11</v>
      </c>
      <c r="B132" s="5"/>
      <c r="C132" s="4"/>
      <c r="D132" s="4"/>
      <c r="E132" s="4"/>
      <c r="F132" s="4"/>
      <c r="G132" s="4"/>
      <c r="H132" s="4"/>
      <c r="I132" s="10"/>
      <c r="J132" s="10"/>
      <c r="K132" s="4"/>
      <c r="L132" s="10">
        <f t="shared" si="9"/>
        <v>11</v>
      </c>
    </row>
    <row r="133" spans="1:12" s="356" customFormat="1" ht="15.75">
      <c r="A133" s="10">
        <f t="shared" si="8"/>
        <v>12</v>
      </c>
      <c r="B133" s="360" t="s">
        <v>465</v>
      </c>
      <c r="C133" s="360"/>
      <c r="D133" s="360"/>
      <c r="E133" s="357"/>
      <c r="F133" s="357"/>
      <c r="G133" s="357"/>
      <c r="H133" s="357"/>
      <c r="I133" s="99" t="e">
        <f>(((I127)+(I129/I130))*I131-(I128/I130))/(1-I131)</f>
        <v>#DIV/0!</v>
      </c>
      <c r="J133" s="36"/>
      <c r="K133" s="361" t="s">
        <v>676</v>
      </c>
      <c r="L133" s="10">
        <f t="shared" si="9"/>
        <v>12</v>
      </c>
    </row>
    <row r="134" spans="1:12" ht="15.75">
      <c r="A134" s="10">
        <f t="shared" si="8"/>
        <v>13</v>
      </c>
      <c r="B134" s="369"/>
      <c r="C134" s="409" t="s">
        <v>383</v>
      </c>
      <c r="D134" s="360"/>
      <c r="E134" s="4"/>
      <c r="F134" s="4"/>
      <c r="G134" s="4"/>
      <c r="H134" s="4"/>
      <c r="I134" s="444"/>
      <c r="J134" s="10"/>
      <c r="K134" s="4"/>
      <c r="L134" s="10">
        <f t="shared" si="9"/>
        <v>13</v>
      </c>
    </row>
    <row r="135" spans="1:12" ht="15.75">
      <c r="A135" s="10">
        <f t="shared" si="8"/>
        <v>14</v>
      </c>
      <c r="B135" s="5"/>
      <c r="C135" s="4"/>
      <c r="D135" s="4"/>
      <c r="E135" s="4"/>
      <c r="F135" s="4"/>
      <c r="G135" s="4"/>
      <c r="H135" s="4"/>
      <c r="I135" s="10"/>
      <c r="J135" s="10"/>
      <c r="K135" s="4"/>
      <c r="L135" s="10">
        <f t="shared" si="9"/>
        <v>14</v>
      </c>
    </row>
    <row r="136" spans="1:12" ht="15.75">
      <c r="A136" s="10">
        <f t="shared" si="8"/>
        <v>15</v>
      </c>
      <c r="B136" s="88" t="s">
        <v>177</v>
      </c>
      <c r="C136" s="229"/>
      <c r="D136" s="229"/>
      <c r="E136" s="229"/>
      <c r="F136" s="229"/>
      <c r="G136" s="229"/>
      <c r="H136" s="229"/>
      <c r="I136" s="54"/>
      <c r="J136" s="36"/>
      <c r="K136" s="152"/>
      <c r="L136" s="10">
        <f t="shared" si="9"/>
        <v>15</v>
      </c>
    </row>
    <row r="137" spans="1:12" ht="15.75">
      <c r="A137" s="10">
        <f t="shared" si="8"/>
        <v>16</v>
      </c>
      <c r="B137" s="6"/>
      <c r="C137" s="229"/>
      <c r="D137" s="229"/>
      <c r="E137" s="229"/>
      <c r="F137" s="229"/>
      <c r="G137" s="229"/>
      <c r="H137" s="229"/>
      <c r="I137" s="54"/>
      <c r="J137" s="36"/>
      <c r="K137" s="54"/>
      <c r="L137" s="10">
        <f t="shared" si="9"/>
        <v>16</v>
      </c>
    </row>
    <row r="138" spans="1:12" ht="15.75">
      <c r="A138" s="10">
        <f t="shared" si="8"/>
        <v>17</v>
      </c>
      <c r="B138" s="7" t="s">
        <v>85</v>
      </c>
      <c r="C138" s="229"/>
      <c r="D138" s="229"/>
      <c r="E138" s="229"/>
      <c r="F138" s="229"/>
      <c r="G138" s="229"/>
      <c r="H138" s="229"/>
      <c r="I138" s="54"/>
      <c r="J138" s="36"/>
      <c r="K138" s="54"/>
      <c r="L138" s="10">
        <f t="shared" si="9"/>
        <v>17</v>
      </c>
    </row>
    <row r="139" spans="1:12" ht="15.75">
      <c r="A139" s="10">
        <f t="shared" si="8"/>
        <v>18</v>
      </c>
      <c r="B139" s="4" t="s">
        <v>91</v>
      </c>
      <c r="C139" s="4"/>
      <c r="D139" s="4"/>
      <c r="E139" s="229"/>
      <c r="F139" s="229"/>
      <c r="G139" s="229"/>
      <c r="H139" s="229"/>
      <c r="I139" s="405">
        <f>I64</f>
        <v>0</v>
      </c>
      <c r="J139" s="36"/>
      <c r="K139" s="276" t="s">
        <v>1156</v>
      </c>
      <c r="L139" s="10">
        <f t="shared" si="9"/>
        <v>18</v>
      </c>
    </row>
    <row r="140" spans="1:12" ht="15.75">
      <c r="A140" s="10">
        <f t="shared" si="8"/>
        <v>19</v>
      </c>
      <c r="B140" s="4" t="s">
        <v>459</v>
      </c>
      <c r="C140" s="4"/>
      <c r="D140" s="4"/>
      <c r="E140" s="229"/>
      <c r="F140" s="229"/>
      <c r="G140" s="229"/>
      <c r="H140" s="229"/>
      <c r="I140" s="406">
        <f>I129</f>
        <v>0</v>
      </c>
      <c r="J140" s="36"/>
      <c r="K140" s="3" t="s">
        <v>381</v>
      </c>
      <c r="L140" s="10">
        <f t="shared" si="9"/>
        <v>19</v>
      </c>
    </row>
    <row r="141" spans="1:12" ht="15.75">
      <c r="A141" s="10">
        <f t="shared" si="8"/>
        <v>20</v>
      </c>
      <c r="B141" s="4" t="s">
        <v>573</v>
      </c>
      <c r="C141" s="4"/>
      <c r="D141" s="4"/>
      <c r="E141" s="229"/>
      <c r="F141" s="229"/>
      <c r="G141" s="229"/>
      <c r="H141" s="229"/>
      <c r="I141" s="406">
        <f>I130</f>
        <v>0</v>
      </c>
      <c r="J141" s="36"/>
      <c r="K141" s="344" t="s">
        <v>691</v>
      </c>
      <c r="L141" s="10">
        <f t="shared" si="9"/>
        <v>20</v>
      </c>
    </row>
    <row r="142" spans="1:12" ht="15.75">
      <c r="A142" s="10">
        <f t="shared" si="8"/>
        <v>21</v>
      </c>
      <c r="B142" s="4" t="s">
        <v>395</v>
      </c>
      <c r="C142" s="4"/>
      <c r="D142" s="4"/>
      <c r="E142" s="229"/>
      <c r="F142" s="229"/>
      <c r="G142" s="229"/>
      <c r="H142" s="229"/>
      <c r="I142" s="407" t="e">
        <f>I133</f>
        <v>#DIV/0!</v>
      </c>
      <c r="J142" s="36"/>
      <c r="K142" s="340" t="s">
        <v>333</v>
      </c>
      <c r="L142" s="10">
        <f t="shared" si="9"/>
        <v>21</v>
      </c>
    </row>
    <row r="143" spans="1:12" ht="15.75">
      <c r="A143" s="10">
        <f t="shared" si="8"/>
        <v>22</v>
      </c>
      <c r="B143" s="707" t="s">
        <v>836</v>
      </c>
      <c r="C143" s="707"/>
      <c r="D143" s="707"/>
      <c r="E143" s="229"/>
      <c r="F143" s="229"/>
      <c r="G143" s="229"/>
      <c r="H143" s="229"/>
      <c r="I143" s="405">
        <f>I101</f>
        <v>8.8400000000000006E-2</v>
      </c>
      <c r="J143" s="36"/>
      <c r="K143" s="344" t="s">
        <v>853</v>
      </c>
      <c r="L143" s="10">
        <f t="shared" si="9"/>
        <v>22</v>
      </c>
    </row>
    <row r="144" spans="1:12" ht="15.75">
      <c r="A144" s="10">
        <f t="shared" si="8"/>
        <v>23</v>
      </c>
      <c r="B144" s="50"/>
      <c r="C144" s="4"/>
      <c r="D144" s="4"/>
      <c r="E144" s="229"/>
      <c r="F144" s="229"/>
      <c r="G144" s="229"/>
      <c r="H144" s="229"/>
      <c r="I144" s="57"/>
      <c r="J144" s="36"/>
      <c r="K144" s="2"/>
      <c r="L144" s="10">
        <f t="shared" si="9"/>
        <v>23</v>
      </c>
    </row>
    <row r="145" spans="1:12" s="356" customFormat="1" ht="15.75">
      <c r="A145" s="10">
        <f t="shared" si="8"/>
        <v>24</v>
      </c>
      <c r="B145" s="360" t="s">
        <v>461</v>
      </c>
      <c r="C145" s="360"/>
      <c r="D145" s="360"/>
      <c r="E145" s="344"/>
      <c r="F145" s="357"/>
      <c r="G145" s="357"/>
      <c r="H145" s="357"/>
      <c r="I145" s="99" t="e">
        <f>((I139)+(I140/I141)+I133)*I143/(1-I143)</f>
        <v>#DIV/0!</v>
      </c>
      <c r="J145" s="36"/>
      <c r="K145" s="361" t="s">
        <v>335</v>
      </c>
      <c r="L145" s="10">
        <f t="shared" si="9"/>
        <v>24</v>
      </c>
    </row>
    <row r="146" spans="1:12" ht="15.75">
      <c r="A146" s="10">
        <f t="shared" si="8"/>
        <v>25</v>
      </c>
      <c r="B146" s="5"/>
      <c r="C146" s="98" t="s">
        <v>384</v>
      </c>
      <c r="D146" s="4"/>
      <c r="E146" s="4"/>
      <c r="F146" s="4"/>
      <c r="G146" s="4"/>
      <c r="H146" s="4"/>
      <c r="I146" s="10"/>
      <c r="J146" s="10"/>
      <c r="K146" s="10"/>
      <c r="L146" s="10">
        <f t="shared" si="9"/>
        <v>25</v>
      </c>
    </row>
    <row r="147" spans="1:12" ht="15.75">
      <c r="A147" s="10">
        <f t="shared" si="8"/>
        <v>26</v>
      </c>
      <c r="B147" s="5"/>
      <c r="C147" s="4"/>
      <c r="D147" s="4"/>
      <c r="E147" s="4"/>
      <c r="F147" s="4"/>
      <c r="G147" s="4"/>
      <c r="H147" s="4"/>
      <c r="I147" s="10"/>
      <c r="J147" s="10"/>
      <c r="K147" s="10"/>
      <c r="L147" s="10">
        <f t="shared" si="9"/>
        <v>26</v>
      </c>
    </row>
    <row r="148" spans="1:12" ht="15.75">
      <c r="A148" s="10">
        <f t="shared" si="8"/>
        <v>27</v>
      </c>
      <c r="B148" s="88" t="s">
        <v>178</v>
      </c>
      <c r="C148" s="4"/>
      <c r="D148" s="4"/>
      <c r="E148" s="4"/>
      <c r="F148" s="4"/>
      <c r="G148" s="4"/>
      <c r="H148" s="4"/>
      <c r="I148" s="99" t="e">
        <f>I145+I133</f>
        <v>#DIV/0!</v>
      </c>
      <c r="J148" s="10"/>
      <c r="K148" s="10" t="s">
        <v>463</v>
      </c>
      <c r="L148" s="10">
        <f t="shared" si="9"/>
        <v>27</v>
      </c>
    </row>
    <row r="149" spans="1:12" ht="15.75">
      <c r="A149" s="10">
        <f t="shared" si="8"/>
        <v>28</v>
      </c>
      <c r="B149" s="5"/>
      <c r="C149" s="4"/>
      <c r="D149" s="4"/>
      <c r="E149" s="4"/>
      <c r="F149" s="4"/>
      <c r="G149" s="4"/>
      <c r="H149" s="4"/>
      <c r="I149" s="10"/>
      <c r="J149" s="10"/>
      <c r="K149" s="10"/>
      <c r="L149" s="10">
        <f t="shared" si="9"/>
        <v>28</v>
      </c>
    </row>
    <row r="150" spans="1:12" ht="15.75">
      <c r="A150" s="10">
        <f t="shared" si="8"/>
        <v>29</v>
      </c>
      <c r="B150" s="88" t="s">
        <v>526</v>
      </c>
      <c r="C150" s="4"/>
      <c r="D150" s="4"/>
      <c r="E150" s="4"/>
      <c r="F150" s="4"/>
      <c r="G150" s="4"/>
      <c r="H150" s="4"/>
      <c r="I150" s="777">
        <f>I62</f>
        <v>2.0899999999999998E-2</v>
      </c>
      <c r="J150" s="4"/>
      <c r="K150" s="3" t="s">
        <v>1157</v>
      </c>
      <c r="L150" s="10">
        <f t="shared" si="9"/>
        <v>29</v>
      </c>
    </row>
    <row r="151" spans="1:12" ht="15.75">
      <c r="A151" s="10">
        <f t="shared" si="8"/>
        <v>30</v>
      </c>
      <c r="B151" s="5"/>
      <c r="C151" s="4"/>
      <c r="D151" s="4"/>
      <c r="E151" s="4"/>
      <c r="F151" s="4"/>
      <c r="G151" s="4"/>
      <c r="H151" s="4"/>
      <c r="I151" s="10"/>
      <c r="J151" s="10"/>
      <c r="K151" s="10"/>
      <c r="L151" s="10">
        <f t="shared" si="9"/>
        <v>30</v>
      </c>
    </row>
    <row r="152" spans="1:12" ht="21" thickBot="1">
      <c r="A152" s="10">
        <f t="shared" si="8"/>
        <v>31</v>
      </c>
      <c r="B152" s="88" t="s">
        <v>108</v>
      </c>
      <c r="C152" s="4"/>
      <c r="D152" s="4"/>
      <c r="E152" s="4"/>
      <c r="F152" s="4"/>
      <c r="G152" s="4"/>
      <c r="H152" s="4"/>
      <c r="I152" s="275" t="e">
        <f>I148+I150</f>
        <v>#DIV/0!</v>
      </c>
      <c r="J152" s="237">
        <v>1</v>
      </c>
      <c r="K152" s="10" t="s">
        <v>464</v>
      </c>
      <c r="L152" s="10">
        <f t="shared" si="9"/>
        <v>31</v>
      </c>
    </row>
    <row r="153" spans="1:12" ht="15.75" thickTop="1"/>
    <row r="155" spans="1:12" ht="18.75">
      <c r="A155" s="237">
        <v>1</v>
      </c>
      <c r="B155" s="5" t="s">
        <v>1133</v>
      </c>
    </row>
    <row r="156" spans="1:12" ht="15.75">
      <c r="B156" s="4" t="s">
        <v>1134</v>
      </c>
    </row>
  </sheetData>
  <mergeCells count="15">
    <mergeCell ref="B71:K71"/>
    <mergeCell ref="B72:K72"/>
    <mergeCell ref="B73:K73"/>
    <mergeCell ref="B74:K74"/>
    <mergeCell ref="B117:K117"/>
    <mergeCell ref="B75:K75"/>
    <mergeCell ref="B113:K113"/>
    <mergeCell ref="B114:K114"/>
    <mergeCell ref="B115:K115"/>
    <mergeCell ref="B116:K116"/>
    <mergeCell ref="B2:K2"/>
    <mergeCell ref="B3:K3"/>
    <mergeCell ref="B4:K4"/>
    <mergeCell ref="B5:K5"/>
    <mergeCell ref="B6:K6"/>
  </mergeCells>
  <phoneticPr fontId="0" type="noConversion"/>
  <printOptions horizontalCentered="1"/>
  <pageMargins left="0.25" right="0.25" top="0.25" bottom="0.5" header="0.25" footer="0.25"/>
  <pageSetup scale="65" fitToHeight="3" orientation="portrait" r:id="rId1"/>
  <headerFooter alignWithMargins="0">
    <oddFooter>&amp;C&amp;12Page AV&amp;P</oddFooter>
  </headerFooter>
  <rowBreaks count="2" manualBreakCount="2">
    <brk id="69" max="16383" man="1"/>
    <brk id="111" max="1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K38"/>
  <sheetViews>
    <sheetView zoomScaleNormal="100" workbookViewId="0">
      <selection activeCell="E40" sqref="E40"/>
    </sheetView>
  </sheetViews>
  <sheetFormatPr defaultRowHeight="12.75"/>
  <cols>
    <col min="1" max="1" width="5.28515625" bestFit="1" customWidth="1"/>
    <col min="2" max="2" width="83.5703125" customWidth="1"/>
    <col min="3" max="5" width="15.7109375" customWidth="1"/>
    <col min="6" max="6" width="2.7109375" style="441" customWidth="1"/>
    <col min="7" max="9" width="15.7109375" customWidth="1"/>
    <col min="10" max="10" width="36.28515625" bestFit="1" customWidth="1"/>
    <col min="11" max="11" width="5.28515625" bestFit="1" customWidth="1"/>
    <col min="13" max="13" width="9.5703125" bestFit="1" customWidth="1"/>
  </cols>
  <sheetData>
    <row r="2" spans="1:11" ht="15.75">
      <c r="A2" s="243" t="s">
        <v>61</v>
      </c>
      <c r="B2" s="220"/>
      <c r="C2" s="220"/>
      <c r="D2" s="220"/>
      <c r="E2" s="220"/>
      <c r="F2" s="492"/>
      <c r="G2" s="220"/>
      <c r="H2" s="220"/>
      <c r="I2" s="220"/>
      <c r="J2" s="220"/>
      <c r="K2" s="220"/>
    </row>
    <row r="3" spans="1:11" ht="15.75">
      <c r="A3" s="243" t="s">
        <v>358</v>
      </c>
      <c r="B3" s="220"/>
      <c r="C3" s="220"/>
      <c r="D3" s="220"/>
      <c r="E3" s="220"/>
      <c r="F3" s="492"/>
      <c r="G3" s="220"/>
      <c r="H3" s="220"/>
      <c r="I3" s="220"/>
      <c r="J3" s="220"/>
      <c r="K3" s="220"/>
    </row>
    <row r="4" spans="1:11" ht="15.75">
      <c r="A4" s="501" t="s">
        <v>1227</v>
      </c>
      <c r="B4" s="502"/>
      <c r="C4" s="502"/>
      <c r="D4" s="502"/>
      <c r="E4" s="503"/>
      <c r="F4" s="502"/>
      <c r="G4" s="502"/>
      <c r="H4" s="502"/>
      <c r="I4" s="503"/>
      <c r="J4" s="503"/>
      <c r="K4" s="502"/>
    </row>
    <row r="5" spans="1:11" ht="15.75">
      <c r="A5" s="246" t="s">
        <v>72</v>
      </c>
      <c r="B5" s="145"/>
      <c r="C5" s="145"/>
      <c r="D5" s="145"/>
      <c r="E5" s="219"/>
      <c r="F5" s="493"/>
      <c r="G5" s="145"/>
      <c r="H5" s="145"/>
      <c r="I5" s="219"/>
      <c r="J5" s="219"/>
      <c r="K5" s="145"/>
    </row>
    <row r="6" spans="1:11" ht="15.75">
      <c r="A6" s="10"/>
      <c r="B6" s="4"/>
      <c r="C6" s="4"/>
      <c r="D6" s="4"/>
      <c r="E6" s="4"/>
      <c r="F6" s="102"/>
      <c r="G6" s="4"/>
      <c r="H6" s="4"/>
      <c r="I6" s="4"/>
      <c r="J6" s="4"/>
      <c r="K6" s="10"/>
    </row>
    <row r="7" spans="1:11" ht="15.75">
      <c r="A7" s="197"/>
      <c r="B7" s="198"/>
      <c r="C7" s="331" t="s">
        <v>165</v>
      </c>
      <c r="D7" s="332" t="s">
        <v>166</v>
      </c>
      <c r="E7" s="197" t="s">
        <v>218</v>
      </c>
      <c r="F7" s="494"/>
      <c r="G7" s="331" t="s">
        <v>355</v>
      </c>
      <c r="H7" s="333" t="s">
        <v>356</v>
      </c>
      <c r="I7" s="334" t="s">
        <v>357</v>
      </c>
      <c r="J7" s="199"/>
      <c r="K7" s="197"/>
    </row>
    <row r="8" spans="1:11" ht="15.75">
      <c r="A8" s="205" t="s">
        <v>62</v>
      </c>
      <c r="B8" s="206"/>
      <c r="C8" s="207" t="s">
        <v>362</v>
      </c>
      <c r="D8" s="205" t="s">
        <v>362</v>
      </c>
      <c r="E8" s="197" t="s">
        <v>245</v>
      </c>
      <c r="F8" s="495"/>
      <c r="G8" s="207" t="s">
        <v>363</v>
      </c>
      <c r="H8" s="207" t="s">
        <v>363</v>
      </c>
      <c r="I8" s="199" t="s">
        <v>68</v>
      </c>
      <c r="J8" s="208"/>
      <c r="K8" s="205" t="s">
        <v>62</v>
      </c>
    </row>
    <row r="9" spans="1:11" ht="15.75">
      <c r="A9" s="200" t="s">
        <v>63</v>
      </c>
      <c r="B9" s="201"/>
      <c r="C9" s="202" t="s">
        <v>246</v>
      </c>
      <c r="D9" s="200" t="s">
        <v>247</v>
      </c>
      <c r="E9" s="200" t="s">
        <v>67</v>
      </c>
      <c r="F9" s="496"/>
      <c r="G9" s="202" t="s">
        <v>248</v>
      </c>
      <c r="H9" s="202" t="s">
        <v>249</v>
      </c>
      <c r="I9" s="204" t="s">
        <v>67</v>
      </c>
      <c r="J9" s="204" t="s">
        <v>65</v>
      </c>
      <c r="K9" s="200" t="s">
        <v>63</v>
      </c>
    </row>
    <row r="10" spans="1:11" ht="15.75">
      <c r="A10" s="205"/>
      <c r="B10" s="499" t="s">
        <v>530</v>
      </c>
      <c r="C10" s="207"/>
      <c r="D10" s="205"/>
      <c r="E10" s="205"/>
      <c r="F10" s="495"/>
      <c r="G10" s="207"/>
      <c r="H10" s="207"/>
      <c r="I10" s="208"/>
      <c r="J10" s="208"/>
      <c r="K10" s="205"/>
    </row>
    <row r="11" spans="1:11" ht="15.75">
      <c r="A11" s="205">
        <v>1</v>
      </c>
      <c r="B11" s="209" t="s">
        <v>680</v>
      </c>
      <c r="C11" s="462">
        <v>437223</v>
      </c>
      <c r="D11" s="462">
        <v>434427</v>
      </c>
      <c r="E11" s="498">
        <f>C11+D11</f>
        <v>871650</v>
      </c>
      <c r="F11" s="1013"/>
      <c r="G11" s="462">
        <v>239297</v>
      </c>
      <c r="H11" s="462">
        <v>311101</v>
      </c>
      <c r="I11" s="749">
        <f>G11+H11</f>
        <v>550398</v>
      </c>
      <c r="J11" s="247" t="s">
        <v>360</v>
      </c>
      <c r="K11" s="205">
        <v>1</v>
      </c>
    </row>
    <row r="12" spans="1:11" ht="15.75">
      <c r="A12" s="205">
        <f>A11+1</f>
        <v>2</v>
      </c>
      <c r="B12" s="209"/>
      <c r="C12" s="210"/>
      <c r="D12" s="210"/>
      <c r="E12" s="210"/>
      <c r="F12" s="498"/>
      <c r="G12" s="210"/>
      <c r="H12" s="210"/>
      <c r="I12" s="749"/>
      <c r="J12" s="247"/>
      <c r="K12" s="205">
        <f>K11+1</f>
        <v>2</v>
      </c>
    </row>
    <row r="13" spans="1:11" ht="15.75">
      <c r="A13" s="205">
        <f t="shared" ref="A13:A29" si="0">A12+1</f>
        <v>3</v>
      </c>
      <c r="B13" s="209" t="s">
        <v>681</v>
      </c>
      <c r="C13" s="464">
        <v>32548</v>
      </c>
      <c r="D13" s="464">
        <v>18951</v>
      </c>
      <c r="E13" s="491">
        <f>C13+D13</f>
        <v>51499</v>
      </c>
      <c r="F13" s="1013"/>
      <c r="G13" s="464">
        <v>18564</v>
      </c>
      <c r="H13" s="464">
        <v>10811</v>
      </c>
      <c r="I13" s="750">
        <f>G13+H13</f>
        <v>29375</v>
      </c>
      <c r="J13" s="247" t="s">
        <v>361</v>
      </c>
      <c r="K13" s="205">
        <f t="shared" ref="K13:K29" si="1">K12+1</f>
        <v>3</v>
      </c>
    </row>
    <row r="14" spans="1:11" ht="15.75">
      <c r="A14" s="205">
        <f t="shared" si="0"/>
        <v>4</v>
      </c>
      <c r="B14" s="209"/>
      <c r="C14" s="489"/>
      <c r="D14" s="489"/>
      <c r="E14" s="489"/>
      <c r="F14" s="489"/>
      <c r="G14" s="489"/>
      <c r="H14" s="489"/>
      <c r="I14" s="490"/>
      <c r="J14" s="247"/>
      <c r="K14" s="205">
        <f t="shared" si="1"/>
        <v>4</v>
      </c>
    </row>
    <row r="15" spans="1:11" ht="15.75">
      <c r="A15" s="205">
        <f t="shared" si="0"/>
        <v>5</v>
      </c>
      <c r="B15" s="209" t="s">
        <v>536</v>
      </c>
      <c r="C15" s="491">
        <f>SUM(C11:C13)</f>
        <v>469771</v>
      </c>
      <c r="D15" s="491">
        <f t="shared" ref="D15:I15" si="2">SUM(D11:D13)</f>
        <v>453378</v>
      </c>
      <c r="E15" s="491">
        <f t="shared" si="2"/>
        <v>923149</v>
      </c>
      <c r="F15" s="1013"/>
      <c r="G15" s="491">
        <f t="shared" si="2"/>
        <v>257861</v>
      </c>
      <c r="H15" s="491">
        <f t="shared" si="2"/>
        <v>321912</v>
      </c>
      <c r="I15" s="491">
        <f t="shared" si="2"/>
        <v>579773</v>
      </c>
      <c r="J15" s="247" t="s">
        <v>316</v>
      </c>
      <c r="K15" s="205">
        <f t="shared" si="1"/>
        <v>5</v>
      </c>
    </row>
    <row r="16" spans="1:11" ht="15.75">
      <c r="A16" s="205">
        <f t="shared" si="0"/>
        <v>6</v>
      </c>
      <c r="B16" s="209"/>
      <c r="C16" s="489"/>
      <c r="D16" s="489"/>
      <c r="E16" s="489"/>
      <c r="F16" s="489"/>
      <c r="G16" s="489"/>
      <c r="H16" s="489"/>
      <c r="I16" s="490"/>
      <c r="J16" s="247"/>
      <c r="K16" s="205">
        <f t="shared" si="1"/>
        <v>6</v>
      </c>
    </row>
    <row r="17" spans="1:11" ht="15.75">
      <c r="A17" s="205">
        <f t="shared" si="0"/>
        <v>7</v>
      </c>
      <c r="B17" s="499" t="s">
        <v>531</v>
      </c>
      <c r="C17" s="218"/>
      <c r="D17" s="218"/>
      <c r="E17" s="218"/>
      <c r="F17" s="489"/>
      <c r="G17" s="218"/>
      <c r="H17" s="218"/>
      <c r="I17" s="490"/>
      <c r="J17" s="247"/>
      <c r="K17" s="205">
        <f t="shared" si="1"/>
        <v>7</v>
      </c>
    </row>
    <row r="18" spans="1:11" ht="15.75">
      <c r="A18" s="205">
        <f t="shared" si="0"/>
        <v>8</v>
      </c>
      <c r="B18" s="209" t="s">
        <v>682</v>
      </c>
      <c r="C18" s="463">
        <v>0</v>
      </c>
      <c r="D18" s="463">
        <v>0</v>
      </c>
      <c r="E18" s="489">
        <f>C18+D18</f>
        <v>0</v>
      </c>
      <c r="F18" s="489"/>
      <c r="G18" s="463">
        <v>0</v>
      </c>
      <c r="H18" s="463">
        <v>0</v>
      </c>
      <c r="I18" s="490">
        <f>G18+H18</f>
        <v>0</v>
      </c>
      <c r="J18" s="247" t="s">
        <v>677</v>
      </c>
      <c r="K18" s="205">
        <f t="shared" si="1"/>
        <v>8</v>
      </c>
    </row>
    <row r="19" spans="1:11" ht="15.75">
      <c r="A19" s="205">
        <f t="shared" si="0"/>
        <v>9</v>
      </c>
      <c r="B19" s="209"/>
      <c r="C19" s="489"/>
      <c r="D19" s="489"/>
      <c r="E19" s="489"/>
      <c r="F19" s="489"/>
      <c r="G19" s="489"/>
      <c r="H19" s="489"/>
      <c r="I19" s="490"/>
      <c r="J19" s="247"/>
      <c r="K19" s="205">
        <f t="shared" si="1"/>
        <v>9</v>
      </c>
    </row>
    <row r="20" spans="1:11" ht="31.5">
      <c r="A20" s="1101">
        <f t="shared" si="0"/>
        <v>10</v>
      </c>
      <c r="B20" s="500" t="s">
        <v>688</v>
      </c>
      <c r="C20" s="463">
        <v>0</v>
      </c>
      <c r="D20" s="463">
        <v>0</v>
      </c>
      <c r="E20" s="489">
        <f>C20+D20</f>
        <v>0</v>
      </c>
      <c r="F20" s="489"/>
      <c r="G20" s="463">
        <v>0</v>
      </c>
      <c r="H20" s="463">
        <v>0</v>
      </c>
      <c r="I20" s="490">
        <f>G20+H20</f>
        <v>0</v>
      </c>
      <c r="J20" s="1102" t="s">
        <v>678</v>
      </c>
      <c r="K20" s="1101">
        <f t="shared" si="1"/>
        <v>10</v>
      </c>
    </row>
    <row r="21" spans="1:11" ht="15.75">
      <c r="A21" s="205">
        <f t="shared" si="0"/>
        <v>11</v>
      </c>
      <c r="B21" s="209"/>
      <c r="C21" s="218"/>
      <c r="D21" s="218"/>
      <c r="E21" s="218"/>
      <c r="F21" s="489"/>
      <c r="G21" s="210"/>
      <c r="H21" s="210"/>
      <c r="I21" s="490"/>
      <c r="J21" s="247"/>
      <c r="K21" s="205">
        <f t="shared" si="1"/>
        <v>11</v>
      </c>
    </row>
    <row r="22" spans="1:11" ht="31.5">
      <c r="A22" s="205">
        <f t="shared" si="0"/>
        <v>12</v>
      </c>
      <c r="B22" s="500" t="s">
        <v>689</v>
      </c>
      <c r="C22" s="464">
        <v>0</v>
      </c>
      <c r="D22" s="464">
        <v>0</v>
      </c>
      <c r="E22" s="491">
        <f>C22+D22</f>
        <v>0</v>
      </c>
      <c r="F22" s="491"/>
      <c r="G22" s="464">
        <v>0</v>
      </c>
      <c r="H22" s="464">
        <v>0</v>
      </c>
      <c r="I22" s="750">
        <f>G22+H22</f>
        <v>0</v>
      </c>
      <c r="J22" s="247" t="s">
        <v>679</v>
      </c>
      <c r="K22" s="205">
        <f t="shared" si="1"/>
        <v>12</v>
      </c>
    </row>
    <row r="23" spans="1:11" ht="15.75">
      <c r="A23" s="205">
        <f t="shared" si="0"/>
        <v>13</v>
      </c>
      <c r="B23" s="209"/>
      <c r="C23" s="489"/>
      <c r="D23" s="489"/>
      <c r="E23" s="489"/>
      <c r="F23" s="489"/>
      <c r="G23" s="489"/>
      <c r="H23" s="489"/>
      <c r="I23" s="490"/>
      <c r="J23" s="247"/>
      <c r="K23" s="205">
        <f t="shared" si="1"/>
        <v>13</v>
      </c>
    </row>
    <row r="24" spans="1:11" ht="15.75">
      <c r="A24" s="205">
        <f t="shared" si="0"/>
        <v>14</v>
      </c>
      <c r="B24" s="209" t="s">
        <v>535</v>
      </c>
      <c r="C24" s="491">
        <f>SUM(C18:C22)</f>
        <v>0</v>
      </c>
      <c r="D24" s="491">
        <f>SUM(D18:D22)</f>
        <v>0</v>
      </c>
      <c r="E24" s="491">
        <f>SUM(E18:E22)</f>
        <v>0</v>
      </c>
      <c r="F24" s="489"/>
      <c r="G24" s="491">
        <f>SUM(G18:G22)</f>
        <v>0</v>
      </c>
      <c r="H24" s="491">
        <f>SUM(H18:H22)</f>
        <v>0</v>
      </c>
      <c r="I24" s="491">
        <f>SUM(I18:I22)</f>
        <v>0</v>
      </c>
      <c r="J24" s="247" t="s">
        <v>638</v>
      </c>
      <c r="K24" s="205">
        <f t="shared" si="1"/>
        <v>14</v>
      </c>
    </row>
    <row r="25" spans="1:11" ht="15.75">
      <c r="A25" s="205">
        <f t="shared" si="0"/>
        <v>15</v>
      </c>
      <c r="B25" s="209"/>
      <c r="C25" s="212"/>
      <c r="D25" s="212"/>
      <c r="E25" s="212"/>
      <c r="F25" s="495"/>
      <c r="G25" s="212"/>
      <c r="H25" s="212"/>
      <c r="I25" s="213"/>
      <c r="J25" s="208"/>
      <c r="K25" s="205">
        <f t="shared" si="1"/>
        <v>15</v>
      </c>
    </row>
    <row r="26" spans="1:11" ht="16.5" thickBot="1">
      <c r="A26" s="205">
        <f t="shared" si="0"/>
        <v>16</v>
      </c>
      <c r="B26" s="335" t="s">
        <v>67</v>
      </c>
      <c r="C26" s="1014">
        <f>C15+C24</f>
        <v>469771</v>
      </c>
      <c r="D26" s="1014">
        <f>D15+D24</f>
        <v>453378</v>
      </c>
      <c r="E26" s="1014">
        <f>E15+E24</f>
        <v>923149</v>
      </c>
      <c r="F26" s="1013"/>
      <c r="G26" s="1014">
        <f>G15+G24</f>
        <v>257861</v>
      </c>
      <c r="H26" s="1014">
        <f>H15+H24</f>
        <v>321912</v>
      </c>
      <c r="I26" s="1014">
        <f>I15+I24</f>
        <v>579773</v>
      </c>
      <c r="J26" s="247" t="s">
        <v>639</v>
      </c>
      <c r="K26" s="205">
        <f t="shared" si="1"/>
        <v>16</v>
      </c>
    </row>
    <row r="27" spans="1:11" ht="16.5" thickTop="1">
      <c r="A27" s="205">
        <f t="shared" si="0"/>
        <v>17</v>
      </c>
      <c r="B27" s="335"/>
      <c r="C27" s="210"/>
      <c r="D27" s="210"/>
      <c r="E27" s="210"/>
      <c r="F27" s="497"/>
      <c r="G27" s="210"/>
      <c r="H27" s="210"/>
      <c r="I27" s="211"/>
      <c r="J27" s="247"/>
      <c r="K27" s="205">
        <f t="shared" si="1"/>
        <v>17</v>
      </c>
    </row>
    <row r="28" spans="1:11" ht="15.75">
      <c r="A28" s="205">
        <f t="shared" si="0"/>
        <v>18</v>
      </c>
      <c r="B28" s="209"/>
      <c r="C28" s="489"/>
      <c r="D28" s="489"/>
      <c r="E28" s="489"/>
      <c r="F28" s="489"/>
      <c r="G28" s="489"/>
      <c r="H28" s="489"/>
      <c r="I28" s="490"/>
      <c r="J28" s="543" t="s">
        <v>640</v>
      </c>
      <c r="K28" s="205">
        <f t="shared" si="1"/>
        <v>18</v>
      </c>
    </row>
    <row r="29" spans="1:11" ht="16.5" thickBot="1">
      <c r="A29" s="205">
        <f t="shared" si="0"/>
        <v>19</v>
      </c>
      <c r="B29" s="335" t="s">
        <v>359</v>
      </c>
      <c r="C29" s="216"/>
      <c r="D29" s="216"/>
      <c r="E29" s="216"/>
      <c r="F29" s="1013"/>
      <c r="G29" s="1015">
        <f>G26/I26</f>
        <v>0.44476200167996782</v>
      </c>
      <c r="H29" s="1015">
        <f>H26/I26</f>
        <v>0.55523799832003218</v>
      </c>
      <c r="I29" s="1015">
        <f>G29+H29</f>
        <v>1</v>
      </c>
      <c r="J29" s="543" t="s">
        <v>641</v>
      </c>
      <c r="K29" s="205">
        <f t="shared" si="1"/>
        <v>19</v>
      </c>
    </row>
    <row r="30" spans="1:11" ht="16.5" thickTop="1">
      <c r="A30" s="200"/>
      <c r="B30" s="214"/>
      <c r="C30" s="203"/>
      <c r="D30" s="203"/>
      <c r="E30" s="203"/>
      <c r="F30" s="496"/>
      <c r="G30" s="203"/>
      <c r="H30" s="203"/>
      <c r="I30" s="215"/>
      <c r="J30" s="215"/>
      <c r="K30" s="200"/>
    </row>
    <row r="31" spans="1:11" ht="15.75">
      <c r="A31" s="10"/>
      <c r="B31" s="133"/>
      <c r="C31" s="133"/>
      <c r="D31" s="133"/>
      <c r="E31" s="133"/>
      <c r="F31" s="105"/>
      <c r="G31" s="133"/>
      <c r="H31" s="133"/>
      <c r="I31" s="133"/>
      <c r="J31" s="133"/>
      <c r="K31" s="10"/>
    </row>
    <row r="32" spans="1:11" ht="15.75">
      <c r="A32" s="4"/>
      <c r="B32" s="4"/>
    </row>
    <row r="33" spans="1:2" customFormat="1" ht="15.75">
      <c r="A33" s="15">
        <v>1</v>
      </c>
      <c r="B33" s="4" t="s">
        <v>1216</v>
      </c>
    </row>
    <row r="34" spans="1:2" customFormat="1" ht="15.75">
      <c r="A34" s="15">
        <v>2</v>
      </c>
      <c r="B34" s="4" t="s">
        <v>1217</v>
      </c>
    </row>
    <row r="35" spans="1:2" customFormat="1" ht="15.75">
      <c r="A35" s="15">
        <v>3</v>
      </c>
      <c r="B35" s="4" t="s">
        <v>1218</v>
      </c>
    </row>
    <row r="36" spans="1:2" customFormat="1" ht="15.75">
      <c r="A36" s="15">
        <v>4</v>
      </c>
      <c r="B36" s="4" t="s">
        <v>1219</v>
      </c>
    </row>
    <row r="37" spans="1:2" customFormat="1" ht="15.75">
      <c r="A37" s="15">
        <v>5</v>
      </c>
      <c r="B37" s="4" t="s">
        <v>1220</v>
      </c>
    </row>
    <row r="38" spans="1:2" ht="15.75">
      <c r="A38" s="995"/>
      <c r="B38" s="50"/>
    </row>
  </sheetData>
  <phoneticPr fontId="0" type="noConversion"/>
  <printOptions horizontalCentered="1"/>
  <pageMargins left="0.25" right="0.25" top="0.5" bottom="0.5" header="0.25" footer="0.25"/>
  <pageSetup scale="60" orientation="landscape" r:id="rId1"/>
  <headerFooter alignWithMargins="0">
    <oddFooter xml:space="preserve">&amp;C&amp;12Summary of HV-LV Splits for Forecast Plant Additions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X60"/>
  <sheetViews>
    <sheetView zoomScale="80" zoomScaleNormal="80" workbookViewId="0"/>
  </sheetViews>
  <sheetFormatPr defaultRowHeight="12.75"/>
  <cols>
    <col min="1" max="1" width="5" bestFit="1" customWidth="1"/>
    <col min="2" max="2" width="76.5703125" customWidth="1"/>
    <col min="3" max="4" width="18.7109375" bestFit="1" customWidth="1"/>
    <col min="5" max="6" width="19" bestFit="1" customWidth="1"/>
    <col min="7" max="7" width="18.7109375" bestFit="1" customWidth="1"/>
    <col min="8" max="8" width="19.140625" bestFit="1" customWidth="1"/>
    <col min="9" max="11" width="19.7109375" bestFit="1" customWidth="1"/>
    <col min="12" max="12" width="19.85546875" bestFit="1" customWidth="1"/>
    <col min="13" max="13" width="18.85546875" bestFit="1" customWidth="1"/>
    <col min="14" max="14" width="18.42578125" bestFit="1" customWidth="1"/>
    <col min="15" max="15" width="19.85546875" bestFit="1" customWidth="1"/>
    <col min="16" max="16" width="37.7109375" bestFit="1" customWidth="1"/>
    <col min="17" max="17" width="5.140625" customWidth="1"/>
    <col min="19" max="20" width="17.7109375" customWidth="1"/>
  </cols>
  <sheetData>
    <row r="2" spans="1:24" ht="16.5" thickBot="1">
      <c r="A2" s="133"/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133"/>
    </row>
    <row r="3" spans="1:24" s="817" customFormat="1" ht="15.75">
      <c r="A3" s="896" t="s">
        <v>62</v>
      </c>
      <c r="B3" s="911" t="s">
        <v>595</v>
      </c>
      <c r="C3" s="1103" t="s">
        <v>1236</v>
      </c>
      <c r="D3" s="1104" t="str">
        <f>C3</f>
        <v>TO4 Cycle 2</v>
      </c>
      <c r="E3" s="1105" t="str">
        <f>C3</f>
        <v>TO4 Cycle 2</v>
      </c>
      <c r="F3" s="1106" t="str">
        <f>C3</f>
        <v>TO4 Cycle 2</v>
      </c>
      <c r="G3" s="1104" t="str">
        <f>C3</f>
        <v>TO4 Cycle 2</v>
      </c>
      <c r="H3" s="1106" t="str">
        <f>C3</f>
        <v>TO4 Cycle 2</v>
      </c>
      <c r="I3" s="1103" t="str">
        <f>C3</f>
        <v>TO4 Cycle 2</v>
      </c>
      <c r="J3" s="1104" t="str">
        <f>C3</f>
        <v>TO4 Cycle 2</v>
      </c>
      <c r="K3" s="1106" t="str">
        <f>C3</f>
        <v>TO4 Cycle 2</v>
      </c>
      <c r="L3" s="1107" t="str">
        <f>C3</f>
        <v>TO4 Cycle 2</v>
      </c>
      <c r="M3" s="1108" t="str">
        <f>C3</f>
        <v>TO4 Cycle 2</v>
      </c>
      <c r="N3" s="1105" t="str">
        <f>C3</f>
        <v>TO4 Cycle 2</v>
      </c>
      <c r="O3" s="1070"/>
      <c r="P3" s="959"/>
      <c r="Q3" s="896" t="s">
        <v>62</v>
      </c>
      <c r="S3" s="1099"/>
      <c r="T3" s="1099"/>
      <c r="U3" s="1099"/>
      <c r="V3" s="1099"/>
      <c r="W3" s="1099"/>
      <c r="X3" s="1099"/>
    </row>
    <row r="4" spans="1:24" s="817" customFormat="1" ht="16.5" thickBot="1">
      <c r="A4" s="979" t="s">
        <v>63</v>
      </c>
      <c r="B4" s="979" t="s">
        <v>596</v>
      </c>
      <c r="C4" s="980">
        <v>42005</v>
      </c>
      <c r="D4" s="981">
        <v>42036</v>
      </c>
      <c r="E4" s="982">
        <v>42064</v>
      </c>
      <c r="F4" s="983">
        <v>42095</v>
      </c>
      <c r="G4" s="984">
        <v>42125</v>
      </c>
      <c r="H4" s="985">
        <v>42156</v>
      </c>
      <c r="I4" s="980">
        <v>42186</v>
      </c>
      <c r="J4" s="981">
        <v>42217</v>
      </c>
      <c r="K4" s="986">
        <v>42248</v>
      </c>
      <c r="L4" s="980">
        <v>42278</v>
      </c>
      <c r="M4" s="981">
        <v>42309</v>
      </c>
      <c r="N4" s="982">
        <v>42339</v>
      </c>
      <c r="O4" s="1071" t="s">
        <v>67</v>
      </c>
      <c r="P4" s="987" t="s">
        <v>65</v>
      </c>
      <c r="Q4" s="979" t="s">
        <v>63</v>
      </c>
      <c r="S4" s="1099"/>
      <c r="T4" s="1099"/>
      <c r="U4" s="1099"/>
      <c r="V4" s="1099"/>
      <c r="W4" s="1099"/>
      <c r="X4" s="1099"/>
    </row>
    <row r="5" spans="1:24" ht="15.75">
      <c r="A5" s="520"/>
      <c r="B5" s="912"/>
      <c r="C5" s="920"/>
      <c r="D5" s="521"/>
      <c r="E5" s="921"/>
      <c r="F5" s="899"/>
      <c r="G5" s="522"/>
      <c r="H5" s="939"/>
      <c r="I5" s="920"/>
      <c r="J5" s="521"/>
      <c r="K5" s="955"/>
      <c r="L5" s="920"/>
      <c r="M5" s="521"/>
      <c r="N5" s="921"/>
      <c r="O5" s="1072"/>
      <c r="P5" s="34"/>
      <c r="Q5" s="520"/>
    </row>
    <row r="6" spans="1:24" ht="15.75">
      <c r="A6" s="523">
        <v>1</v>
      </c>
      <c r="B6" s="603" t="s">
        <v>597</v>
      </c>
      <c r="C6" s="922">
        <v>0</v>
      </c>
      <c r="D6" s="529">
        <f t="shared" ref="D6:N6" si="0">C34</f>
        <v>11212828.470245905</v>
      </c>
      <c r="E6" s="638">
        <f t="shared" si="0"/>
        <v>13856291.956650136</v>
      </c>
      <c r="F6" s="635">
        <f t="shared" si="0"/>
        <v>15994926.969247155</v>
      </c>
      <c r="G6" s="529">
        <f t="shared" si="0"/>
        <v>17984570.133105639</v>
      </c>
      <c r="H6" s="636">
        <f t="shared" si="0"/>
        <v>21557279.505285628</v>
      </c>
      <c r="I6" s="637">
        <f t="shared" si="0"/>
        <v>23271804.944929298</v>
      </c>
      <c r="J6" s="529">
        <f t="shared" si="0"/>
        <v>25633383.011923507</v>
      </c>
      <c r="K6" s="636">
        <f t="shared" si="0"/>
        <v>27631367.056518015</v>
      </c>
      <c r="L6" s="1085">
        <f t="shared" si="0"/>
        <v>30488434.846260022</v>
      </c>
      <c r="M6" s="529">
        <f t="shared" si="0"/>
        <v>33177425.520310033</v>
      </c>
      <c r="N6" s="639">
        <f t="shared" si="0"/>
        <v>33808616.38726151</v>
      </c>
      <c r="O6" s="1073"/>
      <c r="P6" s="758" t="s">
        <v>598</v>
      </c>
      <c r="Q6" s="523">
        <v>1</v>
      </c>
    </row>
    <row r="7" spans="1:24" ht="15.75">
      <c r="A7" s="523">
        <f t="shared" ref="A7:A42" si="1">A6+1</f>
        <v>2</v>
      </c>
      <c r="B7" s="520"/>
      <c r="C7" s="598"/>
      <c r="D7" s="524"/>
      <c r="E7" s="600"/>
      <c r="F7" s="594"/>
      <c r="G7" s="525"/>
      <c r="H7" s="595"/>
      <c r="I7" s="598"/>
      <c r="J7" s="524"/>
      <c r="K7" s="956"/>
      <c r="L7" s="1001"/>
      <c r="M7" s="1008"/>
      <c r="N7" s="1075"/>
      <c r="O7" s="599"/>
      <c r="P7" s="960"/>
      <c r="Q7" s="523">
        <f t="shared" ref="Q7:Q42" si="2">Q6+1</f>
        <v>2</v>
      </c>
    </row>
    <row r="8" spans="1:24" ht="18.75">
      <c r="A8" s="523">
        <f t="shared" si="1"/>
        <v>3</v>
      </c>
      <c r="B8" s="912" t="s">
        <v>599</v>
      </c>
      <c r="C8" s="923">
        <v>51644855.581400007</v>
      </c>
      <c r="D8" s="526">
        <v>54255949.619860001</v>
      </c>
      <c r="E8" s="689">
        <v>54082332.668619998</v>
      </c>
      <c r="F8" s="900">
        <v>55761178.648259997</v>
      </c>
      <c r="G8" s="526">
        <v>54811969.969859995</v>
      </c>
      <c r="H8" s="940">
        <v>55064598.544640005</v>
      </c>
      <c r="I8" s="923">
        <v>65103011.394170001</v>
      </c>
      <c r="J8" s="526">
        <v>67133867.804680005</v>
      </c>
      <c r="K8" s="1069">
        <v>73697635.196480006</v>
      </c>
      <c r="L8" s="1086">
        <v>74175811.299419999</v>
      </c>
      <c r="M8" s="1039">
        <v>62426914.922510006</v>
      </c>
      <c r="N8" s="1087">
        <v>57847518.01027</v>
      </c>
      <c r="O8" s="717">
        <f>SUM(C8:N8)</f>
        <v>726005643.66016996</v>
      </c>
      <c r="P8" s="960" t="s">
        <v>1370</v>
      </c>
      <c r="Q8" s="523">
        <f t="shared" si="2"/>
        <v>3</v>
      </c>
    </row>
    <row r="9" spans="1:24" ht="15.75">
      <c r="A9" s="523">
        <f t="shared" si="1"/>
        <v>4</v>
      </c>
      <c r="B9" s="520"/>
      <c r="C9" s="623"/>
      <c r="D9" s="210"/>
      <c r="E9" s="625"/>
      <c r="F9" s="211"/>
      <c r="G9" s="498"/>
      <c r="H9" s="620"/>
      <c r="I9" s="950"/>
      <c r="J9" s="498"/>
      <c r="K9" s="957"/>
      <c r="L9" s="950"/>
      <c r="M9" s="498"/>
      <c r="N9" s="622"/>
      <c r="O9" s="624"/>
      <c r="P9" s="960"/>
      <c r="Q9" s="523">
        <f t="shared" si="2"/>
        <v>4</v>
      </c>
    </row>
    <row r="10" spans="1:24" ht="15.75">
      <c r="A10" s="523">
        <f t="shared" si="1"/>
        <v>5</v>
      </c>
      <c r="B10" s="913" t="s">
        <v>706</v>
      </c>
      <c r="C10" s="623"/>
      <c r="D10" s="210"/>
      <c r="E10" s="625"/>
      <c r="F10" s="211"/>
      <c r="G10" s="498"/>
      <c r="H10" s="620"/>
      <c r="I10" s="623"/>
      <c r="J10" s="210"/>
      <c r="K10" s="957"/>
      <c r="L10" s="623"/>
      <c r="M10" s="210"/>
      <c r="N10" s="625"/>
      <c r="O10" s="624"/>
      <c r="P10" s="961"/>
      <c r="Q10" s="523">
        <f t="shared" si="2"/>
        <v>5</v>
      </c>
    </row>
    <row r="11" spans="1:24" ht="15.75">
      <c r="A11" s="523">
        <f t="shared" si="1"/>
        <v>6</v>
      </c>
      <c r="B11" s="914" t="s">
        <v>707</v>
      </c>
      <c r="C11" s="623"/>
      <c r="D11" s="210"/>
      <c r="E11" s="625"/>
      <c r="F11" s="211"/>
      <c r="G11" s="498"/>
      <c r="H11" s="620"/>
      <c r="I11" s="623"/>
      <c r="J11" s="210"/>
      <c r="K11" s="957"/>
      <c r="L11" s="623"/>
      <c r="M11" s="210"/>
      <c r="N11" s="625"/>
      <c r="O11" s="624"/>
      <c r="P11" s="961"/>
      <c r="Q11" s="523">
        <f t="shared" si="2"/>
        <v>6</v>
      </c>
    </row>
    <row r="12" spans="1:24" ht="18.75">
      <c r="A12" s="523">
        <f t="shared" si="1"/>
        <v>7</v>
      </c>
      <c r="B12" s="1110" t="s">
        <v>1296</v>
      </c>
      <c r="C12" s="924">
        <v>-6646982</v>
      </c>
      <c r="D12" s="462">
        <v>-6175545</v>
      </c>
      <c r="E12" s="925">
        <v>-5929542</v>
      </c>
      <c r="F12" s="901">
        <v>-6102454</v>
      </c>
      <c r="G12" s="462">
        <v>-5989392</v>
      </c>
      <c r="H12" s="941">
        <v>-5757758</v>
      </c>
      <c r="I12" s="924">
        <v>-6969286</v>
      </c>
      <c r="J12" s="462">
        <v>-7101888</v>
      </c>
      <c r="K12" s="450">
        <v>-7720187</v>
      </c>
      <c r="L12" s="924">
        <v>-7785403</v>
      </c>
      <c r="M12" s="462">
        <v>-6764811</v>
      </c>
      <c r="N12" s="951">
        <v>-7064678</v>
      </c>
      <c r="O12" s="952">
        <f>SUM(C12:N12)</f>
        <v>-80007926</v>
      </c>
      <c r="P12" s="960" t="s">
        <v>1371</v>
      </c>
      <c r="Q12" s="523">
        <f t="shared" si="2"/>
        <v>7</v>
      </c>
    </row>
    <row r="13" spans="1:24" ht="18.75">
      <c r="A13" s="523">
        <f t="shared" si="1"/>
        <v>8</v>
      </c>
      <c r="B13" s="1110" t="s">
        <v>1297</v>
      </c>
      <c r="C13" s="924">
        <v>-299864</v>
      </c>
      <c r="D13" s="462">
        <v>-278596</v>
      </c>
      <c r="E13" s="925">
        <v>-267498</v>
      </c>
      <c r="F13" s="901">
        <v>-275299</v>
      </c>
      <c r="G13" s="462">
        <v>-270198</v>
      </c>
      <c r="H13" s="941">
        <v>-259748</v>
      </c>
      <c r="I13" s="924">
        <v>-314404</v>
      </c>
      <c r="J13" s="462">
        <v>-320386</v>
      </c>
      <c r="K13" s="450">
        <v>-348279</v>
      </c>
      <c r="L13" s="924">
        <v>-351221</v>
      </c>
      <c r="M13" s="462">
        <v>-305179</v>
      </c>
      <c r="N13" s="951">
        <v>-284212</v>
      </c>
      <c r="O13" s="952">
        <f>SUM(C13:N13)</f>
        <v>-3574884</v>
      </c>
      <c r="P13" s="960" t="s">
        <v>1372</v>
      </c>
      <c r="Q13" s="523">
        <f t="shared" si="2"/>
        <v>8</v>
      </c>
    </row>
    <row r="14" spans="1:24" ht="15.75">
      <c r="A14" s="523">
        <f t="shared" si="1"/>
        <v>9</v>
      </c>
      <c r="B14" s="520"/>
      <c r="C14" s="623"/>
      <c r="D14" s="210"/>
      <c r="E14" s="625"/>
      <c r="F14" s="211"/>
      <c r="G14" s="498"/>
      <c r="H14" s="620"/>
      <c r="I14" s="623"/>
      <c r="J14" s="210"/>
      <c r="K14" s="957"/>
      <c r="L14" s="623"/>
      <c r="M14" s="210"/>
      <c r="N14" s="625"/>
      <c r="O14" s="624"/>
      <c r="P14" s="962"/>
      <c r="Q14" s="523">
        <f t="shared" si="2"/>
        <v>9</v>
      </c>
    </row>
    <row r="15" spans="1:24" ht="18.75">
      <c r="A15" s="523">
        <f t="shared" si="1"/>
        <v>10</v>
      </c>
      <c r="B15" s="1109" t="s">
        <v>1298</v>
      </c>
      <c r="C15" s="924">
        <v>-499773</v>
      </c>
      <c r="D15" s="462">
        <v>-464327</v>
      </c>
      <c r="E15" s="925">
        <v>-445830</v>
      </c>
      <c r="F15" s="901">
        <v>-458831</v>
      </c>
      <c r="G15" s="462">
        <v>-450330</v>
      </c>
      <c r="H15" s="941">
        <v>-432914</v>
      </c>
      <c r="I15" s="924">
        <v>-524006</v>
      </c>
      <c r="J15" s="462">
        <v>-533977</v>
      </c>
      <c r="K15" s="450">
        <v>-580465</v>
      </c>
      <c r="L15" s="924">
        <v>-585369</v>
      </c>
      <c r="M15" s="462">
        <v>-508632</v>
      </c>
      <c r="N15" s="951">
        <v>-534237</v>
      </c>
      <c r="O15" s="952">
        <f>SUM(C15:N15)</f>
        <v>-6018691</v>
      </c>
      <c r="P15" s="960" t="s">
        <v>1373</v>
      </c>
      <c r="Q15" s="523">
        <f t="shared" si="2"/>
        <v>10</v>
      </c>
    </row>
    <row r="16" spans="1:24" ht="18.75">
      <c r="A16" s="523">
        <f t="shared" si="1"/>
        <v>11</v>
      </c>
      <c r="B16" s="1109" t="s">
        <v>1299</v>
      </c>
      <c r="C16" s="924">
        <v>0</v>
      </c>
      <c r="D16" s="462">
        <v>0</v>
      </c>
      <c r="E16" s="925">
        <v>0</v>
      </c>
      <c r="F16" s="901">
        <v>0</v>
      </c>
      <c r="G16" s="462">
        <v>0</v>
      </c>
      <c r="H16" s="941">
        <v>0</v>
      </c>
      <c r="I16" s="924">
        <v>0</v>
      </c>
      <c r="J16" s="462">
        <v>0</v>
      </c>
      <c r="K16" s="450">
        <v>0</v>
      </c>
      <c r="L16" s="924">
        <v>0</v>
      </c>
      <c r="M16" s="462">
        <v>0</v>
      </c>
      <c r="N16" s="951">
        <v>0</v>
      </c>
      <c r="O16" s="952">
        <f>SUM(C16:N16)</f>
        <v>0</v>
      </c>
      <c r="P16" s="960" t="s">
        <v>1374</v>
      </c>
      <c r="Q16" s="523">
        <f t="shared" si="2"/>
        <v>11</v>
      </c>
    </row>
    <row r="17" spans="1:17" ht="15.75">
      <c r="A17" s="523">
        <f t="shared" si="1"/>
        <v>12</v>
      </c>
      <c r="B17" s="520"/>
      <c r="C17" s="621"/>
      <c r="D17" s="498"/>
      <c r="E17" s="622"/>
      <c r="F17" s="749"/>
      <c r="G17" s="498"/>
      <c r="H17" s="620"/>
      <c r="I17" s="621"/>
      <c r="J17" s="498"/>
      <c r="K17" s="695"/>
      <c r="L17" s="621"/>
      <c r="M17" s="498"/>
      <c r="N17" s="952"/>
      <c r="O17" s="952"/>
      <c r="P17" s="960"/>
      <c r="Q17" s="523">
        <f t="shared" si="2"/>
        <v>12</v>
      </c>
    </row>
    <row r="18" spans="1:17" ht="15.75">
      <c r="A18" s="523">
        <f t="shared" si="1"/>
        <v>13</v>
      </c>
      <c r="B18" s="520"/>
      <c r="C18" s="926"/>
      <c r="D18" s="491"/>
      <c r="E18" s="927"/>
      <c r="F18" s="527"/>
      <c r="G18" s="491"/>
      <c r="H18" s="942"/>
      <c r="I18" s="953"/>
      <c r="J18" s="528"/>
      <c r="K18" s="999"/>
      <c r="L18" s="953"/>
      <c r="M18" s="1088"/>
      <c r="N18" s="927"/>
      <c r="O18" s="1074"/>
      <c r="P18" s="960"/>
      <c r="Q18" s="523">
        <f t="shared" si="2"/>
        <v>13</v>
      </c>
    </row>
    <row r="19" spans="1:17" ht="15.75">
      <c r="A19" s="523">
        <f t="shared" si="1"/>
        <v>14</v>
      </c>
      <c r="B19" s="520" t="s">
        <v>601</v>
      </c>
      <c r="C19" s="928">
        <f>SUM(C12:C18)</f>
        <v>-7446619</v>
      </c>
      <c r="D19" s="498">
        <f t="shared" ref="D19:O19" si="3">SUM(D12:D18)</f>
        <v>-6918468</v>
      </c>
      <c r="E19" s="622">
        <f t="shared" si="3"/>
        <v>-6642870</v>
      </c>
      <c r="F19" s="695">
        <f t="shared" si="3"/>
        <v>-6836584</v>
      </c>
      <c r="G19" s="498">
        <f t="shared" si="3"/>
        <v>-6709920</v>
      </c>
      <c r="H19" s="620">
        <f t="shared" si="3"/>
        <v>-6450420</v>
      </c>
      <c r="I19" s="928">
        <f t="shared" si="3"/>
        <v>-7807696</v>
      </c>
      <c r="J19" s="498">
        <f t="shared" si="3"/>
        <v>-7956251</v>
      </c>
      <c r="K19" s="620">
        <f t="shared" si="3"/>
        <v>-8648931</v>
      </c>
      <c r="L19" s="930">
        <f t="shared" si="3"/>
        <v>-8721993</v>
      </c>
      <c r="M19" s="708">
        <f t="shared" si="3"/>
        <v>-7578622</v>
      </c>
      <c r="N19" s="622">
        <f t="shared" si="3"/>
        <v>-7883127</v>
      </c>
      <c r="O19" s="952">
        <f t="shared" si="3"/>
        <v>-89601501</v>
      </c>
      <c r="P19" s="960" t="s">
        <v>602</v>
      </c>
      <c r="Q19" s="523">
        <f t="shared" si="2"/>
        <v>14</v>
      </c>
    </row>
    <row r="20" spans="1:17" ht="15.75">
      <c r="A20" s="523">
        <f t="shared" si="1"/>
        <v>15</v>
      </c>
      <c r="B20" s="520"/>
      <c r="C20" s="929"/>
      <c r="D20" s="489"/>
      <c r="E20" s="687"/>
      <c r="F20" s="490"/>
      <c r="G20" s="489"/>
      <c r="H20" s="943"/>
      <c r="I20" s="929"/>
      <c r="J20" s="489"/>
      <c r="K20" s="943"/>
      <c r="L20" s="929"/>
      <c r="M20" s="489"/>
      <c r="N20" s="687"/>
      <c r="O20" s="1074"/>
      <c r="P20" s="960"/>
      <c r="Q20" s="523">
        <f t="shared" si="2"/>
        <v>15</v>
      </c>
    </row>
    <row r="21" spans="1:17" ht="18.75">
      <c r="A21" s="523">
        <f t="shared" si="1"/>
        <v>16</v>
      </c>
      <c r="B21" s="912" t="s">
        <v>708</v>
      </c>
      <c r="C21" s="930">
        <f t="shared" ref="C21:N21" si="4">C8+C19</f>
        <v>44198236.581400007</v>
      </c>
      <c r="D21" s="708">
        <f t="shared" si="4"/>
        <v>47337481.619860001</v>
      </c>
      <c r="E21" s="931">
        <f t="shared" si="4"/>
        <v>47439462.668619998</v>
      </c>
      <c r="F21" s="902">
        <f t="shared" si="4"/>
        <v>48924594.648259997</v>
      </c>
      <c r="G21" s="708">
        <f t="shared" si="4"/>
        <v>48102049.969859995</v>
      </c>
      <c r="H21" s="944">
        <f t="shared" si="4"/>
        <v>48614178.544640005</v>
      </c>
      <c r="I21" s="930">
        <f t="shared" si="4"/>
        <v>57295315.394170001</v>
      </c>
      <c r="J21" s="708">
        <f t="shared" si="4"/>
        <v>59177616.804680005</v>
      </c>
      <c r="K21" s="944">
        <f t="shared" si="4"/>
        <v>65048704.196480006</v>
      </c>
      <c r="L21" s="930">
        <f t="shared" si="4"/>
        <v>65453818.299419999</v>
      </c>
      <c r="M21" s="708">
        <f t="shared" si="4"/>
        <v>54848292.922510006</v>
      </c>
      <c r="N21" s="931">
        <f t="shared" si="4"/>
        <v>49964391.01027</v>
      </c>
      <c r="O21" s="952">
        <f>SUM(C21:N21)</f>
        <v>636404142.66016996</v>
      </c>
      <c r="P21" s="960" t="s">
        <v>709</v>
      </c>
      <c r="Q21" s="523">
        <f t="shared" si="2"/>
        <v>16</v>
      </c>
    </row>
    <row r="22" spans="1:17" ht="15.75">
      <c r="A22" s="523">
        <f t="shared" si="1"/>
        <v>17</v>
      </c>
      <c r="B22" s="912"/>
      <c r="C22" s="598"/>
      <c r="D22" s="524"/>
      <c r="E22" s="600"/>
      <c r="F22" s="594"/>
      <c r="G22" s="525"/>
      <c r="H22" s="595"/>
      <c r="I22" s="598"/>
      <c r="J22" s="524"/>
      <c r="K22" s="956"/>
      <c r="L22" s="598"/>
      <c r="M22" s="524"/>
      <c r="N22" s="600"/>
      <c r="O22" s="632"/>
      <c r="P22" s="960"/>
      <c r="Q22" s="523">
        <f t="shared" si="2"/>
        <v>17</v>
      </c>
    </row>
    <row r="23" spans="1:17" ht="15.75">
      <c r="A23" s="523">
        <f t="shared" si="1"/>
        <v>18</v>
      </c>
      <c r="B23" s="912" t="s">
        <v>603</v>
      </c>
      <c r="C23" s="923">
        <v>55395389.038206384</v>
      </c>
      <c r="D23" s="526">
        <v>49949686.968436494</v>
      </c>
      <c r="E23" s="689">
        <v>49536495.633211516</v>
      </c>
      <c r="F23" s="900">
        <v>50868427.335174181</v>
      </c>
      <c r="G23" s="526">
        <v>51619606.236229815</v>
      </c>
      <c r="H23" s="940">
        <v>50268538.54529196</v>
      </c>
      <c r="I23" s="923">
        <v>59588521.918184787</v>
      </c>
      <c r="J23" s="526">
        <v>61101325.624813281</v>
      </c>
      <c r="K23" s="1069">
        <v>67827800.661214113</v>
      </c>
      <c r="L23" s="1086">
        <v>68053801.379588246</v>
      </c>
      <c r="M23" s="1039">
        <v>55389414.546867244</v>
      </c>
      <c r="N23" s="1087">
        <v>53106222.628680766</v>
      </c>
      <c r="O23" s="717">
        <f>SUM(C23:N23)</f>
        <v>672705230.5158987</v>
      </c>
      <c r="P23" s="960" t="s">
        <v>600</v>
      </c>
      <c r="Q23" s="523">
        <f t="shared" si="2"/>
        <v>18</v>
      </c>
    </row>
    <row r="24" spans="1:17" ht="15.75">
      <c r="A24" s="523">
        <f t="shared" si="1"/>
        <v>19</v>
      </c>
      <c r="B24" s="912"/>
      <c r="C24" s="598"/>
      <c r="D24" s="524"/>
      <c r="E24" s="600"/>
      <c r="F24" s="594"/>
      <c r="G24" s="525"/>
      <c r="H24" s="595"/>
      <c r="I24" s="598"/>
      <c r="J24" s="524"/>
      <c r="K24" s="997"/>
      <c r="L24" s="1001"/>
      <c r="M24" s="998"/>
      <c r="N24" s="1075"/>
      <c r="O24" s="1075"/>
      <c r="P24" s="960"/>
      <c r="Q24" s="523">
        <f t="shared" si="2"/>
        <v>19</v>
      </c>
    </row>
    <row r="25" spans="1:17" ht="15.75">
      <c r="A25" s="523">
        <f t="shared" si="1"/>
        <v>20</v>
      </c>
      <c r="B25" s="915" t="s">
        <v>604</v>
      </c>
      <c r="C25" s="715">
        <f t="shared" ref="C25:M25" si="5">C23-C21</f>
        <v>11197152.456806377</v>
      </c>
      <c r="D25" s="713">
        <f t="shared" si="5"/>
        <v>2612205.3485764936</v>
      </c>
      <c r="E25" s="716">
        <f t="shared" si="5"/>
        <v>2097032.964591518</v>
      </c>
      <c r="F25" s="712">
        <f t="shared" si="5"/>
        <v>1943832.6869141832</v>
      </c>
      <c r="G25" s="713">
        <f t="shared" si="5"/>
        <v>3517556.2663698196</v>
      </c>
      <c r="H25" s="714">
        <f t="shared" si="5"/>
        <v>1654360.0006519556</v>
      </c>
      <c r="I25" s="715">
        <f t="shared" si="5"/>
        <v>2293206.5240147859</v>
      </c>
      <c r="J25" s="713">
        <f t="shared" si="5"/>
        <v>1923708.8201332763</v>
      </c>
      <c r="K25" s="714">
        <f t="shared" si="5"/>
        <v>2779096.4647341073</v>
      </c>
      <c r="L25" s="715">
        <f t="shared" si="5"/>
        <v>2599983.0801682472</v>
      </c>
      <c r="M25" s="1089">
        <f t="shared" si="5"/>
        <v>541121.62435723841</v>
      </c>
      <c r="N25" s="716">
        <f>N23-N21</f>
        <v>3141831.6184107661</v>
      </c>
      <c r="O25" s="717">
        <f>SUM(C25:N25)</f>
        <v>36301087.855728768</v>
      </c>
      <c r="P25" s="758" t="s">
        <v>605</v>
      </c>
      <c r="Q25" s="523">
        <f t="shared" si="2"/>
        <v>20</v>
      </c>
    </row>
    <row r="26" spans="1:17" ht="16.5" thickBot="1">
      <c r="A26" s="530">
        <f t="shared" si="1"/>
        <v>21</v>
      </c>
      <c r="B26" s="648"/>
      <c r="C26" s="932"/>
      <c r="D26" s="531"/>
      <c r="E26" s="933"/>
      <c r="F26" s="903"/>
      <c r="G26" s="532"/>
      <c r="H26" s="945"/>
      <c r="I26" s="932"/>
      <c r="J26" s="531"/>
      <c r="K26" s="1002"/>
      <c r="L26" s="1007"/>
      <c r="M26" s="1006"/>
      <c r="N26" s="1090"/>
      <c r="O26" s="1076"/>
      <c r="P26" s="963"/>
      <c r="Q26" s="530">
        <f t="shared" si="2"/>
        <v>21</v>
      </c>
    </row>
    <row r="27" spans="1:17" ht="15.75">
      <c r="A27" s="523">
        <f t="shared" si="1"/>
        <v>22</v>
      </c>
      <c r="B27" s="520" t="s">
        <v>606</v>
      </c>
      <c r="C27" s="631"/>
      <c r="D27" s="533"/>
      <c r="E27" s="633"/>
      <c r="F27" s="627"/>
      <c r="G27" s="534"/>
      <c r="H27" s="628"/>
      <c r="I27" s="631"/>
      <c r="J27" s="533"/>
      <c r="K27" s="958"/>
      <c r="L27" s="631"/>
      <c r="M27" s="533"/>
      <c r="N27" s="633"/>
      <c r="O27" s="632"/>
      <c r="P27" s="964"/>
      <c r="Q27" s="523">
        <f t="shared" si="2"/>
        <v>22</v>
      </c>
    </row>
    <row r="28" spans="1:17" ht="15.75">
      <c r="A28" s="523">
        <f t="shared" si="1"/>
        <v>23</v>
      </c>
      <c r="B28" s="520" t="s">
        <v>607</v>
      </c>
      <c r="C28" s="637">
        <f>$C6</f>
        <v>0</v>
      </c>
      <c r="D28" s="529">
        <f>$C6</f>
        <v>0</v>
      </c>
      <c r="E28" s="638">
        <f>$C6</f>
        <v>0</v>
      </c>
      <c r="F28" s="635">
        <f>$F6</f>
        <v>15994926.969247155</v>
      </c>
      <c r="G28" s="529">
        <f>$F6</f>
        <v>15994926.969247155</v>
      </c>
      <c r="H28" s="636">
        <f>$F6</f>
        <v>15994926.969247155</v>
      </c>
      <c r="I28" s="637">
        <f>$I6</f>
        <v>23271804.944929298</v>
      </c>
      <c r="J28" s="529">
        <f>$I6</f>
        <v>23271804.944929298</v>
      </c>
      <c r="K28" s="636">
        <f>$I6</f>
        <v>23271804.944929298</v>
      </c>
      <c r="L28" s="637">
        <f>$L6</f>
        <v>30488434.846260022</v>
      </c>
      <c r="M28" s="529">
        <f>$L6</f>
        <v>30488434.846260022</v>
      </c>
      <c r="N28" s="638">
        <f>$L6</f>
        <v>30488434.846260022</v>
      </c>
      <c r="O28" s="632"/>
      <c r="P28" s="965" t="s">
        <v>608</v>
      </c>
      <c r="Q28" s="523">
        <f t="shared" si="2"/>
        <v>23</v>
      </c>
    </row>
    <row r="29" spans="1:17" ht="15.75">
      <c r="A29" s="523">
        <f t="shared" si="1"/>
        <v>24</v>
      </c>
      <c r="B29" s="520" t="s">
        <v>609</v>
      </c>
      <c r="C29" s="720">
        <f>C25/2</f>
        <v>5598576.2284031883</v>
      </c>
      <c r="D29" s="709">
        <f>C25+(D25/2)</f>
        <v>12503255.131094623</v>
      </c>
      <c r="E29" s="721">
        <f>C25+D25+(E25/2)</f>
        <v>14857874.287678629</v>
      </c>
      <c r="F29" s="718">
        <f>F25/2</f>
        <v>971916.3434570916</v>
      </c>
      <c r="G29" s="709">
        <f>F25+(G25/2)</f>
        <v>3702610.820099093</v>
      </c>
      <c r="H29" s="719">
        <f>(F25+G25+(H25/2))</f>
        <v>6288568.9536099806</v>
      </c>
      <c r="I29" s="720">
        <f>I25/2</f>
        <v>1146603.2620073929</v>
      </c>
      <c r="J29" s="709">
        <f>I25+(J25/2)</f>
        <v>3255060.934081424</v>
      </c>
      <c r="K29" s="719">
        <f>I25+J25+(K25/2)</f>
        <v>5606463.5765151158</v>
      </c>
      <c r="L29" s="720">
        <f>L25/2</f>
        <v>1299991.5400841236</v>
      </c>
      <c r="M29" s="1091">
        <f>L25+(M25/2)</f>
        <v>2870543.8923468664</v>
      </c>
      <c r="N29" s="721">
        <f>L25+M25+(N25/2)</f>
        <v>4712020.5137308687</v>
      </c>
      <c r="O29" s="1077"/>
      <c r="P29" s="965" t="s">
        <v>610</v>
      </c>
      <c r="Q29" s="523">
        <f t="shared" si="2"/>
        <v>24</v>
      </c>
    </row>
    <row r="30" spans="1:17" ht="15.75">
      <c r="A30" s="523">
        <f t="shared" si="1"/>
        <v>25</v>
      </c>
      <c r="B30" s="520" t="s">
        <v>611</v>
      </c>
      <c r="C30" s="629">
        <f t="shared" ref="C30:N30" si="6">C28+C29</f>
        <v>5598576.2284031883</v>
      </c>
      <c r="D30" s="534">
        <f t="shared" si="6"/>
        <v>12503255.131094623</v>
      </c>
      <c r="E30" s="630">
        <f t="shared" si="6"/>
        <v>14857874.287678629</v>
      </c>
      <c r="F30" s="904">
        <f t="shared" si="6"/>
        <v>16966843.312704246</v>
      </c>
      <c r="G30" s="534">
        <f t="shared" si="6"/>
        <v>19697537.789346248</v>
      </c>
      <c r="H30" s="628">
        <f t="shared" si="6"/>
        <v>22283495.922857136</v>
      </c>
      <c r="I30" s="629">
        <f t="shared" si="6"/>
        <v>24418408.206936691</v>
      </c>
      <c r="J30" s="534">
        <f t="shared" si="6"/>
        <v>26526865.879010722</v>
      </c>
      <c r="K30" s="628">
        <f t="shared" si="6"/>
        <v>28878268.521444414</v>
      </c>
      <c r="L30" s="629">
        <f t="shared" si="6"/>
        <v>31788426.386344146</v>
      </c>
      <c r="M30" s="534">
        <f t="shared" si="6"/>
        <v>33358978.738606889</v>
      </c>
      <c r="N30" s="630">
        <f t="shared" si="6"/>
        <v>35200455.359990895</v>
      </c>
      <c r="O30" s="632"/>
      <c r="P30" s="965" t="s">
        <v>612</v>
      </c>
      <c r="Q30" s="523">
        <f t="shared" si="2"/>
        <v>25</v>
      </c>
    </row>
    <row r="31" spans="1:17" ht="15.75">
      <c r="A31" s="523">
        <f t="shared" si="1"/>
        <v>26</v>
      </c>
      <c r="B31" s="520" t="s">
        <v>613</v>
      </c>
      <c r="C31" s="645">
        <f t="shared" ref="C31:N31" si="7">C41</f>
        <v>2.8E-3</v>
      </c>
      <c r="D31" s="643">
        <f t="shared" si="7"/>
        <v>2.5000000000000001E-3</v>
      </c>
      <c r="E31" s="646">
        <f t="shared" si="7"/>
        <v>2.8E-3</v>
      </c>
      <c r="F31" s="642">
        <f t="shared" si="7"/>
        <v>2.7000000000000001E-3</v>
      </c>
      <c r="G31" s="643">
        <f t="shared" si="7"/>
        <v>2.8E-3</v>
      </c>
      <c r="H31" s="644">
        <f t="shared" si="7"/>
        <v>2.7000000000000001E-3</v>
      </c>
      <c r="I31" s="645">
        <f t="shared" si="7"/>
        <v>2.8E-3</v>
      </c>
      <c r="J31" s="643">
        <f t="shared" si="7"/>
        <v>2.8E-3</v>
      </c>
      <c r="K31" s="644">
        <f t="shared" si="7"/>
        <v>2.7000000000000001E-3</v>
      </c>
      <c r="L31" s="645">
        <f t="shared" si="7"/>
        <v>2.8E-3</v>
      </c>
      <c r="M31" s="1092">
        <f t="shared" si="7"/>
        <v>2.7000000000000001E-3</v>
      </c>
      <c r="N31" s="646">
        <f t="shared" si="7"/>
        <v>2.8E-3</v>
      </c>
      <c r="O31" s="1077"/>
      <c r="P31" s="965" t="s">
        <v>614</v>
      </c>
      <c r="Q31" s="523">
        <f t="shared" si="2"/>
        <v>26</v>
      </c>
    </row>
    <row r="32" spans="1:17" ht="15.75">
      <c r="A32" s="523">
        <f t="shared" si="1"/>
        <v>27</v>
      </c>
      <c r="B32" s="912" t="s">
        <v>615</v>
      </c>
      <c r="C32" s="761">
        <f t="shared" ref="C32:N32" si="8">C30*C31</f>
        <v>15676.013439528928</v>
      </c>
      <c r="D32" s="755">
        <f t="shared" si="8"/>
        <v>31258.137827736558</v>
      </c>
      <c r="E32" s="762">
        <f t="shared" si="8"/>
        <v>41602.048005500161</v>
      </c>
      <c r="F32" s="759">
        <f t="shared" si="8"/>
        <v>45810.476944301467</v>
      </c>
      <c r="G32" s="755">
        <f t="shared" si="8"/>
        <v>55153.105810169494</v>
      </c>
      <c r="H32" s="760">
        <f t="shared" si="8"/>
        <v>60165.438991714269</v>
      </c>
      <c r="I32" s="761">
        <f t="shared" si="8"/>
        <v>68371.542979422738</v>
      </c>
      <c r="J32" s="755">
        <f t="shared" si="8"/>
        <v>74275.224461230027</v>
      </c>
      <c r="K32" s="760">
        <f t="shared" si="8"/>
        <v>77971.325007899926</v>
      </c>
      <c r="L32" s="761">
        <f t="shared" si="8"/>
        <v>89007.593881763605</v>
      </c>
      <c r="M32" s="755">
        <f t="shared" si="8"/>
        <v>90069.242594238603</v>
      </c>
      <c r="N32" s="762">
        <f t="shared" si="8"/>
        <v>98561.275007974502</v>
      </c>
      <c r="O32" s="763">
        <f>SUM(C32:N32)</f>
        <v>747921.42495148024</v>
      </c>
      <c r="P32" s="965" t="s">
        <v>616</v>
      </c>
      <c r="Q32" s="523">
        <f t="shared" si="2"/>
        <v>27</v>
      </c>
    </row>
    <row r="33" spans="1:17" ht="16.5" thickBot="1">
      <c r="A33" s="523">
        <f t="shared" si="1"/>
        <v>28</v>
      </c>
      <c r="B33" s="520"/>
      <c r="C33" s="631"/>
      <c r="D33" s="533"/>
      <c r="E33" s="633"/>
      <c r="F33" s="627"/>
      <c r="G33" s="534"/>
      <c r="H33" s="628"/>
      <c r="I33" s="631"/>
      <c r="J33" s="533"/>
      <c r="K33" s="1041"/>
      <c r="L33" s="1042"/>
      <c r="M33" s="1043"/>
      <c r="N33" s="1093"/>
      <c r="O33" s="1078"/>
      <c r="P33" s="965"/>
      <c r="Q33" s="523">
        <f t="shared" si="2"/>
        <v>28</v>
      </c>
    </row>
    <row r="34" spans="1:17" ht="16.5" thickBot="1">
      <c r="A34" s="523">
        <f t="shared" si="1"/>
        <v>29</v>
      </c>
      <c r="B34" s="603" t="s">
        <v>617</v>
      </c>
      <c r="C34" s="934">
        <f>C6+C25+C32</f>
        <v>11212828.470245905</v>
      </c>
      <c r="D34" s="756">
        <f>D6+D25+D32</f>
        <v>13856291.956650136</v>
      </c>
      <c r="E34" s="935">
        <f>E6+E25+E32</f>
        <v>15994926.969247155</v>
      </c>
      <c r="F34" s="905">
        <f>F6+F25+F32</f>
        <v>17984570.133105639</v>
      </c>
      <c r="G34" s="756">
        <f t="shared" ref="G34:O34" si="9">G6+G25+G32</f>
        <v>21557279.505285628</v>
      </c>
      <c r="H34" s="757">
        <f t="shared" si="9"/>
        <v>23271804.944929298</v>
      </c>
      <c r="I34" s="934">
        <f t="shared" si="9"/>
        <v>25633383.011923507</v>
      </c>
      <c r="J34" s="756">
        <f t="shared" si="9"/>
        <v>27631367.056518015</v>
      </c>
      <c r="K34" s="757">
        <f t="shared" si="9"/>
        <v>30488434.846260022</v>
      </c>
      <c r="L34" s="934">
        <f t="shared" si="9"/>
        <v>33177425.520310033</v>
      </c>
      <c r="M34" s="756">
        <f t="shared" si="9"/>
        <v>33808616.38726151</v>
      </c>
      <c r="N34" s="935">
        <f t="shared" si="9"/>
        <v>37049009.280680254</v>
      </c>
      <c r="O34" s="1097">
        <f t="shared" si="9"/>
        <v>37049009.280680247</v>
      </c>
      <c r="P34" s="758" t="s">
        <v>618</v>
      </c>
      <c r="Q34" s="523">
        <f t="shared" si="2"/>
        <v>29</v>
      </c>
    </row>
    <row r="35" spans="1:17" ht="17.25" thickTop="1" thickBot="1">
      <c r="A35" s="530">
        <f t="shared" si="1"/>
        <v>30</v>
      </c>
      <c r="B35" s="648"/>
      <c r="C35" s="936"/>
      <c r="D35" s="535"/>
      <c r="E35" s="937"/>
      <c r="F35" s="917"/>
      <c r="G35" s="536"/>
      <c r="H35" s="946"/>
      <c r="I35" s="954"/>
      <c r="J35" s="537"/>
      <c r="K35" s="1046"/>
      <c r="L35" s="1047"/>
      <c r="M35" s="1046"/>
      <c r="N35" s="1094"/>
      <c r="O35" s="1078"/>
      <c r="P35" s="966"/>
      <c r="Q35" s="530">
        <f t="shared" si="2"/>
        <v>30</v>
      </c>
    </row>
    <row r="36" spans="1:17" ht="15.75">
      <c r="A36" s="523">
        <f t="shared" si="1"/>
        <v>31</v>
      </c>
      <c r="B36" s="916"/>
      <c r="C36" s="568">
        <f t="shared" ref="C36:N36" si="10">C4</f>
        <v>42005</v>
      </c>
      <c r="D36" s="518">
        <f t="shared" si="10"/>
        <v>42036</v>
      </c>
      <c r="E36" s="570">
        <f t="shared" si="10"/>
        <v>42064</v>
      </c>
      <c r="F36" s="564">
        <f t="shared" si="10"/>
        <v>42095</v>
      </c>
      <c r="G36" s="518">
        <f t="shared" si="10"/>
        <v>42125</v>
      </c>
      <c r="H36" s="651">
        <f t="shared" si="10"/>
        <v>42156</v>
      </c>
      <c r="I36" s="568">
        <f t="shared" si="10"/>
        <v>42186</v>
      </c>
      <c r="J36" s="518">
        <f t="shared" si="10"/>
        <v>42217</v>
      </c>
      <c r="K36" s="651">
        <f t="shared" si="10"/>
        <v>42248</v>
      </c>
      <c r="L36" s="568">
        <f t="shared" si="10"/>
        <v>42278</v>
      </c>
      <c r="M36" s="1095">
        <f t="shared" si="10"/>
        <v>42309</v>
      </c>
      <c r="N36" s="570">
        <f t="shared" si="10"/>
        <v>42339</v>
      </c>
      <c r="O36" s="1079"/>
      <c r="P36" s="967"/>
      <c r="Q36" s="523">
        <f t="shared" si="2"/>
        <v>31</v>
      </c>
    </row>
    <row r="37" spans="1:17" ht="18.75">
      <c r="A37" s="523">
        <f t="shared" si="1"/>
        <v>32</v>
      </c>
      <c r="B37" s="520" t="s">
        <v>710</v>
      </c>
      <c r="C37" s="989">
        <v>3.2500000000000001E-2</v>
      </c>
      <c r="D37" s="538">
        <v>3.2500000000000001E-2</v>
      </c>
      <c r="E37" s="655">
        <v>3.2500000000000001E-2</v>
      </c>
      <c r="F37" s="906">
        <v>3.2500000000000001E-2</v>
      </c>
      <c r="G37" s="538">
        <v>3.2500000000000001E-2</v>
      </c>
      <c r="H37" s="653">
        <v>3.2500000000000001E-2</v>
      </c>
      <c r="I37" s="654">
        <v>3.2500000000000001E-2</v>
      </c>
      <c r="J37" s="538">
        <v>3.2500000000000001E-2</v>
      </c>
      <c r="K37" s="653">
        <v>3.2500000000000001E-2</v>
      </c>
      <c r="L37" s="654">
        <v>3.2500000000000001E-2</v>
      </c>
      <c r="M37" s="538">
        <v>3.2500000000000001E-2</v>
      </c>
      <c r="N37" s="655">
        <v>3.2500000000000001E-2</v>
      </c>
      <c r="O37" s="1080"/>
      <c r="P37" s="967" t="s">
        <v>619</v>
      </c>
      <c r="Q37" s="523">
        <f t="shared" si="2"/>
        <v>32</v>
      </c>
    </row>
    <row r="38" spans="1:17" ht="15.75">
      <c r="A38" s="523">
        <f t="shared" si="1"/>
        <v>33</v>
      </c>
      <c r="B38" s="520" t="s">
        <v>880</v>
      </c>
      <c r="C38" s="938">
        <f t="shared" ref="C38:O38" si="11">$O39</f>
        <v>365</v>
      </c>
      <c r="D38" s="741">
        <f t="shared" si="11"/>
        <v>365</v>
      </c>
      <c r="E38" s="743">
        <f t="shared" si="11"/>
        <v>365</v>
      </c>
      <c r="F38" s="907">
        <f t="shared" si="11"/>
        <v>365</v>
      </c>
      <c r="G38" s="741">
        <f t="shared" si="11"/>
        <v>365</v>
      </c>
      <c r="H38" s="947">
        <f t="shared" si="11"/>
        <v>365</v>
      </c>
      <c r="I38" s="938">
        <f t="shared" si="11"/>
        <v>365</v>
      </c>
      <c r="J38" s="741">
        <f t="shared" si="11"/>
        <v>365</v>
      </c>
      <c r="K38" s="947">
        <f t="shared" si="11"/>
        <v>365</v>
      </c>
      <c r="L38" s="938">
        <f t="shared" si="11"/>
        <v>365</v>
      </c>
      <c r="M38" s="741">
        <f t="shared" si="11"/>
        <v>365</v>
      </c>
      <c r="N38" s="743">
        <f t="shared" si="11"/>
        <v>365</v>
      </c>
      <c r="O38" s="1081">
        <f t="shared" si="11"/>
        <v>365</v>
      </c>
      <c r="P38" s="967" t="s">
        <v>837</v>
      </c>
      <c r="Q38" s="523">
        <f t="shared" si="2"/>
        <v>33</v>
      </c>
    </row>
    <row r="39" spans="1:17" ht="18.75">
      <c r="A39" s="523">
        <f t="shared" si="1"/>
        <v>34</v>
      </c>
      <c r="B39" s="520" t="s">
        <v>881</v>
      </c>
      <c r="C39" s="746">
        <v>31</v>
      </c>
      <c r="D39" s="539">
        <v>28</v>
      </c>
      <c r="E39" s="745">
        <v>31</v>
      </c>
      <c r="F39" s="908">
        <v>30</v>
      </c>
      <c r="G39" s="742">
        <v>31</v>
      </c>
      <c r="H39" s="948">
        <v>30</v>
      </c>
      <c r="I39" s="746">
        <v>31</v>
      </c>
      <c r="J39" s="742">
        <v>31</v>
      </c>
      <c r="K39" s="948">
        <v>30</v>
      </c>
      <c r="L39" s="746">
        <v>31</v>
      </c>
      <c r="M39" s="742">
        <v>30</v>
      </c>
      <c r="N39" s="745">
        <v>31</v>
      </c>
      <c r="O39" s="1082">
        <f>SUM(C39:N39)</f>
        <v>365</v>
      </c>
      <c r="P39" s="967" t="s">
        <v>620</v>
      </c>
      <c r="Q39" s="523">
        <f t="shared" si="2"/>
        <v>34</v>
      </c>
    </row>
    <row r="40" spans="1:17" ht="15.75">
      <c r="A40" s="523">
        <f t="shared" si="1"/>
        <v>35</v>
      </c>
      <c r="B40" s="520" t="s">
        <v>621</v>
      </c>
      <c r="C40" s="730">
        <f t="shared" ref="C40:N40" si="12">ROUND(C37/C38*C39,4)</f>
        <v>2.8E-3</v>
      </c>
      <c r="D40" s="711">
        <f t="shared" si="12"/>
        <v>2.5000000000000001E-3</v>
      </c>
      <c r="E40" s="731">
        <f t="shared" si="12"/>
        <v>2.8E-3</v>
      </c>
      <c r="F40" s="710">
        <f t="shared" si="12"/>
        <v>2.7000000000000001E-3</v>
      </c>
      <c r="G40" s="711">
        <f t="shared" si="12"/>
        <v>2.8E-3</v>
      </c>
      <c r="H40" s="949">
        <f t="shared" si="12"/>
        <v>2.7000000000000001E-3</v>
      </c>
      <c r="I40" s="730">
        <f t="shared" si="12"/>
        <v>2.8E-3</v>
      </c>
      <c r="J40" s="711">
        <f t="shared" si="12"/>
        <v>2.8E-3</v>
      </c>
      <c r="K40" s="949">
        <f t="shared" si="12"/>
        <v>2.7000000000000001E-3</v>
      </c>
      <c r="L40" s="730">
        <f t="shared" si="12"/>
        <v>2.8E-3</v>
      </c>
      <c r="M40" s="711">
        <f t="shared" si="12"/>
        <v>2.7000000000000001E-3</v>
      </c>
      <c r="N40" s="731">
        <f t="shared" si="12"/>
        <v>2.8E-3</v>
      </c>
      <c r="O40" s="1083">
        <f>SUM(C40:N40)</f>
        <v>3.2900000000000006E-2</v>
      </c>
      <c r="P40" s="967" t="s">
        <v>622</v>
      </c>
      <c r="Q40" s="523">
        <f t="shared" si="2"/>
        <v>35</v>
      </c>
    </row>
    <row r="41" spans="1:17" ht="18.75" customHeight="1">
      <c r="A41" s="523">
        <f t="shared" si="1"/>
        <v>36</v>
      </c>
      <c r="B41" s="520" t="s">
        <v>711</v>
      </c>
      <c r="C41" s="658">
        <v>2.8E-3</v>
      </c>
      <c r="D41" s="656">
        <v>2.5000000000000001E-3</v>
      </c>
      <c r="E41" s="659">
        <v>2.8E-3</v>
      </c>
      <c r="F41" s="909">
        <v>2.7000000000000001E-3</v>
      </c>
      <c r="G41" s="656">
        <v>2.8E-3</v>
      </c>
      <c r="H41" s="657">
        <v>2.7000000000000001E-3</v>
      </c>
      <c r="I41" s="658">
        <v>2.8E-3</v>
      </c>
      <c r="J41" s="656">
        <v>2.8E-3</v>
      </c>
      <c r="K41" s="657">
        <v>2.7000000000000001E-3</v>
      </c>
      <c r="L41" s="658">
        <v>2.8E-3</v>
      </c>
      <c r="M41" s="1096">
        <v>2.7000000000000001E-3</v>
      </c>
      <c r="N41" s="659">
        <v>2.8E-3</v>
      </c>
      <c r="O41" s="1084">
        <f>SUM(C41:N41)</f>
        <v>3.2900000000000006E-2</v>
      </c>
      <c r="P41" s="967" t="s">
        <v>623</v>
      </c>
      <c r="Q41" s="523">
        <f t="shared" si="2"/>
        <v>36</v>
      </c>
    </row>
    <row r="42" spans="1:17" ht="16.5" thickBot="1">
      <c r="A42" s="530">
        <f t="shared" si="1"/>
        <v>37</v>
      </c>
      <c r="B42" s="648" t="s">
        <v>624</v>
      </c>
      <c r="C42" s="734">
        <f t="shared" ref="C42:N42" si="13">C40-C41</f>
        <v>0</v>
      </c>
      <c r="D42" s="732">
        <f t="shared" si="13"/>
        <v>0</v>
      </c>
      <c r="E42" s="735">
        <f t="shared" si="13"/>
        <v>0</v>
      </c>
      <c r="F42" s="910">
        <f t="shared" si="13"/>
        <v>0</v>
      </c>
      <c r="G42" s="732">
        <f t="shared" si="13"/>
        <v>0</v>
      </c>
      <c r="H42" s="733">
        <f t="shared" si="13"/>
        <v>0</v>
      </c>
      <c r="I42" s="734">
        <f t="shared" si="13"/>
        <v>0</v>
      </c>
      <c r="J42" s="732">
        <f t="shared" si="13"/>
        <v>0</v>
      </c>
      <c r="K42" s="733">
        <f t="shared" si="13"/>
        <v>0</v>
      </c>
      <c r="L42" s="734">
        <f t="shared" si="13"/>
        <v>0</v>
      </c>
      <c r="M42" s="732">
        <f t="shared" si="13"/>
        <v>0</v>
      </c>
      <c r="N42" s="735">
        <f t="shared" si="13"/>
        <v>0</v>
      </c>
      <c r="O42" s="740">
        <f>SUM(C42:N42)</f>
        <v>0</v>
      </c>
      <c r="P42" s="182" t="s">
        <v>625</v>
      </c>
      <c r="Q42" s="530">
        <f t="shared" si="2"/>
        <v>37</v>
      </c>
    </row>
    <row r="43" spans="1:17" ht="15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>
      <c r="A44" s="4"/>
      <c r="B44" s="76" t="s">
        <v>626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.75">
      <c r="A45" s="550" t="s">
        <v>712</v>
      </c>
      <c r="B45" s="1184" t="s">
        <v>1194</v>
      </c>
      <c r="C45" s="1184"/>
      <c r="D45" s="1184"/>
      <c r="E45" s="1184"/>
      <c r="F45" s="1184"/>
      <c r="G45" s="1184"/>
      <c r="H45" s="1184"/>
      <c r="I45" s="4"/>
      <c r="J45" s="4"/>
      <c r="K45" s="4"/>
      <c r="L45" s="4"/>
      <c r="M45" s="4"/>
      <c r="N45" s="4"/>
      <c r="O45" s="4"/>
      <c r="P45" s="4"/>
      <c r="Q45" s="4"/>
    </row>
    <row r="46" spans="1:17" ht="18.75" customHeight="1">
      <c r="A46" s="551" t="s">
        <v>627</v>
      </c>
      <c r="B46" s="1183" t="s">
        <v>713</v>
      </c>
      <c r="C46" s="1183"/>
      <c r="D46" s="1183"/>
      <c r="E46" s="1183"/>
      <c r="F46" s="1183"/>
      <c r="G46" s="1183"/>
      <c r="H46" s="1183"/>
      <c r="I46" s="4"/>
      <c r="J46" s="4"/>
      <c r="K46" s="4"/>
      <c r="L46" s="4"/>
      <c r="M46" s="4"/>
      <c r="N46" s="4"/>
      <c r="O46" s="4"/>
      <c r="P46" s="4"/>
      <c r="Q46" s="4"/>
    </row>
    <row r="47" spans="1:17" ht="18.75">
      <c r="A47" s="551" t="s">
        <v>714</v>
      </c>
      <c r="B47" s="1183" t="s">
        <v>715</v>
      </c>
      <c r="C47" s="1183"/>
      <c r="D47" s="1183"/>
      <c r="E47" s="1183"/>
      <c r="F47" s="1183"/>
      <c r="G47" s="1183"/>
      <c r="H47" s="1183"/>
      <c r="I47" s="4"/>
      <c r="J47" s="4"/>
      <c r="K47" s="4"/>
      <c r="L47" s="4"/>
      <c r="M47" s="4"/>
      <c r="N47" s="4"/>
      <c r="O47" s="4"/>
      <c r="P47" s="4"/>
      <c r="Q47" s="4"/>
    </row>
    <row r="48" spans="1:17" ht="18.75">
      <c r="A48" s="551" t="s">
        <v>716</v>
      </c>
      <c r="B48" s="1183" t="s">
        <v>717</v>
      </c>
      <c r="C48" s="1183"/>
      <c r="D48" s="1183"/>
      <c r="E48" s="1183"/>
      <c r="F48" s="1183"/>
      <c r="G48" s="1183"/>
      <c r="H48" s="1183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customHeight="1">
      <c r="A49" s="551" t="s">
        <v>718</v>
      </c>
      <c r="B49" s="1185" t="s">
        <v>719</v>
      </c>
      <c r="C49" s="1185"/>
      <c r="D49" s="1185"/>
      <c r="E49" s="1185"/>
      <c r="F49" s="1185"/>
      <c r="G49" s="1185"/>
      <c r="H49" s="1185"/>
      <c r="I49" s="4"/>
      <c r="J49" s="4"/>
      <c r="K49" s="4"/>
      <c r="L49" s="4"/>
      <c r="M49" s="4"/>
      <c r="N49" s="4"/>
      <c r="O49" s="4"/>
      <c r="P49" s="4"/>
      <c r="Q49" s="4"/>
    </row>
    <row r="50" spans="1:17" ht="18">
      <c r="A50" s="785" t="s">
        <v>882</v>
      </c>
      <c r="B50" s="1183" t="s">
        <v>883</v>
      </c>
      <c r="C50" s="1183"/>
      <c r="D50" s="1183"/>
      <c r="E50" s="1183"/>
      <c r="F50" s="1183"/>
      <c r="G50" s="1183"/>
      <c r="H50" s="1183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A51" s="995"/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A52" s="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mergeCells count="6">
    <mergeCell ref="B50:H50"/>
    <mergeCell ref="B45:H45"/>
    <mergeCell ref="B47:H47"/>
    <mergeCell ref="B46:H46"/>
    <mergeCell ref="B48:H48"/>
    <mergeCell ref="B49:H49"/>
  </mergeCells>
  <printOptions horizontalCentered="1"/>
  <pageMargins left="0" right="0" top="0.75" bottom="0.5" header="0.5" footer="0.25"/>
  <pageSetup scale="58" orientation="landscape" r:id="rId1"/>
  <headerFooter alignWithMargins="0">
    <oddHeader>&amp;C&amp;"Arial,Bold"&amp;12San Diego Gas &amp;&amp; Electric Co.
TO4 - Cycle 4 RETAIL True-Up Adjustment Calculation</oddHeader>
    <oddFooter>&amp;C&amp;A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56"/>
  <sheetViews>
    <sheetView zoomScale="80" zoomScaleNormal="80" workbookViewId="0"/>
  </sheetViews>
  <sheetFormatPr defaultRowHeight="12.75"/>
  <cols>
    <col min="1" max="1" width="5.7109375" customWidth="1"/>
    <col min="2" max="2" width="70.85546875" customWidth="1"/>
    <col min="3" max="14" width="15.7109375" customWidth="1"/>
    <col min="15" max="15" width="18.7109375" customWidth="1"/>
    <col min="16" max="16" width="48.5703125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515" t="s">
        <v>1228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75">
      <c r="A3" s="4"/>
      <c r="B3" s="515" t="s">
        <v>720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3" t="s">
        <v>62</v>
      </c>
      <c r="B5" s="554"/>
      <c r="C5" s="555" t="s">
        <v>1307</v>
      </c>
      <c r="D5" s="556" t="s">
        <v>1308</v>
      </c>
      <c r="E5" s="557" t="s">
        <v>1309</v>
      </c>
      <c r="F5" s="558" t="s">
        <v>1310</v>
      </c>
      <c r="G5" s="556" t="s">
        <v>1311</v>
      </c>
      <c r="H5" s="559" t="s">
        <v>1312</v>
      </c>
      <c r="I5" s="558" t="s">
        <v>1313</v>
      </c>
      <c r="J5" s="556" t="s">
        <v>1314</v>
      </c>
      <c r="K5" s="559" t="s">
        <v>1315</v>
      </c>
      <c r="L5" s="558" t="s">
        <v>1316</v>
      </c>
      <c r="M5" s="556" t="s">
        <v>1317</v>
      </c>
      <c r="N5" s="557" t="s">
        <v>1318</v>
      </c>
      <c r="O5" s="560" t="s">
        <v>721</v>
      </c>
      <c r="P5" s="560"/>
      <c r="Q5" s="561" t="s">
        <v>62</v>
      </c>
    </row>
    <row r="6" spans="1:19" ht="15.75">
      <c r="A6" s="562" t="s">
        <v>63</v>
      </c>
      <c r="B6" s="563" t="s">
        <v>722</v>
      </c>
      <c r="C6" s="564" t="s">
        <v>694</v>
      </c>
      <c r="D6" s="518" t="s">
        <v>695</v>
      </c>
      <c r="E6" s="565" t="s">
        <v>696</v>
      </c>
      <c r="F6" s="566" t="s">
        <v>697</v>
      </c>
      <c r="G6" s="519" t="s">
        <v>698</v>
      </c>
      <c r="H6" s="567" t="s">
        <v>699</v>
      </c>
      <c r="I6" s="568" t="s">
        <v>700</v>
      </c>
      <c r="J6" s="518" t="s">
        <v>701</v>
      </c>
      <c r="K6" s="569" t="s">
        <v>702</v>
      </c>
      <c r="L6" s="568" t="s">
        <v>703</v>
      </c>
      <c r="M6" s="518" t="s">
        <v>704</v>
      </c>
      <c r="N6" s="570" t="s">
        <v>705</v>
      </c>
      <c r="O6" s="33" t="s">
        <v>67</v>
      </c>
      <c r="P6" s="517" t="s">
        <v>65</v>
      </c>
      <c r="Q6" s="571" t="s">
        <v>63</v>
      </c>
    </row>
    <row r="7" spans="1:19" ht="15.7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22.5" thickBot="1">
      <c r="A8" s="583">
        <v>1</v>
      </c>
      <c r="B8" s="584" t="s">
        <v>1319</v>
      </c>
      <c r="C8" s="690">
        <v>27512048.916369963</v>
      </c>
      <c r="D8" s="586">
        <f>C27</f>
        <v>27589082.916369963</v>
      </c>
      <c r="E8" s="587">
        <f>D27</f>
        <v>27657862.916369963</v>
      </c>
      <c r="F8" s="588">
        <f>E27</f>
        <v>27734896.916369963</v>
      </c>
      <c r="G8" s="586">
        <f t="shared" ref="G8:N8" si="0">F27</f>
        <v>27809780.916369963</v>
      </c>
      <c r="H8" s="589">
        <f>G27</f>
        <v>27887438.916369963</v>
      </c>
      <c r="I8" s="588">
        <f t="shared" si="0"/>
        <v>27962322.916369963</v>
      </c>
      <c r="J8" s="586">
        <f t="shared" si="0"/>
        <v>28040617.916369963</v>
      </c>
      <c r="K8" s="590">
        <f t="shared" si="0"/>
        <v>28118912.916369963</v>
      </c>
      <c r="L8" s="588">
        <f t="shared" si="0"/>
        <v>28194410.916369963</v>
      </c>
      <c r="M8" s="586">
        <f t="shared" si="0"/>
        <v>28273354.916369963</v>
      </c>
      <c r="N8" s="589">
        <f t="shared" si="0"/>
        <v>28349479.916369963</v>
      </c>
      <c r="O8" s="686"/>
      <c r="P8" s="591" t="s">
        <v>1279</v>
      </c>
      <c r="Q8" s="592">
        <v>1</v>
      </c>
    </row>
    <row r="9" spans="1:19" ht="15.75">
      <c r="A9" s="593">
        <f>A8+1</f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600"/>
      <c r="O9" s="601"/>
      <c r="P9" s="602"/>
      <c r="Q9" s="582">
        <f>Q8+1</f>
        <v>2</v>
      </c>
    </row>
    <row r="10" spans="1:19" ht="15.75">
      <c r="A10" s="593">
        <f>A9+1</f>
        <v>3</v>
      </c>
      <c r="B10" s="603" t="s">
        <v>723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600"/>
      <c r="O10" s="601"/>
      <c r="P10" s="1111"/>
      <c r="Q10" s="582">
        <f>Q9+1</f>
        <v>3</v>
      </c>
    </row>
    <row r="11" spans="1:19" ht="15.75">
      <c r="A11" s="593">
        <f>A10+1</f>
        <v>4</v>
      </c>
      <c r="B11" s="520" t="s">
        <v>724</v>
      </c>
      <c r="C11" s="465">
        <v>0</v>
      </c>
      <c r="D11" s="463">
        <v>0</v>
      </c>
      <c r="E11" s="604">
        <v>0</v>
      </c>
      <c r="F11" s="605">
        <v>0</v>
      </c>
      <c r="G11" s="463">
        <v>0</v>
      </c>
      <c r="H11" s="606">
        <v>0</v>
      </c>
      <c r="I11" s="607">
        <v>0</v>
      </c>
      <c r="J11" s="608">
        <v>0</v>
      </c>
      <c r="K11" s="606">
        <v>0</v>
      </c>
      <c r="L11" s="607">
        <v>0</v>
      </c>
      <c r="M11" s="608">
        <v>0</v>
      </c>
      <c r="N11" s="606">
        <v>0</v>
      </c>
      <c r="O11" s="123">
        <f>SUM(C11:N11)</f>
        <v>0</v>
      </c>
      <c r="P11" s="1112" t="s">
        <v>1376</v>
      </c>
      <c r="Q11" s="582">
        <f>Q10+1</f>
        <v>4</v>
      </c>
      <c r="S11" s="610"/>
    </row>
    <row r="12" spans="1:19" ht="15.75">
      <c r="A12" s="593">
        <f>A11+1</f>
        <v>5</v>
      </c>
      <c r="B12" s="520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600"/>
      <c r="O12" s="601"/>
      <c r="P12" s="1113"/>
      <c r="Q12" s="582">
        <f>Q11+1</f>
        <v>5</v>
      </c>
    </row>
    <row r="13" spans="1:19" ht="15.75">
      <c r="A13" s="593">
        <f t="shared" ref="A13:A16" si="1">A12+1</f>
        <v>6</v>
      </c>
      <c r="B13" s="520" t="s">
        <v>1292</v>
      </c>
      <c r="C13" s="611">
        <v>0</v>
      </c>
      <c r="D13" s="612">
        <v>0</v>
      </c>
      <c r="E13" s="613">
        <v>0</v>
      </c>
      <c r="F13" s="614">
        <v>0</v>
      </c>
      <c r="G13" s="612">
        <v>0</v>
      </c>
      <c r="H13" s="615">
        <v>0</v>
      </c>
      <c r="I13" s="614">
        <v>0</v>
      </c>
      <c r="J13" s="612">
        <v>0</v>
      </c>
      <c r="K13" s="616">
        <v>0</v>
      </c>
      <c r="L13" s="614">
        <v>0</v>
      </c>
      <c r="M13" s="612">
        <v>0</v>
      </c>
      <c r="N13" s="615">
        <v>0</v>
      </c>
      <c r="O13" s="69"/>
      <c r="P13" s="1114" t="s">
        <v>1376</v>
      </c>
      <c r="Q13" s="582">
        <f t="shared" ref="Q13:Q16" si="2">Q12+1</f>
        <v>6</v>
      </c>
    </row>
    <row r="14" spans="1:19" ht="15.75">
      <c r="A14" s="593">
        <f t="shared" si="1"/>
        <v>7</v>
      </c>
      <c r="B14" s="520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600"/>
      <c r="O14" s="617"/>
      <c r="P14" s="602"/>
      <c r="Q14" s="582">
        <f t="shared" si="2"/>
        <v>7</v>
      </c>
    </row>
    <row r="15" spans="1:19" ht="15.75">
      <c r="A15" s="593">
        <f t="shared" si="1"/>
        <v>8</v>
      </c>
      <c r="B15" s="520" t="s">
        <v>725</v>
      </c>
      <c r="C15" s="712">
        <f>ROUND(C11*C13,0)</f>
        <v>0</v>
      </c>
      <c r="D15" s="713">
        <f t="shared" ref="D15:N15" si="3">ROUND(D11*D13,0)</f>
        <v>0</v>
      </c>
      <c r="E15" s="714">
        <f t="shared" si="3"/>
        <v>0</v>
      </c>
      <c r="F15" s="715">
        <f t="shared" si="3"/>
        <v>0</v>
      </c>
      <c r="G15" s="713">
        <f>ROUND(G11*G13,0)</f>
        <v>0</v>
      </c>
      <c r="H15" s="716">
        <f t="shared" si="3"/>
        <v>0</v>
      </c>
      <c r="I15" s="715">
        <f t="shared" si="3"/>
        <v>0</v>
      </c>
      <c r="J15" s="713">
        <f t="shared" si="3"/>
        <v>0</v>
      </c>
      <c r="K15" s="717">
        <f t="shared" si="3"/>
        <v>0</v>
      </c>
      <c r="L15" s="715">
        <f t="shared" si="3"/>
        <v>0</v>
      </c>
      <c r="M15" s="713">
        <f>ROUND(M11*M13,0)</f>
        <v>0</v>
      </c>
      <c r="N15" s="716">
        <f t="shared" si="3"/>
        <v>0</v>
      </c>
      <c r="O15" s="691">
        <f>SUM(C15:N15)</f>
        <v>0</v>
      </c>
      <c r="P15" s="602" t="s">
        <v>1268</v>
      </c>
      <c r="Q15" s="582">
        <f t="shared" si="2"/>
        <v>8</v>
      </c>
    </row>
    <row r="16" spans="1:19" ht="15.75">
      <c r="A16" s="593">
        <f t="shared" si="1"/>
        <v>9</v>
      </c>
      <c r="B16" s="520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600"/>
      <c r="O16" s="601"/>
      <c r="P16" s="602"/>
      <c r="Q16" s="582">
        <f t="shared" si="2"/>
        <v>9</v>
      </c>
    </row>
    <row r="17" spans="1:17" ht="16.5" thickBot="1">
      <c r="A17" s="583">
        <f>A16+1</f>
        <v>10</v>
      </c>
      <c r="B17" s="618" t="s">
        <v>726</v>
      </c>
      <c r="C17" s="723">
        <f t="shared" ref="C17:N17" si="4">-C15</f>
        <v>0</v>
      </c>
      <c r="D17" s="724">
        <f t="shared" si="4"/>
        <v>0</v>
      </c>
      <c r="E17" s="725">
        <f t="shared" si="4"/>
        <v>0</v>
      </c>
      <c r="F17" s="726">
        <f t="shared" si="4"/>
        <v>0</v>
      </c>
      <c r="G17" s="724">
        <f t="shared" si="4"/>
        <v>0</v>
      </c>
      <c r="H17" s="727">
        <f t="shared" si="4"/>
        <v>0</v>
      </c>
      <c r="I17" s="726">
        <f t="shared" si="4"/>
        <v>0</v>
      </c>
      <c r="J17" s="724">
        <f t="shared" si="4"/>
        <v>0</v>
      </c>
      <c r="K17" s="728">
        <f t="shared" si="4"/>
        <v>0</v>
      </c>
      <c r="L17" s="726">
        <f t="shared" si="4"/>
        <v>0</v>
      </c>
      <c r="M17" s="724">
        <f t="shared" si="4"/>
        <v>0</v>
      </c>
      <c r="N17" s="727">
        <f t="shared" si="4"/>
        <v>0</v>
      </c>
      <c r="O17" s="686">
        <f>SUM(C17:N17)</f>
        <v>0</v>
      </c>
      <c r="P17" s="591" t="s">
        <v>1269</v>
      </c>
      <c r="Q17" s="592">
        <f>Q16+1</f>
        <v>10</v>
      </c>
    </row>
    <row r="18" spans="1:17" ht="15.75">
      <c r="A18" s="593">
        <f>A17+1</f>
        <v>11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f>Q17+1</f>
        <v>11</v>
      </c>
    </row>
    <row r="19" spans="1:17" ht="15.75">
      <c r="A19" s="593">
        <f>A18+1</f>
        <v>12</v>
      </c>
      <c r="B19" s="603" t="s">
        <v>727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f>Q18+1</f>
        <v>12</v>
      </c>
    </row>
    <row r="20" spans="1:17" ht="15.75">
      <c r="A20" s="593">
        <f>A19+1</f>
        <v>13</v>
      </c>
      <c r="B20" s="520" t="s">
        <v>606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f>Q19+1</f>
        <v>13</v>
      </c>
    </row>
    <row r="21" spans="1:17" ht="21.75">
      <c r="A21" s="593">
        <f>A20+1</f>
        <v>14</v>
      </c>
      <c r="B21" s="520" t="s">
        <v>1320</v>
      </c>
      <c r="C21" s="635">
        <f>$C8</f>
        <v>27512048.916369963</v>
      </c>
      <c r="D21" s="529">
        <f>$C8</f>
        <v>27512048.916369963</v>
      </c>
      <c r="E21" s="636">
        <f>$C8</f>
        <v>27512048.916369963</v>
      </c>
      <c r="F21" s="637">
        <f>$F8</f>
        <v>27734896.916369963</v>
      </c>
      <c r="G21" s="529">
        <f>$F8</f>
        <v>27734896.916369963</v>
      </c>
      <c r="H21" s="638">
        <f>$F8</f>
        <v>27734896.916369963</v>
      </c>
      <c r="I21" s="637">
        <f>$I8</f>
        <v>27962322.916369963</v>
      </c>
      <c r="J21" s="529">
        <f>$I8</f>
        <v>27962322.916369963</v>
      </c>
      <c r="K21" s="639">
        <f>$I8</f>
        <v>27962322.916369963</v>
      </c>
      <c r="L21" s="637">
        <f>$L8</f>
        <v>28194410.916369963</v>
      </c>
      <c r="M21" s="529">
        <f>$L8</f>
        <v>28194410.916369963</v>
      </c>
      <c r="N21" s="638">
        <f>$L8</f>
        <v>28194410.916369963</v>
      </c>
      <c r="O21" s="617"/>
      <c r="P21" s="640" t="s">
        <v>1291</v>
      </c>
      <c r="Q21" s="582">
        <f>Q20+1</f>
        <v>14</v>
      </c>
    </row>
    <row r="22" spans="1:17" ht="21.75">
      <c r="A22" s="593">
        <f t="shared" ref="A22:A26" si="5">A21+1</f>
        <v>15</v>
      </c>
      <c r="B22" s="520" t="s">
        <v>1321</v>
      </c>
      <c r="C22" s="718">
        <f>C17/2</f>
        <v>0</v>
      </c>
      <c r="D22" s="709">
        <f>C17+(D17/2)</f>
        <v>0</v>
      </c>
      <c r="E22" s="719">
        <f>C17+D17+(E17/2)</f>
        <v>0</v>
      </c>
      <c r="F22" s="720">
        <f>F17/2</f>
        <v>0</v>
      </c>
      <c r="G22" s="709">
        <f>F17+(G17/2)</f>
        <v>0</v>
      </c>
      <c r="H22" s="721">
        <f>(F17+G17+(H17/2))</f>
        <v>0</v>
      </c>
      <c r="I22" s="720">
        <f>I17/2</f>
        <v>0</v>
      </c>
      <c r="J22" s="709">
        <f>I17+(J17/2)</f>
        <v>0</v>
      </c>
      <c r="K22" s="722">
        <f>I17+J17+(K17/2)</f>
        <v>0</v>
      </c>
      <c r="L22" s="720">
        <f>L17/2</f>
        <v>0</v>
      </c>
      <c r="M22" s="709">
        <f>L17+(M17/2)</f>
        <v>0</v>
      </c>
      <c r="N22" s="721">
        <f>L17+M17+(N17/2)</f>
        <v>0</v>
      </c>
      <c r="O22" s="641"/>
      <c r="P22" s="640" t="s">
        <v>1290</v>
      </c>
      <c r="Q22" s="582">
        <f t="shared" ref="Q22:Q26" si="6">Q21+1</f>
        <v>15</v>
      </c>
    </row>
    <row r="23" spans="1:17" ht="15.75">
      <c r="A23" s="593">
        <f t="shared" si="5"/>
        <v>16</v>
      </c>
      <c r="B23" s="520" t="s">
        <v>729</v>
      </c>
      <c r="C23" s="627">
        <f t="shared" ref="C23:M23" si="7">C21+C22</f>
        <v>27512048.916369963</v>
      </c>
      <c r="D23" s="533">
        <f t="shared" si="7"/>
        <v>27512048.916369963</v>
      </c>
      <c r="E23" s="628">
        <f t="shared" si="7"/>
        <v>27512048.916369963</v>
      </c>
      <c r="F23" s="629">
        <f t="shared" si="7"/>
        <v>27734896.916369963</v>
      </c>
      <c r="G23" s="534">
        <f t="shared" si="7"/>
        <v>27734896.916369963</v>
      </c>
      <c r="H23" s="630">
        <f t="shared" si="7"/>
        <v>27734896.916369963</v>
      </c>
      <c r="I23" s="631">
        <f t="shared" si="7"/>
        <v>27962322.916369963</v>
      </c>
      <c r="J23" s="533">
        <f t="shared" si="7"/>
        <v>27962322.916369963</v>
      </c>
      <c r="K23" s="632">
        <f t="shared" si="7"/>
        <v>27962322.916369963</v>
      </c>
      <c r="L23" s="631">
        <f t="shared" si="7"/>
        <v>28194410.916369963</v>
      </c>
      <c r="M23" s="533">
        <f t="shared" si="7"/>
        <v>28194410.916369963</v>
      </c>
      <c r="N23" s="633">
        <f>N21+N22</f>
        <v>28194410.916369963</v>
      </c>
      <c r="O23" s="617"/>
      <c r="P23" s="640" t="s">
        <v>1271</v>
      </c>
      <c r="Q23" s="582">
        <f t="shared" si="6"/>
        <v>16</v>
      </c>
    </row>
    <row r="24" spans="1:17" ht="16.5" thickBot="1">
      <c r="A24" s="593">
        <f t="shared" si="5"/>
        <v>17</v>
      </c>
      <c r="B24" s="520" t="s">
        <v>730</v>
      </c>
      <c r="C24" s="642">
        <f t="shared" ref="C24:N24" si="8">C33</f>
        <v>2.8E-3</v>
      </c>
      <c r="D24" s="643">
        <f t="shared" si="8"/>
        <v>2.5000000000000001E-3</v>
      </c>
      <c r="E24" s="644">
        <f t="shared" si="8"/>
        <v>2.8E-3</v>
      </c>
      <c r="F24" s="645">
        <f t="shared" si="8"/>
        <v>2.7000000000000001E-3</v>
      </c>
      <c r="G24" s="643">
        <f t="shared" si="8"/>
        <v>2.8E-3</v>
      </c>
      <c r="H24" s="646">
        <f t="shared" si="8"/>
        <v>2.7000000000000001E-3</v>
      </c>
      <c r="I24" s="645">
        <f t="shared" si="8"/>
        <v>2.8E-3</v>
      </c>
      <c r="J24" s="643">
        <f t="shared" si="8"/>
        <v>2.8E-3</v>
      </c>
      <c r="K24" s="647">
        <f t="shared" si="8"/>
        <v>2.7000000000000001E-3</v>
      </c>
      <c r="L24" s="645">
        <f t="shared" si="8"/>
        <v>2.8E-3</v>
      </c>
      <c r="M24" s="643">
        <f t="shared" si="8"/>
        <v>2.7000000000000001E-3</v>
      </c>
      <c r="N24" s="646">
        <f t="shared" si="8"/>
        <v>2.8E-3</v>
      </c>
      <c r="O24" s="617"/>
      <c r="P24" s="640" t="s">
        <v>1272</v>
      </c>
      <c r="Q24" s="582">
        <f t="shared" si="6"/>
        <v>17</v>
      </c>
    </row>
    <row r="25" spans="1:17" ht="17.25" thickTop="1" thickBot="1">
      <c r="A25" s="593">
        <f t="shared" si="5"/>
        <v>18</v>
      </c>
      <c r="B25" s="520" t="s">
        <v>731</v>
      </c>
      <c r="C25" s="759">
        <f t="shared" ref="C25:M25" si="9">ROUND(C23*C24,0)</f>
        <v>77034</v>
      </c>
      <c r="D25" s="755">
        <f t="shared" si="9"/>
        <v>68780</v>
      </c>
      <c r="E25" s="760">
        <f t="shared" si="9"/>
        <v>77034</v>
      </c>
      <c r="F25" s="761">
        <f t="shared" si="9"/>
        <v>74884</v>
      </c>
      <c r="G25" s="755">
        <f t="shared" si="9"/>
        <v>77658</v>
      </c>
      <c r="H25" s="762">
        <f t="shared" si="9"/>
        <v>74884</v>
      </c>
      <c r="I25" s="761">
        <f t="shared" si="9"/>
        <v>78295</v>
      </c>
      <c r="J25" s="755">
        <f t="shared" si="9"/>
        <v>78295</v>
      </c>
      <c r="K25" s="763">
        <f t="shared" si="9"/>
        <v>75498</v>
      </c>
      <c r="L25" s="761">
        <f t="shared" si="9"/>
        <v>78944</v>
      </c>
      <c r="M25" s="755">
        <f t="shared" si="9"/>
        <v>76125</v>
      </c>
      <c r="N25" s="762">
        <f>ROUND(N23*N24,0)</f>
        <v>78944</v>
      </c>
      <c r="O25" s="729">
        <f>SUM(C25:N25)</f>
        <v>916375</v>
      </c>
      <c r="P25" s="640" t="s">
        <v>1273</v>
      </c>
      <c r="Q25" s="582">
        <f t="shared" si="6"/>
        <v>18</v>
      </c>
    </row>
    <row r="26" spans="1:17" ht="16.5" thickTop="1">
      <c r="A26" s="593">
        <f t="shared" si="5"/>
        <v>19</v>
      </c>
      <c r="B26" s="520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f t="shared" si="6"/>
        <v>19</v>
      </c>
    </row>
    <row r="27" spans="1:17" ht="16.5" thickBot="1">
      <c r="A27" s="583">
        <f>A26+1</f>
        <v>20</v>
      </c>
      <c r="B27" s="648" t="s">
        <v>732</v>
      </c>
      <c r="C27" s="723">
        <f>C8+C17+C25</f>
        <v>27589082.916369963</v>
      </c>
      <c r="D27" s="724">
        <f>D8+D17+D25</f>
        <v>27657862.916369963</v>
      </c>
      <c r="E27" s="725">
        <f>E8+E17+E25</f>
        <v>27734896.916369963</v>
      </c>
      <c r="F27" s="726">
        <f>F8+F17+F25</f>
        <v>27809780.916369963</v>
      </c>
      <c r="G27" s="724">
        <f t="shared" ref="G27:N27" si="10">G8+G17+G25</f>
        <v>27887438.916369963</v>
      </c>
      <c r="H27" s="727">
        <f t="shared" si="10"/>
        <v>27962322.916369963</v>
      </c>
      <c r="I27" s="726">
        <f t="shared" si="10"/>
        <v>28040617.916369963</v>
      </c>
      <c r="J27" s="724">
        <f t="shared" si="10"/>
        <v>28118912.916369963</v>
      </c>
      <c r="K27" s="728">
        <f t="shared" si="10"/>
        <v>28194410.916369963</v>
      </c>
      <c r="L27" s="726">
        <f t="shared" si="10"/>
        <v>28273354.916369963</v>
      </c>
      <c r="M27" s="724">
        <f t="shared" si="10"/>
        <v>28349479.916369963</v>
      </c>
      <c r="N27" s="727">
        <f t="shared" si="10"/>
        <v>28428423.916369963</v>
      </c>
      <c r="O27" s="686">
        <f>C8+O17+O25</f>
        <v>28428423.916369963</v>
      </c>
      <c r="P27" s="649" t="s">
        <v>1274</v>
      </c>
      <c r="Q27" s="592">
        <f>Q26+1</f>
        <v>20</v>
      </c>
    </row>
    <row r="28" spans="1:17" ht="15.75">
      <c r="A28" s="593">
        <f>A27+1</f>
        <v>21</v>
      </c>
      <c r="B28" s="650"/>
      <c r="C28" s="564" t="str">
        <f t="shared" ref="C28:N28" si="11">C6</f>
        <v>Jan</v>
      </c>
      <c r="D28" s="518" t="str">
        <f t="shared" si="11"/>
        <v>Feb</v>
      </c>
      <c r="E28" s="651" t="str">
        <f t="shared" si="11"/>
        <v>Mar</v>
      </c>
      <c r="F28" s="568" t="str">
        <f t="shared" si="11"/>
        <v>Apr</v>
      </c>
      <c r="G28" s="519" t="str">
        <f t="shared" si="11"/>
        <v>May</v>
      </c>
      <c r="H28" s="567" t="str">
        <f t="shared" si="11"/>
        <v>Jun</v>
      </c>
      <c r="I28" s="568" t="str">
        <f t="shared" si="11"/>
        <v>Jul</v>
      </c>
      <c r="J28" s="518" t="str">
        <f t="shared" si="11"/>
        <v>Aug</v>
      </c>
      <c r="K28" s="569" t="str">
        <f t="shared" si="11"/>
        <v>Sep</v>
      </c>
      <c r="L28" s="568" t="str">
        <f t="shared" si="11"/>
        <v>Oct</v>
      </c>
      <c r="M28" s="518" t="str">
        <f t="shared" si="11"/>
        <v>Nov</v>
      </c>
      <c r="N28" s="570" t="str">
        <f t="shared" si="11"/>
        <v>Dec</v>
      </c>
      <c r="O28" s="162"/>
      <c r="P28" s="652"/>
      <c r="Q28" s="582">
        <f t="shared" ref="Q28:Q34" si="12">Q27+1</f>
        <v>21</v>
      </c>
    </row>
    <row r="29" spans="1:17" ht="21.75">
      <c r="A29" s="593">
        <f>A28+1</f>
        <v>22</v>
      </c>
      <c r="B29" s="520" t="s">
        <v>1322</v>
      </c>
      <c r="C29" s="654">
        <v>3.2500000000000001E-2</v>
      </c>
      <c r="D29" s="538">
        <v>3.2500000000000001E-2</v>
      </c>
      <c r="E29" s="653">
        <v>3.2500000000000001E-2</v>
      </c>
      <c r="F29" s="654">
        <v>3.2500000000000001E-2</v>
      </c>
      <c r="G29" s="538">
        <v>3.2500000000000001E-2</v>
      </c>
      <c r="H29" s="655">
        <v>3.2500000000000001E-2</v>
      </c>
      <c r="I29" s="654">
        <v>3.2500000000000001E-2</v>
      </c>
      <c r="J29" s="538">
        <v>3.2500000000000001E-2</v>
      </c>
      <c r="K29" s="655">
        <v>3.2500000000000001E-2</v>
      </c>
      <c r="L29" s="654">
        <v>3.2500000000000001E-2</v>
      </c>
      <c r="M29" s="538">
        <v>3.2500000000000001E-2</v>
      </c>
      <c r="N29" s="655">
        <v>3.2500000000000001E-2</v>
      </c>
      <c r="O29" s="133"/>
      <c r="P29" s="652" t="s">
        <v>733</v>
      </c>
      <c r="Q29" s="582">
        <f>Q28+1</f>
        <v>22</v>
      </c>
    </row>
    <row r="30" spans="1:17" ht="21.75">
      <c r="A30" s="593">
        <f t="shared" ref="A30:A34" si="13">A29+1</f>
        <v>23</v>
      </c>
      <c r="B30" s="520" t="s">
        <v>1323</v>
      </c>
      <c r="C30" s="744">
        <f t="shared" ref="C30:O30" si="14">$O31</f>
        <v>365</v>
      </c>
      <c r="D30" s="741">
        <f t="shared" si="14"/>
        <v>365</v>
      </c>
      <c r="E30" s="743">
        <f t="shared" si="14"/>
        <v>365</v>
      </c>
      <c r="F30" s="744">
        <f t="shared" si="14"/>
        <v>365</v>
      </c>
      <c r="G30" s="741">
        <f t="shared" si="14"/>
        <v>365</v>
      </c>
      <c r="H30" s="743">
        <f t="shared" si="14"/>
        <v>365</v>
      </c>
      <c r="I30" s="744">
        <f t="shared" si="14"/>
        <v>365</v>
      </c>
      <c r="J30" s="741">
        <f t="shared" si="14"/>
        <v>365</v>
      </c>
      <c r="K30" s="743">
        <f t="shared" si="14"/>
        <v>365</v>
      </c>
      <c r="L30" s="744">
        <f t="shared" si="14"/>
        <v>365</v>
      </c>
      <c r="M30" s="741">
        <f t="shared" si="14"/>
        <v>365</v>
      </c>
      <c r="N30" s="743">
        <f t="shared" si="14"/>
        <v>365</v>
      </c>
      <c r="O30" s="747">
        <f t="shared" si="14"/>
        <v>365</v>
      </c>
      <c r="P30" s="652" t="s">
        <v>838</v>
      </c>
      <c r="Q30" s="582">
        <f t="shared" si="12"/>
        <v>23</v>
      </c>
    </row>
    <row r="31" spans="1:17" ht="21.75">
      <c r="A31" s="593">
        <f t="shared" si="13"/>
        <v>24</v>
      </c>
      <c r="B31" s="520" t="s">
        <v>1324</v>
      </c>
      <c r="C31" s="746">
        <v>31</v>
      </c>
      <c r="D31" s="539">
        <v>28</v>
      </c>
      <c r="E31" s="745">
        <v>31</v>
      </c>
      <c r="F31" s="746">
        <v>30</v>
      </c>
      <c r="G31" s="742">
        <v>31</v>
      </c>
      <c r="H31" s="745">
        <v>30</v>
      </c>
      <c r="I31" s="746">
        <v>31</v>
      </c>
      <c r="J31" s="742">
        <v>31</v>
      </c>
      <c r="K31" s="745">
        <v>30</v>
      </c>
      <c r="L31" s="746">
        <v>31</v>
      </c>
      <c r="M31" s="742">
        <v>30</v>
      </c>
      <c r="N31" s="745">
        <v>31</v>
      </c>
      <c r="O31" s="748">
        <f>SUM(C31:N31)</f>
        <v>365</v>
      </c>
      <c r="P31" s="652" t="s">
        <v>839</v>
      </c>
      <c r="Q31" s="582">
        <f t="shared" si="12"/>
        <v>24</v>
      </c>
    </row>
    <row r="32" spans="1:17" ht="15.75">
      <c r="A32" s="593">
        <f t="shared" si="13"/>
        <v>25</v>
      </c>
      <c r="B32" s="520" t="s">
        <v>621</v>
      </c>
      <c r="C32" s="730">
        <f t="shared" ref="C32:N32" si="15">ROUND(C29/C30*C31,4)</f>
        <v>2.8E-3</v>
      </c>
      <c r="D32" s="711">
        <f t="shared" si="15"/>
        <v>2.5000000000000001E-3</v>
      </c>
      <c r="E32" s="731">
        <f t="shared" si="15"/>
        <v>2.8E-3</v>
      </c>
      <c r="F32" s="730">
        <f t="shared" si="15"/>
        <v>2.7000000000000001E-3</v>
      </c>
      <c r="G32" s="711">
        <f t="shared" si="15"/>
        <v>2.8E-3</v>
      </c>
      <c r="H32" s="731">
        <f t="shared" si="15"/>
        <v>2.7000000000000001E-3</v>
      </c>
      <c r="I32" s="730">
        <f t="shared" si="15"/>
        <v>2.8E-3</v>
      </c>
      <c r="J32" s="711">
        <f t="shared" si="15"/>
        <v>2.8E-3</v>
      </c>
      <c r="K32" s="731">
        <f t="shared" si="15"/>
        <v>2.7000000000000001E-3</v>
      </c>
      <c r="L32" s="730">
        <f t="shared" si="15"/>
        <v>2.8E-3</v>
      </c>
      <c r="M32" s="711">
        <f t="shared" si="15"/>
        <v>2.7000000000000001E-3</v>
      </c>
      <c r="N32" s="731">
        <f t="shared" si="15"/>
        <v>2.8E-3</v>
      </c>
      <c r="O32" s="738">
        <f>SUM(C32:N32)</f>
        <v>3.2900000000000006E-2</v>
      </c>
      <c r="P32" s="652" t="s">
        <v>1277</v>
      </c>
      <c r="Q32" s="582">
        <f t="shared" si="12"/>
        <v>25</v>
      </c>
    </row>
    <row r="33" spans="1:17" ht="21.75">
      <c r="A33" s="593">
        <f t="shared" si="13"/>
        <v>26</v>
      </c>
      <c r="B33" s="520" t="s">
        <v>1325</v>
      </c>
      <c r="C33" s="658">
        <v>2.8E-3</v>
      </c>
      <c r="D33" s="656">
        <v>2.5000000000000001E-3</v>
      </c>
      <c r="E33" s="657">
        <v>2.8E-3</v>
      </c>
      <c r="F33" s="658">
        <v>2.7000000000000001E-3</v>
      </c>
      <c r="G33" s="656">
        <v>2.8E-3</v>
      </c>
      <c r="H33" s="659">
        <v>2.7000000000000001E-3</v>
      </c>
      <c r="I33" s="658">
        <v>2.8E-3</v>
      </c>
      <c r="J33" s="656">
        <v>2.8E-3</v>
      </c>
      <c r="K33" s="659">
        <v>2.7000000000000001E-3</v>
      </c>
      <c r="L33" s="658">
        <v>2.8E-3</v>
      </c>
      <c r="M33" s="656">
        <v>2.7000000000000001E-3</v>
      </c>
      <c r="N33" s="659">
        <v>2.8E-3</v>
      </c>
      <c r="O33" s="737">
        <f>SUM(C33:N33)</f>
        <v>3.2900000000000006E-2</v>
      </c>
      <c r="P33" s="652" t="s">
        <v>734</v>
      </c>
      <c r="Q33" s="582">
        <f t="shared" si="12"/>
        <v>26</v>
      </c>
    </row>
    <row r="34" spans="1:17" ht="16.5" thickBot="1">
      <c r="A34" s="583">
        <f t="shared" si="13"/>
        <v>27</v>
      </c>
      <c r="B34" s="648" t="s">
        <v>624</v>
      </c>
      <c r="C34" s="734">
        <f>C32-C33</f>
        <v>0</v>
      </c>
      <c r="D34" s="732">
        <f t="shared" ref="D34:N34" si="16">D32-D33</f>
        <v>0</v>
      </c>
      <c r="E34" s="733">
        <f t="shared" si="16"/>
        <v>0</v>
      </c>
      <c r="F34" s="734">
        <f t="shared" si="16"/>
        <v>0</v>
      </c>
      <c r="G34" s="732">
        <f t="shared" si="16"/>
        <v>0</v>
      </c>
      <c r="H34" s="735">
        <f t="shared" si="16"/>
        <v>0</v>
      </c>
      <c r="I34" s="734">
        <f t="shared" si="16"/>
        <v>0</v>
      </c>
      <c r="J34" s="732">
        <f t="shared" si="16"/>
        <v>0</v>
      </c>
      <c r="K34" s="735">
        <f t="shared" si="16"/>
        <v>0</v>
      </c>
      <c r="L34" s="734">
        <f t="shared" si="16"/>
        <v>0</v>
      </c>
      <c r="M34" s="732">
        <f t="shared" si="16"/>
        <v>0</v>
      </c>
      <c r="N34" s="735">
        <f t="shared" si="16"/>
        <v>0</v>
      </c>
      <c r="O34" s="736">
        <f>SUM(C34:N34)</f>
        <v>0</v>
      </c>
      <c r="P34" s="530" t="s">
        <v>1278</v>
      </c>
      <c r="Q34" s="592">
        <f t="shared" si="12"/>
        <v>27</v>
      </c>
    </row>
    <row r="35" spans="1:17" ht="15.7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1"/>
      <c r="B36" s="662" t="s">
        <v>626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51.75" customHeight="1">
      <c r="A37" s="663" t="s">
        <v>273</v>
      </c>
      <c r="B37" s="1186" t="s">
        <v>1375</v>
      </c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4"/>
      <c r="P37" s="4"/>
      <c r="Q37" s="4"/>
    </row>
    <row r="38" spans="1:17" ht="27.75" customHeight="1">
      <c r="A38" s="663" t="s">
        <v>274</v>
      </c>
      <c r="B38" s="1186" t="s">
        <v>1221</v>
      </c>
      <c r="C38" s="1186"/>
      <c r="D38" s="1186"/>
      <c r="E38" s="1186"/>
      <c r="F38" s="1186"/>
      <c r="G38" s="1186"/>
      <c r="H38" s="1186"/>
      <c r="I38" s="1186"/>
      <c r="J38" s="1186"/>
      <c r="K38" s="1186"/>
      <c r="L38" s="1186"/>
      <c r="M38" s="1186"/>
      <c r="N38" s="1186"/>
      <c r="O38" s="4"/>
      <c r="P38" s="4"/>
      <c r="Q38" s="4"/>
    </row>
    <row r="39" spans="1:17" ht="24">
      <c r="A39" s="663" t="s">
        <v>735</v>
      </c>
      <c r="B39" s="1186" t="s">
        <v>736</v>
      </c>
      <c r="C39" s="1186"/>
      <c r="D39" s="1186"/>
      <c r="E39" s="1186"/>
      <c r="F39" s="1186"/>
      <c r="G39" s="1186"/>
      <c r="H39" s="1186"/>
      <c r="I39" s="1186"/>
      <c r="J39" s="1186"/>
      <c r="K39" s="1186"/>
      <c r="L39" s="1186"/>
      <c r="M39" s="1186"/>
      <c r="N39" s="1186"/>
      <c r="O39" s="4"/>
      <c r="P39" s="4"/>
      <c r="Q39" s="4"/>
    </row>
    <row r="40" spans="1:17" ht="24">
      <c r="A40" s="663" t="s">
        <v>737</v>
      </c>
      <c r="B40" s="1052" t="s">
        <v>738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>
      <c r="A41" s="667"/>
      <c r="B41" s="507" t="s">
        <v>1287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>
      <c r="A42" s="667"/>
      <c r="B42" s="1187" t="s">
        <v>1288</v>
      </c>
      <c r="C42" s="1187"/>
      <c r="D42" s="118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4">
      <c r="A43" s="667"/>
      <c r="B43" s="1188" t="s">
        <v>1289</v>
      </c>
      <c r="C43" s="1188"/>
      <c r="D43" s="1188"/>
      <c r="E43" s="1188"/>
      <c r="F43" s="1188"/>
      <c r="G43" s="1188"/>
      <c r="H43" s="1188"/>
      <c r="I43" s="1188"/>
      <c r="J43" s="4"/>
      <c r="K43" s="4"/>
      <c r="L43" s="4"/>
      <c r="M43" s="4"/>
      <c r="N43" s="4"/>
      <c r="O43" s="4"/>
      <c r="P43" s="4"/>
      <c r="Q43" s="4"/>
    </row>
    <row r="44" spans="1:17" ht="24">
      <c r="A44" s="663" t="s">
        <v>739</v>
      </c>
      <c r="B44" s="4" t="s">
        <v>719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2.5">
      <c r="A45" s="661"/>
      <c r="B45" s="670"/>
      <c r="D45" s="66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8.75">
      <c r="A46" s="671"/>
      <c r="B46" s="672"/>
      <c r="D46" s="66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>
      <c r="A47" s="661"/>
      <c r="B47" s="133"/>
      <c r="D47" s="66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2.5">
      <c r="A48" s="661"/>
      <c r="B48" s="133"/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>
      <c r="A49" s="671"/>
      <c r="B49" s="507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>
      <c r="A50" s="661"/>
      <c r="B50" s="507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A51" s="48"/>
      <c r="B51" s="133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B52" s="4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B53" s="4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660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660"/>
      <c r="D55" s="66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B56" s="673"/>
    </row>
  </sheetData>
  <mergeCells count="5">
    <mergeCell ref="B37:N37"/>
    <mergeCell ref="B38:N38"/>
    <mergeCell ref="B39:N39"/>
    <mergeCell ref="B42:D42"/>
    <mergeCell ref="B43:I43"/>
  </mergeCells>
  <printOptions horizontalCentered="1"/>
  <pageMargins left="0" right="0" top="0.75" bottom="0.25" header="0.25" footer="0"/>
  <pageSetup scale="60" orientation="landscape" r:id="rId1"/>
  <headerFooter alignWithMargins="0">
    <oddHeader>&amp;C&amp;"Arial,Bold"&amp;12San Diego Gas &amp;&amp; Electric Co.
TO4 - Cycle 4 Annual Transmission Formula Filing
Derivation of RETAIL Interest True-Up Adjustment</oddHeader>
    <oddFooter>&amp;C&amp;A
Page &amp;P of &amp;N</oddFooter>
  </headerFooter>
  <colBreaks count="1" manualBreakCount="1">
    <brk id="10" min="4" max="4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55"/>
  <sheetViews>
    <sheetView zoomScale="80" zoomScaleNormal="80" workbookViewId="0"/>
  </sheetViews>
  <sheetFormatPr defaultRowHeight="12.75"/>
  <cols>
    <col min="1" max="1" width="5.7109375" customWidth="1"/>
    <col min="2" max="2" width="68.85546875" customWidth="1"/>
    <col min="3" max="14" width="15.7109375" customWidth="1"/>
    <col min="15" max="15" width="18.7109375" customWidth="1"/>
    <col min="16" max="16" width="50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515" t="s">
        <v>1228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75">
      <c r="A3" s="4"/>
      <c r="B3" s="515" t="s">
        <v>720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3" t="s">
        <v>62</v>
      </c>
      <c r="B5" s="554"/>
      <c r="C5" s="555" t="s">
        <v>1326</v>
      </c>
      <c r="D5" s="556" t="s">
        <v>1327</v>
      </c>
      <c r="E5" s="557" t="s">
        <v>1328</v>
      </c>
      <c r="F5" s="558" t="s">
        <v>1329</v>
      </c>
      <c r="G5" s="556" t="s">
        <v>1330</v>
      </c>
      <c r="H5" s="559" t="s">
        <v>1331</v>
      </c>
      <c r="I5" s="558" t="s">
        <v>1332</v>
      </c>
      <c r="J5" s="556" t="s">
        <v>1333</v>
      </c>
      <c r="K5" s="559" t="s">
        <v>1334</v>
      </c>
      <c r="L5" s="558" t="s">
        <v>1335</v>
      </c>
      <c r="M5" s="556" t="s">
        <v>1336</v>
      </c>
      <c r="N5" s="557" t="s">
        <v>1337</v>
      </c>
      <c r="O5" s="560" t="s">
        <v>741</v>
      </c>
      <c r="P5" s="560"/>
      <c r="Q5" s="561" t="s">
        <v>62</v>
      </c>
    </row>
    <row r="6" spans="1:19" ht="15.75">
      <c r="A6" s="562" t="s">
        <v>63</v>
      </c>
      <c r="B6" s="563" t="s">
        <v>742</v>
      </c>
      <c r="C6" s="564" t="s">
        <v>694</v>
      </c>
      <c r="D6" s="518" t="s">
        <v>695</v>
      </c>
      <c r="E6" s="565" t="s">
        <v>696</v>
      </c>
      <c r="F6" s="566" t="s">
        <v>697</v>
      </c>
      <c r="G6" s="519" t="s">
        <v>698</v>
      </c>
      <c r="H6" s="567" t="s">
        <v>699</v>
      </c>
      <c r="I6" s="568" t="s">
        <v>700</v>
      </c>
      <c r="J6" s="518" t="s">
        <v>701</v>
      </c>
      <c r="K6" s="569" t="s">
        <v>702</v>
      </c>
      <c r="L6" s="568" t="s">
        <v>703</v>
      </c>
      <c r="M6" s="518" t="s">
        <v>704</v>
      </c>
      <c r="N6" s="570" t="s">
        <v>705</v>
      </c>
      <c r="O6" s="33" t="s">
        <v>67</v>
      </c>
      <c r="P6" s="517" t="s">
        <v>65</v>
      </c>
      <c r="Q6" s="571" t="s">
        <v>63</v>
      </c>
    </row>
    <row r="7" spans="1:19" ht="15.7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22.5" thickBot="1">
      <c r="A8" s="583">
        <v>1</v>
      </c>
      <c r="B8" s="584" t="s">
        <v>1319</v>
      </c>
      <c r="C8" s="585">
        <f>'Retail Int TU-1'!N27</f>
        <v>28428423.916369963</v>
      </c>
      <c r="D8" s="586">
        <f t="shared" ref="D8:N8" si="0">C27</f>
        <v>26137912.916369963</v>
      </c>
      <c r="E8" s="587">
        <f t="shared" si="0"/>
        <v>24195929.916369963</v>
      </c>
      <c r="F8" s="588">
        <f t="shared" si="0"/>
        <v>21770181.916369963</v>
      </c>
      <c r="G8" s="586">
        <f t="shared" si="0"/>
        <v>19687133.916369963</v>
      </c>
      <c r="H8" s="589">
        <f t="shared" si="0"/>
        <v>17694804.916369963</v>
      </c>
      <c r="I8" s="588">
        <f t="shared" si="0"/>
        <v>15543017.916369963</v>
      </c>
      <c r="J8" s="586">
        <f t="shared" si="0"/>
        <v>13347615.916369963</v>
      </c>
      <c r="K8" s="590">
        <f t="shared" si="0"/>
        <v>10737752.916369963</v>
      </c>
      <c r="L8" s="588">
        <f t="shared" si="0"/>
        <v>7878059.9163699634</v>
      </c>
      <c r="M8" s="586">
        <f t="shared" si="0"/>
        <v>5373518.9163699634</v>
      </c>
      <c r="N8" s="589">
        <f t="shared" si="0"/>
        <v>2982872.9163699634</v>
      </c>
      <c r="O8" s="686"/>
      <c r="P8" s="591" t="s">
        <v>1279</v>
      </c>
      <c r="Q8" s="592">
        <v>1</v>
      </c>
    </row>
    <row r="9" spans="1:19" ht="15.75">
      <c r="A9" s="593">
        <f>A8+1</f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600"/>
      <c r="O9" s="601"/>
      <c r="P9" s="602"/>
      <c r="Q9" s="582">
        <f>Q8+1</f>
        <v>2</v>
      </c>
    </row>
    <row r="10" spans="1:19" ht="15.75">
      <c r="A10" s="593">
        <f>A9+1</f>
        <v>3</v>
      </c>
      <c r="B10" s="603" t="s">
        <v>723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600"/>
      <c r="O10" s="601"/>
      <c r="P10" s="602"/>
      <c r="Q10" s="582">
        <f>Q9+1</f>
        <v>3</v>
      </c>
    </row>
    <row r="11" spans="1:19" ht="15.75">
      <c r="A11" s="593">
        <f>A10+1</f>
        <v>4</v>
      </c>
      <c r="B11" s="520" t="s">
        <v>724</v>
      </c>
      <c r="C11" s="1133">
        <v>1588820413.9999998</v>
      </c>
      <c r="D11" s="1134">
        <v>1347380221</v>
      </c>
      <c r="E11" s="1135">
        <v>1671267619</v>
      </c>
      <c r="F11" s="1133">
        <v>1437248886.9999998</v>
      </c>
      <c r="G11" s="1134">
        <v>1373663135</v>
      </c>
      <c r="H11" s="1135">
        <v>1475469123</v>
      </c>
      <c r="I11" s="1133">
        <v>1502811640</v>
      </c>
      <c r="J11" s="1134">
        <v>1776119002.0051577</v>
      </c>
      <c r="K11" s="1135">
        <v>1937639550.3856587</v>
      </c>
      <c r="L11" s="1133">
        <v>1694611354.0568104</v>
      </c>
      <c r="M11" s="1134">
        <v>1612913981.1078408</v>
      </c>
      <c r="N11" s="687"/>
      <c r="O11" s="739">
        <f>SUM(C11:N11)</f>
        <v>17417944926.555466</v>
      </c>
      <c r="P11" s="609" t="s">
        <v>1254</v>
      </c>
      <c r="Q11" s="582">
        <f>Q10+1</f>
        <v>4</v>
      </c>
      <c r="S11" s="610"/>
    </row>
    <row r="12" spans="1:19" ht="15.75">
      <c r="A12" s="593">
        <f>A11+1</f>
        <v>5</v>
      </c>
      <c r="B12" s="520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600"/>
      <c r="O12" s="601"/>
      <c r="P12" s="609"/>
      <c r="Q12" s="582">
        <f>Q11+1</f>
        <v>5</v>
      </c>
    </row>
    <row r="13" spans="1:19" ht="21.75">
      <c r="A13" s="593">
        <f t="shared" ref="A13:A16" si="1">A12+1</f>
        <v>6</v>
      </c>
      <c r="B13" s="520" t="s">
        <v>1338</v>
      </c>
      <c r="C13" s="614">
        <v>1.4896565341982009E-3</v>
      </c>
      <c r="D13" s="612">
        <v>1.4896565341982009E-3</v>
      </c>
      <c r="E13" s="615">
        <v>1.4896565341982009E-3</v>
      </c>
      <c r="F13" s="614">
        <v>1.4896565341982009E-3</v>
      </c>
      <c r="G13" s="612">
        <v>1.4896565341982009E-3</v>
      </c>
      <c r="H13" s="615">
        <v>1.4896565341982009E-3</v>
      </c>
      <c r="I13" s="614">
        <v>1.4896565341982009E-3</v>
      </c>
      <c r="J13" s="612">
        <v>1.4896565341982009E-3</v>
      </c>
      <c r="K13" s="615">
        <v>1.4896565341982009E-3</v>
      </c>
      <c r="L13" s="614">
        <v>1.4896565341982009E-3</v>
      </c>
      <c r="M13" s="612">
        <v>1.4896565341982009E-3</v>
      </c>
      <c r="N13" s="688"/>
      <c r="O13" s="69"/>
      <c r="P13" s="609" t="s">
        <v>1253</v>
      </c>
      <c r="Q13" s="582">
        <f t="shared" ref="Q13:Q16" si="2">Q12+1</f>
        <v>6</v>
      </c>
    </row>
    <row r="14" spans="1:19" ht="15.75">
      <c r="A14" s="593">
        <f t="shared" si="1"/>
        <v>7</v>
      </c>
      <c r="B14" s="520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600"/>
      <c r="O14" s="617"/>
      <c r="P14" s="602"/>
      <c r="Q14" s="582">
        <f t="shared" si="2"/>
        <v>7</v>
      </c>
    </row>
    <row r="15" spans="1:19" ht="15.75">
      <c r="A15" s="593">
        <f t="shared" si="1"/>
        <v>8</v>
      </c>
      <c r="B15" s="520" t="s">
        <v>725</v>
      </c>
      <c r="C15" s="712">
        <f t="shared" ref="C15:L15" si="3">ROUND(C11*C13,0)</f>
        <v>2366797</v>
      </c>
      <c r="D15" s="713">
        <f t="shared" si="3"/>
        <v>2007134</v>
      </c>
      <c r="E15" s="714">
        <f t="shared" si="3"/>
        <v>2489615</v>
      </c>
      <c r="F15" s="715">
        <f t="shared" si="3"/>
        <v>2141007</v>
      </c>
      <c r="G15" s="713">
        <f t="shared" si="3"/>
        <v>2046286</v>
      </c>
      <c r="H15" s="716">
        <f t="shared" si="3"/>
        <v>2197942</v>
      </c>
      <c r="I15" s="715">
        <f t="shared" si="3"/>
        <v>2238673</v>
      </c>
      <c r="J15" s="713">
        <f t="shared" si="3"/>
        <v>2645807</v>
      </c>
      <c r="K15" s="717">
        <f t="shared" si="3"/>
        <v>2886417</v>
      </c>
      <c r="L15" s="715">
        <f t="shared" si="3"/>
        <v>2524389</v>
      </c>
      <c r="M15" s="713">
        <f>ROUND(M11*M13,0)</f>
        <v>2402688</v>
      </c>
      <c r="N15" s="689">
        <v>2987245</v>
      </c>
      <c r="O15" s="691">
        <f>SUM(C15:N15)</f>
        <v>28934000</v>
      </c>
      <c r="P15" s="602" t="s">
        <v>1268</v>
      </c>
      <c r="Q15" s="582">
        <f t="shared" si="2"/>
        <v>8</v>
      </c>
    </row>
    <row r="16" spans="1:19" ht="15.75">
      <c r="A16" s="593">
        <f t="shared" si="1"/>
        <v>9</v>
      </c>
      <c r="B16" s="520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600"/>
      <c r="O16" s="601"/>
      <c r="P16" s="602"/>
      <c r="Q16" s="582">
        <f t="shared" si="2"/>
        <v>9</v>
      </c>
    </row>
    <row r="17" spans="1:17" ht="16.5" thickBot="1">
      <c r="A17" s="583">
        <f>A16+1</f>
        <v>10</v>
      </c>
      <c r="B17" s="618" t="s">
        <v>726</v>
      </c>
      <c r="C17" s="723">
        <f t="shared" ref="C17:N17" si="4">-C15</f>
        <v>-2366797</v>
      </c>
      <c r="D17" s="724">
        <f t="shared" si="4"/>
        <v>-2007134</v>
      </c>
      <c r="E17" s="725">
        <f t="shared" si="4"/>
        <v>-2489615</v>
      </c>
      <c r="F17" s="726">
        <f t="shared" si="4"/>
        <v>-2141007</v>
      </c>
      <c r="G17" s="724">
        <f t="shared" si="4"/>
        <v>-2046286</v>
      </c>
      <c r="H17" s="727">
        <f t="shared" si="4"/>
        <v>-2197942</v>
      </c>
      <c r="I17" s="726">
        <f t="shared" si="4"/>
        <v>-2238673</v>
      </c>
      <c r="J17" s="724">
        <f t="shared" si="4"/>
        <v>-2645807</v>
      </c>
      <c r="K17" s="728">
        <f t="shared" si="4"/>
        <v>-2886417</v>
      </c>
      <c r="L17" s="726">
        <f t="shared" si="4"/>
        <v>-2524389</v>
      </c>
      <c r="M17" s="724">
        <f t="shared" si="4"/>
        <v>-2402688</v>
      </c>
      <c r="N17" s="727">
        <f t="shared" si="4"/>
        <v>-2987245</v>
      </c>
      <c r="O17" s="686">
        <f>SUM(C17:N17)</f>
        <v>-28934000</v>
      </c>
      <c r="P17" s="591" t="s">
        <v>1286</v>
      </c>
      <c r="Q17" s="592">
        <f>Q16+1</f>
        <v>10</v>
      </c>
    </row>
    <row r="18" spans="1:17" ht="15.75">
      <c r="A18" s="593">
        <f>A17+1</f>
        <v>11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f>Q17+1</f>
        <v>11</v>
      </c>
    </row>
    <row r="19" spans="1:17" ht="15.75">
      <c r="A19" s="593">
        <f>A18+1</f>
        <v>12</v>
      </c>
      <c r="B19" s="603" t="s">
        <v>727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f>Q18+1</f>
        <v>12</v>
      </c>
    </row>
    <row r="20" spans="1:17" ht="15.75">
      <c r="A20" s="593">
        <f>A19+1</f>
        <v>13</v>
      </c>
      <c r="B20" s="520" t="s">
        <v>606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f>Q19+1</f>
        <v>13</v>
      </c>
    </row>
    <row r="21" spans="1:17" ht="21.75">
      <c r="A21" s="593">
        <f>A20+1</f>
        <v>14</v>
      </c>
      <c r="B21" s="520" t="s">
        <v>1320</v>
      </c>
      <c r="C21" s="635">
        <f>C8</f>
        <v>28428423.916369963</v>
      </c>
      <c r="D21" s="529">
        <f>C8</f>
        <v>28428423.916369963</v>
      </c>
      <c r="E21" s="636">
        <f>C8</f>
        <v>28428423.916369963</v>
      </c>
      <c r="F21" s="637">
        <f>F8</f>
        <v>21770181.916369963</v>
      </c>
      <c r="G21" s="529">
        <f>F8</f>
        <v>21770181.916369963</v>
      </c>
      <c r="H21" s="638">
        <f>F8</f>
        <v>21770181.916369963</v>
      </c>
      <c r="I21" s="637">
        <f>I8</f>
        <v>15543017.916369963</v>
      </c>
      <c r="J21" s="529">
        <f>I8</f>
        <v>15543017.916369963</v>
      </c>
      <c r="K21" s="639">
        <f>I8</f>
        <v>15543017.916369963</v>
      </c>
      <c r="L21" s="637">
        <f>L8</f>
        <v>7878059.9163699634</v>
      </c>
      <c r="M21" s="529">
        <f>L8</f>
        <v>7878059.9163699634</v>
      </c>
      <c r="N21" s="638">
        <f>L8</f>
        <v>7878059.9163699634</v>
      </c>
      <c r="O21" s="617"/>
      <c r="P21" s="640" t="s">
        <v>728</v>
      </c>
      <c r="Q21" s="582">
        <f>Q20+1</f>
        <v>14</v>
      </c>
    </row>
    <row r="22" spans="1:17" ht="21.75">
      <c r="A22" s="593">
        <f t="shared" ref="A22:A26" si="5">A21+1</f>
        <v>15</v>
      </c>
      <c r="B22" s="520" t="s">
        <v>1321</v>
      </c>
      <c r="C22" s="718">
        <f>C17/2</f>
        <v>-1183398.5</v>
      </c>
      <c r="D22" s="709">
        <f>C17+(D17/2)</f>
        <v>-3370364</v>
      </c>
      <c r="E22" s="719">
        <f>C17+D17+(E17/2)</f>
        <v>-5618738.5</v>
      </c>
      <c r="F22" s="720">
        <f>F17/2</f>
        <v>-1070503.5</v>
      </c>
      <c r="G22" s="709">
        <f>F17+(G17/2)</f>
        <v>-3164150</v>
      </c>
      <c r="H22" s="721">
        <f>(F17+G17+(H17/2))</f>
        <v>-5286264</v>
      </c>
      <c r="I22" s="720">
        <f>I17/2</f>
        <v>-1119336.5</v>
      </c>
      <c r="J22" s="709">
        <f>I17+(J17/2)</f>
        <v>-3561576.5</v>
      </c>
      <c r="K22" s="722">
        <f>I17+J17+(K17/2)</f>
        <v>-6327688.5</v>
      </c>
      <c r="L22" s="720">
        <f>L17/2</f>
        <v>-1262194.5</v>
      </c>
      <c r="M22" s="709">
        <f>L17+(M17/2)</f>
        <v>-3725733</v>
      </c>
      <c r="N22" s="721">
        <f>L17+M17+(N17/2)</f>
        <v>-6420699.5</v>
      </c>
      <c r="O22" s="641"/>
      <c r="P22" s="640" t="s">
        <v>1290</v>
      </c>
      <c r="Q22" s="582">
        <f t="shared" ref="Q22:Q26" si="6">Q21+1</f>
        <v>15</v>
      </c>
    </row>
    <row r="23" spans="1:17" ht="15.75">
      <c r="A23" s="593">
        <f t="shared" si="5"/>
        <v>16</v>
      </c>
      <c r="B23" s="520" t="s">
        <v>729</v>
      </c>
      <c r="C23" s="627">
        <f t="shared" ref="C23:M23" si="7">C21+C22</f>
        <v>27245025.416369963</v>
      </c>
      <c r="D23" s="533">
        <f t="shared" si="7"/>
        <v>25058059.916369963</v>
      </c>
      <c r="E23" s="628">
        <f t="shared" si="7"/>
        <v>22809685.416369963</v>
      </c>
      <c r="F23" s="629">
        <f t="shared" si="7"/>
        <v>20699678.416369963</v>
      </c>
      <c r="G23" s="534">
        <f t="shared" si="7"/>
        <v>18606031.916369963</v>
      </c>
      <c r="H23" s="630">
        <f t="shared" si="7"/>
        <v>16483917.916369963</v>
      </c>
      <c r="I23" s="631">
        <f t="shared" si="7"/>
        <v>14423681.416369963</v>
      </c>
      <c r="J23" s="533">
        <f t="shared" si="7"/>
        <v>11981441.416369963</v>
      </c>
      <c r="K23" s="632">
        <f t="shared" si="7"/>
        <v>9215329.4163699634</v>
      </c>
      <c r="L23" s="631">
        <f t="shared" si="7"/>
        <v>6615865.4163699634</v>
      </c>
      <c r="M23" s="533">
        <f>M21+M22</f>
        <v>4152326.9163699634</v>
      </c>
      <c r="N23" s="633">
        <f>N21+N22</f>
        <v>1457360.4163699634</v>
      </c>
      <c r="O23" s="617"/>
      <c r="P23" s="640" t="s">
        <v>1271</v>
      </c>
      <c r="Q23" s="582">
        <f t="shared" si="6"/>
        <v>16</v>
      </c>
    </row>
    <row r="24" spans="1:17" ht="16.5" thickBot="1">
      <c r="A24" s="593">
        <f t="shared" si="5"/>
        <v>17</v>
      </c>
      <c r="B24" s="520" t="s">
        <v>730</v>
      </c>
      <c r="C24" s="642">
        <f t="shared" ref="C24:N24" si="8">C33</f>
        <v>2.8E-3</v>
      </c>
      <c r="D24" s="643">
        <f t="shared" si="8"/>
        <v>2.5999999999999999E-3</v>
      </c>
      <c r="E24" s="644">
        <f t="shared" si="8"/>
        <v>2.8E-3</v>
      </c>
      <c r="F24" s="645">
        <f t="shared" si="8"/>
        <v>2.8E-3</v>
      </c>
      <c r="G24" s="643">
        <f t="shared" si="8"/>
        <v>2.8999999999999998E-3</v>
      </c>
      <c r="H24" s="646">
        <f t="shared" si="8"/>
        <v>2.8E-3</v>
      </c>
      <c r="I24" s="645">
        <f t="shared" si="8"/>
        <v>3.0000000000000001E-3</v>
      </c>
      <c r="J24" s="643">
        <f t="shared" si="8"/>
        <v>3.0000000000000001E-3</v>
      </c>
      <c r="K24" s="647">
        <f t="shared" si="8"/>
        <v>2.8999999999999998E-3</v>
      </c>
      <c r="L24" s="645">
        <f t="shared" si="8"/>
        <v>3.0000000000000001E-3</v>
      </c>
      <c r="M24" s="643">
        <f t="shared" si="8"/>
        <v>2.8999999999999998E-3</v>
      </c>
      <c r="N24" s="646">
        <f t="shared" si="8"/>
        <v>3.0000000000000001E-3</v>
      </c>
      <c r="O24" s="617"/>
      <c r="P24" s="640" t="s">
        <v>1272</v>
      </c>
      <c r="Q24" s="582">
        <f t="shared" si="6"/>
        <v>17</v>
      </c>
    </row>
    <row r="25" spans="1:17" ht="17.25" thickTop="1" thickBot="1">
      <c r="A25" s="593">
        <f t="shared" si="5"/>
        <v>18</v>
      </c>
      <c r="B25" s="520" t="s">
        <v>731</v>
      </c>
      <c r="C25" s="759">
        <f t="shared" ref="C25:N25" si="9">ROUND(C23*C24,0)</f>
        <v>76286</v>
      </c>
      <c r="D25" s="755">
        <f t="shared" si="9"/>
        <v>65151</v>
      </c>
      <c r="E25" s="760">
        <f t="shared" si="9"/>
        <v>63867</v>
      </c>
      <c r="F25" s="761">
        <f t="shared" si="9"/>
        <v>57959</v>
      </c>
      <c r="G25" s="755">
        <f t="shared" si="9"/>
        <v>53957</v>
      </c>
      <c r="H25" s="762">
        <f t="shared" si="9"/>
        <v>46155</v>
      </c>
      <c r="I25" s="761">
        <f t="shared" si="9"/>
        <v>43271</v>
      </c>
      <c r="J25" s="755">
        <f t="shared" si="9"/>
        <v>35944</v>
      </c>
      <c r="K25" s="763">
        <f t="shared" si="9"/>
        <v>26724</v>
      </c>
      <c r="L25" s="761">
        <f t="shared" si="9"/>
        <v>19848</v>
      </c>
      <c r="M25" s="755">
        <f t="shared" si="9"/>
        <v>12042</v>
      </c>
      <c r="N25" s="762">
        <f t="shared" si="9"/>
        <v>4372</v>
      </c>
      <c r="O25" s="729">
        <f>SUM(C25:N25)</f>
        <v>505576</v>
      </c>
      <c r="P25" s="675" t="s">
        <v>1377</v>
      </c>
      <c r="Q25" s="582">
        <f t="shared" si="6"/>
        <v>18</v>
      </c>
    </row>
    <row r="26" spans="1:17" ht="16.5" thickTop="1">
      <c r="A26" s="593">
        <f t="shared" si="5"/>
        <v>19</v>
      </c>
      <c r="B26" s="520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f t="shared" si="6"/>
        <v>19</v>
      </c>
    </row>
    <row r="27" spans="1:17" ht="16.5" thickBot="1">
      <c r="A27" s="583">
        <f>A26+1</f>
        <v>20</v>
      </c>
      <c r="B27" s="648" t="s">
        <v>732</v>
      </c>
      <c r="C27" s="723">
        <f>C8+C17+C25</f>
        <v>26137912.916369963</v>
      </c>
      <c r="D27" s="724">
        <f>D8+D17+D25</f>
        <v>24195929.916369963</v>
      </c>
      <c r="E27" s="725">
        <f>E8+E17+E25</f>
        <v>21770181.916369963</v>
      </c>
      <c r="F27" s="726">
        <f>F8+F17+F25</f>
        <v>19687133.916369963</v>
      </c>
      <c r="G27" s="724">
        <f t="shared" ref="G27:N27" si="10">G8+G17+G25</f>
        <v>17694804.916369963</v>
      </c>
      <c r="H27" s="727">
        <f t="shared" si="10"/>
        <v>15543017.916369963</v>
      </c>
      <c r="I27" s="726">
        <f t="shared" si="10"/>
        <v>13347615.916369963</v>
      </c>
      <c r="J27" s="724">
        <f t="shared" si="10"/>
        <v>10737752.916369963</v>
      </c>
      <c r="K27" s="728">
        <f t="shared" si="10"/>
        <v>7878059.9163699634</v>
      </c>
      <c r="L27" s="726">
        <f t="shared" si="10"/>
        <v>5373518.9163699634</v>
      </c>
      <c r="M27" s="724">
        <f t="shared" si="10"/>
        <v>2982872.9163699634</v>
      </c>
      <c r="N27" s="727">
        <f t="shared" si="10"/>
        <v>-8.3630036562681198E-2</v>
      </c>
      <c r="O27" s="686">
        <f>C8+O17+O25</f>
        <v>-8.3630036562681198E-2</v>
      </c>
      <c r="P27" s="649" t="s">
        <v>1274</v>
      </c>
      <c r="Q27" s="592">
        <f>Q26+1</f>
        <v>20</v>
      </c>
    </row>
    <row r="28" spans="1:17" ht="15.75">
      <c r="A28" s="593">
        <f>A27+1</f>
        <v>21</v>
      </c>
      <c r="B28" s="650"/>
      <c r="C28" s="564" t="str">
        <f t="shared" ref="C28:N28" si="11">C6</f>
        <v>Jan</v>
      </c>
      <c r="D28" s="518" t="str">
        <f t="shared" si="11"/>
        <v>Feb</v>
      </c>
      <c r="E28" s="651" t="str">
        <f t="shared" si="11"/>
        <v>Mar</v>
      </c>
      <c r="F28" s="568" t="str">
        <f t="shared" si="11"/>
        <v>Apr</v>
      </c>
      <c r="G28" s="519" t="str">
        <f t="shared" si="11"/>
        <v>May</v>
      </c>
      <c r="H28" s="567" t="str">
        <f t="shared" si="11"/>
        <v>Jun</v>
      </c>
      <c r="I28" s="568" t="str">
        <f t="shared" si="11"/>
        <v>Jul</v>
      </c>
      <c r="J28" s="518" t="str">
        <f t="shared" si="11"/>
        <v>Aug</v>
      </c>
      <c r="K28" s="569" t="str">
        <f t="shared" si="11"/>
        <v>Sep</v>
      </c>
      <c r="L28" s="568" t="str">
        <f t="shared" si="11"/>
        <v>Oct</v>
      </c>
      <c r="M28" s="518" t="str">
        <f t="shared" si="11"/>
        <v>Nov</v>
      </c>
      <c r="N28" s="570" t="str">
        <f t="shared" si="11"/>
        <v>Dec</v>
      </c>
      <c r="O28" s="162"/>
      <c r="P28" s="652"/>
      <c r="Q28" s="582">
        <f>Q27+1</f>
        <v>21</v>
      </c>
    </row>
    <row r="29" spans="1:17" ht="21.75">
      <c r="A29" s="593">
        <f>A28+1</f>
        <v>22</v>
      </c>
      <c r="B29" s="520" t="s">
        <v>1322</v>
      </c>
      <c r="C29" s="654">
        <v>3.2500000000000001E-2</v>
      </c>
      <c r="D29" s="538">
        <v>3.2500000000000001E-2</v>
      </c>
      <c r="E29" s="653">
        <v>3.2500000000000001E-2</v>
      </c>
      <c r="F29" s="654">
        <v>3.4599999999999999E-2</v>
      </c>
      <c r="G29" s="538">
        <v>3.4599999999999999E-2</v>
      </c>
      <c r="H29" s="655">
        <v>3.4599999999999999E-2</v>
      </c>
      <c r="I29" s="654">
        <v>3.5000000000000003E-2</v>
      </c>
      <c r="J29" s="538">
        <f>I29</f>
        <v>3.5000000000000003E-2</v>
      </c>
      <c r="K29" s="655">
        <f>I29</f>
        <v>3.5000000000000003E-2</v>
      </c>
      <c r="L29" s="654">
        <v>3.5000000000000003E-2</v>
      </c>
      <c r="M29" s="538">
        <f>L29</f>
        <v>3.5000000000000003E-2</v>
      </c>
      <c r="N29" s="655">
        <f>L29</f>
        <v>3.5000000000000003E-2</v>
      </c>
      <c r="O29" s="133"/>
      <c r="P29" s="652" t="s">
        <v>1340</v>
      </c>
      <c r="Q29" s="582">
        <f>Q28+1</f>
        <v>22</v>
      </c>
    </row>
    <row r="30" spans="1:17" ht="21.75">
      <c r="A30" s="593">
        <f t="shared" ref="A30:A34" si="12">A29+1</f>
        <v>23</v>
      </c>
      <c r="B30" s="520" t="s">
        <v>1323</v>
      </c>
      <c r="C30" s="744">
        <f t="shared" ref="C30:O30" si="13">$O31</f>
        <v>366</v>
      </c>
      <c r="D30" s="741">
        <f t="shared" si="13"/>
        <v>366</v>
      </c>
      <c r="E30" s="743">
        <f t="shared" si="13"/>
        <v>366</v>
      </c>
      <c r="F30" s="744">
        <f t="shared" si="13"/>
        <v>366</v>
      </c>
      <c r="G30" s="741">
        <f t="shared" si="13"/>
        <v>366</v>
      </c>
      <c r="H30" s="743">
        <f t="shared" si="13"/>
        <v>366</v>
      </c>
      <c r="I30" s="744">
        <f t="shared" si="13"/>
        <v>366</v>
      </c>
      <c r="J30" s="741">
        <f t="shared" si="13"/>
        <v>366</v>
      </c>
      <c r="K30" s="743">
        <f t="shared" si="13"/>
        <v>366</v>
      </c>
      <c r="L30" s="744">
        <f t="shared" si="13"/>
        <v>366</v>
      </c>
      <c r="M30" s="741">
        <f t="shared" si="13"/>
        <v>366</v>
      </c>
      <c r="N30" s="743">
        <f t="shared" si="13"/>
        <v>366</v>
      </c>
      <c r="O30" s="747">
        <f t="shared" si="13"/>
        <v>366</v>
      </c>
      <c r="P30" s="652" t="s">
        <v>840</v>
      </c>
      <c r="Q30" s="582">
        <f t="shared" ref="Q30:Q34" si="14">Q29+1</f>
        <v>23</v>
      </c>
    </row>
    <row r="31" spans="1:17" ht="21.75">
      <c r="A31" s="593">
        <f t="shared" si="12"/>
        <v>24</v>
      </c>
      <c r="B31" s="520" t="s">
        <v>1324</v>
      </c>
      <c r="C31" s="746">
        <v>31</v>
      </c>
      <c r="D31" s="539">
        <v>29</v>
      </c>
      <c r="E31" s="745">
        <v>31</v>
      </c>
      <c r="F31" s="746">
        <v>30</v>
      </c>
      <c r="G31" s="742">
        <v>31</v>
      </c>
      <c r="H31" s="745">
        <v>30</v>
      </c>
      <c r="I31" s="746">
        <v>31</v>
      </c>
      <c r="J31" s="742">
        <v>31</v>
      </c>
      <c r="K31" s="745">
        <v>30</v>
      </c>
      <c r="L31" s="746">
        <v>31</v>
      </c>
      <c r="M31" s="742">
        <v>30</v>
      </c>
      <c r="N31" s="745">
        <v>31</v>
      </c>
      <c r="O31" s="748">
        <f>SUM(C31:N31)</f>
        <v>366</v>
      </c>
      <c r="P31" s="652" t="s">
        <v>839</v>
      </c>
      <c r="Q31" s="582">
        <f t="shared" si="14"/>
        <v>24</v>
      </c>
    </row>
    <row r="32" spans="1:17" ht="15.75">
      <c r="A32" s="593">
        <f t="shared" si="12"/>
        <v>25</v>
      </c>
      <c r="B32" s="520" t="s">
        <v>621</v>
      </c>
      <c r="C32" s="730">
        <f>ROUND(C29/C30*C31,4)</f>
        <v>2.8E-3</v>
      </c>
      <c r="D32" s="711">
        <f t="shared" ref="D32:N32" si="15">ROUND(D29/D30*D31,4)</f>
        <v>2.5999999999999999E-3</v>
      </c>
      <c r="E32" s="731">
        <f t="shared" si="15"/>
        <v>2.8E-3</v>
      </c>
      <c r="F32" s="730">
        <f>ROUND(F29/F30*F31,4)</f>
        <v>2.8E-3</v>
      </c>
      <c r="G32" s="711">
        <f t="shared" si="15"/>
        <v>2.8999999999999998E-3</v>
      </c>
      <c r="H32" s="731">
        <f t="shared" si="15"/>
        <v>2.8E-3</v>
      </c>
      <c r="I32" s="730">
        <f t="shared" si="15"/>
        <v>3.0000000000000001E-3</v>
      </c>
      <c r="J32" s="711">
        <f t="shared" si="15"/>
        <v>3.0000000000000001E-3</v>
      </c>
      <c r="K32" s="731">
        <f t="shared" si="15"/>
        <v>2.8999999999999998E-3</v>
      </c>
      <c r="L32" s="730">
        <f t="shared" si="15"/>
        <v>3.0000000000000001E-3</v>
      </c>
      <c r="M32" s="711">
        <f t="shared" si="15"/>
        <v>2.8999999999999998E-3</v>
      </c>
      <c r="N32" s="731">
        <f t="shared" si="15"/>
        <v>3.0000000000000001E-3</v>
      </c>
      <c r="O32" s="738">
        <f>SUM(C32:N32)</f>
        <v>3.4500000000000003E-2</v>
      </c>
      <c r="P32" s="652" t="s">
        <v>1277</v>
      </c>
      <c r="Q32" s="582">
        <f t="shared" si="14"/>
        <v>25</v>
      </c>
    </row>
    <row r="33" spans="1:17" ht="21.75">
      <c r="A33" s="593">
        <f t="shared" si="12"/>
        <v>26</v>
      </c>
      <c r="B33" s="520" t="s">
        <v>1325</v>
      </c>
      <c r="C33" s="658">
        <v>2.8E-3</v>
      </c>
      <c r="D33" s="656">
        <v>2.5999999999999999E-3</v>
      </c>
      <c r="E33" s="657">
        <v>2.8E-3</v>
      </c>
      <c r="F33" s="658">
        <v>2.8E-3</v>
      </c>
      <c r="G33" s="656">
        <v>2.8999999999999998E-3</v>
      </c>
      <c r="H33" s="659">
        <v>2.8E-3</v>
      </c>
      <c r="I33" s="658">
        <v>3.0000000000000001E-3</v>
      </c>
      <c r="J33" s="656">
        <v>3.0000000000000001E-3</v>
      </c>
      <c r="K33" s="659">
        <v>2.8999999999999998E-3</v>
      </c>
      <c r="L33" s="658">
        <v>3.0000000000000001E-3</v>
      </c>
      <c r="M33" s="656">
        <v>2.8999999999999998E-3</v>
      </c>
      <c r="N33" s="659">
        <v>3.0000000000000001E-3</v>
      </c>
      <c r="O33" s="737">
        <v>3.2900000000000006E-2</v>
      </c>
      <c r="P33" s="652" t="s">
        <v>1341</v>
      </c>
      <c r="Q33" s="582">
        <f t="shared" si="14"/>
        <v>26</v>
      </c>
    </row>
    <row r="34" spans="1:17" ht="16.5" thickBot="1">
      <c r="A34" s="583">
        <f t="shared" si="12"/>
        <v>27</v>
      </c>
      <c r="B34" s="648" t="s">
        <v>624</v>
      </c>
      <c r="C34" s="734">
        <f>C32-C33</f>
        <v>0</v>
      </c>
      <c r="D34" s="732">
        <f t="shared" ref="D34:N34" si="16">D32-D33</f>
        <v>0</v>
      </c>
      <c r="E34" s="733">
        <f t="shared" si="16"/>
        <v>0</v>
      </c>
      <c r="F34" s="734">
        <f>F32-F33</f>
        <v>0</v>
      </c>
      <c r="G34" s="732">
        <f t="shared" si="16"/>
        <v>0</v>
      </c>
      <c r="H34" s="735">
        <f t="shared" si="16"/>
        <v>0</v>
      </c>
      <c r="I34" s="734">
        <f t="shared" si="16"/>
        <v>0</v>
      </c>
      <c r="J34" s="732">
        <f t="shared" si="16"/>
        <v>0</v>
      </c>
      <c r="K34" s="735">
        <f t="shared" si="16"/>
        <v>0</v>
      </c>
      <c r="L34" s="734">
        <f t="shared" si="16"/>
        <v>0</v>
      </c>
      <c r="M34" s="732">
        <f>M32-M33</f>
        <v>0</v>
      </c>
      <c r="N34" s="735">
        <f t="shared" si="16"/>
        <v>0</v>
      </c>
      <c r="O34" s="736">
        <f>SUM(C34:N34)</f>
        <v>0</v>
      </c>
      <c r="P34" s="530" t="s">
        <v>1278</v>
      </c>
      <c r="Q34" s="592">
        <f t="shared" si="14"/>
        <v>27</v>
      </c>
    </row>
    <row r="35" spans="1:17" ht="15.7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1"/>
      <c r="B36" s="662" t="s">
        <v>626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57" customHeight="1">
      <c r="A37" s="663" t="s">
        <v>273</v>
      </c>
      <c r="B37" s="1186" t="s">
        <v>1293</v>
      </c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4"/>
      <c r="P37" s="4"/>
      <c r="Q37" s="4"/>
    </row>
    <row r="38" spans="1:17" ht="23.25" customHeight="1">
      <c r="A38" s="663" t="s">
        <v>274</v>
      </c>
      <c r="B38" s="1186" t="s">
        <v>1222</v>
      </c>
      <c r="C38" s="1186"/>
      <c r="D38" s="1186"/>
      <c r="E38" s="1186"/>
      <c r="F38" s="1186"/>
      <c r="G38" s="1186"/>
      <c r="H38" s="1186"/>
      <c r="I38" s="1186"/>
      <c r="J38" s="1186"/>
      <c r="K38" s="1186"/>
      <c r="L38" s="1186"/>
      <c r="M38" s="1186"/>
      <c r="N38" s="1186"/>
      <c r="O38" s="4"/>
      <c r="P38" s="4"/>
      <c r="Q38" s="4"/>
    </row>
    <row r="39" spans="1:17" ht="24.75" customHeight="1">
      <c r="A39" s="663" t="s">
        <v>735</v>
      </c>
      <c r="B39" s="1186" t="s">
        <v>736</v>
      </c>
      <c r="C39" s="1186"/>
      <c r="D39" s="1186"/>
      <c r="E39" s="1186"/>
      <c r="F39" s="1186"/>
      <c r="G39" s="1186"/>
      <c r="H39" s="1186"/>
      <c r="I39" s="1186"/>
      <c r="J39" s="1186"/>
      <c r="K39" s="1186"/>
      <c r="L39" s="1186"/>
      <c r="M39" s="1186"/>
      <c r="N39" s="1186"/>
      <c r="O39" s="4"/>
      <c r="P39" s="4"/>
      <c r="Q39" s="4"/>
    </row>
    <row r="40" spans="1:17" ht="24">
      <c r="A40" s="663" t="s">
        <v>737</v>
      </c>
      <c r="B40" s="666" t="s">
        <v>738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>
      <c r="A41" s="667"/>
      <c r="B41" s="507" t="s">
        <v>1287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0.25" customHeight="1">
      <c r="A42" s="667"/>
      <c r="B42" s="1189" t="s">
        <v>1288</v>
      </c>
      <c r="C42" s="1189"/>
      <c r="D42" s="1189"/>
      <c r="E42" s="1189"/>
      <c r="F42" s="118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5.5" customHeight="1">
      <c r="A43" s="667"/>
      <c r="B43" s="1188" t="s">
        <v>1289</v>
      </c>
      <c r="C43" s="1188"/>
      <c r="D43" s="1188"/>
      <c r="E43" s="1188"/>
      <c r="F43" s="1188"/>
      <c r="G43" s="1188"/>
      <c r="H43" s="1188"/>
      <c r="I43" s="1188"/>
      <c r="J43" s="1188"/>
      <c r="K43" s="4"/>
      <c r="L43" s="4"/>
      <c r="M43" s="4"/>
      <c r="N43" s="4"/>
      <c r="O43" s="4"/>
      <c r="P43" s="4"/>
      <c r="Q43" s="4"/>
    </row>
    <row r="44" spans="1:17" ht="24">
      <c r="A44" s="663" t="s">
        <v>739</v>
      </c>
      <c r="B44" s="337" t="s">
        <v>719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 customHeight="1">
      <c r="A45" s="663" t="s">
        <v>740</v>
      </c>
      <c r="B45" s="1184" t="s">
        <v>1267</v>
      </c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4"/>
      <c r="P45" s="4"/>
      <c r="Q45" s="4"/>
    </row>
    <row r="46" spans="1:17" ht="18.75" customHeight="1">
      <c r="A46" s="1068" t="s">
        <v>884</v>
      </c>
      <c r="B46" s="1184" t="s">
        <v>1294</v>
      </c>
      <c r="C46" s="1184"/>
      <c r="D46" s="1184"/>
      <c r="E46" s="1184"/>
      <c r="F46" s="1184"/>
      <c r="G46" s="1184"/>
      <c r="H46" s="1184"/>
      <c r="I46" s="1184"/>
      <c r="J46" s="1184"/>
      <c r="K46" s="4"/>
      <c r="L46" s="4"/>
      <c r="M46" s="4"/>
      <c r="N46" s="4"/>
      <c r="O46" s="4"/>
      <c r="P46" s="4"/>
      <c r="Q46" s="4"/>
    </row>
    <row r="47" spans="1:17" ht="24">
      <c r="A47" s="1068" t="s">
        <v>1295</v>
      </c>
      <c r="B47" s="1066" t="s">
        <v>1339</v>
      </c>
      <c r="D47" s="66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>
      <c r="A48" s="671"/>
      <c r="B48" s="507"/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>
      <c r="A49" s="661"/>
      <c r="B49" s="507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>
      <c r="A50" s="48"/>
      <c r="B50" s="133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B51" s="4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B52" s="4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"/>
      <c r="B53" s="4"/>
      <c r="C53" s="660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660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B55" s="673"/>
    </row>
  </sheetData>
  <mergeCells count="7">
    <mergeCell ref="B45:N45"/>
    <mergeCell ref="B46:J46"/>
    <mergeCell ref="B37:N37"/>
    <mergeCell ref="B38:N38"/>
    <mergeCell ref="B39:N39"/>
    <mergeCell ref="B42:F42"/>
    <mergeCell ref="B43:J43"/>
  </mergeCells>
  <printOptions horizontalCentered="1"/>
  <pageMargins left="0" right="0" top="0.75" bottom="0.25" header="0.25" footer="0"/>
  <pageSetup scale="60" orientation="landscape" r:id="rId1"/>
  <headerFooter alignWithMargins="0">
    <oddHeader>&amp;C&amp;"Arial,Bold"&amp;12San Diego Gas &amp;&amp; Electric Co.
TO4 - Cycle 4 Annual Transmission Formula Filing
Derivation of RETAIL Interest True-Up Adjustment</oddHeader>
    <oddFooter>&amp;C&amp;A
Page &amp;P of &amp;N</oddFooter>
  </headerFooter>
  <colBreaks count="1" manualBreakCount="1">
    <brk id="10" min="3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Q60"/>
  <sheetViews>
    <sheetView zoomScale="80" zoomScaleNormal="80" workbookViewId="0"/>
  </sheetViews>
  <sheetFormatPr defaultRowHeight="12.75"/>
  <cols>
    <col min="1" max="1" width="5" bestFit="1" customWidth="1"/>
    <col min="2" max="2" width="75.7109375" bestFit="1" customWidth="1"/>
    <col min="3" max="4" width="18.7109375" bestFit="1" customWidth="1"/>
    <col min="5" max="6" width="19" bestFit="1" customWidth="1"/>
    <col min="7" max="7" width="18.7109375" bestFit="1" customWidth="1"/>
    <col min="8" max="8" width="19.140625" bestFit="1" customWidth="1"/>
    <col min="9" max="11" width="19.7109375" bestFit="1" customWidth="1"/>
    <col min="12" max="12" width="19.85546875" bestFit="1" customWidth="1"/>
    <col min="13" max="13" width="18.85546875" bestFit="1" customWidth="1"/>
    <col min="14" max="14" width="18.42578125" bestFit="1" customWidth="1"/>
    <col min="15" max="15" width="19.85546875" bestFit="1" customWidth="1"/>
    <col min="16" max="16" width="37.7109375" bestFit="1" customWidth="1"/>
    <col min="17" max="17" width="5.140625" customWidth="1"/>
    <col min="19" max="20" width="17.7109375" customWidth="1"/>
  </cols>
  <sheetData>
    <row r="2" spans="1:17" ht="16.5" thickBot="1">
      <c r="A2" s="133"/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133"/>
    </row>
    <row r="3" spans="1:17" s="817" customFormat="1" ht="15.75">
      <c r="A3" s="896" t="s">
        <v>62</v>
      </c>
      <c r="B3" s="911" t="s">
        <v>595</v>
      </c>
      <c r="C3" s="918" t="s">
        <v>1236</v>
      </c>
      <c r="D3" s="897" t="str">
        <f>C3</f>
        <v>TO4 Cycle 2</v>
      </c>
      <c r="E3" s="919" t="str">
        <f>C3</f>
        <v>TO4 Cycle 2</v>
      </c>
      <c r="F3" s="898" t="str">
        <f>C3</f>
        <v>TO4 Cycle 2</v>
      </c>
      <c r="G3" s="897" t="str">
        <f>C3</f>
        <v>TO4 Cycle 2</v>
      </c>
      <c r="H3" s="898" t="str">
        <f>C3</f>
        <v>TO4 Cycle 2</v>
      </c>
      <c r="I3" s="918" t="str">
        <f>C3</f>
        <v>TO4 Cycle 2</v>
      </c>
      <c r="J3" s="897" t="str">
        <f>C3</f>
        <v>TO4 Cycle 2</v>
      </c>
      <c r="K3" s="898" t="str">
        <f>C3</f>
        <v>TO4 Cycle 2</v>
      </c>
      <c r="L3" s="1000" t="str">
        <f>C3</f>
        <v>TO4 Cycle 2</v>
      </c>
      <c r="M3" s="988" t="str">
        <f>C3</f>
        <v>TO4 Cycle 2</v>
      </c>
      <c r="N3" s="898" t="str">
        <f>C3</f>
        <v>TO4 Cycle 2</v>
      </c>
      <c r="O3" s="896"/>
      <c r="P3" s="959"/>
      <c r="Q3" s="896" t="s">
        <v>62</v>
      </c>
    </row>
    <row r="4" spans="1:17" s="817" customFormat="1" ht="16.5" thickBot="1">
      <c r="A4" s="979" t="s">
        <v>63</v>
      </c>
      <c r="B4" s="979" t="s">
        <v>596</v>
      </c>
      <c r="C4" s="980">
        <v>42005</v>
      </c>
      <c r="D4" s="981">
        <v>42036</v>
      </c>
      <c r="E4" s="982">
        <v>42064</v>
      </c>
      <c r="F4" s="983">
        <v>42095</v>
      </c>
      <c r="G4" s="984">
        <v>42125</v>
      </c>
      <c r="H4" s="985">
        <v>42156</v>
      </c>
      <c r="I4" s="980">
        <v>42186</v>
      </c>
      <c r="J4" s="981">
        <v>42217</v>
      </c>
      <c r="K4" s="986">
        <v>42248</v>
      </c>
      <c r="L4" s="980">
        <v>42278</v>
      </c>
      <c r="M4" s="981">
        <v>42309</v>
      </c>
      <c r="N4" s="986">
        <v>42339</v>
      </c>
      <c r="O4" s="979" t="s">
        <v>67</v>
      </c>
      <c r="P4" s="987" t="s">
        <v>65</v>
      </c>
      <c r="Q4" s="979" t="s">
        <v>63</v>
      </c>
    </row>
    <row r="5" spans="1:17" ht="15.75">
      <c r="A5" s="520"/>
      <c r="B5" s="912"/>
      <c r="C5" s="920"/>
      <c r="D5" s="521"/>
      <c r="E5" s="921"/>
      <c r="F5" s="899"/>
      <c r="G5" s="522"/>
      <c r="H5" s="939"/>
      <c r="I5" s="920"/>
      <c r="J5" s="521"/>
      <c r="K5" s="955"/>
      <c r="L5" s="920"/>
      <c r="M5" s="521"/>
      <c r="N5" s="955"/>
      <c r="O5" s="968"/>
      <c r="P5" s="34"/>
      <c r="Q5" s="520"/>
    </row>
    <row r="6" spans="1:17" ht="15.75">
      <c r="A6" s="523">
        <v>1</v>
      </c>
      <c r="B6" s="603" t="s">
        <v>597</v>
      </c>
      <c r="C6" s="922">
        <v>0</v>
      </c>
      <c r="D6" s="529">
        <f t="shared" ref="D6:N6" si="0">C34</f>
        <v>-3296202.2477306919</v>
      </c>
      <c r="E6" s="638">
        <f t="shared" si="0"/>
        <v>-6477696.5288338652</v>
      </c>
      <c r="F6" s="635">
        <f t="shared" si="0"/>
        <v>-9884630.0216875877</v>
      </c>
      <c r="G6" s="529">
        <f t="shared" si="0"/>
        <v>-13660380.404727727</v>
      </c>
      <c r="H6" s="636">
        <f t="shared" si="0"/>
        <v>-17743212.096278526</v>
      </c>
      <c r="I6" s="637">
        <f t="shared" si="0"/>
        <v>-21643990.984700851</v>
      </c>
      <c r="J6" s="529">
        <f t="shared" si="0"/>
        <v>-26208405.062603891</v>
      </c>
      <c r="K6" s="636">
        <f t="shared" si="0"/>
        <v>-30568486.052334674</v>
      </c>
      <c r="L6" s="637">
        <f t="shared" si="0"/>
        <v>-35282787.691535704</v>
      </c>
      <c r="M6" s="529">
        <f t="shared" si="0"/>
        <v>-40436703.921921514</v>
      </c>
      <c r="N6" s="636">
        <f t="shared" si="0"/>
        <v>-44248594.649503</v>
      </c>
      <c r="O6" s="969"/>
      <c r="P6" s="758" t="s">
        <v>598</v>
      </c>
      <c r="Q6" s="523">
        <v>1</v>
      </c>
    </row>
    <row r="7" spans="1:17" ht="15.75">
      <c r="A7" s="523">
        <f t="shared" ref="A7:A42" si="1">A6+1</f>
        <v>2</v>
      </c>
      <c r="B7" s="520"/>
      <c r="C7" s="598"/>
      <c r="D7" s="524"/>
      <c r="E7" s="600"/>
      <c r="F7" s="594"/>
      <c r="G7" s="525"/>
      <c r="H7" s="595"/>
      <c r="I7" s="598"/>
      <c r="J7" s="524"/>
      <c r="K7" s="956"/>
      <c r="L7" s="1004"/>
      <c r="M7" s="1005"/>
      <c r="N7" s="1003"/>
      <c r="O7" s="970"/>
      <c r="P7" s="960"/>
      <c r="Q7" s="523">
        <f t="shared" ref="Q7:Q42" si="2">Q6+1</f>
        <v>2</v>
      </c>
    </row>
    <row r="8" spans="1:17" ht="18.75">
      <c r="A8" s="523">
        <f t="shared" si="1"/>
        <v>3</v>
      </c>
      <c r="B8" s="1115" t="s">
        <v>1255</v>
      </c>
      <c r="C8" s="923">
        <v>65107345.854013845</v>
      </c>
      <c r="D8" s="526">
        <v>59089317.257883422</v>
      </c>
      <c r="E8" s="689">
        <v>58645679.780204289</v>
      </c>
      <c r="F8" s="900">
        <v>60503744.895592377</v>
      </c>
      <c r="G8" s="526">
        <v>61432105.521929935</v>
      </c>
      <c r="H8" s="940">
        <v>59664563.396247104</v>
      </c>
      <c r="I8" s="923">
        <v>70806920.242337227</v>
      </c>
      <c r="J8" s="526">
        <v>72231147.060521245</v>
      </c>
      <c r="K8" s="940">
        <v>79893291.703109741</v>
      </c>
      <c r="L8" s="923">
        <v>80603583.438753918</v>
      </c>
      <c r="M8" s="526">
        <v>65623649.275834903</v>
      </c>
      <c r="N8" s="940">
        <v>62718417.271458589</v>
      </c>
      <c r="O8" s="971">
        <f>SUM(C8:N8)</f>
        <v>796319765.69788671</v>
      </c>
      <c r="P8" s="960" t="s">
        <v>1363</v>
      </c>
      <c r="Q8" s="523">
        <f t="shared" si="2"/>
        <v>3</v>
      </c>
    </row>
    <row r="9" spans="1:17" ht="15.75">
      <c r="A9" s="523">
        <f t="shared" si="1"/>
        <v>4</v>
      </c>
      <c r="B9" s="1110"/>
      <c r="C9" s="623"/>
      <c r="D9" s="210"/>
      <c r="E9" s="625"/>
      <c r="F9" s="211"/>
      <c r="G9" s="498"/>
      <c r="H9" s="620"/>
      <c r="I9" s="950"/>
      <c r="J9" s="498"/>
      <c r="K9" s="957"/>
      <c r="L9" s="950"/>
      <c r="M9" s="498"/>
      <c r="N9" s="620"/>
      <c r="O9" s="972"/>
      <c r="P9" s="960"/>
      <c r="Q9" s="523">
        <f t="shared" si="2"/>
        <v>4</v>
      </c>
    </row>
    <row r="10" spans="1:17" ht="15.75">
      <c r="A10" s="523">
        <f t="shared" si="1"/>
        <v>5</v>
      </c>
      <c r="B10" s="1116" t="s">
        <v>706</v>
      </c>
      <c r="C10" s="623"/>
      <c r="D10" s="210"/>
      <c r="E10" s="625"/>
      <c r="F10" s="211"/>
      <c r="G10" s="498"/>
      <c r="H10" s="620"/>
      <c r="I10" s="623"/>
      <c r="J10" s="210"/>
      <c r="K10" s="957"/>
      <c r="L10" s="623"/>
      <c r="M10" s="210"/>
      <c r="N10" s="957"/>
      <c r="O10" s="972"/>
      <c r="P10" s="961"/>
      <c r="Q10" s="523">
        <f t="shared" si="2"/>
        <v>5</v>
      </c>
    </row>
    <row r="11" spans="1:17" ht="15.75">
      <c r="A11" s="523">
        <f t="shared" si="1"/>
        <v>6</v>
      </c>
      <c r="B11" s="1117" t="s">
        <v>1256</v>
      </c>
      <c r="C11" s="621"/>
      <c r="D11" s="210"/>
      <c r="E11" s="625"/>
      <c r="F11" s="211"/>
      <c r="G11" s="498"/>
      <c r="H11" s="620"/>
      <c r="I11" s="623"/>
      <c r="J11" s="210"/>
      <c r="K11" s="957"/>
      <c r="L11" s="623"/>
      <c r="M11" s="210"/>
      <c r="N11" s="957"/>
      <c r="O11" s="972"/>
      <c r="P11" s="961"/>
      <c r="Q11" s="523">
        <f t="shared" si="2"/>
        <v>6</v>
      </c>
    </row>
    <row r="12" spans="1:17" ht="18.75">
      <c r="A12" s="523">
        <f t="shared" si="1"/>
        <v>7</v>
      </c>
      <c r="B12" s="1109" t="s">
        <v>1296</v>
      </c>
      <c r="C12" s="924">
        <v>-6016206</v>
      </c>
      <c r="D12" s="462">
        <v>-5587273</v>
      </c>
      <c r="E12" s="925">
        <v>-5365376</v>
      </c>
      <c r="F12" s="901">
        <v>-5520671</v>
      </c>
      <c r="G12" s="462">
        <v>-5418458</v>
      </c>
      <c r="H12" s="941">
        <v>-5210140</v>
      </c>
      <c r="I12" s="924">
        <v>-6305354</v>
      </c>
      <c r="J12" s="462">
        <v>-6427209</v>
      </c>
      <c r="K12" s="450">
        <v>-6988365</v>
      </c>
      <c r="L12" s="924">
        <v>-7045076</v>
      </c>
      <c r="M12" s="462">
        <v>-6120095</v>
      </c>
      <c r="N12" s="450">
        <v>-6365359</v>
      </c>
      <c r="O12" s="973">
        <f>SUM(C12:N12)</f>
        <v>-72369582</v>
      </c>
      <c r="P12" s="960" t="s">
        <v>1364</v>
      </c>
      <c r="Q12" s="523">
        <f t="shared" si="2"/>
        <v>7</v>
      </c>
    </row>
    <row r="13" spans="1:17" ht="18.75">
      <c r="A13" s="523">
        <f t="shared" si="1"/>
        <v>8</v>
      </c>
      <c r="B13" s="1109" t="s">
        <v>1297</v>
      </c>
      <c r="C13" s="924">
        <v>-294742</v>
      </c>
      <c r="D13" s="462">
        <v>-273728</v>
      </c>
      <c r="E13" s="925">
        <v>-262857</v>
      </c>
      <c r="F13" s="901">
        <v>-270465</v>
      </c>
      <c r="G13" s="462">
        <v>-265458</v>
      </c>
      <c r="H13" s="941">
        <v>-255252</v>
      </c>
      <c r="I13" s="924">
        <v>-308908</v>
      </c>
      <c r="J13" s="462">
        <v>-314878</v>
      </c>
      <c r="K13" s="450">
        <v>-342369</v>
      </c>
      <c r="L13" s="924">
        <v>-345148</v>
      </c>
      <c r="M13" s="462">
        <v>-299832</v>
      </c>
      <c r="N13" s="450">
        <v>-316685</v>
      </c>
      <c r="O13" s="973">
        <f>SUM(C13:N13)</f>
        <v>-3550322</v>
      </c>
      <c r="P13" s="960" t="s">
        <v>1365</v>
      </c>
      <c r="Q13" s="523">
        <f t="shared" si="2"/>
        <v>8</v>
      </c>
    </row>
    <row r="14" spans="1:17" ht="15.75">
      <c r="A14" s="523">
        <f t="shared" si="1"/>
        <v>9</v>
      </c>
      <c r="B14" s="520"/>
      <c r="C14" s="623"/>
      <c r="D14" s="210"/>
      <c r="E14" s="625"/>
      <c r="F14" s="211"/>
      <c r="G14" s="498"/>
      <c r="H14" s="620"/>
      <c r="I14" s="623"/>
      <c r="J14" s="210"/>
      <c r="K14" s="957"/>
      <c r="L14" s="623"/>
      <c r="M14" s="210"/>
      <c r="N14" s="957"/>
      <c r="O14" s="972"/>
      <c r="P14" s="962"/>
      <c r="Q14" s="523">
        <f t="shared" si="2"/>
        <v>9</v>
      </c>
    </row>
    <row r="15" spans="1:17" ht="15.75">
      <c r="A15" s="523">
        <f t="shared" si="1"/>
        <v>10</v>
      </c>
      <c r="B15" s="1117" t="s">
        <v>1257</v>
      </c>
      <c r="C15" s="623"/>
      <c r="D15" s="210"/>
      <c r="E15" s="625"/>
      <c r="F15" s="211"/>
      <c r="G15" s="498"/>
      <c r="H15" s="620"/>
      <c r="I15" s="623"/>
      <c r="J15" s="210"/>
      <c r="K15" s="957"/>
      <c r="L15" s="623"/>
      <c r="M15" s="210"/>
      <c r="N15" s="957"/>
      <c r="O15" s="972"/>
      <c r="P15" s="960"/>
      <c r="Q15" s="523">
        <f t="shared" si="2"/>
        <v>10</v>
      </c>
    </row>
    <row r="16" spans="1:17" ht="18.75">
      <c r="A16" s="523">
        <f t="shared" si="1"/>
        <v>11</v>
      </c>
      <c r="B16" s="1109" t="s">
        <v>1344</v>
      </c>
      <c r="C16" s="924">
        <v>-398769</v>
      </c>
      <c r="D16" s="462">
        <v>-370338</v>
      </c>
      <c r="E16" s="925">
        <v>-355630</v>
      </c>
      <c r="F16" s="901">
        <v>-365923</v>
      </c>
      <c r="G16" s="462">
        <v>-359149</v>
      </c>
      <c r="H16" s="941">
        <v>-345341</v>
      </c>
      <c r="I16" s="924">
        <v>-417934</v>
      </c>
      <c r="J16" s="462">
        <v>-426011</v>
      </c>
      <c r="K16" s="450">
        <v>-463206</v>
      </c>
      <c r="L16" s="924">
        <v>-466965</v>
      </c>
      <c r="M16" s="462">
        <v>-405655</v>
      </c>
      <c r="N16" s="450">
        <v>-336444</v>
      </c>
      <c r="O16" s="973">
        <f>SUM(C16:N16)</f>
        <v>-4711365</v>
      </c>
      <c r="P16" s="960" t="s">
        <v>1366</v>
      </c>
      <c r="Q16" s="523">
        <f t="shared" si="2"/>
        <v>11</v>
      </c>
    </row>
    <row r="17" spans="1:17" ht="15.75">
      <c r="A17" s="523">
        <f t="shared" si="1"/>
        <v>12</v>
      </c>
      <c r="B17" s="520"/>
      <c r="C17" s="621"/>
      <c r="D17" s="498"/>
      <c r="E17" s="622"/>
      <c r="F17" s="749"/>
      <c r="G17" s="498"/>
      <c r="H17" s="620"/>
      <c r="I17" s="621"/>
      <c r="J17" s="498"/>
      <c r="K17" s="695"/>
      <c r="L17" s="621"/>
      <c r="M17" s="498"/>
      <c r="N17" s="695"/>
      <c r="O17" s="973"/>
      <c r="P17" s="960"/>
      <c r="Q17" s="523">
        <f t="shared" si="2"/>
        <v>12</v>
      </c>
    </row>
    <row r="18" spans="1:17" ht="15.75">
      <c r="A18" s="523">
        <f t="shared" si="1"/>
        <v>13</v>
      </c>
      <c r="B18" s="520"/>
      <c r="C18" s="926"/>
      <c r="D18" s="491"/>
      <c r="E18" s="927"/>
      <c r="F18" s="527"/>
      <c r="G18" s="491"/>
      <c r="H18" s="942"/>
      <c r="I18" s="953"/>
      <c r="J18" s="528"/>
      <c r="K18" s="999"/>
      <c r="L18" s="953"/>
      <c r="M18" s="491"/>
      <c r="N18" s="527"/>
      <c r="O18" s="974"/>
      <c r="P18" s="960"/>
      <c r="Q18" s="523">
        <f t="shared" si="2"/>
        <v>13</v>
      </c>
    </row>
    <row r="19" spans="1:17" ht="15.75">
      <c r="A19" s="523">
        <f t="shared" si="1"/>
        <v>14</v>
      </c>
      <c r="B19" s="520" t="s">
        <v>601</v>
      </c>
      <c r="C19" s="928">
        <f t="shared" ref="C19:O19" si="3">SUM(C12:C18)</f>
        <v>-6709717</v>
      </c>
      <c r="D19" s="498">
        <f t="shared" si="3"/>
        <v>-6231339</v>
      </c>
      <c r="E19" s="622">
        <f t="shared" si="3"/>
        <v>-5983863</v>
      </c>
      <c r="F19" s="695">
        <f t="shared" si="3"/>
        <v>-6157059</v>
      </c>
      <c r="G19" s="498">
        <f t="shared" si="3"/>
        <v>-6043065</v>
      </c>
      <c r="H19" s="620">
        <f t="shared" si="3"/>
        <v>-5810733</v>
      </c>
      <c r="I19" s="928">
        <f t="shared" si="3"/>
        <v>-7032196</v>
      </c>
      <c r="J19" s="498">
        <f t="shared" si="3"/>
        <v>-7168098</v>
      </c>
      <c r="K19" s="620">
        <f t="shared" si="3"/>
        <v>-7793940</v>
      </c>
      <c r="L19" s="930">
        <f t="shared" si="3"/>
        <v>-7857189</v>
      </c>
      <c r="M19" s="708">
        <f t="shared" si="3"/>
        <v>-6825582</v>
      </c>
      <c r="N19" s="620">
        <f t="shared" si="3"/>
        <v>-7018488</v>
      </c>
      <c r="O19" s="973">
        <f t="shared" si="3"/>
        <v>-80631269</v>
      </c>
      <c r="P19" s="960" t="s">
        <v>1259</v>
      </c>
      <c r="Q19" s="523">
        <f t="shared" si="2"/>
        <v>14</v>
      </c>
    </row>
    <row r="20" spans="1:17" ht="15.75">
      <c r="A20" s="523">
        <f t="shared" si="1"/>
        <v>15</v>
      </c>
      <c r="B20" s="520"/>
      <c r="C20" s="929"/>
      <c r="D20" s="489"/>
      <c r="E20" s="687"/>
      <c r="F20" s="490"/>
      <c r="G20" s="489"/>
      <c r="H20" s="943"/>
      <c r="I20" s="929"/>
      <c r="J20" s="489"/>
      <c r="K20" s="943"/>
      <c r="L20" s="929"/>
      <c r="M20" s="489"/>
      <c r="N20" s="943"/>
      <c r="O20" s="974"/>
      <c r="P20" s="960"/>
      <c r="Q20" s="523">
        <f t="shared" si="2"/>
        <v>15</v>
      </c>
    </row>
    <row r="21" spans="1:17" ht="18.75">
      <c r="A21" s="523">
        <f t="shared" si="1"/>
        <v>16</v>
      </c>
      <c r="B21" s="1115" t="s">
        <v>1345</v>
      </c>
      <c r="C21" s="930">
        <f t="shared" ref="C21:N21" si="4">C8+C19</f>
        <v>58397628.854013845</v>
      </c>
      <c r="D21" s="708">
        <f t="shared" si="4"/>
        <v>52857978.257883422</v>
      </c>
      <c r="E21" s="931">
        <f t="shared" si="4"/>
        <v>52661816.780204289</v>
      </c>
      <c r="F21" s="902">
        <f t="shared" si="4"/>
        <v>54346685.895592377</v>
      </c>
      <c r="G21" s="708">
        <f t="shared" si="4"/>
        <v>55389040.521929935</v>
      </c>
      <c r="H21" s="944">
        <f t="shared" si="4"/>
        <v>53853830.396247104</v>
      </c>
      <c r="I21" s="930">
        <f t="shared" si="4"/>
        <v>63774724.242337227</v>
      </c>
      <c r="J21" s="708">
        <f t="shared" si="4"/>
        <v>65063049.060521245</v>
      </c>
      <c r="K21" s="944">
        <f t="shared" si="4"/>
        <v>72099351.703109741</v>
      </c>
      <c r="L21" s="930">
        <f t="shared" si="4"/>
        <v>72746394.438753918</v>
      </c>
      <c r="M21" s="708">
        <f t="shared" si="4"/>
        <v>58798067.275834903</v>
      </c>
      <c r="N21" s="944">
        <f t="shared" si="4"/>
        <v>55699929.271458589</v>
      </c>
      <c r="O21" s="973">
        <f>SUM(C21:N21)</f>
        <v>715688496.69788659</v>
      </c>
      <c r="P21" s="960" t="s">
        <v>709</v>
      </c>
      <c r="Q21" s="523">
        <f t="shared" si="2"/>
        <v>16</v>
      </c>
    </row>
    <row r="22" spans="1:17" ht="15.75">
      <c r="A22" s="523">
        <f t="shared" si="1"/>
        <v>17</v>
      </c>
      <c r="B22" s="1118"/>
      <c r="C22" s="598"/>
      <c r="D22" s="524"/>
      <c r="E22" s="600"/>
      <c r="F22" s="594"/>
      <c r="G22" s="525"/>
      <c r="H22" s="595"/>
      <c r="I22" s="598"/>
      <c r="J22" s="524"/>
      <c r="K22" s="956"/>
      <c r="L22" s="598"/>
      <c r="M22" s="524"/>
      <c r="N22" s="956"/>
      <c r="O22" s="975"/>
      <c r="P22" s="960"/>
      <c r="Q22" s="523">
        <f t="shared" si="2"/>
        <v>17</v>
      </c>
    </row>
    <row r="23" spans="1:17" ht="15.75">
      <c r="A23" s="523">
        <f t="shared" si="1"/>
        <v>18</v>
      </c>
      <c r="B23" s="1119" t="s">
        <v>1258</v>
      </c>
      <c r="C23" s="923">
        <v>55106034.837905705</v>
      </c>
      <c r="D23" s="526">
        <v>49688674.591403618</v>
      </c>
      <c r="E23" s="689">
        <v>49277711.548186637</v>
      </c>
      <c r="F23" s="900">
        <v>50602678.423697852</v>
      </c>
      <c r="G23" s="526">
        <v>51350023.638997272</v>
      </c>
      <c r="H23" s="940">
        <v>50005948.814776354</v>
      </c>
      <c r="I23" s="923">
        <v>59277209.859327562</v>
      </c>
      <c r="J23" s="526">
        <v>60782157.533957243</v>
      </c>
      <c r="K23" s="1037">
        <v>67473435.522367254</v>
      </c>
      <c r="L23" s="1038">
        <v>67698337.293907195</v>
      </c>
      <c r="M23" s="1039">
        <v>55100062.136250086</v>
      </c>
      <c r="N23" s="1037">
        <v>52828725.683880724</v>
      </c>
      <c r="O23" s="971">
        <f>SUM(C23:N23)</f>
        <v>669190999.8846575</v>
      </c>
      <c r="P23" s="960" t="s">
        <v>1367</v>
      </c>
      <c r="Q23" s="523">
        <f t="shared" si="2"/>
        <v>18</v>
      </c>
    </row>
    <row r="24" spans="1:17" ht="15.75">
      <c r="A24" s="523">
        <f t="shared" si="1"/>
        <v>19</v>
      </c>
      <c r="B24" s="1115"/>
      <c r="C24" s="598"/>
      <c r="D24" s="524"/>
      <c r="E24" s="600"/>
      <c r="F24" s="594"/>
      <c r="G24" s="525"/>
      <c r="H24" s="595"/>
      <c r="I24" s="598"/>
      <c r="J24" s="524"/>
      <c r="K24" s="1041"/>
      <c r="L24" s="1042"/>
      <c r="M24" s="1043"/>
      <c r="N24" s="1044"/>
      <c r="O24" s="1048"/>
      <c r="P24" s="960"/>
      <c r="Q24" s="523">
        <f t="shared" si="2"/>
        <v>19</v>
      </c>
    </row>
    <row r="25" spans="1:17" ht="15.75">
      <c r="A25" s="523">
        <f t="shared" si="1"/>
        <v>20</v>
      </c>
      <c r="B25" s="1120" t="s">
        <v>604</v>
      </c>
      <c r="C25" s="715">
        <f t="shared" ref="C25:N25" si="5">C23-C21</f>
        <v>-3291594.0161081403</v>
      </c>
      <c r="D25" s="713">
        <f t="shared" si="5"/>
        <v>-3169303.6664798036</v>
      </c>
      <c r="E25" s="716">
        <f t="shared" si="5"/>
        <v>-3384105.2320176512</v>
      </c>
      <c r="F25" s="712">
        <f t="shared" si="5"/>
        <v>-3744007.471894525</v>
      </c>
      <c r="G25" s="713">
        <f t="shared" si="5"/>
        <v>-4039016.882932663</v>
      </c>
      <c r="H25" s="714">
        <f t="shared" si="5"/>
        <v>-3847881.5814707503</v>
      </c>
      <c r="I25" s="715">
        <f t="shared" si="5"/>
        <v>-4497514.3830096647</v>
      </c>
      <c r="J25" s="713">
        <f t="shared" si="5"/>
        <v>-4280891.526564002</v>
      </c>
      <c r="K25" s="716">
        <f t="shared" si="5"/>
        <v>-4625916.1807424873</v>
      </c>
      <c r="L25" s="715">
        <f t="shared" si="5"/>
        <v>-5048057.1448467225</v>
      </c>
      <c r="M25" s="713">
        <f t="shared" si="5"/>
        <v>-3698005.139584817</v>
      </c>
      <c r="N25" s="714">
        <f t="shared" si="5"/>
        <v>-2871203.5875778645</v>
      </c>
      <c r="O25" s="971">
        <f>SUM(C25:N25)</f>
        <v>-46497496.813229091</v>
      </c>
      <c r="P25" s="758" t="s">
        <v>605</v>
      </c>
      <c r="Q25" s="523">
        <f t="shared" si="2"/>
        <v>20</v>
      </c>
    </row>
    <row r="26" spans="1:17" ht="16.5" thickBot="1">
      <c r="A26" s="530">
        <f t="shared" si="1"/>
        <v>21</v>
      </c>
      <c r="B26" s="648"/>
      <c r="C26" s="932"/>
      <c r="D26" s="531"/>
      <c r="E26" s="933"/>
      <c r="F26" s="903"/>
      <c r="G26" s="532"/>
      <c r="H26" s="945"/>
      <c r="I26" s="932"/>
      <c r="J26" s="531"/>
      <c r="K26" s="1049"/>
      <c r="L26" s="1050"/>
      <c r="M26" s="1050"/>
      <c r="N26" s="1049"/>
      <c r="O26" s="1045"/>
      <c r="P26" s="963"/>
      <c r="Q26" s="530">
        <f t="shared" si="2"/>
        <v>21</v>
      </c>
    </row>
    <row r="27" spans="1:17" ht="15.75">
      <c r="A27" s="523">
        <f t="shared" si="1"/>
        <v>22</v>
      </c>
      <c r="B27" s="1110" t="s">
        <v>606</v>
      </c>
      <c r="C27" s="631"/>
      <c r="D27" s="533"/>
      <c r="E27" s="633"/>
      <c r="F27" s="627"/>
      <c r="G27" s="534"/>
      <c r="H27" s="628"/>
      <c r="I27" s="631"/>
      <c r="J27" s="533"/>
      <c r="K27" s="958"/>
      <c r="L27" s="631"/>
      <c r="M27" s="533"/>
      <c r="N27" s="958"/>
      <c r="O27" s="975"/>
      <c r="P27" s="964"/>
      <c r="Q27" s="523">
        <f t="shared" si="2"/>
        <v>22</v>
      </c>
    </row>
    <row r="28" spans="1:17" ht="15.75">
      <c r="A28" s="523">
        <f t="shared" si="1"/>
        <v>23</v>
      </c>
      <c r="B28" s="1110" t="s">
        <v>607</v>
      </c>
      <c r="C28" s="637">
        <f>$C6</f>
        <v>0</v>
      </c>
      <c r="D28" s="529">
        <f>$C6</f>
        <v>0</v>
      </c>
      <c r="E28" s="638">
        <f>$C6</f>
        <v>0</v>
      </c>
      <c r="F28" s="635">
        <f>$F6</f>
        <v>-9884630.0216875877</v>
      </c>
      <c r="G28" s="529">
        <f>$F6</f>
        <v>-9884630.0216875877</v>
      </c>
      <c r="H28" s="636">
        <f>$F6</f>
        <v>-9884630.0216875877</v>
      </c>
      <c r="I28" s="637">
        <f>$I6</f>
        <v>-21643990.984700851</v>
      </c>
      <c r="J28" s="529">
        <f>$I6</f>
        <v>-21643990.984700851</v>
      </c>
      <c r="K28" s="636">
        <f>$I6</f>
        <v>-21643990.984700851</v>
      </c>
      <c r="L28" s="637">
        <f>$L6</f>
        <v>-35282787.691535704</v>
      </c>
      <c r="M28" s="529">
        <f>$L6</f>
        <v>-35282787.691535704</v>
      </c>
      <c r="N28" s="636">
        <f>$L6</f>
        <v>-35282787.691535704</v>
      </c>
      <c r="O28" s="975"/>
      <c r="P28" s="965" t="s">
        <v>608</v>
      </c>
      <c r="Q28" s="523">
        <f t="shared" si="2"/>
        <v>23</v>
      </c>
    </row>
    <row r="29" spans="1:17" ht="15.75">
      <c r="A29" s="523">
        <f t="shared" si="1"/>
        <v>24</v>
      </c>
      <c r="B29" s="1110" t="s">
        <v>609</v>
      </c>
      <c r="C29" s="720">
        <f>C25/2</f>
        <v>-1645797.0080540702</v>
      </c>
      <c r="D29" s="709">
        <f>C25+(D25/2)</f>
        <v>-4876245.8493480422</v>
      </c>
      <c r="E29" s="721">
        <f>C25+D25+(E25/2)</f>
        <v>-8152950.2985967696</v>
      </c>
      <c r="F29" s="718">
        <f>F25/2</f>
        <v>-1872003.7359472625</v>
      </c>
      <c r="G29" s="709">
        <f>F25+(G25/2)</f>
        <v>-5763515.9133608565</v>
      </c>
      <c r="H29" s="719">
        <f>(F25+G25+(H25/2))</f>
        <v>-9706965.1455625631</v>
      </c>
      <c r="I29" s="720">
        <f>I25/2</f>
        <v>-2248757.1915048324</v>
      </c>
      <c r="J29" s="709">
        <f>I25+(J25/2)</f>
        <v>-6637960.1462916657</v>
      </c>
      <c r="K29" s="719">
        <f>I25+J25+(K25/2)</f>
        <v>-11091363.99994491</v>
      </c>
      <c r="L29" s="720">
        <f>L25/2</f>
        <v>-2524028.5724233612</v>
      </c>
      <c r="M29" s="709">
        <f>L25+(M25/2)</f>
        <v>-6897059.714639131</v>
      </c>
      <c r="N29" s="719">
        <f>L25+M25+(N25/2)</f>
        <v>-10181664.078220472</v>
      </c>
      <c r="O29" s="976"/>
      <c r="P29" s="965" t="s">
        <v>610</v>
      </c>
      <c r="Q29" s="523">
        <f t="shared" si="2"/>
        <v>24</v>
      </c>
    </row>
    <row r="30" spans="1:17" ht="15.75">
      <c r="A30" s="523">
        <f t="shared" si="1"/>
        <v>25</v>
      </c>
      <c r="B30" s="1110" t="s">
        <v>611</v>
      </c>
      <c r="C30" s="629">
        <f t="shared" ref="C30:N30" si="6">C28+C29</f>
        <v>-1645797.0080540702</v>
      </c>
      <c r="D30" s="534">
        <f t="shared" si="6"/>
        <v>-4876245.8493480422</v>
      </c>
      <c r="E30" s="630">
        <f t="shared" si="6"/>
        <v>-8152950.2985967696</v>
      </c>
      <c r="F30" s="904">
        <f t="shared" si="6"/>
        <v>-11756633.75763485</v>
      </c>
      <c r="G30" s="534">
        <f t="shared" si="6"/>
        <v>-15648145.935048444</v>
      </c>
      <c r="H30" s="628">
        <f t="shared" si="6"/>
        <v>-19591595.167250149</v>
      </c>
      <c r="I30" s="629">
        <f t="shared" si="6"/>
        <v>-23892748.176205683</v>
      </c>
      <c r="J30" s="534">
        <f t="shared" si="6"/>
        <v>-28281951.130992517</v>
      </c>
      <c r="K30" s="628">
        <f t="shared" si="6"/>
        <v>-32735354.984645762</v>
      </c>
      <c r="L30" s="629">
        <f t="shared" si="6"/>
        <v>-37806816.263959065</v>
      </c>
      <c r="M30" s="534">
        <f t="shared" si="6"/>
        <v>-42179847.406174839</v>
      </c>
      <c r="N30" s="628">
        <f t="shared" si="6"/>
        <v>-45464451.769756176</v>
      </c>
      <c r="O30" s="975"/>
      <c r="P30" s="965" t="s">
        <v>612</v>
      </c>
      <c r="Q30" s="523">
        <f t="shared" si="2"/>
        <v>25</v>
      </c>
    </row>
    <row r="31" spans="1:17" ht="15.75">
      <c r="A31" s="523">
        <f t="shared" si="1"/>
        <v>26</v>
      </c>
      <c r="B31" s="1110" t="s">
        <v>613</v>
      </c>
      <c r="C31" s="645">
        <f t="shared" ref="C31:N31" si="7">C41</f>
        <v>2.8E-3</v>
      </c>
      <c r="D31" s="643">
        <f t="shared" si="7"/>
        <v>2.5000000000000001E-3</v>
      </c>
      <c r="E31" s="646">
        <f t="shared" si="7"/>
        <v>2.8E-3</v>
      </c>
      <c r="F31" s="642">
        <f t="shared" si="7"/>
        <v>2.7000000000000001E-3</v>
      </c>
      <c r="G31" s="643">
        <f t="shared" si="7"/>
        <v>2.8E-3</v>
      </c>
      <c r="H31" s="644">
        <f t="shared" si="7"/>
        <v>2.7000000000000001E-3</v>
      </c>
      <c r="I31" s="645">
        <f t="shared" si="7"/>
        <v>2.8E-3</v>
      </c>
      <c r="J31" s="643">
        <f t="shared" si="7"/>
        <v>2.8E-3</v>
      </c>
      <c r="K31" s="644">
        <f t="shared" si="7"/>
        <v>2.7000000000000001E-3</v>
      </c>
      <c r="L31" s="645">
        <f t="shared" si="7"/>
        <v>2.8E-3</v>
      </c>
      <c r="M31" s="643">
        <f t="shared" si="7"/>
        <v>2.7000000000000001E-3</v>
      </c>
      <c r="N31" s="644">
        <f t="shared" si="7"/>
        <v>2.8E-3</v>
      </c>
      <c r="O31" s="975"/>
      <c r="P31" s="965" t="s">
        <v>614</v>
      </c>
      <c r="Q31" s="523">
        <f t="shared" si="2"/>
        <v>26</v>
      </c>
    </row>
    <row r="32" spans="1:17" ht="15.75">
      <c r="A32" s="523">
        <f t="shared" si="1"/>
        <v>27</v>
      </c>
      <c r="B32" s="1115" t="s">
        <v>615</v>
      </c>
      <c r="C32" s="761">
        <f t="shared" ref="C32:N32" si="8">C30*C31</f>
        <v>-4608.2316225513969</v>
      </c>
      <c r="D32" s="755">
        <f t="shared" si="8"/>
        <v>-12190.614623370106</v>
      </c>
      <c r="E32" s="762">
        <f t="shared" si="8"/>
        <v>-22828.260836070953</v>
      </c>
      <c r="F32" s="759">
        <f t="shared" si="8"/>
        <v>-31742.911145614096</v>
      </c>
      <c r="G32" s="755">
        <f t="shared" si="8"/>
        <v>-43814.808618135641</v>
      </c>
      <c r="H32" s="760">
        <f t="shared" si="8"/>
        <v>-52897.306951575403</v>
      </c>
      <c r="I32" s="761">
        <f t="shared" si="8"/>
        <v>-66899.694893375912</v>
      </c>
      <c r="J32" s="755">
        <f t="shared" si="8"/>
        <v>-79189.463166779053</v>
      </c>
      <c r="K32" s="760">
        <f t="shared" si="8"/>
        <v>-88385.458458543566</v>
      </c>
      <c r="L32" s="761">
        <f t="shared" si="8"/>
        <v>-105859.08553908538</v>
      </c>
      <c r="M32" s="755">
        <f t="shared" si="8"/>
        <v>-113885.58799667207</v>
      </c>
      <c r="N32" s="760">
        <f t="shared" si="8"/>
        <v>-127300.46495531729</v>
      </c>
      <c r="O32" s="1040">
        <f>SUM(C32:N32)</f>
        <v>-749601.88880709081</v>
      </c>
      <c r="P32" s="965" t="s">
        <v>616</v>
      </c>
      <c r="Q32" s="523">
        <f t="shared" si="2"/>
        <v>27</v>
      </c>
    </row>
    <row r="33" spans="1:17" ht="16.5" thickBot="1">
      <c r="A33" s="523">
        <f t="shared" si="1"/>
        <v>28</v>
      </c>
      <c r="B33" s="1110"/>
      <c r="C33" s="631"/>
      <c r="D33" s="533"/>
      <c r="E33" s="633"/>
      <c r="F33" s="627"/>
      <c r="G33" s="534"/>
      <c r="H33" s="628"/>
      <c r="I33" s="631"/>
      <c r="J33" s="533"/>
      <c r="K33" s="1041"/>
      <c r="L33" s="1042"/>
      <c r="M33" s="1043"/>
      <c r="N33" s="1044"/>
      <c r="O33" s="1045"/>
      <c r="P33" s="965"/>
      <c r="Q33" s="523">
        <f t="shared" si="2"/>
        <v>28</v>
      </c>
    </row>
    <row r="34" spans="1:17" ht="16.5" thickBot="1">
      <c r="A34" s="523">
        <f t="shared" si="1"/>
        <v>29</v>
      </c>
      <c r="B34" s="1121" t="s">
        <v>617</v>
      </c>
      <c r="C34" s="934">
        <f>C6+C25+C32</f>
        <v>-3296202.2477306919</v>
      </c>
      <c r="D34" s="756">
        <f>D6+D25+D32</f>
        <v>-6477696.5288338652</v>
      </c>
      <c r="E34" s="935">
        <f>E6+E25+E32</f>
        <v>-9884630.0216875877</v>
      </c>
      <c r="F34" s="905">
        <f>F6+F25+F32</f>
        <v>-13660380.404727727</v>
      </c>
      <c r="G34" s="756">
        <f t="shared" ref="G34:O34" si="9">G6+G25+G32</f>
        <v>-17743212.096278526</v>
      </c>
      <c r="H34" s="757">
        <f t="shared" si="9"/>
        <v>-21643990.984700851</v>
      </c>
      <c r="I34" s="934">
        <f t="shared" si="9"/>
        <v>-26208405.062603891</v>
      </c>
      <c r="J34" s="756">
        <f t="shared" si="9"/>
        <v>-30568486.052334674</v>
      </c>
      <c r="K34" s="757">
        <f t="shared" si="9"/>
        <v>-35282787.691535704</v>
      </c>
      <c r="L34" s="934">
        <f t="shared" si="9"/>
        <v>-40436703.921921514</v>
      </c>
      <c r="M34" s="756">
        <f t="shared" si="9"/>
        <v>-44248594.649503</v>
      </c>
      <c r="N34" s="757">
        <f t="shared" si="9"/>
        <v>-47247098.70203618</v>
      </c>
      <c r="O34" s="1051">
        <f t="shared" si="9"/>
        <v>-47247098.70203618</v>
      </c>
      <c r="P34" s="758" t="s">
        <v>618</v>
      </c>
      <c r="Q34" s="523">
        <f t="shared" si="2"/>
        <v>29</v>
      </c>
    </row>
    <row r="35" spans="1:17" ht="17.25" thickTop="1" thickBot="1">
      <c r="A35" s="530">
        <f t="shared" si="1"/>
        <v>30</v>
      </c>
      <c r="B35" s="648"/>
      <c r="C35" s="936"/>
      <c r="D35" s="535"/>
      <c r="E35" s="937"/>
      <c r="F35" s="917"/>
      <c r="G35" s="536"/>
      <c r="H35" s="946"/>
      <c r="I35" s="954"/>
      <c r="J35" s="537"/>
      <c r="K35" s="1046"/>
      <c r="L35" s="1047"/>
      <c r="M35" s="1046"/>
      <c r="N35" s="1046"/>
      <c r="O35" s="1045"/>
      <c r="P35" s="966"/>
      <c r="Q35" s="530">
        <f t="shared" si="2"/>
        <v>30</v>
      </c>
    </row>
    <row r="36" spans="1:17" ht="15.75">
      <c r="A36" s="523">
        <f t="shared" si="1"/>
        <v>31</v>
      </c>
      <c r="B36" s="916"/>
      <c r="C36" s="568">
        <f t="shared" ref="C36:N36" si="10">C4</f>
        <v>42005</v>
      </c>
      <c r="D36" s="518">
        <f t="shared" si="10"/>
        <v>42036</v>
      </c>
      <c r="E36" s="570">
        <f t="shared" si="10"/>
        <v>42064</v>
      </c>
      <c r="F36" s="564">
        <f t="shared" si="10"/>
        <v>42095</v>
      </c>
      <c r="G36" s="518">
        <f t="shared" si="10"/>
        <v>42125</v>
      </c>
      <c r="H36" s="651">
        <f t="shared" si="10"/>
        <v>42156</v>
      </c>
      <c r="I36" s="568">
        <f t="shared" si="10"/>
        <v>42186</v>
      </c>
      <c r="J36" s="518">
        <f t="shared" si="10"/>
        <v>42217</v>
      </c>
      <c r="K36" s="651">
        <f t="shared" si="10"/>
        <v>42248</v>
      </c>
      <c r="L36" s="568">
        <f t="shared" si="10"/>
        <v>42278</v>
      </c>
      <c r="M36" s="518">
        <f t="shared" si="10"/>
        <v>42309</v>
      </c>
      <c r="N36" s="651">
        <f t="shared" si="10"/>
        <v>42339</v>
      </c>
      <c r="O36" s="916"/>
      <c r="P36" s="967"/>
      <c r="Q36" s="523">
        <f t="shared" si="2"/>
        <v>31</v>
      </c>
    </row>
    <row r="37" spans="1:17" ht="18.75">
      <c r="A37" s="523">
        <f t="shared" si="1"/>
        <v>32</v>
      </c>
      <c r="B37" s="1110" t="s">
        <v>1346</v>
      </c>
      <c r="C37" s="654">
        <v>3.2500000000000001E-2</v>
      </c>
      <c r="D37" s="538">
        <v>3.2500000000000001E-2</v>
      </c>
      <c r="E37" s="655">
        <v>3.2500000000000001E-2</v>
      </c>
      <c r="F37" s="906">
        <v>3.2500000000000001E-2</v>
      </c>
      <c r="G37" s="538">
        <v>3.2500000000000001E-2</v>
      </c>
      <c r="H37" s="653">
        <v>3.2500000000000001E-2</v>
      </c>
      <c r="I37" s="654">
        <v>3.2500000000000001E-2</v>
      </c>
      <c r="J37" s="538">
        <v>3.2500000000000001E-2</v>
      </c>
      <c r="K37" s="653">
        <v>3.2500000000000001E-2</v>
      </c>
      <c r="L37" s="654">
        <v>3.2500000000000001E-2</v>
      </c>
      <c r="M37" s="538">
        <v>3.2500000000000001E-2</v>
      </c>
      <c r="N37" s="653">
        <v>3.2500000000000001E-2</v>
      </c>
      <c r="O37" s="520"/>
      <c r="P37" s="967" t="s">
        <v>619</v>
      </c>
      <c r="Q37" s="523">
        <f t="shared" si="2"/>
        <v>32</v>
      </c>
    </row>
    <row r="38" spans="1:17" ht="15.75">
      <c r="A38" s="523">
        <f t="shared" si="1"/>
        <v>33</v>
      </c>
      <c r="B38" s="1110" t="s">
        <v>1260</v>
      </c>
      <c r="C38" s="938">
        <v>365</v>
      </c>
      <c r="D38" s="741">
        <v>365</v>
      </c>
      <c r="E38" s="743">
        <v>365</v>
      </c>
      <c r="F38" s="907">
        <v>365</v>
      </c>
      <c r="G38" s="741">
        <v>365</v>
      </c>
      <c r="H38" s="947">
        <v>365</v>
      </c>
      <c r="I38" s="938">
        <v>365</v>
      </c>
      <c r="J38" s="741">
        <v>365</v>
      </c>
      <c r="K38" s="947">
        <v>365</v>
      </c>
      <c r="L38" s="938">
        <v>365</v>
      </c>
      <c r="M38" s="741">
        <v>365</v>
      </c>
      <c r="N38" s="947">
        <v>365</v>
      </c>
      <c r="O38" s="747">
        <f t="shared" ref="O38" si="11">$O39</f>
        <v>365</v>
      </c>
      <c r="P38" s="1123" t="s">
        <v>1263</v>
      </c>
      <c r="Q38" s="523">
        <f t="shared" si="2"/>
        <v>33</v>
      </c>
    </row>
    <row r="39" spans="1:17" ht="18.75">
      <c r="A39" s="523">
        <f t="shared" si="1"/>
        <v>34</v>
      </c>
      <c r="B39" s="1110" t="s">
        <v>1347</v>
      </c>
      <c r="C39" s="746">
        <v>31</v>
      </c>
      <c r="D39" s="539">
        <v>28</v>
      </c>
      <c r="E39" s="745">
        <v>31</v>
      </c>
      <c r="F39" s="908">
        <v>30</v>
      </c>
      <c r="G39" s="742">
        <v>31</v>
      </c>
      <c r="H39" s="948">
        <v>30</v>
      </c>
      <c r="I39" s="746">
        <v>31</v>
      </c>
      <c r="J39" s="742">
        <v>31</v>
      </c>
      <c r="K39" s="948">
        <v>30</v>
      </c>
      <c r="L39" s="746">
        <v>31</v>
      </c>
      <c r="M39" s="742">
        <v>30</v>
      </c>
      <c r="N39" s="948">
        <v>31</v>
      </c>
      <c r="O39" s="748">
        <f>SUM(C39:N39)</f>
        <v>365</v>
      </c>
      <c r="P39" s="1123" t="s">
        <v>620</v>
      </c>
      <c r="Q39" s="523">
        <f t="shared" si="2"/>
        <v>34</v>
      </c>
    </row>
    <row r="40" spans="1:17" ht="15.75">
      <c r="A40" s="523">
        <f t="shared" si="1"/>
        <v>35</v>
      </c>
      <c r="B40" s="1110" t="s">
        <v>621</v>
      </c>
      <c r="C40" s="730">
        <f t="shared" ref="C40:N40" si="12">ROUND(C37/C38*C39,4)</f>
        <v>2.8E-3</v>
      </c>
      <c r="D40" s="711">
        <f t="shared" si="12"/>
        <v>2.5000000000000001E-3</v>
      </c>
      <c r="E40" s="731">
        <f t="shared" si="12"/>
        <v>2.8E-3</v>
      </c>
      <c r="F40" s="710">
        <f t="shared" si="12"/>
        <v>2.7000000000000001E-3</v>
      </c>
      <c r="G40" s="711">
        <f t="shared" si="12"/>
        <v>2.8E-3</v>
      </c>
      <c r="H40" s="949">
        <f t="shared" si="12"/>
        <v>2.7000000000000001E-3</v>
      </c>
      <c r="I40" s="730">
        <f t="shared" si="12"/>
        <v>2.8E-3</v>
      </c>
      <c r="J40" s="711">
        <f t="shared" si="12"/>
        <v>2.8E-3</v>
      </c>
      <c r="K40" s="949">
        <f t="shared" si="12"/>
        <v>2.7000000000000001E-3</v>
      </c>
      <c r="L40" s="730">
        <f t="shared" si="12"/>
        <v>2.8E-3</v>
      </c>
      <c r="M40" s="711">
        <f t="shared" si="12"/>
        <v>2.7000000000000001E-3</v>
      </c>
      <c r="N40" s="949">
        <f t="shared" si="12"/>
        <v>2.8E-3</v>
      </c>
      <c r="O40" s="738">
        <f>SUM(C40:N40)</f>
        <v>3.2900000000000006E-2</v>
      </c>
      <c r="P40" s="967" t="s">
        <v>622</v>
      </c>
      <c r="Q40" s="523">
        <f t="shared" si="2"/>
        <v>35</v>
      </c>
    </row>
    <row r="41" spans="1:17" ht="18.75" customHeight="1">
      <c r="A41" s="523">
        <f t="shared" si="1"/>
        <v>36</v>
      </c>
      <c r="B41" s="1110" t="s">
        <v>1348</v>
      </c>
      <c r="C41" s="658">
        <v>2.8E-3</v>
      </c>
      <c r="D41" s="656">
        <v>2.5000000000000001E-3</v>
      </c>
      <c r="E41" s="659">
        <v>2.8E-3</v>
      </c>
      <c r="F41" s="909">
        <v>2.7000000000000001E-3</v>
      </c>
      <c r="G41" s="656">
        <v>2.8E-3</v>
      </c>
      <c r="H41" s="657">
        <v>2.7000000000000001E-3</v>
      </c>
      <c r="I41" s="658">
        <v>2.8E-3</v>
      </c>
      <c r="J41" s="656">
        <v>2.8E-3</v>
      </c>
      <c r="K41" s="657">
        <v>2.7000000000000001E-3</v>
      </c>
      <c r="L41" s="658">
        <v>2.8E-3</v>
      </c>
      <c r="M41" s="656">
        <v>2.7000000000000001E-3</v>
      </c>
      <c r="N41" s="657">
        <v>2.8E-3</v>
      </c>
      <c r="O41" s="977">
        <f>SUM(C41:N41)</f>
        <v>3.2900000000000006E-2</v>
      </c>
      <c r="P41" s="967" t="s">
        <v>623</v>
      </c>
      <c r="Q41" s="523">
        <f t="shared" si="2"/>
        <v>36</v>
      </c>
    </row>
    <row r="42" spans="1:17" ht="16.5" thickBot="1">
      <c r="A42" s="530">
        <f t="shared" si="1"/>
        <v>37</v>
      </c>
      <c r="B42" s="1122" t="s">
        <v>624</v>
      </c>
      <c r="C42" s="734">
        <f t="shared" ref="C42:N42" si="13">C40-C41</f>
        <v>0</v>
      </c>
      <c r="D42" s="732">
        <f t="shared" si="13"/>
        <v>0</v>
      </c>
      <c r="E42" s="735">
        <f t="shared" si="13"/>
        <v>0</v>
      </c>
      <c r="F42" s="910">
        <f t="shared" si="13"/>
        <v>0</v>
      </c>
      <c r="G42" s="732">
        <f t="shared" si="13"/>
        <v>0</v>
      </c>
      <c r="H42" s="733">
        <f t="shared" si="13"/>
        <v>0</v>
      </c>
      <c r="I42" s="734">
        <f t="shared" si="13"/>
        <v>0</v>
      </c>
      <c r="J42" s="732">
        <f t="shared" si="13"/>
        <v>0</v>
      </c>
      <c r="K42" s="733">
        <f t="shared" si="13"/>
        <v>0</v>
      </c>
      <c r="L42" s="734">
        <f t="shared" si="13"/>
        <v>0</v>
      </c>
      <c r="M42" s="732">
        <f t="shared" si="13"/>
        <v>0</v>
      </c>
      <c r="N42" s="733">
        <f t="shared" si="13"/>
        <v>0</v>
      </c>
      <c r="O42" s="978">
        <f>SUM(C42:N42)</f>
        <v>0</v>
      </c>
      <c r="P42" s="182" t="s">
        <v>625</v>
      </c>
      <c r="Q42" s="530">
        <f t="shared" si="2"/>
        <v>37</v>
      </c>
    </row>
    <row r="43" spans="1:17" ht="15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>
      <c r="A44" s="4"/>
      <c r="B44" s="76" t="s">
        <v>626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31.5">
      <c r="A45" s="550" t="s">
        <v>712</v>
      </c>
      <c r="B45" s="540" t="s">
        <v>1194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1.5" customHeight="1">
      <c r="A46" s="551" t="s">
        <v>627</v>
      </c>
      <c r="B46" s="540" t="s">
        <v>1261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1.5" customHeight="1">
      <c r="A47" s="551" t="s">
        <v>714</v>
      </c>
      <c r="B47" s="540" t="s">
        <v>715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31.5" customHeight="1">
      <c r="A48" s="551" t="s">
        <v>716</v>
      </c>
      <c r="B48" s="540" t="s">
        <v>1262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customHeight="1">
      <c r="A49" s="551" t="s">
        <v>718</v>
      </c>
      <c r="B49" s="4" t="s">
        <v>719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8.75">
      <c r="A50" s="551" t="s">
        <v>1196</v>
      </c>
      <c r="B50" s="4" t="s">
        <v>883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A51" s="995"/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A52" s="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printOptions horizontalCentered="1"/>
  <pageMargins left="0" right="0" top="0.75" bottom="0.5" header="0.5" footer="0.25"/>
  <pageSetup scale="58" orientation="landscape" r:id="rId1"/>
  <headerFooter>
    <oddHeader>&amp;C&amp;"Arial,Bold"&amp;12San Diego Gas &amp;&amp; Electric Co.
TO4 - Cycle 4 WHOLESALE True-Up Adjustment Calculation</oddHeader>
    <oddFooter>&amp;C&amp;A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58"/>
  <sheetViews>
    <sheetView zoomScale="80" zoomScaleNormal="80" workbookViewId="0"/>
  </sheetViews>
  <sheetFormatPr defaultRowHeight="12.75"/>
  <cols>
    <col min="1" max="1" width="5.7109375" customWidth="1"/>
    <col min="2" max="2" width="86.42578125" bestFit="1" customWidth="1"/>
    <col min="3" max="14" width="15.7109375" customWidth="1"/>
    <col min="15" max="15" width="18.7109375" customWidth="1"/>
    <col min="16" max="16" width="48.5703125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515" t="s">
        <v>1228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75">
      <c r="A3" s="4"/>
      <c r="B3" s="515" t="s">
        <v>743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3" t="s">
        <v>62</v>
      </c>
      <c r="B5" s="554"/>
      <c r="C5" s="555" t="s">
        <v>1307</v>
      </c>
      <c r="D5" s="556" t="s">
        <v>1308</v>
      </c>
      <c r="E5" s="557" t="s">
        <v>1309</v>
      </c>
      <c r="F5" s="558" t="s">
        <v>1310</v>
      </c>
      <c r="G5" s="556" t="s">
        <v>1311</v>
      </c>
      <c r="H5" s="559" t="s">
        <v>1312</v>
      </c>
      <c r="I5" s="558" t="s">
        <v>1313</v>
      </c>
      <c r="J5" s="556" t="s">
        <v>1314</v>
      </c>
      <c r="K5" s="559" t="s">
        <v>1315</v>
      </c>
      <c r="L5" s="558" t="s">
        <v>1316</v>
      </c>
      <c r="M5" s="556" t="s">
        <v>1317</v>
      </c>
      <c r="N5" s="557" t="s">
        <v>1318</v>
      </c>
      <c r="O5" s="560" t="s">
        <v>721</v>
      </c>
      <c r="P5" s="560"/>
      <c r="Q5" s="561" t="s">
        <v>62</v>
      </c>
    </row>
    <row r="6" spans="1:19" ht="15.75">
      <c r="A6" s="562" t="s">
        <v>63</v>
      </c>
      <c r="B6" s="563" t="s">
        <v>722</v>
      </c>
      <c r="C6" s="564" t="s">
        <v>694</v>
      </c>
      <c r="D6" s="518" t="s">
        <v>695</v>
      </c>
      <c r="E6" s="565" t="s">
        <v>696</v>
      </c>
      <c r="F6" s="566" t="s">
        <v>697</v>
      </c>
      <c r="G6" s="519" t="s">
        <v>698</v>
      </c>
      <c r="H6" s="567" t="s">
        <v>699</v>
      </c>
      <c r="I6" s="568" t="s">
        <v>700</v>
      </c>
      <c r="J6" s="518" t="s">
        <v>701</v>
      </c>
      <c r="K6" s="569" t="s">
        <v>702</v>
      </c>
      <c r="L6" s="568" t="s">
        <v>703</v>
      </c>
      <c r="M6" s="518" t="s">
        <v>704</v>
      </c>
      <c r="N6" s="570" t="s">
        <v>705</v>
      </c>
      <c r="O6" s="33" t="s">
        <v>67</v>
      </c>
      <c r="P6" s="517" t="s">
        <v>65</v>
      </c>
      <c r="Q6" s="571" t="s">
        <v>63</v>
      </c>
    </row>
    <row r="7" spans="1:19" ht="15.7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22.5" thickBot="1">
      <c r="A8" s="583">
        <v>1</v>
      </c>
      <c r="B8" s="584" t="s">
        <v>1319</v>
      </c>
      <c r="C8" s="690">
        <v>109475007</v>
      </c>
      <c r="D8" s="586">
        <f>C27</f>
        <v>109781537</v>
      </c>
      <c r="E8" s="587">
        <f t="shared" ref="E8:N8" si="0">D27</f>
        <v>110055225</v>
      </c>
      <c r="F8" s="588">
        <f>E27</f>
        <v>110361755</v>
      </c>
      <c r="G8" s="586">
        <f t="shared" si="0"/>
        <v>110659732</v>
      </c>
      <c r="H8" s="589">
        <f>G27</f>
        <v>110968745</v>
      </c>
      <c r="I8" s="588">
        <f t="shared" si="0"/>
        <v>111266722</v>
      </c>
      <c r="J8" s="586">
        <f t="shared" si="0"/>
        <v>111578269</v>
      </c>
      <c r="K8" s="590">
        <f t="shared" si="0"/>
        <v>111889816</v>
      </c>
      <c r="L8" s="588">
        <f t="shared" si="0"/>
        <v>112190236</v>
      </c>
      <c r="M8" s="586">
        <f t="shared" si="0"/>
        <v>112504369</v>
      </c>
      <c r="N8" s="589">
        <f t="shared" si="0"/>
        <v>112807283</v>
      </c>
      <c r="O8" s="686"/>
      <c r="P8" s="591" t="s">
        <v>1279</v>
      </c>
      <c r="Q8" s="592">
        <f>A8</f>
        <v>1</v>
      </c>
    </row>
    <row r="9" spans="1:19" ht="15.75">
      <c r="A9" s="593">
        <f>A8+1</f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600"/>
      <c r="O9" s="601"/>
      <c r="P9" s="602"/>
      <c r="Q9" s="582">
        <f t="shared" ref="Q9:Q34" si="1">A9</f>
        <v>2</v>
      </c>
    </row>
    <row r="10" spans="1:19" ht="15.75">
      <c r="A10" s="593">
        <f t="shared" ref="A10:A34" si="2">A9+1</f>
        <v>3</v>
      </c>
      <c r="B10" s="1124" t="s">
        <v>723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600"/>
      <c r="O10" s="601"/>
      <c r="P10" s="602"/>
      <c r="Q10" s="582">
        <f t="shared" si="1"/>
        <v>3</v>
      </c>
    </row>
    <row r="11" spans="1:19" ht="15.75">
      <c r="A11" s="593">
        <f t="shared" si="2"/>
        <v>4</v>
      </c>
      <c r="B11" s="748" t="s">
        <v>1285</v>
      </c>
      <c r="C11" s="465">
        <v>0</v>
      </c>
      <c r="D11" s="463">
        <v>0</v>
      </c>
      <c r="E11" s="604">
        <v>0</v>
      </c>
      <c r="F11" s="605">
        <v>0</v>
      </c>
      <c r="G11" s="463">
        <v>0</v>
      </c>
      <c r="H11" s="606">
        <v>0</v>
      </c>
      <c r="I11" s="607">
        <v>0</v>
      </c>
      <c r="J11" s="608">
        <v>0</v>
      </c>
      <c r="K11" s="606">
        <v>0</v>
      </c>
      <c r="L11" s="607">
        <v>0</v>
      </c>
      <c r="M11" s="608">
        <v>0</v>
      </c>
      <c r="N11" s="606">
        <v>0</v>
      </c>
      <c r="O11" s="123">
        <f>SUM(C11:N11)</f>
        <v>0</v>
      </c>
      <c r="P11" s="602" t="s">
        <v>1252</v>
      </c>
      <c r="Q11" s="582">
        <f t="shared" si="1"/>
        <v>4</v>
      </c>
      <c r="S11" s="610"/>
    </row>
    <row r="12" spans="1:19" ht="15.75">
      <c r="A12" s="593">
        <f t="shared" si="2"/>
        <v>5</v>
      </c>
      <c r="B12" s="748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600"/>
      <c r="O12" s="601"/>
      <c r="P12" s="602"/>
      <c r="Q12" s="582">
        <f t="shared" si="1"/>
        <v>5</v>
      </c>
    </row>
    <row r="13" spans="1:19" ht="15.75">
      <c r="A13" s="593">
        <f t="shared" si="2"/>
        <v>6</v>
      </c>
      <c r="B13" s="619" t="s">
        <v>1356</v>
      </c>
      <c r="C13" s="611">
        <v>0</v>
      </c>
      <c r="D13" s="612">
        <v>0</v>
      </c>
      <c r="E13" s="613">
        <v>0</v>
      </c>
      <c r="F13" s="614">
        <v>0</v>
      </c>
      <c r="G13" s="612">
        <v>0</v>
      </c>
      <c r="H13" s="615">
        <v>0</v>
      </c>
      <c r="I13" s="614">
        <v>0</v>
      </c>
      <c r="J13" s="612">
        <v>0</v>
      </c>
      <c r="K13" s="616">
        <v>0</v>
      </c>
      <c r="L13" s="614">
        <v>0</v>
      </c>
      <c r="M13" s="612">
        <v>0</v>
      </c>
      <c r="N13" s="615">
        <v>0</v>
      </c>
      <c r="O13" s="69"/>
      <c r="P13" s="602" t="s">
        <v>1252</v>
      </c>
      <c r="Q13" s="582">
        <f t="shared" si="1"/>
        <v>6</v>
      </c>
    </row>
    <row r="14" spans="1:19" ht="15.75">
      <c r="A14" s="593">
        <f t="shared" si="2"/>
        <v>7</v>
      </c>
      <c r="B14" s="748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600"/>
      <c r="O14" s="617"/>
      <c r="P14" s="602"/>
      <c r="Q14" s="582">
        <f t="shared" si="1"/>
        <v>7</v>
      </c>
    </row>
    <row r="15" spans="1:19" ht="15.75">
      <c r="A15" s="593">
        <f t="shared" si="2"/>
        <v>8</v>
      </c>
      <c r="B15" s="748" t="s">
        <v>725</v>
      </c>
      <c r="C15" s="712">
        <f>ROUND(C11*C13,0)</f>
        <v>0</v>
      </c>
      <c r="D15" s="713">
        <f t="shared" ref="D15:N15" si="3">ROUND(D11*D13,0)</f>
        <v>0</v>
      </c>
      <c r="E15" s="714">
        <f t="shared" si="3"/>
        <v>0</v>
      </c>
      <c r="F15" s="715">
        <f t="shared" si="3"/>
        <v>0</v>
      </c>
      <c r="G15" s="713">
        <f>ROUND(G11*G13,0)</f>
        <v>0</v>
      </c>
      <c r="H15" s="716">
        <f t="shared" si="3"/>
        <v>0</v>
      </c>
      <c r="I15" s="715">
        <f t="shared" si="3"/>
        <v>0</v>
      </c>
      <c r="J15" s="713">
        <f t="shared" si="3"/>
        <v>0</v>
      </c>
      <c r="K15" s="717">
        <f t="shared" si="3"/>
        <v>0</v>
      </c>
      <c r="L15" s="715">
        <f t="shared" si="3"/>
        <v>0</v>
      </c>
      <c r="M15" s="713">
        <f t="shared" si="3"/>
        <v>0</v>
      </c>
      <c r="N15" s="716">
        <f t="shared" si="3"/>
        <v>0</v>
      </c>
      <c r="O15" s="691">
        <f>SUM(C15:N15)</f>
        <v>0</v>
      </c>
      <c r="P15" s="602" t="s">
        <v>1268</v>
      </c>
      <c r="Q15" s="582">
        <f t="shared" si="1"/>
        <v>8</v>
      </c>
    </row>
    <row r="16" spans="1:19" ht="15.75">
      <c r="A16" s="593">
        <f t="shared" si="2"/>
        <v>9</v>
      </c>
      <c r="B16" s="748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600"/>
      <c r="O16" s="601"/>
      <c r="P16" s="602"/>
      <c r="Q16" s="582">
        <f t="shared" si="1"/>
        <v>9</v>
      </c>
    </row>
    <row r="17" spans="1:17" ht="16.5" thickBot="1">
      <c r="A17" s="583">
        <f t="shared" si="2"/>
        <v>10</v>
      </c>
      <c r="B17" s="1125" t="s">
        <v>726</v>
      </c>
      <c r="C17" s="723">
        <f t="shared" ref="C17:N17" si="4">-C15</f>
        <v>0</v>
      </c>
      <c r="D17" s="724">
        <f t="shared" si="4"/>
        <v>0</v>
      </c>
      <c r="E17" s="725">
        <f t="shared" si="4"/>
        <v>0</v>
      </c>
      <c r="F17" s="726">
        <f t="shared" si="4"/>
        <v>0</v>
      </c>
      <c r="G17" s="724">
        <f t="shared" si="4"/>
        <v>0</v>
      </c>
      <c r="H17" s="727">
        <f t="shared" si="4"/>
        <v>0</v>
      </c>
      <c r="I17" s="726">
        <f t="shared" si="4"/>
        <v>0</v>
      </c>
      <c r="J17" s="724">
        <f t="shared" si="4"/>
        <v>0</v>
      </c>
      <c r="K17" s="728">
        <f t="shared" si="4"/>
        <v>0</v>
      </c>
      <c r="L17" s="726">
        <f t="shared" si="4"/>
        <v>0</v>
      </c>
      <c r="M17" s="724">
        <f t="shared" si="4"/>
        <v>0</v>
      </c>
      <c r="N17" s="727">
        <f t="shared" si="4"/>
        <v>0</v>
      </c>
      <c r="O17" s="686">
        <f>SUM(C17:N17)</f>
        <v>0</v>
      </c>
      <c r="P17" s="591" t="s">
        <v>1269</v>
      </c>
      <c r="Q17" s="592">
        <f t="shared" si="1"/>
        <v>10</v>
      </c>
    </row>
    <row r="18" spans="1:17" ht="15.75">
      <c r="A18" s="593">
        <f t="shared" si="2"/>
        <v>11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f t="shared" si="1"/>
        <v>11</v>
      </c>
    </row>
    <row r="19" spans="1:17" ht="15.75">
      <c r="A19" s="593">
        <f t="shared" si="2"/>
        <v>12</v>
      </c>
      <c r="B19" s="1124" t="s">
        <v>727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f t="shared" si="1"/>
        <v>12</v>
      </c>
    </row>
    <row r="20" spans="1:17" ht="15.75">
      <c r="A20" s="593">
        <f t="shared" si="2"/>
        <v>13</v>
      </c>
      <c r="B20" s="748" t="s">
        <v>606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f t="shared" si="1"/>
        <v>13</v>
      </c>
    </row>
    <row r="21" spans="1:17" ht="21.75">
      <c r="A21" s="593">
        <f t="shared" si="2"/>
        <v>14</v>
      </c>
      <c r="B21" s="748" t="s">
        <v>1350</v>
      </c>
      <c r="C21" s="635">
        <f>$C8</f>
        <v>109475007</v>
      </c>
      <c r="D21" s="529">
        <f>$C8</f>
        <v>109475007</v>
      </c>
      <c r="E21" s="636">
        <f>$C8</f>
        <v>109475007</v>
      </c>
      <c r="F21" s="637">
        <f>$F8</f>
        <v>110361755</v>
      </c>
      <c r="G21" s="529">
        <f>$F8</f>
        <v>110361755</v>
      </c>
      <c r="H21" s="638">
        <f>$F8</f>
        <v>110361755</v>
      </c>
      <c r="I21" s="637">
        <f>$I8</f>
        <v>111266722</v>
      </c>
      <c r="J21" s="529">
        <f>$I8</f>
        <v>111266722</v>
      </c>
      <c r="K21" s="639">
        <f>$I8</f>
        <v>111266722</v>
      </c>
      <c r="L21" s="637">
        <f>$L8</f>
        <v>112190236</v>
      </c>
      <c r="M21" s="529">
        <f>$L8</f>
        <v>112190236</v>
      </c>
      <c r="N21" s="638">
        <f>$L8</f>
        <v>112190236</v>
      </c>
      <c r="O21" s="617"/>
      <c r="P21" s="640" t="s">
        <v>1270</v>
      </c>
      <c r="Q21" s="582">
        <f t="shared" si="1"/>
        <v>14</v>
      </c>
    </row>
    <row r="22" spans="1:17" ht="21.75">
      <c r="A22" s="593">
        <f t="shared" si="2"/>
        <v>15</v>
      </c>
      <c r="B22" s="748" t="s">
        <v>1321</v>
      </c>
      <c r="C22" s="718">
        <f>C17/2</f>
        <v>0</v>
      </c>
      <c r="D22" s="709">
        <f>C17+(D17/2)</f>
        <v>0</v>
      </c>
      <c r="E22" s="719">
        <f>C17+D17+(E17/2)</f>
        <v>0</v>
      </c>
      <c r="F22" s="720">
        <f>F17/2</f>
        <v>0</v>
      </c>
      <c r="G22" s="709">
        <f>F17+(G17/2)</f>
        <v>0</v>
      </c>
      <c r="H22" s="721">
        <f>(F17+G17+(H17/2))</f>
        <v>0</v>
      </c>
      <c r="I22" s="720">
        <f>I17/2</f>
        <v>0</v>
      </c>
      <c r="J22" s="709">
        <f>I17+(J17/2)</f>
        <v>0</v>
      </c>
      <c r="K22" s="722">
        <f>I17+J17+(K17/2)</f>
        <v>0</v>
      </c>
      <c r="L22" s="720">
        <f>L17/2</f>
        <v>0</v>
      </c>
      <c r="M22" s="709">
        <f>L17+(M17/2)</f>
        <v>0</v>
      </c>
      <c r="N22" s="721">
        <f>L17+M17+(N17/2)</f>
        <v>0</v>
      </c>
      <c r="O22" s="641"/>
      <c r="P22" s="640"/>
      <c r="Q22" s="582">
        <f t="shared" si="1"/>
        <v>15</v>
      </c>
    </row>
    <row r="23" spans="1:17" ht="15.75">
      <c r="A23" s="593">
        <f t="shared" si="2"/>
        <v>16</v>
      </c>
      <c r="B23" s="748" t="s">
        <v>729</v>
      </c>
      <c r="C23" s="627">
        <f t="shared" ref="C23:M23" si="5">C21+C22</f>
        <v>109475007</v>
      </c>
      <c r="D23" s="533">
        <f t="shared" si="5"/>
        <v>109475007</v>
      </c>
      <c r="E23" s="628">
        <f t="shared" si="5"/>
        <v>109475007</v>
      </c>
      <c r="F23" s="629">
        <f t="shared" si="5"/>
        <v>110361755</v>
      </c>
      <c r="G23" s="534">
        <f t="shared" si="5"/>
        <v>110361755</v>
      </c>
      <c r="H23" s="630">
        <f t="shared" si="5"/>
        <v>110361755</v>
      </c>
      <c r="I23" s="631">
        <f t="shared" si="5"/>
        <v>111266722</v>
      </c>
      <c r="J23" s="533">
        <f t="shared" si="5"/>
        <v>111266722</v>
      </c>
      <c r="K23" s="632">
        <f t="shared" si="5"/>
        <v>111266722</v>
      </c>
      <c r="L23" s="631">
        <f t="shared" si="5"/>
        <v>112190236</v>
      </c>
      <c r="M23" s="533">
        <f t="shared" si="5"/>
        <v>112190236</v>
      </c>
      <c r="N23" s="633">
        <f>N21+N22</f>
        <v>112190236</v>
      </c>
      <c r="O23" s="617"/>
      <c r="P23" s="640" t="s">
        <v>1271</v>
      </c>
      <c r="Q23" s="582">
        <f t="shared" si="1"/>
        <v>16</v>
      </c>
    </row>
    <row r="24" spans="1:17" ht="16.5" thickBot="1">
      <c r="A24" s="593">
        <f t="shared" si="2"/>
        <v>17</v>
      </c>
      <c r="B24" s="748" t="s">
        <v>730</v>
      </c>
      <c r="C24" s="642">
        <f t="shared" ref="C24:N24" si="6">C33</f>
        <v>2.8E-3</v>
      </c>
      <c r="D24" s="643">
        <f t="shared" si="6"/>
        <v>2.5000000000000001E-3</v>
      </c>
      <c r="E24" s="644">
        <f t="shared" si="6"/>
        <v>2.8E-3</v>
      </c>
      <c r="F24" s="645">
        <f t="shared" si="6"/>
        <v>2.7000000000000001E-3</v>
      </c>
      <c r="G24" s="643">
        <f t="shared" si="6"/>
        <v>2.8E-3</v>
      </c>
      <c r="H24" s="646">
        <f t="shared" si="6"/>
        <v>2.7000000000000001E-3</v>
      </c>
      <c r="I24" s="645">
        <f t="shared" si="6"/>
        <v>2.8E-3</v>
      </c>
      <c r="J24" s="643">
        <f t="shared" si="6"/>
        <v>2.8E-3</v>
      </c>
      <c r="K24" s="647">
        <f t="shared" si="6"/>
        <v>2.7000000000000001E-3</v>
      </c>
      <c r="L24" s="645">
        <f t="shared" si="6"/>
        <v>2.8E-3</v>
      </c>
      <c r="M24" s="643">
        <f t="shared" si="6"/>
        <v>2.7000000000000001E-3</v>
      </c>
      <c r="N24" s="646">
        <f t="shared" si="6"/>
        <v>2.8E-3</v>
      </c>
      <c r="O24" s="617"/>
      <c r="P24" s="640" t="s">
        <v>1272</v>
      </c>
      <c r="Q24" s="582">
        <f t="shared" si="1"/>
        <v>17</v>
      </c>
    </row>
    <row r="25" spans="1:17" ht="17.25" thickTop="1" thickBot="1">
      <c r="A25" s="593">
        <f t="shared" si="2"/>
        <v>18</v>
      </c>
      <c r="B25" s="748" t="s">
        <v>731</v>
      </c>
      <c r="C25" s="759">
        <f t="shared" ref="C25:N25" si="7">ROUND(C23*C24,0)</f>
        <v>306530</v>
      </c>
      <c r="D25" s="755">
        <f t="shared" si="7"/>
        <v>273688</v>
      </c>
      <c r="E25" s="760">
        <f t="shared" si="7"/>
        <v>306530</v>
      </c>
      <c r="F25" s="761">
        <f t="shared" si="7"/>
        <v>297977</v>
      </c>
      <c r="G25" s="755">
        <f t="shared" si="7"/>
        <v>309013</v>
      </c>
      <c r="H25" s="762">
        <f t="shared" si="7"/>
        <v>297977</v>
      </c>
      <c r="I25" s="761">
        <f t="shared" si="7"/>
        <v>311547</v>
      </c>
      <c r="J25" s="755">
        <f t="shared" si="7"/>
        <v>311547</v>
      </c>
      <c r="K25" s="763">
        <f t="shared" si="7"/>
        <v>300420</v>
      </c>
      <c r="L25" s="761">
        <f t="shared" si="7"/>
        <v>314133</v>
      </c>
      <c r="M25" s="755">
        <f t="shared" si="7"/>
        <v>302914</v>
      </c>
      <c r="N25" s="762">
        <f t="shared" si="7"/>
        <v>314133</v>
      </c>
      <c r="O25" s="729">
        <f>SUM(C25:N25)</f>
        <v>3646409</v>
      </c>
      <c r="P25" s="640" t="s">
        <v>1273</v>
      </c>
      <c r="Q25" s="582">
        <f t="shared" si="1"/>
        <v>18</v>
      </c>
    </row>
    <row r="26" spans="1:17" ht="16.5" thickTop="1">
      <c r="A26" s="593">
        <f t="shared" si="2"/>
        <v>19</v>
      </c>
      <c r="B26" s="748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f t="shared" si="1"/>
        <v>19</v>
      </c>
    </row>
    <row r="27" spans="1:17" ht="16.5" thickBot="1">
      <c r="A27" s="583">
        <f t="shared" si="2"/>
        <v>20</v>
      </c>
      <c r="B27" s="1126" t="s">
        <v>732</v>
      </c>
      <c r="C27" s="723">
        <f>C8+C17+C25</f>
        <v>109781537</v>
      </c>
      <c r="D27" s="724">
        <f>D8+D17+D25</f>
        <v>110055225</v>
      </c>
      <c r="E27" s="725">
        <f>E8+E17+E25</f>
        <v>110361755</v>
      </c>
      <c r="F27" s="726">
        <f>F8+F17+F25</f>
        <v>110659732</v>
      </c>
      <c r="G27" s="724">
        <f t="shared" ref="G27:N27" si="8">G8+G17+G25</f>
        <v>110968745</v>
      </c>
      <c r="H27" s="727">
        <f t="shared" si="8"/>
        <v>111266722</v>
      </c>
      <c r="I27" s="726">
        <f t="shared" si="8"/>
        <v>111578269</v>
      </c>
      <c r="J27" s="724">
        <f t="shared" si="8"/>
        <v>111889816</v>
      </c>
      <c r="K27" s="728">
        <f t="shared" si="8"/>
        <v>112190236</v>
      </c>
      <c r="L27" s="726">
        <f t="shared" si="8"/>
        <v>112504369</v>
      </c>
      <c r="M27" s="724">
        <f t="shared" si="8"/>
        <v>112807283</v>
      </c>
      <c r="N27" s="727">
        <f t="shared" si="8"/>
        <v>113121416</v>
      </c>
      <c r="O27" s="686">
        <f>C8+O17+O25</f>
        <v>113121416</v>
      </c>
      <c r="P27" s="649" t="s">
        <v>1274</v>
      </c>
      <c r="Q27" s="592">
        <f t="shared" si="1"/>
        <v>20</v>
      </c>
    </row>
    <row r="28" spans="1:17" ht="15.75">
      <c r="A28" s="593">
        <f t="shared" si="2"/>
        <v>21</v>
      </c>
      <c r="B28" s="650"/>
      <c r="C28" s="564" t="str">
        <f t="shared" ref="C28:N28" si="9">C6</f>
        <v>Jan</v>
      </c>
      <c r="D28" s="518" t="str">
        <f t="shared" si="9"/>
        <v>Feb</v>
      </c>
      <c r="E28" s="651" t="str">
        <f t="shared" si="9"/>
        <v>Mar</v>
      </c>
      <c r="F28" s="568" t="str">
        <f t="shared" si="9"/>
        <v>Apr</v>
      </c>
      <c r="G28" s="519" t="str">
        <f t="shared" si="9"/>
        <v>May</v>
      </c>
      <c r="H28" s="567" t="str">
        <f t="shared" si="9"/>
        <v>Jun</v>
      </c>
      <c r="I28" s="568" t="str">
        <f t="shared" si="9"/>
        <v>Jul</v>
      </c>
      <c r="J28" s="518" t="str">
        <f t="shared" si="9"/>
        <v>Aug</v>
      </c>
      <c r="K28" s="569" t="str">
        <f t="shared" si="9"/>
        <v>Sep</v>
      </c>
      <c r="L28" s="568" t="str">
        <f t="shared" si="9"/>
        <v>Oct</v>
      </c>
      <c r="M28" s="518" t="str">
        <f t="shared" si="9"/>
        <v>Nov</v>
      </c>
      <c r="N28" s="570" t="str">
        <f t="shared" si="9"/>
        <v>Dec</v>
      </c>
      <c r="O28" s="162"/>
      <c r="P28" s="652"/>
      <c r="Q28" s="582">
        <f t="shared" si="1"/>
        <v>21</v>
      </c>
    </row>
    <row r="29" spans="1:17" ht="21.75">
      <c r="A29" s="593">
        <f t="shared" si="2"/>
        <v>22</v>
      </c>
      <c r="B29" s="520" t="s">
        <v>1322</v>
      </c>
      <c r="C29" s="654">
        <v>3.2500000000000001E-2</v>
      </c>
      <c r="D29" s="538">
        <v>3.2500000000000001E-2</v>
      </c>
      <c r="E29" s="653">
        <v>3.2500000000000001E-2</v>
      </c>
      <c r="F29" s="654">
        <v>3.2500000000000001E-2</v>
      </c>
      <c r="G29" s="538">
        <v>3.2500000000000001E-2</v>
      </c>
      <c r="H29" s="655">
        <v>3.2500000000000001E-2</v>
      </c>
      <c r="I29" s="654">
        <v>3.2500000000000001E-2</v>
      </c>
      <c r="J29" s="538">
        <v>3.2500000000000001E-2</v>
      </c>
      <c r="K29" s="655">
        <v>3.2500000000000001E-2</v>
      </c>
      <c r="L29" s="654">
        <v>3.2500000000000001E-2</v>
      </c>
      <c r="M29" s="538">
        <v>3.2500000000000001E-2</v>
      </c>
      <c r="N29" s="655">
        <v>3.2500000000000001E-2</v>
      </c>
      <c r="O29" s="133"/>
      <c r="P29" s="652" t="s">
        <v>733</v>
      </c>
      <c r="Q29" s="582">
        <f t="shared" si="1"/>
        <v>22</v>
      </c>
    </row>
    <row r="30" spans="1:17" ht="15.75">
      <c r="A30" s="593">
        <f t="shared" si="2"/>
        <v>23</v>
      </c>
      <c r="B30" s="520" t="s">
        <v>880</v>
      </c>
      <c r="C30" s="744">
        <f t="shared" ref="C30:O30" si="10">$O31</f>
        <v>365</v>
      </c>
      <c r="D30" s="741">
        <f t="shared" si="10"/>
        <v>365</v>
      </c>
      <c r="E30" s="743">
        <f t="shared" si="10"/>
        <v>365</v>
      </c>
      <c r="F30" s="744">
        <f t="shared" si="10"/>
        <v>365</v>
      </c>
      <c r="G30" s="741">
        <f t="shared" si="10"/>
        <v>365</v>
      </c>
      <c r="H30" s="743">
        <f t="shared" si="10"/>
        <v>365</v>
      </c>
      <c r="I30" s="744">
        <f t="shared" si="10"/>
        <v>365</v>
      </c>
      <c r="J30" s="741">
        <f t="shared" si="10"/>
        <v>365</v>
      </c>
      <c r="K30" s="743">
        <f t="shared" si="10"/>
        <v>365</v>
      </c>
      <c r="L30" s="744">
        <f t="shared" si="10"/>
        <v>365</v>
      </c>
      <c r="M30" s="741">
        <f t="shared" si="10"/>
        <v>365</v>
      </c>
      <c r="N30" s="743">
        <f t="shared" si="10"/>
        <v>365</v>
      </c>
      <c r="O30" s="747">
        <f t="shared" si="10"/>
        <v>365</v>
      </c>
      <c r="P30" s="652" t="s">
        <v>1275</v>
      </c>
      <c r="Q30" s="582">
        <f t="shared" si="1"/>
        <v>23</v>
      </c>
    </row>
    <row r="31" spans="1:17" ht="15.75">
      <c r="A31" s="593">
        <f t="shared" si="2"/>
        <v>24</v>
      </c>
      <c r="B31" s="520" t="s">
        <v>1355</v>
      </c>
      <c r="C31" s="746">
        <v>31</v>
      </c>
      <c r="D31" s="539">
        <v>28</v>
      </c>
      <c r="E31" s="745">
        <v>31</v>
      </c>
      <c r="F31" s="746">
        <v>30</v>
      </c>
      <c r="G31" s="742">
        <v>31</v>
      </c>
      <c r="H31" s="745">
        <v>30</v>
      </c>
      <c r="I31" s="746">
        <v>31</v>
      </c>
      <c r="J31" s="742">
        <v>31</v>
      </c>
      <c r="K31" s="745">
        <v>30</v>
      </c>
      <c r="L31" s="746">
        <v>31</v>
      </c>
      <c r="M31" s="742">
        <v>30</v>
      </c>
      <c r="N31" s="745">
        <v>31</v>
      </c>
      <c r="O31" s="748">
        <f>SUM(C31:N31)</f>
        <v>365</v>
      </c>
      <c r="P31" s="652" t="s">
        <v>1276</v>
      </c>
      <c r="Q31" s="582">
        <f t="shared" si="1"/>
        <v>24</v>
      </c>
    </row>
    <row r="32" spans="1:17" ht="15.75">
      <c r="A32" s="593">
        <f t="shared" si="2"/>
        <v>25</v>
      </c>
      <c r="B32" s="520" t="s">
        <v>621</v>
      </c>
      <c r="C32" s="730">
        <f t="shared" ref="C32:N32" si="11">ROUND(C29/C30*C31,4)</f>
        <v>2.8E-3</v>
      </c>
      <c r="D32" s="711">
        <f t="shared" si="11"/>
        <v>2.5000000000000001E-3</v>
      </c>
      <c r="E32" s="731">
        <f t="shared" si="11"/>
        <v>2.8E-3</v>
      </c>
      <c r="F32" s="730">
        <f t="shared" si="11"/>
        <v>2.7000000000000001E-3</v>
      </c>
      <c r="G32" s="711">
        <f t="shared" si="11"/>
        <v>2.8E-3</v>
      </c>
      <c r="H32" s="731">
        <f t="shared" si="11"/>
        <v>2.7000000000000001E-3</v>
      </c>
      <c r="I32" s="730">
        <f t="shared" si="11"/>
        <v>2.8E-3</v>
      </c>
      <c r="J32" s="711">
        <f t="shared" si="11"/>
        <v>2.8E-3</v>
      </c>
      <c r="K32" s="731">
        <f t="shared" si="11"/>
        <v>2.7000000000000001E-3</v>
      </c>
      <c r="L32" s="730">
        <f t="shared" si="11"/>
        <v>2.8E-3</v>
      </c>
      <c r="M32" s="711">
        <f t="shared" si="11"/>
        <v>2.7000000000000001E-3</v>
      </c>
      <c r="N32" s="731">
        <f t="shared" si="11"/>
        <v>2.8E-3</v>
      </c>
      <c r="O32" s="738">
        <f>SUM(C32:N32)</f>
        <v>3.2900000000000006E-2</v>
      </c>
      <c r="P32" s="652" t="s">
        <v>1277</v>
      </c>
      <c r="Q32" s="582">
        <f t="shared" si="1"/>
        <v>25</v>
      </c>
    </row>
    <row r="33" spans="1:17" ht="21.75">
      <c r="A33" s="593">
        <f t="shared" si="2"/>
        <v>26</v>
      </c>
      <c r="B33" s="520" t="s">
        <v>1325</v>
      </c>
      <c r="C33" s="658">
        <v>2.8E-3</v>
      </c>
      <c r="D33" s="656">
        <v>2.5000000000000001E-3</v>
      </c>
      <c r="E33" s="657">
        <v>2.8E-3</v>
      </c>
      <c r="F33" s="658">
        <v>2.7000000000000001E-3</v>
      </c>
      <c r="G33" s="656">
        <v>2.8E-3</v>
      </c>
      <c r="H33" s="659">
        <v>2.7000000000000001E-3</v>
      </c>
      <c r="I33" s="658">
        <v>2.8E-3</v>
      </c>
      <c r="J33" s="656">
        <v>2.8E-3</v>
      </c>
      <c r="K33" s="659">
        <v>2.7000000000000001E-3</v>
      </c>
      <c r="L33" s="658">
        <v>2.8E-3</v>
      </c>
      <c r="M33" s="656">
        <v>2.7000000000000001E-3</v>
      </c>
      <c r="N33" s="659">
        <v>2.8E-3</v>
      </c>
      <c r="O33" s="737">
        <f>SUM(C33:N33)</f>
        <v>3.2900000000000006E-2</v>
      </c>
      <c r="P33" s="652" t="s">
        <v>734</v>
      </c>
      <c r="Q33" s="582">
        <f t="shared" si="1"/>
        <v>26</v>
      </c>
    </row>
    <row r="34" spans="1:17" ht="16.5" thickBot="1">
      <c r="A34" s="583">
        <f t="shared" si="2"/>
        <v>27</v>
      </c>
      <c r="B34" s="648" t="s">
        <v>624</v>
      </c>
      <c r="C34" s="734">
        <f>C32-C33</f>
        <v>0</v>
      </c>
      <c r="D34" s="732">
        <f t="shared" ref="D34:N34" si="12">D32-D33</f>
        <v>0</v>
      </c>
      <c r="E34" s="733">
        <f t="shared" si="12"/>
        <v>0</v>
      </c>
      <c r="F34" s="734">
        <f t="shared" si="12"/>
        <v>0</v>
      </c>
      <c r="G34" s="732">
        <f t="shared" si="12"/>
        <v>0</v>
      </c>
      <c r="H34" s="735">
        <f t="shared" si="12"/>
        <v>0</v>
      </c>
      <c r="I34" s="734">
        <f t="shared" si="12"/>
        <v>0</v>
      </c>
      <c r="J34" s="732">
        <f t="shared" si="12"/>
        <v>0</v>
      </c>
      <c r="K34" s="735">
        <f t="shared" si="12"/>
        <v>0</v>
      </c>
      <c r="L34" s="734">
        <f t="shared" si="12"/>
        <v>0</v>
      </c>
      <c r="M34" s="732">
        <f t="shared" si="12"/>
        <v>0</v>
      </c>
      <c r="N34" s="735">
        <f t="shared" si="12"/>
        <v>0</v>
      </c>
      <c r="O34" s="736">
        <f>SUM(C34:N34)</f>
        <v>0</v>
      </c>
      <c r="P34" s="530" t="s">
        <v>1278</v>
      </c>
      <c r="Q34" s="592">
        <f t="shared" si="1"/>
        <v>27</v>
      </c>
    </row>
    <row r="35" spans="1:17" ht="15.7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1"/>
      <c r="B36" s="662" t="s">
        <v>626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94.5">
      <c r="A37" s="663" t="s">
        <v>273</v>
      </c>
      <c r="B37" s="664" t="s">
        <v>1282</v>
      </c>
      <c r="D37" s="66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7.75">
      <c r="A38" s="663" t="s">
        <v>274</v>
      </c>
      <c r="B38" s="665" t="s">
        <v>1221</v>
      </c>
      <c r="D38" s="66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41.25">
      <c r="A39" s="663" t="s">
        <v>735</v>
      </c>
      <c r="B39" s="665" t="s">
        <v>736</v>
      </c>
      <c r="D39" s="66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4">
      <c r="A40" s="663" t="s">
        <v>737</v>
      </c>
      <c r="B40" s="666" t="s">
        <v>738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>
      <c r="A41" s="667"/>
      <c r="B41" s="786" t="s">
        <v>1264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>
      <c r="A42" s="667"/>
      <c r="B42" s="787" t="s">
        <v>1265</v>
      </c>
      <c r="D42" s="66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7">
      <c r="A43" s="667"/>
      <c r="B43" s="668" t="s">
        <v>1266</v>
      </c>
      <c r="D43" s="66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4">
      <c r="A44" s="663" t="s">
        <v>739</v>
      </c>
      <c r="B44" s="221" t="s">
        <v>719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>
      <c r="A45" s="663"/>
      <c r="B45" s="669"/>
      <c r="D45" s="66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4">
      <c r="A46" s="1068"/>
      <c r="B46" s="669"/>
      <c r="D46" s="66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>
      <c r="A47" s="661"/>
      <c r="B47" s="670"/>
      <c r="D47" s="66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>
      <c r="A48" s="671"/>
      <c r="B48" s="672"/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>
      <c r="A49" s="661"/>
      <c r="B49" s="133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>
      <c r="A50" s="661"/>
      <c r="B50" s="133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75">
      <c r="A51" s="671"/>
      <c r="B51" s="507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2.5">
      <c r="A52" s="661"/>
      <c r="B52" s="507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8"/>
      <c r="B53" s="133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B54" s="4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B55" s="4"/>
      <c r="D55" s="66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A56" s="4"/>
      <c r="B56" s="4"/>
      <c r="C56" s="660"/>
      <c r="D56" s="66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>
      <c r="A57" s="4"/>
      <c r="B57" s="4"/>
      <c r="C57" s="660"/>
      <c r="D57" s="66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>
      <c r="B58" s="673"/>
    </row>
  </sheetData>
  <printOptions horizontalCentered="1"/>
  <pageMargins left="0" right="0" top="0.75" bottom="0.25" header="0.25" footer="0"/>
  <pageSetup scale="56" orientation="landscape" r:id="rId1"/>
  <headerFooter>
    <oddHeader>&amp;C&amp;"Arial,Bold"&amp;12San Diego Gas &amp;&amp; Electric Co.
TO4 - Cycle 4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56"/>
  <sheetViews>
    <sheetView zoomScale="80" zoomScaleNormal="80" workbookViewId="0"/>
  </sheetViews>
  <sheetFormatPr defaultRowHeight="12.75"/>
  <cols>
    <col min="1" max="1" width="5.7109375" customWidth="1"/>
    <col min="2" max="2" width="79.5703125" bestFit="1" customWidth="1"/>
    <col min="3" max="14" width="15.7109375" customWidth="1"/>
    <col min="15" max="15" width="18.7109375" customWidth="1"/>
    <col min="16" max="16" width="52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515" t="s">
        <v>1228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75">
      <c r="A3" s="4"/>
      <c r="B3" s="515" t="s">
        <v>743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3" t="s">
        <v>62</v>
      </c>
      <c r="B5" s="554"/>
      <c r="C5" s="555" t="s">
        <v>1326</v>
      </c>
      <c r="D5" s="556" t="s">
        <v>1327</v>
      </c>
      <c r="E5" s="557" t="s">
        <v>1328</v>
      </c>
      <c r="F5" s="558" t="s">
        <v>1329</v>
      </c>
      <c r="G5" s="556" t="s">
        <v>1330</v>
      </c>
      <c r="H5" s="559" t="s">
        <v>1331</v>
      </c>
      <c r="I5" s="558" t="s">
        <v>1332</v>
      </c>
      <c r="J5" s="556" t="s">
        <v>1333</v>
      </c>
      <c r="K5" s="559" t="s">
        <v>1334</v>
      </c>
      <c r="L5" s="558" t="s">
        <v>1335</v>
      </c>
      <c r="M5" s="556" t="s">
        <v>1336</v>
      </c>
      <c r="N5" s="557" t="s">
        <v>1351</v>
      </c>
      <c r="O5" s="560" t="s">
        <v>741</v>
      </c>
      <c r="P5" s="560"/>
      <c r="Q5" s="561" t="s">
        <v>62</v>
      </c>
    </row>
    <row r="6" spans="1:19" ht="15.75">
      <c r="A6" s="562" t="s">
        <v>63</v>
      </c>
      <c r="B6" s="563" t="s">
        <v>742</v>
      </c>
      <c r="C6" s="564" t="s">
        <v>694</v>
      </c>
      <c r="D6" s="518" t="s">
        <v>695</v>
      </c>
      <c r="E6" s="565" t="s">
        <v>696</v>
      </c>
      <c r="F6" s="566" t="s">
        <v>697</v>
      </c>
      <c r="G6" s="519" t="s">
        <v>698</v>
      </c>
      <c r="H6" s="567" t="s">
        <v>699</v>
      </c>
      <c r="I6" s="568" t="s">
        <v>700</v>
      </c>
      <c r="J6" s="518" t="s">
        <v>701</v>
      </c>
      <c r="K6" s="569" t="s">
        <v>702</v>
      </c>
      <c r="L6" s="568" t="s">
        <v>703</v>
      </c>
      <c r="M6" s="518" t="s">
        <v>704</v>
      </c>
      <c r="N6" s="570" t="s">
        <v>705</v>
      </c>
      <c r="O6" s="33" t="s">
        <v>67</v>
      </c>
      <c r="P6" s="517" t="s">
        <v>65</v>
      </c>
      <c r="Q6" s="571" t="s">
        <v>63</v>
      </c>
    </row>
    <row r="7" spans="1:19" ht="15.7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22.5" thickBot="1">
      <c r="A8" s="583">
        <v>1</v>
      </c>
      <c r="B8" s="584" t="s">
        <v>1319</v>
      </c>
      <c r="C8" s="585">
        <f>'Wholesale Int TU-1'!N27</f>
        <v>113121416</v>
      </c>
      <c r="D8" s="586">
        <f>C27</f>
        <v>104003376</v>
      </c>
      <c r="E8" s="587">
        <f t="shared" ref="E8:N8" si="0">D27</f>
        <v>96273719</v>
      </c>
      <c r="F8" s="588">
        <f>E27</f>
        <v>86629724</v>
      </c>
      <c r="G8" s="586">
        <f t="shared" si="0"/>
        <v>78344736</v>
      </c>
      <c r="H8" s="589">
        <f>G27</f>
        <v>70418183</v>
      </c>
      <c r="I8" s="588">
        <f t="shared" si="0"/>
        <v>61857406</v>
      </c>
      <c r="J8" s="586">
        <f t="shared" si="0"/>
        <v>53118131</v>
      </c>
      <c r="K8" s="590">
        <f t="shared" si="0"/>
        <v>42731839</v>
      </c>
      <c r="L8" s="588">
        <f t="shared" si="0"/>
        <v>31350679</v>
      </c>
      <c r="M8" s="586">
        <f t="shared" si="0"/>
        <v>21384554</v>
      </c>
      <c r="N8" s="589">
        <f t="shared" si="0"/>
        <v>11872317</v>
      </c>
      <c r="O8" s="686"/>
      <c r="P8" s="591" t="s">
        <v>1279</v>
      </c>
      <c r="Q8" s="592">
        <f>A8</f>
        <v>1</v>
      </c>
    </row>
    <row r="9" spans="1:19" ht="15.75">
      <c r="A9" s="593">
        <f>A8+1</f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956"/>
      <c r="O9" s="1129"/>
      <c r="P9" s="602"/>
      <c r="Q9" s="582">
        <f t="shared" ref="Q9:Q34" si="1">A9</f>
        <v>2</v>
      </c>
    </row>
    <row r="10" spans="1:19" ht="15.75">
      <c r="A10" s="593">
        <f t="shared" ref="A10:A34" si="2">A9+1</f>
        <v>3</v>
      </c>
      <c r="B10" s="603" t="s">
        <v>723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956"/>
      <c r="O10" s="970"/>
      <c r="P10" s="602"/>
      <c r="Q10" s="582">
        <f t="shared" si="1"/>
        <v>3</v>
      </c>
    </row>
    <row r="11" spans="1:19" ht="15.75">
      <c r="A11" s="593">
        <f t="shared" si="2"/>
        <v>4</v>
      </c>
      <c r="B11" s="619" t="s">
        <v>1352</v>
      </c>
      <c r="C11" s="465">
        <v>1656285491.479192</v>
      </c>
      <c r="D11" s="463">
        <v>1404421587.6378932</v>
      </c>
      <c r="E11" s="674">
        <v>1740059327.8211348</v>
      </c>
      <c r="F11" s="465">
        <v>1497020413.3883255</v>
      </c>
      <c r="G11" s="463">
        <v>1431210766.5308144</v>
      </c>
      <c r="H11" s="674">
        <v>1537247930.4399822</v>
      </c>
      <c r="I11" s="465">
        <v>1566609678.8442569</v>
      </c>
      <c r="J11" s="463">
        <v>1851023578.9431512</v>
      </c>
      <c r="K11" s="674">
        <v>2019467743.7792053</v>
      </c>
      <c r="L11" s="465">
        <v>1765898097.7146149</v>
      </c>
      <c r="M11" s="463">
        <v>1680645819.4249938</v>
      </c>
      <c r="N11" s="1127"/>
      <c r="O11" s="739">
        <f>SUM(C11:N11)</f>
        <v>18149890436.003567</v>
      </c>
      <c r="P11" s="1113" t="s">
        <v>1368</v>
      </c>
      <c r="Q11" s="582">
        <f t="shared" si="1"/>
        <v>4</v>
      </c>
      <c r="S11" s="610"/>
    </row>
    <row r="12" spans="1:19" ht="15.75">
      <c r="A12" s="593">
        <f t="shared" si="2"/>
        <v>5</v>
      </c>
      <c r="B12" s="619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956"/>
      <c r="O12" s="970"/>
      <c r="P12" s="1113"/>
      <c r="Q12" s="582">
        <f t="shared" si="1"/>
        <v>5</v>
      </c>
    </row>
    <row r="13" spans="1:19" ht="21.75">
      <c r="A13" s="593">
        <f t="shared" si="2"/>
        <v>6</v>
      </c>
      <c r="B13" s="619" t="s">
        <v>1349</v>
      </c>
      <c r="C13" s="614">
        <v>5.6883855404423842E-3</v>
      </c>
      <c r="D13" s="612">
        <v>5.6883855404423842E-3</v>
      </c>
      <c r="E13" s="615">
        <v>5.6883855404423842E-3</v>
      </c>
      <c r="F13" s="614">
        <v>5.6883855404423842E-3</v>
      </c>
      <c r="G13" s="612">
        <v>5.6883855404423842E-3</v>
      </c>
      <c r="H13" s="615">
        <v>5.6883855404423842E-3</v>
      </c>
      <c r="I13" s="614">
        <v>5.6883855404423842E-3</v>
      </c>
      <c r="J13" s="612">
        <v>5.6883855404423842E-3</v>
      </c>
      <c r="K13" s="615">
        <v>5.6883855404423842E-3</v>
      </c>
      <c r="L13" s="614">
        <v>5.6883855404423842E-3</v>
      </c>
      <c r="M13" s="612">
        <v>5.6883855404423842E-3</v>
      </c>
      <c r="N13" s="1128"/>
      <c r="O13" s="974"/>
      <c r="P13" s="1113" t="s">
        <v>1369</v>
      </c>
      <c r="Q13" s="582">
        <f t="shared" si="1"/>
        <v>6</v>
      </c>
    </row>
    <row r="14" spans="1:19" ht="15.75">
      <c r="A14" s="593">
        <f t="shared" si="2"/>
        <v>7</v>
      </c>
      <c r="B14" s="520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956"/>
      <c r="O14" s="975"/>
      <c r="P14" s="1111"/>
      <c r="Q14" s="582">
        <f t="shared" si="1"/>
        <v>7</v>
      </c>
    </row>
    <row r="15" spans="1:19" ht="15.75">
      <c r="A15" s="593">
        <f t="shared" si="2"/>
        <v>8</v>
      </c>
      <c r="B15" s="520" t="s">
        <v>725</v>
      </c>
      <c r="C15" s="712">
        <f>ROUND(C11*C13,0)</f>
        <v>9421590</v>
      </c>
      <c r="D15" s="713">
        <f t="shared" ref="D15:M15" si="3">ROUND(D11*D13,0)</f>
        <v>7988891</v>
      </c>
      <c r="E15" s="714">
        <f t="shared" si="3"/>
        <v>9898128</v>
      </c>
      <c r="F15" s="715">
        <f t="shared" si="3"/>
        <v>8515629</v>
      </c>
      <c r="G15" s="713">
        <f>ROUND(G11*G13,0)</f>
        <v>8141279</v>
      </c>
      <c r="H15" s="716">
        <f t="shared" si="3"/>
        <v>8744459</v>
      </c>
      <c r="I15" s="715">
        <f t="shared" si="3"/>
        <v>8911480</v>
      </c>
      <c r="J15" s="713">
        <f t="shared" si="3"/>
        <v>10529336</v>
      </c>
      <c r="K15" s="717">
        <f t="shared" si="3"/>
        <v>11487511</v>
      </c>
      <c r="L15" s="715">
        <f t="shared" si="3"/>
        <v>10045109</v>
      </c>
      <c r="M15" s="713">
        <f t="shared" si="3"/>
        <v>9560161</v>
      </c>
      <c r="N15" s="714">
        <v>11889719</v>
      </c>
      <c r="O15" s="971">
        <f>SUM(C15:N15)</f>
        <v>115133292</v>
      </c>
      <c r="P15" s="602" t="s">
        <v>1268</v>
      </c>
      <c r="Q15" s="582">
        <f t="shared" si="1"/>
        <v>8</v>
      </c>
    </row>
    <row r="16" spans="1:19" ht="15.75">
      <c r="A16" s="593">
        <f t="shared" si="2"/>
        <v>9</v>
      </c>
      <c r="B16" s="520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956"/>
      <c r="O16" s="970"/>
      <c r="P16" s="602"/>
      <c r="Q16" s="582">
        <f t="shared" si="1"/>
        <v>9</v>
      </c>
    </row>
    <row r="17" spans="1:17" ht="16.5" thickBot="1">
      <c r="A17" s="583">
        <f t="shared" si="2"/>
        <v>10</v>
      </c>
      <c r="B17" s="618" t="s">
        <v>726</v>
      </c>
      <c r="C17" s="723">
        <f t="shared" ref="C17:N17" si="4">-C15</f>
        <v>-9421590</v>
      </c>
      <c r="D17" s="724">
        <f t="shared" si="4"/>
        <v>-7988891</v>
      </c>
      <c r="E17" s="725">
        <f t="shared" si="4"/>
        <v>-9898128</v>
      </c>
      <c r="F17" s="726">
        <f t="shared" si="4"/>
        <v>-8515629</v>
      </c>
      <c r="G17" s="724">
        <f t="shared" si="4"/>
        <v>-8141279</v>
      </c>
      <c r="H17" s="727">
        <f t="shared" si="4"/>
        <v>-8744459</v>
      </c>
      <c r="I17" s="726">
        <f t="shared" si="4"/>
        <v>-8911480</v>
      </c>
      <c r="J17" s="724">
        <f t="shared" si="4"/>
        <v>-10529336</v>
      </c>
      <c r="K17" s="728">
        <f t="shared" si="4"/>
        <v>-11487511</v>
      </c>
      <c r="L17" s="726">
        <f t="shared" si="4"/>
        <v>-10045109</v>
      </c>
      <c r="M17" s="724">
        <f t="shared" si="4"/>
        <v>-9560161</v>
      </c>
      <c r="N17" s="725">
        <f t="shared" si="4"/>
        <v>-11889719</v>
      </c>
      <c r="O17" s="1130">
        <f>SUM(C17:N17)</f>
        <v>-115133292</v>
      </c>
      <c r="P17" s="591" t="s">
        <v>1286</v>
      </c>
      <c r="Q17" s="592">
        <f t="shared" si="1"/>
        <v>10</v>
      </c>
    </row>
    <row r="18" spans="1:17" ht="15.75">
      <c r="A18" s="593">
        <f t="shared" si="2"/>
        <v>11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f t="shared" si="1"/>
        <v>11</v>
      </c>
    </row>
    <row r="19" spans="1:17" ht="15.75">
      <c r="A19" s="593">
        <f t="shared" si="2"/>
        <v>12</v>
      </c>
      <c r="B19" s="603" t="s">
        <v>727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f t="shared" si="1"/>
        <v>12</v>
      </c>
    </row>
    <row r="20" spans="1:17" ht="15.75">
      <c r="A20" s="593">
        <f t="shared" si="2"/>
        <v>13</v>
      </c>
      <c r="B20" s="520" t="s">
        <v>606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f t="shared" si="1"/>
        <v>13</v>
      </c>
    </row>
    <row r="21" spans="1:17" ht="21.75">
      <c r="A21" s="593">
        <f t="shared" si="2"/>
        <v>14</v>
      </c>
      <c r="B21" s="520" t="s">
        <v>1353</v>
      </c>
      <c r="C21" s="635">
        <f>$C8</f>
        <v>113121416</v>
      </c>
      <c r="D21" s="529">
        <f>$C8</f>
        <v>113121416</v>
      </c>
      <c r="E21" s="636">
        <f>$C8</f>
        <v>113121416</v>
      </c>
      <c r="F21" s="637">
        <f>$F8</f>
        <v>86629724</v>
      </c>
      <c r="G21" s="529">
        <f>$F8</f>
        <v>86629724</v>
      </c>
      <c r="H21" s="638">
        <f>$F8</f>
        <v>86629724</v>
      </c>
      <c r="I21" s="637">
        <f>$I8</f>
        <v>61857406</v>
      </c>
      <c r="J21" s="529">
        <f>$I8</f>
        <v>61857406</v>
      </c>
      <c r="K21" s="639">
        <f>$I8</f>
        <v>61857406</v>
      </c>
      <c r="L21" s="637">
        <f>$L8</f>
        <v>31350679</v>
      </c>
      <c r="M21" s="529">
        <f>$L8</f>
        <v>31350679</v>
      </c>
      <c r="N21" s="638">
        <f>$L8</f>
        <v>31350679</v>
      </c>
      <c r="O21" s="617"/>
      <c r="P21" s="640" t="s">
        <v>1270</v>
      </c>
      <c r="Q21" s="582">
        <f t="shared" si="1"/>
        <v>14</v>
      </c>
    </row>
    <row r="22" spans="1:17" ht="21.75">
      <c r="A22" s="593">
        <f t="shared" si="2"/>
        <v>15</v>
      </c>
      <c r="B22" s="520" t="s">
        <v>1321</v>
      </c>
      <c r="C22" s="718">
        <f>C17/2</f>
        <v>-4710795</v>
      </c>
      <c r="D22" s="709">
        <f>C17+(D17/2)</f>
        <v>-13416035.5</v>
      </c>
      <c r="E22" s="719">
        <f>C17+D17+(E17/2)</f>
        <v>-22359545</v>
      </c>
      <c r="F22" s="720">
        <f>F17/2</f>
        <v>-4257814.5</v>
      </c>
      <c r="G22" s="709">
        <f>F17+(G17/2)</f>
        <v>-12586268.5</v>
      </c>
      <c r="H22" s="721">
        <f>(F17+G17+(H17/2))</f>
        <v>-21029137.5</v>
      </c>
      <c r="I22" s="720">
        <f>I17/2</f>
        <v>-4455740</v>
      </c>
      <c r="J22" s="709">
        <f>I17+(J17/2)</f>
        <v>-14176148</v>
      </c>
      <c r="K22" s="722">
        <f>I17+J17+(K17/2)</f>
        <v>-25184571.5</v>
      </c>
      <c r="L22" s="720">
        <f>L17/2</f>
        <v>-5022554.5</v>
      </c>
      <c r="M22" s="709">
        <f>L17+(M17/2)</f>
        <v>-14825189.5</v>
      </c>
      <c r="N22" s="721">
        <f>L17+M17+(N17/2)</f>
        <v>-25550129.5</v>
      </c>
      <c r="O22" s="641"/>
      <c r="P22" s="640"/>
      <c r="Q22" s="582">
        <f t="shared" si="1"/>
        <v>15</v>
      </c>
    </row>
    <row r="23" spans="1:17" ht="15.75">
      <c r="A23" s="593">
        <f t="shared" si="2"/>
        <v>16</v>
      </c>
      <c r="B23" s="520" t="s">
        <v>729</v>
      </c>
      <c r="C23" s="627">
        <f t="shared" ref="C23:M23" si="5">C21+C22</f>
        <v>108410621</v>
      </c>
      <c r="D23" s="533">
        <f t="shared" si="5"/>
        <v>99705380.5</v>
      </c>
      <c r="E23" s="628">
        <f t="shared" si="5"/>
        <v>90761871</v>
      </c>
      <c r="F23" s="629">
        <f t="shared" si="5"/>
        <v>82371909.5</v>
      </c>
      <c r="G23" s="534">
        <f t="shared" si="5"/>
        <v>74043455.5</v>
      </c>
      <c r="H23" s="630">
        <f t="shared" si="5"/>
        <v>65600586.5</v>
      </c>
      <c r="I23" s="631">
        <f t="shared" si="5"/>
        <v>57401666</v>
      </c>
      <c r="J23" s="533">
        <f t="shared" si="5"/>
        <v>47681258</v>
      </c>
      <c r="K23" s="632">
        <f t="shared" si="5"/>
        <v>36672834.5</v>
      </c>
      <c r="L23" s="631">
        <f t="shared" si="5"/>
        <v>26328124.5</v>
      </c>
      <c r="M23" s="533">
        <f t="shared" si="5"/>
        <v>16525489.5</v>
      </c>
      <c r="N23" s="633">
        <f>N21+N22</f>
        <v>5800549.5</v>
      </c>
      <c r="O23" s="617"/>
      <c r="P23" s="640" t="s">
        <v>1271</v>
      </c>
      <c r="Q23" s="582">
        <f t="shared" si="1"/>
        <v>16</v>
      </c>
    </row>
    <row r="24" spans="1:17" ht="16.5" thickBot="1">
      <c r="A24" s="593">
        <f t="shared" si="2"/>
        <v>17</v>
      </c>
      <c r="B24" s="520" t="s">
        <v>730</v>
      </c>
      <c r="C24" s="642">
        <f t="shared" ref="C24:N24" si="6">C33</f>
        <v>2.8E-3</v>
      </c>
      <c r="D24" s="643">
        <f t="shared" si="6"/>
        <v>2.5999999999999999E-3</v>
      </c>
      <c r="E24" s="644">
        <f t="shared" si="6"/>
        <v>2.8E-3</v>
      </c>
      <c r="F24" s="645">
        <f t="shared" si="6"/>
        <v>2.8E-3</v>
      </c>
      <c r="G24" s="643">
        <f t="shared" si="6"/>
        <v>2.8999999999999998E-3</v>
      </c>
      <c r="H24" s="646">
        <f t="shared" si="6"/>
        <v>2.8E-3</v>
      </c>
      <c r="I24" s="645">
        <f t="shared" si="6"/>
        <v>3.0000000000000001E-3</v>
      </c>
      <c r="J24" s="643">
        <f t="shared" si="6"/>
        <v>3.0000000000000001E-3</v>
      </c>
      <c r="K24" s="647">
        <f t="shared" si="6"/>
        <v>2.8999999999999998E-3</v>
      </c>
      <c r="L24" s="645">
        <f t="shared" si="6"/>
        <v>3.0000000000000001E-3</v>
      </c>
      <c r="M24" s="643">
        <f t="shared" si="6"/>
        <v>2.8999999999999998E-3</v>
      </c>
      <c r="N24" s="646">
        <f t="shared" si="6"/>
        <v>3.0000000000000001E-3</v>
      </c>
      <c r="O24" s="617"/>
      <c r="P24" s="640" t="s">
        <v>1272</v>
      </c>
      <c r="Q24" s="582">
        <f t="shared" si="1"/>
        <v>17</v>
      </c>
    </row>
    <row r="25" spans="1:17" ht="17.25" thickTop="1" thickBot="1">
      <c r="A25" s="593">
        <f t="shared" si="2"/>
        <v>18</v>
      </c>
      <c r="B25" s="520" t="s">
        <v>731</v>
      </c>
      <c r="C25" s="759">
        <f t="shared" ref="C25:N25" si="7">ROUND(C23*C24,0)</f>
        <v>303550</v>
      </c>
      <c r="D25" s="755">
        <f t="shared" si="7"/>
        <v>259234</v>
      </c>
      <c r="E25" s="760">
        <f t="shared" si="7"/>
        <v>254133</v>
      </c>
      <c r="F25" s="761">
        <f t="shared" si="7"/>
        <v>230641</v>
      </c>
      <c r="G25" s="755">
        <f t="shared" si="7"/>
        <v>214726</v>
      </c>
      <c r="H25" s="762">
        <f t="shared" si="7"/>
        <v>183682</v>
      </c>
      <c r="I25" s="761">
        <f t="shared" si="7"/>
        <v>172205</v>
      </c>
      <c r="J25" s="755">
        <f t="shared" si="7"/>
        <v>143044</v>
      </c>
      <c r="K25" s="763">
        <f t="shared" si="7"/>
        <v>106351</v>
      </c>
      <c r="L25" s="761">
        <f t="shared" si="7"/>
        <v>78984</v>
      </c>
      <c r="M25" s="755">
        <f t="shared" si="7"/>
        <v>47924</v>
      </c>
      <c r="N25" s="762">
        <f t="shared" si="7"/>
        <v>17402</v>
      </c>
      <c r="O25" s="729">
        <f>SUM(C25:N25)</f>
        <v>2011876</v>
      </c>
      <c r="P25" s="675" t="s">
        <v>1280</v>
      </c>
      <c r="Q25" s="582">
        <f t="shared" si="1"/>
        <v>18</v>
      </c>
    </row>
    <row r="26" spans="1:17" ht="16.5" thickTop="1">
      <c r="A26" s="593">
        <f t="shared" si="2"/>
        <v>19</v>
      </c>
      <c r="B26" s="520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f t="shared" si="1"/>
        <v>19</v>
      </c>
    </row>
    <row r="27" spans="1:17" ht="16.5" thickBot="1">
      <c r="A27" s="583">
        <f t="shared" si="2"/>
        <v>20</v>
      </c>
      <c r="B27" s="648" t="s">
        <v>732</v>
      </c>
      <c r="C27" s="723">
        <f>C8+C17+C25</f>
        <v>104003376</v>
      </c>
      <c r="D27" s="724">
        <f>D8+D17+D25</f>
        <v>96273719</v>
      </c>
      <c r="E27" s="725">
        <f>E8+E17+E25</f>
        <v>86629724</v>
      </c>
      <c r="F27" s="726">
        <f>F8+F17+F25</f>
        <v>78344736</v>
      </c>
      <c r="G27" s="724">
        <f t="shared" ref="G27:N27" si="8">G8+G17+G25</f>
        <v>70418183</v>
      </c>
      <c r="H27" s="727">
        <f t="shared" si="8"/>
        <v>61857406</v>
      </c>
      <c r="I27" s="726">
        <f t="shared" si="8"/>
        <v>53118131</v>
      </c>
      <c r="J27" s="724">
        <f t="shared" si="8"/>
        <v>42731839</v>
      </c>
      <c r="K27" s="728">
        <f t="shared" si="8"/>
        <v>31350679</v>
      </c>
      <c r="L27" s="726">
        <f t="shared" si="8"/>
        <v>21384554</v>
      </c>
      <c r="M27" s="724">
        <f t="shared" si="8"/>
        <v>11872317</v>
      </c>
      <c r="N27" s="727">
        <f t="shared" si="8"/>
        <v>0</v>
      </c>
      <c r="O27" s="686">
        <f>C8+O17+O25</f>
        <v>0</v>
      </c>
      <c r="P27" s="649" t="s">
        <v>1281</v>
      </c>
      <c r="Q27" s="592">
        <f t="shared" si="1"/>
        <v>20</v>
      </c>
    </row>
    <row r="28" spans="1:17" ht="15.75">
      <c r="A28" s="593">
        <f t="shared" si="2"/>
        <v>21</v>
      </c>
      <c r="B28" s="650"/>
      <c r="C28" s="564" t="str">
        <f t="shared" ref="C28:N28" si="9">C6</f>
        <v>Jan</v>
      </c>
      <c r="D28" s="518" t="str">
        <f t="shared" si="9"/>
        <v>Feb</v>
      </c>
      <c r="E28" s="651" t="str">
        <f t="shared" si="9"/>
        <v>Mar</v>
      </c>
      <c r="F28" s="568" t="str">
        <f t="shared" si="9"/>
        <v>Apr</v>
      </c>
      <c r="G28" s="519" t="str">
        <f t="shared" si="9"/>
        <v>May</v>
      </c>
      <c r="H28" s="567" t="str">
        <f t="shared" si="9"/>
        <v>Jun</v>
      </c>
      <c r="I28" s="568" t="str">
        <f t="shared" si="9"/>
        <v>Jul</v>
      </c>
      <c r="J28" s="518" t="str">
        <f t="shared" si="9"/>
        <v>Aug</v>
      </c>
      <c r="K28" s="569" t="str">
        <f t="shared" si="9"/>
        <v>Sep</v>
      </c>
      <c r="L28" s="568" t="str">
        <f t="shared" si="9"/>
        <v>Oct</v>
      </c>
      <c r="M28" s="518" t="str">
        <f t="shared" si="9"/>
        <v>Nov</v>
      </c>
      <c r="N28" s="570" t="str">
        <f t="shared" si="9"/>
        <v>Dec</v>
      </c>
      <c r="O28" s="162"/>
      <c r="P28" s="652"/>
      <c r="Q28" s="582">
        <f t="shared" si="1"/>
        <v>21</v>
      </c>
    </row>
    <row r="29" spans="1:17" ht="21.75">
      <c r="A29" s="593">
        <f t="shared" si="2"/>
        <v>22</v>
      </c>
      <c r="B29" s="520" t="s">
        <v>1322</v>
      </c>
      <c r="C29" s="654">
        <v>3.2500000000000001E-2</v>
      </c>
      <c r="D29" s="538">
        <v>3.2500000000000001E-2</v>
      </c>
      <c r="E29" s="653">
        <v>3.2500000000000001E-2</v>
      </c>
      <c r="F29" s="654">
        <v>3.4599999999999999E-2</v>
      </c>
      <c r="G29" s="538">
        <v>3.4599999999999999E-2</v>
      </c>
      <c r="H29" s="655">
        <v>3.4599999999999999E-2</v>
      </c>
      <c r="I29" s="654">
        <v>3.5000000000000003E-2</v>
      </c>
      <c r="J29" s="538">
        <f>I29</f>
        <v>3.5000000000000003E-2</v>
      </c>
      <c r="K29" s="676">
        <f>I29</f>
        <v>3.5000000000000003E-2</v>
      </c>
      <c r="L29" s="654">
        <v>3.5000000000000003E-2</v>
      </c>
      <c r="M29" s="538">
        <f>L29</f>
        <v>3.5000000000000003E-2</v>
      </c>
      <c r="N29" s="655">
        <f>L29</f>
        <v>3.5000000000000003E-2</v>
      </c>
      <c r="O29" s="133"/>
      <c r="P29" s="652" t="s">
        <v>1340</v>
      </c>
      <c r="Q29" s="582">
        <f t="shared" si="1"/>
        <v>22</v>
      </c>
    </row>
    <row r="30" spans="1:17" ht="21.75">
      <c r="A30" s="593">
        <f t="shared" si="2"/>
        <v>23</v>
      </c>
      <c r="B30" s="520" t="s">
        <v>1323</v>
      </c>
      <c r="C30" s="744">
        <f t="shared" ref="C30:O30" si="10">$O31</f>
        <v>366</v>
      </c>
      <c r="D30" s="741">
        <f t="shared" si="10"/>
        <v>366</v>
      </c>
      <c r="E30" s="743">
        <f t="shared" si="10"/>
        <v>366</v>
      </c>
      <c r="F30" s="744">
        <f t="shared" si="10"/>
        <v>366</v>
      </c>
      <c r="G30" s="741">
        <f t="shared" si="10"/>
        <v>366</v>
      </c>
      <c r="H30" s="743">
        <f t="shared" si="10"/>
        <v>366</v>
      </c>
      <c r="I30" s="744">
        <f t="shared" si="10"/>
        <v>366</v>
      </c>
      <c r="J30" s="741">
        <f t="shared" si="10"/>
        <v>366</v>
      </c>
      <c r="K30" s="743">
        <f t="shared" si="10"/>
        <v>366</v>
      </c>
      <c r="L30" s="744">
        <f t="shared" si="10"/>
        <v>366</v>
      </c>
      <c r="M30" s="741">
        <f t="shared" si="10"/>
        <v>366</v>
      </c>
      <c r="N30" s="743">
        <f t="shared" si="10"/>
        <v>366</v>
      </c>
      <c r="O30" s="747">
        <f t="shared" si="10"/>
        <v>366</v>
      </c>
      <c r="P30" s="652" t="s">
        <v>1275</v>
      </c>
      <c r="Q30" s="582">
        <f t="shared" si="1"/>
        <v>23</v>
      </c>
    </row>
    <row r="31" spans="1:17" ht="15.75">
      <c r="A31" s="593">
        <f t="shared" si="2"/>
        <v>24</v>
      </c>
      <c r="B31" s="520" t="s">
        <v>1355</v>
      </c>
      <c r="C31" s="746">
        <v>31</v>
      </c>
      <c r="D31" s="539">
        <v>29</v>
      </c>
      <c r="E31" s="745">
        <v>31</v>
      </c>
      <c r="F31" s="746">
        <v>30</v>
      </c>
      <c r="G31" s="742">
        <v>31</v>
      </c>
      <c r="H31" s="745">
        <v>30</v>
      </c>
      <c r="I31" s="746">
        <v>31</v>
      </c>
      <c r="J31" s="742">
        <v>31</v>
      </c>
      <c r="K31" s="745">
        <v>30</v>
      </c>
      <c r="L31" s="746">
        <v>31</v>
      </c>
      <c r="M31" s="742">
        <v>30</v>
      </c>
      <c r="N31" s="745">
        <v>31</v>
      </c>
      <c r="O31" s="748">
        <f>SUM(C31:N31)</f>
        <v>366</v>
      </c>
      <c r="P31" s="652" t="s">
        <v>1276</v>
      </c>
      <c r="Q31" s="582">
        <f t="shared" si="1"/>
        <v>24</v>
      </c>
    </row>
    <row r="32" spans="1:17" ht="15.75">
      <c r="A32" s="593">
        <f t="shared" si="2"/>
        <v>25</v>
      </c>
      <c r="B32" s="520" t="s">
        <v>621</v>
      </c>
      <c r="C32" s="730">
        <f t="shared" ref="C32:N32" si="11">ROUND(C29/C30*C31,4)</f>
        <v>2.8E-3</v>
      </c>
      <c r="D32" s="711">
        <f t="shared" si="11"/>
        <v>2.5999999999999999E-3</v>
      </c>
      <c r="E32" s="731">
        <f t="shared" si="11"/>
        <v>2.8E-3</v>
      </c>
      <c r="F32" s="730">
        <f t="shared" si="11"/>
        <v>2.8E-3</v>
      </c>
      <c r="G32" s="711">
        <f t="shared" si="11"/>
        <v>2.8999999999999998E-3</v>
      </c>
      <c r="H32" s="731">
        <f t="shared" si="11"/>
        <v>2.8E-3</v>
      </c>
      <c r="I32" s="730">
        <f t="shared" si="11"/>
        <v>3.0000000000000001E-3</v>
      </c>
      <c r="J32" s="711">
        <f t="shared" si="11"/>
        <v>3.0000000000000001E-3</v>
      </c>
      <c r="K32" s="731">
        <f t="shared" si="11"/>
        <v>2.8999999999999998E-3</v>
      </c>
      <c r="L32" s="730">
        <f t="shared" si="11"/>
        <v>3.0000000000000001E-3</v>
      </c>
      <c r="M32" s="711">
        <f t="shared" si="11"/>
        <v>2.8999999999999998E-3</v>
      </c>
      <c r="N32" s="731">
        <f t="shared" si="11"/>
        <v>3.0000000000000001E-3</v>
      </c>
      <c r="O32" s="738">
        <f>SUM(C32:N32)</f>
        <v>3.4500000000000003E-2</v>
      </c>
      <c r="P32" s="652" t="s">
        <v>1277</v>
      </c>
      <c r="Q32" s="582">
        <f t="shared" si="1"/>
        <v>25</v>
      </c>
    </row>
    <row r="33" spans="1:17" ht="21.75">
      <c r="A33" s="593">
        <f t="shared" si="2"/>
        <v>26</v>
      </c>
      <c r="B33" s="520" t="s">
        <v>1325</v>
      </c>
      <c r="C33" s="658">
        <v>2.8E-3</v>
      </c>
      <c r="D33" s="656">
        <v>2.5999999999999999E-3</v>
      </c>
      <c r="E33" s="657">
        <v>2.8E-3</v>
      </c>
      <c r="F33" s="658">
        <v>2.8E-3</v>
      </c>
      <c r="G33" s="656">
        <v>2.8999999999999998E-3</v>
      </c>
      <c r="H33" s="659">
        <v>2.8E-3</v>
      </c>
      <c r="I33" s="658">
        <v>3.0000000000000001E-3</v>
      </c>
      <c r="J33" s="656">
        <v>3.0000000000000001E-3</v>
      </c>
      <c r="K33" s="677">
        <v>2.8999999999999998E-3</v>
      </c>
      <c r="L33" s="658">
        <v>3.0000000000000001E-3</v>
      </c>
      <c r="M33" s="656">
        <v>2.8999999999999998E-3</v>
      </c>
      <c r="N33" s="659">
        <v>3.0000000000000001E-3</v>
      </c>
      <c r="O33" s="737">
        <f>SUM(C33:N33)</f>
        <v>3.4500000000000003E-2</v>
      </c>
      <c r="P33" s="652" t="s">
        <v>1341</v>
      </c>
      <c r="Q33" s="582">
        <f t="shared" si="1"/>
        <v>26</v>
      </c>
    </row>
    <row r="34" spans="1:17" ht="16.5" thickBot="1">
      <c r="A34" s="583">
        <f t="shared" si="2"/>
        <v>27</v>
      </c>
      <c r="B34" s="648" t="s">
        <v>624</v>
      </c>
      <c r="C34" s="734">
        <f>C32-C33</f>
        <v>0</v>
      </c>
      <c r="D34" s="732">
        <f t="shared" ref="D34:N34" si="12">D32-D33</f>
        <v>0</v>
      </c>
      <c r="E34" s="733">
        <f t="shared" si="12"/>
        <v>0</v>
      </c>
      <c r="F34" s="734">
        <f t="shared" si="12"/>
        <v>0</v>
      </c>
      <c r="G34" s="732">
        <f t="shared" si="12"/>
        <v>0</v>
      </c>
      <c r="H34" s="735">
        <f t="shared" si="12"/>
        <v>0</v>
      </c>
      <c r="I34" s="734">
        <f t="shared" si="12"/>
        <v>0</v>
      </c>
      <c r="J34" s="732">
        <f t="shared" si="12"/>
        <v>0</v>
      </c>
      <c r="K34" s="740">
        <f t="shared" si="12"/>
        <v>0</v>
      </c>
      <c r="L34" s="734">
        <f t="shared" si="12"/>
        <v>0</v>
      </c>
      <c r="M34" s="732">
        <f t="shared" si="12"/>
        <v>0</v>
      </c>
      <c r="N34" s="735">
        <f t="shared" si="12"/>
        <v>0</v>
      </c>
      <c r="O34" s="736">
        <f>SUM(C34:N34)</f>
        <v>0</v>
      </c>
      <c r="P34" s="530" t="s">
        <v>1278</v>
      </c>
      <c r="Q34" s="592">
        <f t="shared" si="1"/>
        <v>27</v>
      </c>
    </row>
    <row r="35" spans="1:17" ht="15.7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1"/>
      <c r="B36" s="662" t="s">
        <v>626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94.5">
      <c r="A37" s="663" t="s">
        <v>273</v>
      </c>
      <c r="B37" s="664" t="s">
        <v>1282</v>
      </c>
      <c r="D37" s="66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0.5">
      <c r="A38" s="663" t="s">
        <v>274</v>
      </c>
      <c r="B38" s="664" t="s">
        <v>1283</v>
      </c>
      <c r="D38" s="66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7">
      <c r="A39" s="663"/>
      <c r="B39" s="664" t="s">
        <v>1284</v>
      </c>
      <c r="D39" s="66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40.5">
      <c r="A40" s="663" t="s">
        <v>735</v>
      </c>
      <c r="B40" s="664" t="s">
        <v>736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>
      <c r="A41" s="663" t="s">
        <v>737</v>
      </c>
      <c r="B41" s="666" t="s">
        <v>738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>
      <c r="A42" s="667"/>
      <c r="B42" s="664" t="s">
        <v>1264</v>
      </c>
      <c r="D42" s="66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4">
      <c r="A43" s="667"/>
      <c r="B43" s="664" t="s">
        <v>1265</v>
      </c>
      <c r="D43" s="66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0.5">
      <c r="A44" s="667"/>
      <c r="B44" s="664" t="s">
        <v>1266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>
      <c r="A45" s="663" t="s">
        <v>739</v>
      </c>
      <c r="B45" s="664" t="s">
        <v>719</v>
      </c>
      <c r="D45" s="66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40.5">
      <c r="A46" s="663" t="s">
        <v>740</v>
      </c>
      <c r="B46" s="664" t="s">
        <v>1267</v>
      </c>
      <c r="D46" s="66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4">
      <c r="A47" s="1068" t="s">
        <v>884</v>
      </c>
      <c r="B47" s="1132" t="s">
        <v>1294</v>
      </c>
      <c r="C47" s="1132"/>
      <c r="D47" s="1132"/>
      <c r="E47" s="1132"/>
      <c r="F47" s="1132"/>
      <c r="G47" s="1132"/>
      <c r="H47" s="1132"/>
      <c r="I47" s="1132"/>
      <c r="J47" s="1132"/>
      <c r="K47" s="4"/>
      <c r="L47" s="4"/>
      <c r="M47" s="4"/>
      <c r="N47" s="4"/>
      <c r="O47" s="4"/>
      <c r="P47" s="4"/>
      <c r="Q47" s="4"/>
    </row>
    <row r="48" spans="1:17" ht="47.25">
      <c r="A48" s="1068" t="s">
        <v>1295</v>
      </c>
      <c r="B48" s="1131" t="s">
        <v>1339</v>
      </c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>
      <c r="A49" s="671"/>
      <c r="B49" s="507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>
      <c r="A50" s="661"/>
      <c r="B50" s="507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A51" s="48"/>
      <c r="B51" s="133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B52" s="4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B53" s="4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660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660"/>
      <c r="D55" s="66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B56" s="673"/>
    </row>
  </sheetData>
  <printOptions horizontalCentered="1"/>
  <pageMargins left="0" right="0" top="0.75" bottom="0.25" header="0.25" footer="0"/>
  <pageSetup scale="56" orientation="landscape" r:id="rId1"/>
  <headerFooter>
    <oddHeader>&amp;C&amp;"Arial,Bold"&amp;12San Diego Gas &amp;&amp; Electric Co.
TO4 - Cycle 4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23</vt:i4>
      </vt:variant>
    </vt:vector>
  </HeadingPairs>
  <TitlesOfParts>
    <vt:vector size="51" baseType="lpstr">
      <vt:lpstr>BK-1-Retail TRR</vt:lpstr>
      <vt:lpstr>BK-2 ISO TRR</vt:lpstr>
      <vt:lpstr>Cost Statements</vt:lpstr>
      <vt:lpstr>Statement AD-WP</vt:lpstr>
      <vt:lpstr>Statement AE-WP</vt:lpstr>
      <vt:lpstr>Statement AF-WP</vt:lpstr>
      <vt:lpstr>Statement AG-WP</vt:lpstr>
      <vt:lpstr>Statement AH-WP</vt:lpstr>
      <vt:lpstr>Statement AI-WP</vt:lpstr>
      <vt:lpstr>Statement AJ-WP</vt:lpstr>
      <vt:lpstr>2015 Transmission Depn Rates</vt:lpstr>
      <vt:lpstr>2015 Intangible Amort Period</vt:lpstr>
      <vt:lpstr>2015 Gen Depn Rates</vt:lpstr>
      <vt:lpstr>2015 Common Depn Rates</vt:lpstr>
      <vt:lpstr>Statement AK-WP</vt:lpstr>
      <vt:lpstr>Statement AL-WP</vt:lpstr>
      <vt:lpstr>Statement AM-WP</vt:lpstr>
      <vt:lpstr>Statement AQ-WP</vt:lpstr>
      <vt:lpstr>Statement AR-WP</vt:lpstr>
      <vt:lpstr>Statement AU-WP</vt:lpstr>
      <vt:lpstr>Statement AV-WP</vt:lpstr>
      <vt:lpstr>Forecast Plant Adds HV-LV Split</vt:lpstr>
      <vt:lpstr>Retail TU Adj</vt:lpstr>
      <vt:lpstr>Retail Int TU-1</vt:lpstr>
      <vt:lpstr>Retail Int TU-2</vt:lpstr>
      <vt:lpstr>Wholesale TU Adj</vt:lpstr>
      <vt:lpstr>Wholesale Int TU-1</vt:lpstr>
      <vt:lpstr>Wholesale Int TU-2</vt:lpstr>
      <vt:lpstr>'2015 Common Depn Rates'!Print_Area</vt:lpstr>
      <vt:lpstr>'2015 Gen Depn Rates'!Print_Area</vt:lpstr>
      <vt:lpstr>'2015 Intangible Amort Period'!Print_Area</vt:lpstr>
      <vt:lpstr>'2015 Transmission Depn Rates'!Print_Area</vt:lpstr>
      <vt:lpstr>'BK-1-Retail TRR'!Print_Area</vt:lpstr>
      <vt:lpstr>'BK-2 ISO TRR'!Print_Area</vt:lpstr>
      <vt:lpstr>'Cost Statements'!Print_Area</vt:lpstr>
      <vt:lpstr>'Retail Int TU-1'!Print_Area</vt:lpstr>
      <vt:lpstr>'Retail Int TU-2'!Print_Area</vt:lpstr>
      <vt:lpstr>'Retail TU Adj'!Print_Area</vt:lpstr>
      <vt:lpstr>'Statement AD-WP'!Print_Area</vt:lpstr>
      <vt:lpstr>'Statement AE-WP'!Print_Area</vt:lpstr>
      <vt:lpstr>'Statement AI-WP'!Print_Area</vt:lpstr>
      <vt:lpstr>'Statement AV-WP'!Print_Area</vt:lpstr>
      <vt:lpstr>'Wholesale Int TU-1'!Print_Area</vt:lpstr>
      <vt:lpstr>'Wholesale Int TU-2'!Print_Area</vt:lpstr>
      <vt:lpstr>'Wholesale TU Adj'!Print_Area</vt:lpstr>
      <vt:lpstr>'Retail Int TU-1'!Print_Titles</vt:lpstr>
      <vt:lpstr>'Retail Int TU-2'!Print_Titles</vt:lpstr>
      <vt:lpstr>'Retail TU Adj'!Print_Titles</vt:lpstr>
      <vt:lpstr>'Wholesale Int TU-1'!Print_Titles</vt:lpstr>
      <vt:lpstr>'Wholesale Int TU-2'!Print_Titles</vt:lpstr>
      <vt:lpstr>'Wholesale TU Adj'!Print_Titles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Sempra Energy</dc:creator>
  <cp:lastModifiedBy>Christopher R Penn</cp:lastModifiedBy>
  <cp:lastPrinted>2016-09-21T21:52:46Z</cp:lastPrinted>
  <dcterms:created xsi:type="dcterms:W3CDTF">2003-01-13T22:26:00Z</dcterms:created>
  <dcterms:modified xsi:type="dcterms:W3CDTF">2016-10-18T18:23:51Z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TO4 Formula Rate Cycle 4 - June 15, 2016.xlsx</vt:lpwstr>
  </property>
</Properties>
</file>