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/>
  <bookViews>
    <workbookView xWindow="0" yWindow="0" windowWidth="24000" windowHeight="9510"/>
  </bookViews>
  <sheets>
    <sheet name="Cover Page" sheetId="10" r:id="rId1"/>
    <sheet name="Analysis" sheetId="3" r:id="rId2"/>
    <sheet name="Data" sheetId="9" r:id="rId3"/>
    <sheet name="Summary" sheetId="8" r:id="rId4"/>
    <sheet name="Reference" sheetId="7" state="hidden" r:id="rId5"/>
  </sheets>
  <externalReferences>
    <externalReference r:id="rId6"/>
  </externalReferences>
  <definedNames>
    <definedName name="ExpResult" localSheetId="0">#REF!</definedName>
    <definedName name="ExpResult">#REF!</definedName>
    <definedName name="InputVal" localSheetId="0">#REF!</definedName>
    <definedName name="InputVal">#REF!</definedName>
    <definedName name="InputValDivMaxTimes10" localSheetId="0">#REF!</definedName>
    <definedName name="InputValDivMaxTimes10">#REF!</definedName>
    <definedName name="_xlnm.Print_Area" localSheetId="0">'Cover Page'!$A$1:$A$27</definedName>
    <definedName name="Rho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3" l="1"/>
  <c r="D17" i="9" l="1"/>
  <c r="D16" i="9"/>
  <c r="E16" i="9" s="1"/>
  <c r="P14" i="3" s="1"/>
  <c r="E17" i="9"/>
  <c r="P15" i="3" s="1"/>
  <c r="C11" i="9" l="1"/>
  <c r="C10" i="9"/>
  <c r="E4" i="9"/>
  <c r="D29" i="3" l="1"/>
  <c r="K14" i="3"/>
  <c r="E2" i="8" s="1"/>
  <c r="K15" i="3"/>
  <c r="E4" i="8" s="1"/>
  <c r="D11" i="9"/>
  <c r="D10" i="9"/>
  <c r="J14" i="3" s="1"/>
  <c r="L15" i="3"/>
  <c r="AD15" i="3"/>
  <c r="C50" i="9"/>
  <c r="D5" i="3"/>
  <c r="E5" i="3" s="1"/>
  <c r="D6" i="3"/>
  <c r="C12" i="8"/>
  <c r="C13" i="8"/>
  <c r="C14" i="8"/>
  <c r="C11" i="8"/>
  <c r="C10" i="8"/>
  <c r="F10" i="8"/>
  <c r="G10" i="8"/>
  <c r="E10" i="8"/>
  <c r="J1" i="8"/>
  <c r="D10" i="8"/>
  <c r="B14" i="8"/>
  <c r="A14" i="8"/>
  <c r="B13" i="8"/>
  <c r="A13" i="8"/>
  <c r="B12" i="8"/>
  <c r="A12" i="8"/>
  <c r="B11" i="8"/>
  <c r="A11" i="8"/>
  <c r="K1" i="8"/>
  <c r="E5" i="8"/>
  <c r="D5" i="8"/>
  <c r="C5" i="8"/>
  <c r="B5" i="8"/>
  <c r="A5" i="8"/>
  <c r="D4" i="8"/>
  <c r="C4" i="8"/>
  <c r="B4" i="8"/>
  <c r="A4" i="8"/>
  <c r="E3" i="8"/>
  <c r="D3" i="8"/>
  <c r="C3" i="8"/>
  <c r="B3" i="8"/>
  <c r="A3" i="8"/>
  <c r="C2" i="8"/>
  <c r="B2" i="8"/>
  <c r="A2" i="8"/>
  <c r="H5" i="8"/>
  <c r="G5" i="8"/>
  <c r="F5" i="8"/>
  <c r="G4" i="8"/>
  <c r="F4" i="8"/>
  <c r="H3" i="8"/>
  <c r="G3" i="8"/>
  <c r="F3" i="8"/>
  <c r="G2" i="8"/>
  <c r="F2" i="8"/>
  <c r="E14" i="8"/>
  <c r="E13" i="8"/>
  <c r="K5" i="8"/>
  <c r="D9" i="3"/>
  <c r="U11" i="3"/>
  <c r="Y14" i="3" s="1"/>
  <c r="Y15" i="3"/>
  <c r="D7" i="3"/>
  <c r="S11" i="3" s="1"/>
  <c r="D8" i="3"/>
  <c r="T11" i="3" s="1"/>
  <c r="R11" i="3"/>
  <c r="V14" i="3" s="1"/>
  <c r="V15" i="3"/>
  <c r="E12" i="8"/>
  <c r="K3" i="8"/>
  <c r="E11" i="8"/>
  <c r="I5" i="8"/>
  <c r="I3" i="8"/>
  <c r="Q11" i="3"/>
  <c r="D14" i="8"/>
  <c r="D13" i="8"/>
  <c r="D11" i="8"/>
  <c r="I12" i="7"/>
  <c r="I11" i="7"/>
  <c r="I29" i="7"/>
  <c r="I10" i="7"/>
  <c r="I18" i="7"/>
  <c r="I17" i="7"/>
  <c r="I16" i="7"/>
  <c r="I9" i="7"/>
  <c r="I19" i="7"/>
  <c r="I3" i="7"/>
  <c r="I15" i="7"/>
  <c r="I14" i="7"/>
  <c r="I8" i="7"/>
  <c r="I27" i="7"/>
  <c r="I26" i="7"/>
  <c r="I13" i="7"/>
  <c r="I7" i="7"/>
  <c r="I6" i="7"/>
  <c r="I5" i="7"/>
  <c r="P8" i="7"/>
  <c r="I25" i="7"/>
  <c r="P7" i="7"/>
  <c r="I4" i="7"/>
  <c r="P6" i="7"/>
  <c r="I2" i="7"/>
  <c r="P5" i="7"/>
  <c r="I24" i="7"/>
  <c r="P4" i="7"/>
  <c r="I23" i="7"/>
  <c r="P3" i="7"/>
  <c r="I22" i="7"/>
  <c r="P2" i="7"/>
  <c r="I21" i="7"/>
  <c r="J3" i="8"/>
  <c r="F13" i="8"/>
  <c r="J5" i="8"/>
  <c r="F14" i="8"/>
  <c r="D12" i="8"/>
  <c r="F11" i="8"/>
  <c r="F12" i="8"/>
  <c r="I20" i="7"/>
  <c r="I28" i="7"/>
  <c r="G12" i="8"/>
  <c r="G11" i="8"/>
  <c r="G14" i="8"/>
  <c r="G13" i="8"/>
  <c r="X15" i="3" l="1"/>
  <c r="X14" i="3"/>
  <c r="W15" i="3"/>
  <c r="W14" i="3"/>
  <c r="L14" i="3"/>
  <c r="D2" i="8"/>
  <c r="K4" i="8"/>
  <c r="AD14" i="3"/>
  <c r="Q15" i="3" l="1"/>
  <c r="H4" i="8"/>
  <c r="K2" i="8"/>
  <c r="H2" i="8" l="1"/>
  <c r="Q14" i="3"/>
  <c r="I4" i="8"/>
  <c r="Z15" i="3"/>
  <c r="AA15" i="3" s="1"/>
  <c r="AC15" i="3" s="1"/>
  <c r="J4" i="8" l="1"/>
  <c r="AE15" i="3"/>
  <c r="Z14" i="3"/>
  <c r="AA14" i="3" s="1"/>
  <c r="AC14" i="3" s="1"/>
  <c r="I2" i="8"/>
  <c r="J2" i="8" l="1"/>
  <c r="AE14" i="3"/>
</calcChain>
</file>

<file path=xl/sharedStrings.xml><?xml version="1.0" encoding="utf-8"?>
<sst xmlns="http://schemas.openxmlformats.org/spreadsheetml/2006/main" count="146" uniqueCount="116">
  <si>
    <t>Risk</t>
  </si>
  <si>
    <t>SDGE - Public Safety Events - Electric</t>
  </si>
  <si>
    <t>Baseline Residual Risk</t>
  </si>
  <si>
    <t>Score Category</t>
  </si>
  <si>
    <t>Original</t>
  </si>
  <si>
    <t>Original Baseline</t>
  </si>
  <si>
    <t>Frequency</t>
  </si>
  <si>
    <t>Safety Consequence</t>
  </si>
  <si>
    <t>Reliability Consequence</t>
  </si>
  <si>
    <t>Compliance Consequence</t>
  </si>
  <si>
    <t>Financial Consequence</t>
  </si>
  <si>
    <t>Baseline</t>
  </si>
  <si>
    <t>(000s)</t>
  </si>
  <si>
    <t>New Consequence Scores, weighted</t>
  </si>
  <si>
    <t>Enable</t>
  </si>
  <si>
    <t>Project ID</t>
  </si>
  <si>
    <t>Name</t>
  </si>
  <si>
    <t>Capital Cost (Life of Project)</t>
  </si>
  <si>
    <t>OM Cost (Annual)</t>
  </si>
  <si>
    <t>Annuity</t>
  </si>
  <si>
    <t>New/Existing</t>
  </si>
  <si>
    <t>Life of the Project</t>
  </si>
  <si>
    <t>Frequency Methodology</t>
  </si>
  <si>
    <t>Frequency %</t>
  </si>
  <si>
    <t>New Frequency</t>
  </si>
  <si>
    <t>Safety</t>
  </si>
  <si>
    <t>Reliability</t>
  </si>
  <si>
    <t>Compliance</t>
  </si>
  <si>
    <t>Financial</t>
  </si>
  <si>
    <t>New Score</t>
  </si>
  <si>
    <t>Mitigation Weight</t>
  </si>
  <si>
    <t>Cost</t>
  </si>
  <si>
    <t>Rank</t>
  </si>
  <si>
    <t>B1</t>
  </si>
  <si>
    <t>Existing</t>
  </si>
  <si>
    <t>P1</t>
  </si>
  <si>
    <t>New</t>
  </si>
  <si>
    <t>Weights on Each Mitigation</t>
  </si>
  <si>
    <t>Annuity instead of Capital Cost</t>
  </si>
  <si>
    <t>Probability</t>
  </si>
  <si>
    <t>Description</t>
  </si>
  <si>
    <t>&gt;10 times per year</t>
  </si>
  <si>
    <t>1-10 times per year</t>
  </si>
  <si>
    <t>Once every 1-3 years</t>
  </si>
  <si>
    <t>Once every 3-10 years</t>
  </si>
  <si>
    <t>Once every 10-30 years</t>
  </si>
  <si>
    <t>Once every 30-100 years</t>
  </si>
  <si>
    <t>Once every 100+ years</t>
  </si>
  <si>
    <t>Combined Programs</t>
  </si>
  <si>
    <t>1 - Risk Starting Value Lookup Question</t>
  </si>
  <si>
    <t>AA1 Frequency</t>
  </si>
  <si>
    <t>AA2 Safety Consequence</t>
  </si>
  <si>
    <t>AA3 Reliability Consequence</t>
  </si>
  <si>
    <t>AA4 Compliance Consequence</t>
  </si>
  <si>
    <t>AA5 Financial Consequence</t>
  </si>
  <si>
    <t>AA6 Baseline Risk Score</t>
  </si>
  <si>
    <t>Calculated Baseline</t>
  </si>
  <si>
    <t>Consequence</t>
  </si>
  <si>
    <t>SCG - Cyber Security</t>
  </si>
  <si>
    <t>2, 8</t>
  </si>
  <si>
    <t>SDGE - Climate Change Adaptation</t>
  </si>
  <si>
    <t>SCG - Employee, Contractor, Customer and Public  Safety</t>
  </si>
  <si>
    <t>SCG - Records Management</t>
  </si>
  <si>
    <t>SCG - Workforce Planning</t>
  </si>
  <si>
    <t>SCG - Workplace Violence</t>
  </si>
  <si>
    <t>SDGE - Cyber Security</t>
  </si>
  <si>
    <t>SDGE - Employee, Contractor &amp; Public Safety</t>
  </si>
  <si>
    <t>SDGE - Records Management</t>
  </si>
  <si>
    <t>Weights</t>
  </si>
  <si>
    <t>SDGE - Workforce Planning</t>
  </si>
  <si>
    <t>SDGE - Workplace Violence</t>
  </si>
  <si>
    <t>SDGE - Aviation Incident</t>
  </si>
  <si>
    <t>SDGE - Distributed Energy Resources (DERs) Safety and Operational Concerns</t>
  </si>
  <si>
    <t>SDGE - Electric Infrastructure Integrity</t>
  </si>
  <si>
    <t>SDGE - Fail to Black Start</t>
  </si>
  <si>
    <t>SDGE - Major Disturbance to Electrical Service (e.g. Blackout)</t>
  </si>
  <si>
    <t>SDGE - Unmanned Aircraft System (UAS) Incident</t>
  </si>
  <si>
    <t>SDGE - Wildfires caused by SDG&amp;E Equipment (including 3rd Party Pole Attachments)</t>
  </si>
  <si>
    <t>SCG - Catastrophic Damage involving Gas Infrastructure (Dig-Ins)</t>
  </si>
  <si>
    <t>SCG - Catastrophic Damage Involving Gas Transmission Pipeline Failure</t>
  </si>
  <si>
    <t>SCG - Catastrophic Damage involving Medium and Non-DOT Pipeline Failure</t>
  </si>
  <si>
    <t>SCG - Catastrophic Event related to Storage Well Integrity</t>
  </si>
  <si>
    <t>SCG - Physical Security of Critical Infrastructure</t>
  </si>
  <si>
    <t>SDGE - Catastrophic Damage involving Gas Infrastructure (Dig-Ins)</t>
  </si>
  <si>
    <t>SDGE - Catastrophic Damage Involving Gas Transmission Pipeline Failure</t>
  </si>
  <si>
    <t>SDGE - Catastrophic Damage Involving Medium and non-DOT Pipeline Failure</t>
  </si>
  <si>
    <t>SDGE - Violation of Environmental Policies/Procedures</t>
  </si>
  <si>
    <t>O&amp;M (000)</t>
  </si>
  <si>
    <t>Capital</t>
  </si>
  <si>
    <t>Avg</t>
  </si>
  <si>
    <t>Total</t>
  </si>
  <si>
    <t>Incremental</t>
  </si>
  <si>
    <t>O&amp;M</t>
  </si>
  <si>
    <t>CMVI 4th quartile</t>
  </si>
  <si>
    <t>average</t>
  </si>
  <si>
    <t>Risk score with no mitigations</t>
  </si>
  <si>
    <t>Risk score with baseline mitigations</t>
  </si>
  <si>
    <t>Risk score with proposed mitigations</t>
  </si>
  <si>
    <t>Score</t>
  </si>
  <si>
    <t>Physical Security (Baseline)</t>
  </si>
  <si>
    <t>Physical Security (Proposed)</t>
  </si>
  <si>
    <t>Percentage Change</t>
  </si>
  <si>
    <t>Adjustment Factor</t>
  </si>
  <si>
    <t>Controls</t>
  </si>
  <si>
    <t>Capital Cost (2017-2019)</t>
  </si>
  <si>
    <t>OM Cost (2017-2019 average)</t>
  </si>
  <si>
    <t>Rationale</t>
  </si>
  <si>
    <t>New Score (for life of project)</t>
  </si>
  <si>
    <t>RSE</t>
  </si>
  <si>
    <t>Adjusted Baseline</t>
  </si>
  <si>
    <t>2016 Risk Assessment Mitigation Phase</t>
  </si>
  <si>
    <t>Investigation 16-10-015</t>
  </si>
  <si>
    <t>Risk Spend Efficiency Workpapers to</t>
  </si>
  <si>
    <t>January 2017</t>
  </si>
  <si>
    <t>Public Safety Events - Electric</t>
  </si>
  <si>
    <t>(Chapter SDG&amp;E-15-WP-RSE)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</si>
</sst>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-* #,##0_-;\-* #,##0_-;_-* &quot;-&quot;??_-;_-@_-"/>
    <numFmt numFmtId="168" formatCode="_-&quot;$&quot;* #,##0.00_-;\-&quot;$&quot;* #,##0.00_-;_-&quot;$&quot;* &quot;-&quot;??_-;_-@_-"/>
    <numFmt numFmtId="169" formatCode="0.0%"/>
    <numFmt numFmtId="170" formatCode="0.00000"/>
    <numFmt numFmtId="171" formatCode="&quot;$&quot;#,##0.00"/>
    <numFmt numFmtId="172" formatCode="0.000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0"/>
      <color indexed="8"/>
      <name val="MS Sans Serif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8"/>
      <color rgb="FFFF0000"/>
      <name val="Times New Roman"/>
      <family val="1"/>
    </font>
    <font>
      <b/>
      <sz val="28"/>
      <name val="Times New Roman"/>
      <family val="1"/>
    </font>
    <font>
      <b/>
      <sz val="28"/>
      <color theme="1"/>
      <name val="Times New Roman"/>
      <family val="1"/>
    </font>
    <font>
      <sz val="11"/>
      <color rgb="FF5A5A5A"/>
      <name val="Times New Roman"/>
      <family val="1"/>
    </font>
    <font>
      <sz val="14"/>
      <color rgb="FF5A5A5A"/>
      <name val="Times New Roman"/>
      <family val="1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5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17" borderId="0" applyNumberFormat="0" applyBorder="0" applyAlignment="0" applyProtection="0"/>
    <xf numFmtId="0" fontId="16" fillId="1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7" fillId="21" borderId="0" applyNumberFormat="0" applyBorder="0" applyAlignment="0" applyProtection="0"/>
    <xf numFmtId="0" fontId="18" fillId="25" borderId="10" applyNumberFormat="0" applyAlignment="0" applyProtection="0"/>
    <xf numFmtId="0" fontId="19" fillId="18" borderId="11" applyNumberFormat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5" fillId="14" borderId="0" applyNumberFormat="0" applyBorder="0" applyAlignment="0" applyProtection="0"/>
    <xf numFmtId="0" fontId="10" fillId="3" borderId="0" applyNumberFormat="0" applyBorder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10" applyNumberFormat="0" applyAlignment="0" applyProtection="0"/>
    <xf numFmtId="0" fontId="25" fillId="0" borderId="15" applyNumberFormat="0" applyFill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5" fillId="0" borderId="0"/>
    <xf numFmtId="0" fontId="28" fillId="0" borderId="0"/>
    <xf numFmtId="0" fontId="29" fillId="29" borderId="0"/>
    <xf numFmtId="0" fontId="28" fillId="0" borderId="0"/>
    <xf numFmtId="0" fontId="27" fillId="0" borderId="0"/>
    <xf numFmtId="0" fontId="30" fillId="0" borderId="0"/>
    <xf numFmtId="0" fontId="27" fillId="0" borderId="0"/>
    <xf numFmtId="0" fontId="29" fillId="29" borderId="0"/>
    <xf numFmtId="0" fontId="29" fillId="29" borderId="0"/>
    <xf numFmtId="0" fontId="27" fillId="0" borderId="0"/>
    <xf numFmtId="0" fontId="29" fillId="29" borderId="0"/>
    <xf numFmtId="0" fontId="29" fillId="29" borderId="0"/>
    <xf numFmtId="0" fontId="29" fillId="29" borderId="0"/>
    <xf numFmtId="0" fontId="29" fillId="29" borderId="0"/>
    <xf numFmtId="0" fontId="29" fillId="21" borderId="10" applyNumberFormat="0" applyFont="0" applyAlignment="0" applyProtection="0"/>
    <xf numFmtId="0" fontId="1" fillId="4" borderId="9" applyNumberFormat="0" applyFont="0" applyAlignment="0" applyProtection="0"/>
    <xf numFmtId="0" fontId="31" fillId="25" borderId="16" applyNumberFormat="0" applyAlignment="0" applyProtection="0"/>
    <xf numFmtId="4" fontId="29" fillId="30" borderId="10" applyNumberFormat="0" applyProtection="0">
      <alignment vertical="center"/>
    </xf>
    <xf numFmtId="4" fontId="29" fillId="30" borderId="10" applyNumberFormat="0" applyProtection="0">
      <alignment vertical="center"/>
    </xf>
    <xf numFmtId="4" fontId="32" fillId="31" borderId="10" applyNumberFormat="0" applyProtection="0">
      <alignment vertical="center"/>
    </xf>
    <xf numFmtId="4" fontId="29" fillId="31" borderId="10" applyNumberFormat="0" applyProtection="0">
      <alignment horizontal="left" vertical="center" indent="1"/>
    </xf>
    <xf numFmtId="4" fontId="29" fillId="31" borderId="10" applyNumberFormat="0" applyProtection="0">
      <alignment horizontal="left" vertical="center" indent="1"/>
    </xf>
    <xf numFmtId="0" fontId="33" fillId="30" borderId="17" applyNumberFormat="0" applyProtection="0">
      <alignment horizontal="left" vertical="top" indent="1"/>
    </xf>
    <xf numFmtId="4" fontId="29" fillId="32" borderId="10" applyNumberFormat="0" applyProtection="0">
      <alignment horizontal="left" vertical="center" indent="1"/>
    </xf>
    <xf numFmtId="4" fontId="29" fillId="32" borderId="10" applyNumberFormat="0" applyProtection="0">
      <alignment horizontal="left" vertical="center" indent="1"/>
    </xf>
    <xf numFmtId="4" fontId="29" fillId="33" borderId="10" applyNumberFormat="0" applyProtection="0">
      <alignment horizontal="right" vertical="center"/>
    </xf>
    <xf numFmtId="4" fontId="29" fillId="33" borderId="10" applyNumberFormat="0" applyProtection="0">
      <alignment horizontal="right" vertical="center"/>
    </xf>
    <xf numFmtId="4" fontId="29" fillId="34" borderId="10" applyNumberFormat="0" applyProtection="0">
      <alignment horizontal="right" vertical="center"/>
    </xf>
    <xf numFmtId="4" fontId="29" fillId="34" borderId="10" applyNumberFormat="0" applyProtection="0">
      <alignment horizontal="right" vertical="center"/>
    </xf>
    <xf numFmtId="4" fontId="29" fillId="35" borderId="18" applyNumberFormat="0" applyProtection="0">
      <alignment horizontal="right" vertical="center"/>
    </xf>
    <xf numFmtId="4" fontId="29" fillId="35" borderId="18" applyNumberFormat="0" applyProtection="0">
      <alignment horizontal="right" vertical="center"/>
    </xf>
    <xf numFmtId="4" fontId="29" fillId="36" borderId="10" applyNumberFormat="0" applyProtection="0">
      <alignment horizontal="right" vertical="center"/>
    </xf>
    <xf numFmtId="4" fontId="29" fillId="36" borderId="10" applyNumberFormat="0" applyProtection="0">
      <alignment horizontal="right" vertical="center"/>
    </xf>
    <xf numFmtId="4" fontId="29" fillId="37" borderId="10" applyNumberFormat="0" applyProtection="0">
      <alignment horizontal="right" vertical="center"/>
    </xf>
    <xf numFmtId="4" fontId="29" fillId="37" borderId="10" applyNumberFormat="0" applyProtection="0">
      <alignment horizontal="right" vertical="center"/>
    </xf>
    <xf numFmtId="4" fontId="29" fillId="38" borderId="10" applyNumberFormat="0" applyProtection="0">
      <alignment horizontal="right" vertical="center"/>
    </xf>
    <xf numFmtId="4" fontId="29" fillId="38" borderId="10" applyNumberFormat="0" applyProtection="0">
      <alignment horizontal="right" vertical="center"/>
    </xf>
    <xf numFmtId="4" fontId="29" fillId="39" borderId="10" applyNumberFormat="0" applyProtection="0">
      <alignment horizontal="right" vertical="center"/>
    </xf>
    <xf numFmtId="4" fontId="29" fillId="39" borderId="10" applyNumberFormat="0" applyProtection="0">
      <alignment horizontal="right" vertical="center"/>
    </xf>
    <xf numFmtId="4" fontId="29" fillId="40" borderId="10" applyNumberFormat="0" applyProtection="0">
      <alignment horizontal="right" vertical="center"/>
    </xf>
    <xf numFmtId="4" fontId="29" fillId="40" borderId="10" applyNumberFormat="0" applyProtection="0">
      <alignment horizontal="right" vertical="center"/>
    </xf>
    <xf numFmtId="4" fontId="29" fillId="41" borderId="10" applyNumberFormat="0" applyProtection="0">
      <alignment horizontal="right" vertical="center"/>
    </xf>
    <xf numFmtId="4" fontId="29" fillId="41" borderId="10" applyNumberFormat="0" applyProtection="0">
      <alignment horizontal="right" vertical="center"/>
    </xf>
    <xf numFmtId="4" fontId="29" fillId="42" borderId="18" applyNumberFormat="0" applyProtection="0">
      <alignment horizontal="left" vertical="center" indent="1"/>
    </xf>
    <xf numFmtId="4" fontId="29" fillId="42" borderId="18" applyNumberFormat="0" applyProtection="0">
      <alignment horizontal="left" vertical="center" indent="1"/>
    </xf>
    <xf numFmtId="4" fontId="27" fillId="43" borderId="18" applyNumberFormat="0" applyProtection="0">
      <alignment horizontal="left" vertical="center" indent="1"/>
    </xf>
    <xf numFmtId="4" fontId="27" fillId="43" borderId="18" applyNumberFormat="0" applyProtection="0">
      <alignment horizontal="left" vertical="center" indent="1"/>
    </xf>
    <xf numFmtId="4" fontId="29" fillId="44" borderId="10" applyNumberFormat="0" applyProtection="0">
      <alignment horizontal="right" vertical="center"/>
    </xf>
    <xf numFmtId="4" fontId="29" fillId="44" borderId="10" applyNumberFormat="0" applyProtection="0">
      <alignment horizontal="right" vertical="center"/>
    </xf>
    <xf numFmtId="4" fontId="29" fillId="45" borderId="18" applyNumberFormat="0" applyProtection="0">
      <alignment horizontal="left" vertical="center" indent="1"/>
    </xf>
    <xf numFmtId="4" fontId="29" fillId="45" borderId="18" applyNumberFormat="0" applyProtection="0">
      <alignment horizontal="left" vertical="center" indent="1"/>
    </xf>
    <xf numFmtId="4" fontId="29" fillId="44" borderId="18" applyNumberFormat="0" applyProtection="0">
      <alignment horizontal="left" vertical="center" indent="1"/>
    </xf>
    <xf numFmtId="4" fontId="29" fillId="44" borderId="18" applyNumberFormat="0" applyProtection="0">
      <alignment horizontal="left" vertical="center" indent="1"/>
    </xf>
    <xf numFmtId="0" fontId="29" fillId="46" borderId="10" applyNumberFormat="0" applyProtection="0">
      <alignment horizontal="left" vertical="center" indent="1"/>
    </xf>
    <xf numFmtId="0" fontId="29" fillId="46" borderId="10" applyNumberFormat="0" applyProtection="0">
      <alignment horizontal="left" vertical="center" indent="1"/>
    </xf>
    <xf numFmtId="0" fontId="29" fillId="43" borderId="17" applyNumberFormat="0" applyProtection="0">
      <alignment horizontal="left" vertical="top" indent="1"/>
    </xf>
    <xf numFmtId="0" fontId="29" fillId="47" borderId="10" applyNumberFormat="0" applyProtection="0">
      <alignment horizontal="left" vertical="center" indent="1"/>
    </xf>
    <xf numFmtId="0" fontId="29" fillId="47" borderId="10" applyNumberFormat="0" applyProtection="0">
      <alignment horizontal="left" vertical="center" indent="1"/>
    </xf>
    <xf numFmtId="0" fontId="29" fillId="44" borderId="17" applyNumberFormat="0" applyProtection="0">
      <alignment horizontal="left" vertical="top" indent="1"/>
    </xf>
    <xf numFmtId="0" fontId="29" fillId="48" borderId="10" applyNumberFormat="0" applyProtection="0">
      <alignment horizontal="left" vertical="center" indent="1"/>
    </xf>
    <xf numFmtId="0" fontId="29" fillId="48" borderId="10" applyNumberFormat="0" applyProtection="0">
      <alignment horizontal="left" vertical="center" indent="1"/>
    </xf>
    <xf numFmtId="0" fontId="29" fillId="48" borderId="17" applyNumberFormat="0" applyProtection="0">
      <alignment horizontal="left" vertical="top" indent="1"/>
    </xf>
    <xf numFmtId="0" fontId="29" fillId="45" borderId="10" applyNumberFormat="0" applyProtection="0">
      <alignment horizontal="left" vertical="center" indent="1"/>
    </xf>
    <xf numFmtId="0" fontId="29" fillId="45" borderId="10" applyNumberFormat="0" applyProtection="0">
      <alignment horizontal="left" vertical="center" indent="1"/>
    </xf>
    <xf numFmtId="0" fontId="29" fillId="45" borderId="17" applyNumberFormat="0" applyProtection="0">
      <alignment horizontal="left" vertical="top" indent="1"/>
    </xf>
    <xf numFmtId="0" fontId="29" fillId="49" borderId="19" applyNumberFormat="0">
      <protection locked="0"/>
    </xf>
    <xf numFmtId="0" fontId="34" fillId="43" borderId="20" applyBorder="0"/>
    <xf numFmtId="4" fontId="35" fillId="50" borderId="17" applyNumberFormat="0" applyProtection="0">
      <alignment vertical="center"/>
    </xf>
    <xf numFmtId="4" fontId="32" fillId="51" borderId="1" applyNumberFormat="0" applyProtection="0">
      <alignment vertical="center"/>
    </xf>
    <xf numFmtId="4" fontId="35" fillId="46" borderId="17" applyNumberFormat="0" applyProtection="0">
      <alignment horizontal="left" vertical="center" indent="1"/>
    </xf>
    <xf numFmtId="0" fontId="35" fillId="50" borderId="17" applyNumberFormat="0" applyProtection="0">
      <alignment horizontal="left" vertical="top" indent="1"/>
    </xf>
    <xf numFmtId="4" fontId="29" fillId="0" borderId="10" applyNumberFormat="0" applyProtection="0">
      <alignment horizontal="right" vertical="center"/>
    </xf>
    <xf numFmtId="4" fontId="29" fillId="0" borderId="10" applyNumberFormat="0" applyProtection="0">
      <alignment horizontal="right" vertical="center"/>
    </xf>
    <xf numFmtId="4" fontId="32" fillId="52" borderId="10" applyNumberFormat="0" applyProtection="0">
      <alignment horizontal="right" vertical="center"/>
    </xf>
    <xf numFmtId="4" fontId="29" fillId="32" borderId="10" applyNumberFormat="0" applyProtection="0">
      <alignment horizontal="left" vertical="center" indent="1"/>
    </xf>
    <xf numFmtId="4" fontId="29" fillId="32" borderId="10" applyNumberFormat="0" applyProtection="0">
      <alignment horizontal="left" vertical="center" indent="1"/>
    </xf>
    <xf numFmtId="0" fontId="35" fillId="44" borderId="17" applyNumberFormat="0" applyProtection="0">
      <alignment horizontal="left" vertical="top" indent="1"/>
    </xf>
    <xf numFmtId="4" fontId="36" fillId="53" borderId="18" applyNumberFormat="0" applyProtection="0">
      <alignment horizontal="left" vertical="center" indent="1"/>
    </xf>
    <xf numFmtId="0" fontId="29" fillId="54" borderId="1"/>
    <xf numFmtId="0" fontId="29" fillId="54" borderId="1"/>
    <xf numFmtId="4" fontId="37" fillId="49" borderId="10" applyNumberFormat="0" applyProtection="0">
      <alignment horizontal="right" vertical="center"/>
    </xf>
    <xf numFmtId="0" fontId="38" fillId="0" borderId="0" applyNumberFormat="0" applyFill="0" applyBorder="0" applyAlignment="0" applyProtection="0"/>
    <xf numFmtId="0" fontId="1" fillId="55" borderId="21">
      <alignment horizontal="center" vertical="center" wrapText="1"/>
    </xf>
    <xf numFmtId="0" fontId="20" fillId="0" borderId="22" applyNumberFormat="0" applyFill="0" applyAlignment="0" applyProtection="0"/>
    <xf numFmtId="0" fontId="39" fillId="0" borderId="0" applyNumberFormat="0" applyFill="0" applyBorder="0" applyAlignment="0" applyProtection="0"/>
  </cellStyleXfs>
  <cellXfs count="100">
    <xf numFmtId="0" fontId="0" fillId="0" borderId="0" xfId="0"/>
    <xf numFmtId="0" fontId="2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quotePrefix="1" applyNumberFormat="1" applyFont="1"/>
    <xf numFmtId="0" fontId="2" fillId="0" borderId="0" xfId="0" applyNumberFormat="1" applyFont="1"/>
    <xf numFmtId="0" fontId="0" fillId="0" borderId="0" xfId="0" quotePrefix="1" applyNumberFormat="1"/>
    <xf numFmtId="170" fontId="0" fillId="0" borderId="0" xfId="0" quotePrefix="1" applyNumberFormat="1"/>
    <xf numFmtId="43" fontId="0" fillId="0" borderId="0" xfId="4" quotePrefix="1" applyFont="1"/>
    <xf numFmtId="43" fontId="0" fillId="0" borderId="0" xfId="4" applyFont="1"/>
    <xf numFmtId="165" fontId="0" fillId="0" borderId="1" xfId="4" applyNumberFormat="1" applyFont="1" applyBorder="1"/>
    <xf numFmtId="9" fontId="4" fillId="0" borderId="1" xfId="2" applyFont="1" applyFill="1" applyBorder="1" applyAlignment="1">
      <alignment wrapText="1"/>
    </xf>
    <xf numFmtId="0" fontId="0" fillId="2" borderId="0" xfId="0" quotePrefix="1" applyNumberFormat="1" applyFill="1"/>
    <xf numFmtId="170" fontId="0" fillId="2" borderId="0" xfId="0" quotePrefix="1" applyNumberFormat="1" applyFill="1"/>
    <xf numFmtId="43" fontId="0" fillId="2" borderId="0" xfId="4" quotePrefix="1" applyFont="1" applyFill="1"/>
    <xf numFmtId="43" fontId="0" fillId="2" borderId="0" xfId="4" applyFont="1" applyFill="1"/>
    <xf numFmtId="0" fontId="0" fillId="0" borderId="0" xfId="0" applyFill="1"/>
    <xf numFmtId="0" fontId="0" fillId="0" borderId="0" xfId="0" quotePrefix="1" applyNumberFormat="1" applyFill="1"/>
    <xf numFmtId="170" fontId="0" fillId="0" borderId="0" xfId="0" quotePrefix="1" applyNumberFormat="1" applyFill="1"/>
    <xf numFmtId="43" fontId="0" fillId="0" borderId="0" xfId="4" quotePrefix="1" applyFont="1" applyFill="1"/>
    <xf numFmtId="43" fontId="0" fillId="0" borderId="0" xfId="4" applyFont="1" applyFill="1"/>
    <xf numFmtId="0" fontId="0" fillId="2" borderId="0" xfId="0" applyFill="1"/>
    <xf numFmtId="0" fontId="6" fillId="0" borderId="1" xfId="0" applyFont="1" applyFill="1" applyBorder="1" applyAlignment="1">
      <alignment horizontal="center" wrapText="1"/>
    </xf>
    <xf numFmtId="164" fontId="3" fillId="0" borderId="1" xfId="1" applyNumberFormat="1" applyFont="1" applyFill="1" applyBorder="1"/>
    <xf numFmtId="0" fontId="4" fillId="0" borderId="1" xfId="0" applyFont="1" applyFill="1" applyBorder="1" applyAlignment="1">
      <alignment wrapText="1"/>
    </xf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wrapText="1"/>
    </xf>
    <xf numFmtId="170" fontId="3" fillId="0" borderId="0" xfId="0" applyNumberFormat="1" applyFont="1" applyFill="1"/>
    <xf numFmtId="171" fontId="3" fillId="0" borderId="0" xfId="0" applyNumberFormat="1" applyFont="1" applyFill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166" fontId="3" fillId="0" borderId="1" xfId="0" applyNumberFormat="1" applyFont="1" applyFill="1" applyBorder="1"/>
    <xf numFmtId="172" fontId="3" fillId="0" borderId="0" xfId="0" applyNumberFormat="1" applyFont="1" applyFill="1"/>
    <xf numFmtId="0" fontId="3" fillId="0" borderId="1" xfId="0" applyNumberFormat="1" applyFont="1" applyFill="1" applyBorder="1"/>
    <xf numFmtId="0" fontId="3" fillId="0" borderId="0" xfId="0" quotePrefix="1" applyFont="1" applyFill="1"/>
    <xf numFmtId="0" fontId="6" fillId="0" borderId="0" xfId="0" applyFont="1" applyFill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170" fontId="6" fillId="0" borderId="0" xfId="0" applyNumberFormat="1" applyFont="1" applyFill="1"/>
    <xf numFmtId="9" fontId="6" fillId="0" borderId="1" xfId="2" applyFont="1" applyFill="1" applyBorder="1" applyAlignment="1">
      <alignment horizontal="center"/>
    </xf>
    <xf numFmtId="171" fontId="6" fillId="0" borderId="0" xfId="0" applyNumberFormat="1" applyFont="1" applyFill="1"/>
    <xf numFmtId="171" fontId="6" fillId="0" borderId="1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2" fontId="3" fillId="0" borderId="1" xfId="2" applyNumberFormat="1" applyFont="1" applyFill="1" applyBorder="1"/>
    <xf numFmtId="170" fontId="3" fillId="0" borderId="1" xfId="0" applyNumberFormat="1" applyFont="1" applyFill="1" applyBorder="1"/>
    <xf numFmtId="165" fontId="3" fillId="0" borderId="1" xfId="3" applyNumberFormat="1" applyFont="1" applyFill="1" applyBorder="1"/>
    <xf numFmtId="165" fontId="3" fillId="0" borderId="1" xfId="0" applyNumberFormat="1" applyFont="1" applyFill="1" applyBorder="1"/>
    <xf numFmtId="169" fontId="3" fillId="0" borderId="1" xfId="2" applyNumberFormat="1" applyFont="1" applyFill="1" applyBorder="1"/>
    <xf numFmtId="167" fontId="3" fillId="0" borderId="1" xfId="0" applyNumberFormat="1" applyFont="1" applyFill="1" applyBorder="1"/>
    <xf numFmtId="171" fontId="3" fillId="0" borderId="1" xfId="0" applyNumberFormat="1" applyFont="1" applyFill="1" applyBorder="1"/>
    <xf numFmtId="43" fontId="3" fillId="0" borderId="1" xfId="3" applyFont="1" applyFill="1" applyBorder="1"/>
    <xf numFmtId="0" fontId="3" fillId="0" borderId="1" xfId="3" applyNumberFormat="1" applyFont="1" applyFill="1" applyBorder="1"/>
    <xf numFmtId="44" fontId="3" fillId="0" borderId="1" xfId="1" applyFont="1" applyFill="1" applyBorder="1"/>
    <xf numFmtId="0" fontId="3" fillId="0" borderId="0" xfId="0" applyFont="1" applyFill="1" applyBorder="1"/>
    <xf numFmtId="43" fontId="3" fillId="0" borderId="0" xfId="0" applyNumberFormat="1" applyFont="1" applyFill="1"/>
    <xf numFmtId="168" fontId="3" fillId="0" borderId="1" xfId="0" applyNumberFormat="1" applyFont="1" applyFill="1" applyBorder="1"/>
    <xf numFmtId="2" fontId="3" fillId="0" borderId="1" xfId="0" applyNumberFormat="1" applyFont="1" applyFill="1" applyBorder="1"/>
    <xf numFmtId="168" fontId="3" fillId="0" borderId="0" xfId="0" applyNumberFormat="1" applyFont="1" applyFill="1" applyBorder="1"/>
    <xf numFmtId="0" fontId="3" fillId="0" borderId="0" xfId="0" applyFont="1" applyFill="1" applyAlignment="1"/>
    <xf numFmtId="0" fontId="6" fillId="0" borderId="0" xfId="0" applyFont="1" applyFill="1" applyAlignment="1"/>
    <xf numFmtId="8" fontId="3" fillId="0" borderId="0" xfId="0" applyNumberFormat="1" applyFont="1" applyFill="1" applyAlignment="1"/>
    <xf numFmtId="8" fontId="6" fillId="0" borderId="0" xfId="0" applyNumberFormat="1" applyFont="1" applyFill="1" applyAlignment="1"/>
    <xf numFmtId="44" fontId="3" fillId="0" borderId="0" xfId="1" applyFont="1" applyFill="1"/>
    <xf numFmtId="44" fontId="3" fillId="0" borderId="0" xfId="0" applyNumberFormat="1" applyFont="1" applyFill="1"/>
    <xf numFmtId="9" fontId="3" fillId="0" borderId="0" xfId="2" applyFont="1" applyFill="1"/>
    <xf numFmtId="9" fontId="3" fillId="0" borderId="0" xfId="0" applyNumberFormat="1" applyFont="1" applyFill="1"/>
    <xf numFmtId="9" fontId="3" fillId="0" borderId="0" xfId="2" applyFont="1" applyFill="1" applyAlignment="1"/>
    <xf numFmtId="2" fontId="3" fillId="0" borderId="0" xfId="0" applyNumberFormat="1" applyFont="1" applyFill="1" applyAlignment="1"/>
    <xf numFmtId="169" fontId="3" fillId="0" borderId="0" xfId="2" applyNumberFormat="1" applyFont="1" applyFill="1" applyAlignment="1"/>
    <xf numFmtId="170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right"/>
    </xf>
    <xf numFmtId="9" fontId="6" fillId="0" borderId="1" xfId="2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textRotation="90" wrapText="1"/>
    </xf>
    <xf numFmtId="166" fontId="3" fillId="0" borderId="3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5" fontId="3" fillId="0" borderId="3" xfId="3" applyNumberFormat="1" applyFont="1" applyFill="1" applyBorder="1" applyAlignment="1">
      <alignment horizontal="center" vertical="center"/>
    </xf>
    <xf numFmtId="165" fontId="3" fillId="0" borderId="5" xfId="3" applyNumberFormat="1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7" fontId="15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/>
    </xf>
  </cellXfs>
  <cellStyles count="728">
    <cellStyle name="Accent1 - 20%" xfId="8"/>
    <cellStyle name="Accent1 - 40%" xfId="9"/>
    <cellStyle name="Accent1 - 60%" xfId="10"/>
    <cellStyle name="Accent1 10" xfId="11"/>
    <cellStyle name="Accent1 100" xfId="12"/>
    <cellStyle name="Accent1 101" xfId="13"/>
    <cellStyle name="Accent1 11" xfId="14"/>
    <cellStyle name="Accent1 12" xfId="15"/>
    <cellStyle name="Accent1 13" xfId="16"/>
    <cellStyle name="Accent1 14" xfId="17"/>
    <cellStyle name="Accent1 15" xfId="18"/>
    <cellStyle name="Accent1 16" xfId="19"/>
    <cellStyle name="Accent1 17" xfId="20"/>
    <cellStyle name="Accent1 18" xfId="21"/>
    <cellStyle name="Accent1 19" xfId="22"/>
    <cellStyle name="Accent1 2" xfId="23"/>
    <cellStyle name="Accent1 20" xfId="24"/>
    <cellStyle name="Accent1 21" xfId="25"/>
    <cellStyle name="Accent1 22" xfId="26"/>
    <cellStyle name="Accent1 23" xfId="27"/>
    <cellStyle name="Accent1 24" xfId="28"/>
    <cellStyle name="Accent1 25" xfId="29"/>
    <cellStyle name="Accent1 26" xfId="30"/>
    <cellStyle name="Accent1 27" xfId="31"/>
    <cellStyle name="Accent1 28" xfId="32"/>
    <cellStyle name="Accent1 29" xfId="33"/>
    <cellStyle name="Accent1 3" xfId="34"/>
    <cellStyle name="Accent1 30" xfId="35"/>
    <cellStyle name="Accent1 31" xfId="36"/>
    <cellStyle name="Accent1 32" xfId="37"/>
    <cellStyle name="Accent1 33" xfId="38"/>
    <cellStyle name="Accent1 34" xfId="39"/>
    <cellStyle name="Accent1 35" xfId="40"/>
    <cellStyle name="Accent1 36" xfId="41"/>
    <cellStyle name="Accent1 37" xfId="42"/>
    <cellStyle name="Accent1 38" xfId="43"/>
    <cellStyle name="Accent1 39" xfId="44"/>
    <cellStyle name="Accent1 4" xfId="45"/>
    <cellStyle name="Accent1 40" xfId="46"/>
    <cellStyle name="Accent1 41" xfId="47"/>
    <cellStyle name="Accent1 42" xfId="48"/>
    <cellStyle name="Accent1 43" xfId="49"/>
    <cellStyle name="Accent1 44" xfId="50"/>
    <cellStyle name="Accent1 45" xfId="51"/>
    <cellStyle name="Accent1 46" xfId="52"/>
    <cellStyle name="Accent1 47" xfId="53"/>
    <cellStyle name="Accent1 48" xfId="54"/>
    <cellStyle name="Accent1 49" xfId="55"/>
    <cellStyle name="Accent1 5" xfId="56"/>
    <cellStyle name="Accent1 50" xfId="57"/>
    <cellStyle name="Accent1 51" xfId="58"/>
    <cellStyle name="Accent1 52" xfId="59"/>
    <cellStyle name="Accent1 53" xfId="60"/>
    <cellStyle name="Accent1 54" xfId="61"/>
    <cellStyle name="Accent1 55" xfId="62"/>
    <cellStyle name="Accent1 56" xfId="63"/>
    <cellStyle name="Accent1 57" xfId="64"/>
    <cellStyle name="Accent1 58" xfId="65"/>
    <cellStyle name="Accent1 59" xfId="66"/>
    <cellStyle name="Accent1 6" xfId="67"/>
    <cellStyle name="Accent1 60" xfId="68"/>
    <cellStyle name="Accent1 61" xfId="69"/>
    <cellStyle name="Accent1 62" xfId="70"/>
    <cellStyle name="Accent1 63" xfId="71"/>
    <cellStyle name="Accent1 64" xfId="72"/>
    <cellStyle name="Accent1 65" xfId="73"/>
    <cellStyle name="Accent1 66" xfId="74"/>
    <cellStyle name="Accent1 67" xfId="75"/>
    <cellStyle name="Accent1 68" xfId="76"/>
    <cellStyle name="Accent1 69" xfId="77"/>
    <cellStyle name="Accent1 7" xfId="78"/>
    <cellStyle name="Accent1 70" xfId="79"/>
    <cellStyle name="Accent1 71" xfId="80"/>
    <cellStyle name="Accent1 72" xfId="81"/>
    <cellStyle name="Accent1 73" xfId="82"/>
    <cellStyle name="Accent1 74" xfId="83"/>
    <cellStyle name="Accent1 75" xfId="84"/>
    <cellStyle name="Accent1 76" xfId="85"/>
    <cellStyle name="Accent1 77" xfId="86"/>
    <cellStyle name="Accent1 78" xfId="87"/>
    <cellStyle name="Accent1 79" xfId="88"/>
    <cellStyle name="Accent1 8" xfId="89"/>
    <cellStyle name="Accent1 80" xfId="90"/>
    <cellStyle name="Accent1 81" xfId="91"/>
    <cellStyle name="Accent1 82" xfId="92"/>
    <cellStyle name="Accent1 83" xfId="93"/>
    <cellStyle name="Accent1 84" xfId="94"/>
    <cellStyle name="Accent1 85" xfId="95"/>
    <cellStyle name="Accent1 86" xfId="96"/>
    <cellStyle name="Accent1 87" xfId="97"/>
    <cellStyle name="Accent1 88" xfId="98"/>
    <cellStyle name="Accent1 89" xfId="99"/>
    <cellStyle name="Accent1 9" xfId="100"/>
    <cellStyle name="Accent1 90" xfId="101"/>
    <cellStyle name="Accent1 91" xfId="102"/>
    <cellStyle name="Accent1 92" xfId="103"/>
    <cellStyle name="Accent1 93" xfId="104"/>
    <cellStyle name="Accent1 94" xfId="105"/>
    <cellStyle name="Accent1 95" xfId="106"/>
    <cellStyle name="Accent1 96" xfId="107"/>
    <cellStyle name="Accent1 97" xfId="108"/>
    <cellStyle name="Accent1 98" xfId="109"/>
    <cellStyle name="Accent1 99" xfId="110"/>
    <cellStyle name="Accent2 - 20%" xfId="111"/>
    <cellStyle name="Accent2 - 40%" xfId="112"/>
    <cellStyle name="Accent2 - 60%" xfId="113"/>
    <cellStyle name="Accent2 10" xfId="114"/>
    <cellStyle name="Accent2 100" xfId="115"/>
    <cellStyle name="Accent2 101" xfId="116"/>
    <cellStyle name="Accent2 11" xfId="117"/>
    <cellStyle name="Accent2 12" xfId="118"/>
    <cellStyle name="Accent2 13" xfId="119"/>
    <cellStyle name="Accent2 14" xfId="120"/>
    <cellStyle name="Accent2 15" xfId="121"/>
    <cellStyle name="Accent2 16" xfId="122"/>
    <cellStyle name="Accent2 17" xfId="123"/>
    <cellStyle name="Accent2 18" xfId="124"/>
    <cellStyle name="Accent2 19" xfId="125"/>
    <cellStyle name="Accent2 2" xfId="126"/>
    <cellStyle name="Accent2 20" xfId="127"/>
    <cellStyle name="Accent2 21" xfId="128"/>
    <cellStyle name="Accent2 22" xfId="129"/>
    <cellStyle name="Accent2 23" xfId="130"/>
    <cellStyle name="Accent2 24" xfId="131"/>
    <cellStyle name="Accent2 25" xfId="132"/>
    <cellStyle name="Accent2 26" xfId="133"/>
    <cellStyle name="Accent2 27" xfId="134"/>
    <cellStyle name="Accent2 28" xfId="135"/>
    <cellStyle name="Accent2 29" xfId="136"/>
    <cellStyle name="Accent2 3" xfId="137"/>
    <cellStyle name="Accent2 30" xfId="138"/>
    <cellStyle name="Accent2 31" xfId="139"/>
    <cellStyle name="Accent2 32" xfId="140"/>
    <cellStyle name="Accent2 33" xfId="141"/>
    <cellStyle name="Accent2 34" xfId="142"/>
    <cellStyle name="Accent2 35" xfId="143"/>
    <cellStyle name="Accent2 36" xfId="144"/>
    <cellStyle name="Accent2 37" xfId="145"/>
    <cellStyle name="Accent2 38" xfId="146"/>
    <cellStyle name="Accent2 39" xfId="147"/>
    <cellStyle name="Accent2 4" xfId="148"/>
    <cellStyle name="Accent2 40" xfId="149"/>
    <cellStyle name="Accent2 41" xfId="150"/>
    <cellStyle name="Accent2 42" xfId="151"/>
    <cellStyle name="Accent2 43" xfId="152"/>
    <cellStyle name="Accent2 44" xfId="153"/>
    <cellStyle name="Accent2 45" xfId="154"/>
    <cellStyle name="Accent2 46" xfId="155"/>
    <cellStyle name="Accent2 47" xfId="156"/>
    <cellStyle name="Accent2 48" xfId="157"/>
    <cellStyle name="Accent2 49" xfId="158"/>
    <cellStyle name="Accent2 5" xfId="159"/>
    <cellStyle name="Accent2 50" xfId="160"/>
    <cellStyle name="Accent2 51" xfId="161"/>
    <cellStyle name="Accent2 52" xfId="162"/>
    <cellStyle name="Accent2 53" xfId="163"/>
    <cellStyle name="Accent2 54" xfId="164"/>
    <cellStyle name="Accent2 55" xfId="165"/>
    <cellStyle name="Accent2 56" xfId="166"/>
    <cellStyle name="Accent2 57" xfId="167"/>
    <cellStyle name="Accent2 58" xfId="168"/>
    <cellStyle name="Accent2 59" xfId="169"/>
    <cellStyle name="Accent2 6" xfId="170"/>
    <cellStyle name="Accent2 60" xfId="171"/>
    <cellStyle name="Accent2 61" xfId="172"/>
    <cellStyle name="Accent2 62" xfId="173"/>
    <cellStyle name="Accent2 63" xfId="174"/>
    <cellStyle name="Accent2 64" xfId="175"/>
    <cellStyle name="Accent2 65" xfId="176"/>
    <cellStyle name="Accent2 66" xfId="177"/>
    <cellStyle name="Accent2 67" xfId="178"/>
    <cellStyle name="Accent2 68" xfId="179"/>
    <cellStyle name="Accent2 69" xfId="180"/>
    <cellStyle name="Accent2 7" xfId="181"/>
    <cellStyle name="Accent2 70" xfId="182"/>
    <cellStyle name="Accent2 71" xfId="183"/>
    <cellStyle name="Accent2 72" xfId="184"/>
    <cellStyle name="Accent2 73" xfId="185"/>
    <cellStyle name="Accent2 74" xfId="186"/>
    <cellStyle name="Accent2 75" xfId="187"/>
    <cellStyle name="Accent2 76" xfId="188"/>
    <cellStyle name="Accent2 77" xfId="189"/>
    <cellStyle name="Accent2 78" xfId="190"/>
    <cellStyle name="Accent2 79" xfId="191"/>
    <cellStyle name="Accent2 8" xfId="192"/>
    <cellStyle name="Accent2 80" xfId="193"/>
    <cellStyle name="Accent2 81" xfId="194"/>
    <cellStyle name="Accent2 82" xfId="195"/>
    <cellStyle name="Accent2 83" xfId="196"/>
    <cellStyle name="Accent2 84" xfId="197"/>
    <cellStyle name="Accent2 85" xfId="198"/>
    <cellStyle name="Accent2 86" xfId="199"/>
    <cellStyle name="Accent2 87" xfId="200"/>
    <cellStyle name="Accent2 88" xfId="201"/>
    <cellStyle name="Accent2 89" xfId="202"/>
    <cellStyle name="Accent2 9" xfId="203"/>
    <cellStyle name="Accent2 90" xfId="204"/>
    <cellStyle name="Accent2 91" xfId="205"/>
    <cellStyle name="Accent2 92" xfId="206"/>
    <cellStyle name="Accent2 93" xfId="207"/>
    <cellStyle name="Accent2 94" xfId="208"/>
    <cellStyle name="Accent2 95" xfId="209"/>
    <cellStyle name="Accent2 96" xfId="210"/>
    <cellStyle name="Accent2 97" xfId="211"/>
    <cellStyle name="Accent2 98" xfId="212"/>
    <cellStyle name="Accent2 99" xfId="213"/>
    <cellStyle name="Accent3 - 20%" xfId="214"/>
    <cellStyle name="Accent3 - 40%" xfId="215"/>
    <cellStyle name="Accent3 - 60%" xfId="216"/>
    <cellStyle name="Accent3 10" xfId="217"/>
    <cellStyle name="Accent3 100" xfId="218"/>
    <cellStyle name="Accent3 101" xfId="219"/>
    <cellStyle name="Accent3 11" xfId="220"/>
    <cellStyle name="Accent3 12" xfId="221"/>
    <cellStyle name="Accent3 13" xfId="222"/>
    <cellStyle name="Accent3 14" xfId="223"/>
    <cellStyle name="Accent3 15" xfId="224"/>
    <cellStyle name="Accent3 16" xfId="225"/>
    <cellStyle name="Accent3 17" xfId="226"/>
    <cellStyle name="Accent3 18" xfId="227"/>
    <cellStyle name="Accent3 19" xfId="228"/>
    <cellStyle name="Accent3 2" xfId="229"/>
    <cellStyle name="Accent3 20" xfId="230"/>
    <cellStyle name="Accent3 21" xfId="231"/>
    <cellStyle name="Accent3 22" xfId="232"/>
    <cellStyle name="Accent3 23" xfId="233"/>
    <cellStyle name="Accent3 24" xfId="234"/>
    <cellStyle name="Accent3 25" xfId="235"/>
    <cellStyle name="Accent3 26" xfId="236"/>
    <cellStyle name="Accent3 27" xfId="237"/>
    <cellStyle name="Accent3 28" xfId="238"/>
    <cellStyle name="Accent3 29" xfId="239"/>
    <cellStyle name="Accent3 3" xfId="240"/>
    <cellStyle name="Accent3 30" xfId="241"/>
    <cellStyle name="Accent3 31" xfId="242"/>
    <cellStyle name="Accent3 32" xfId="243"/>
    <cellStyle name="Accent3 33" xfId="244"/>
    <cellStyle name="Accent3 34" xfId="245"/>
    <cellStyle name="Accent3 35" xfId="246"/>
    <cellStyle name="Accent3 36" xfId="247"/>
    <cellStyle name="Accent3 37" xfId="248"/>
    <cellStyle name="Accent3 38" xfId="249"/>
    <cellStyle name="Accent3 39" xfId="250"/>
    <cellStyle name="Accent3 4" xfId="251"/>
    <cellStyle name="Accent3 40" xfId="252"/>
    <cellStyle name="Accent3 41" xfId="253"/>
    <cellStyle name="Accent3 42" xfId="254"/>
    <cellStyle name="Accent3 43" xfId="255"/>
    <cellStyle name="Accent3 44" xfId="256"/>
    <cellStyle name="Accent3 45" xfId="257"/>
    <cellStyle name="Accent3 46" xfId="258"/>
    <cellStyle name="Accent3 47" xfId="259"/>
    <cellStyle name="Accent3 48" xfId="260"/>
    <cellStyle name="Accent3 49" xfId="261"/>
    <cellStyle name="Accent3 5" xfId="262"/>
    <cellStyle name="Accent3 50" xfId="263"/>
    <cellStyle name="Accent3 51" xfId="264"/>
    <cellStyle name="Accent3 52" xfId="265"/>
    <cellStyle name="Accent3 53" xfId="266"/>
    <cellStyle name="Accent3 54" xfId="267"/>
    <cellStyle name="Accent3 55" xfId="268"/>
    <cellStyle name="Accent3 56" xfId="269"/>
    <cellStyle name="Accent3 57" xfId="270"/>
    <cellStyle name="Accent3 58" xfId="271"/>
    <cellStyle name="Accent3 59" xfId="272"/>
    <cellStyle name="Accent3 6" xfId="273"/>
    <cellStyle name="Accent3 60" xfId="274"/>
    <cellStyle name="Accent3 61" xfId="275"/>
    <cellStyle name="Accent3 62" xfId="276"/>
    <cellStyle name="Accent3 63" xfId="277"/>
    <cellStyle name="Accent3 64" xfId="278"/>
    <cellStyle name="Accent3 65" xfId="279"/>
    <cellStyle name="Accent3 66" xfId="280"/>
    <cellStyle name="Accent3 67" xfId="281"/>
    <cellStyle name="Accent3 68" xfId="282"/>
    <cellStyle name="Accent3 69" xfId="283"/>
    <cellStyle name="Accent3 7" xfId="284"/>
    <cellStyle name="Accent3 70" xfId="285"/>
    <cellStyle name="Accent3 71" xfId="286"/>
    <cellStyle name="Accent3 72" xfId="287"/>
    <cellStyle name="Accent3 73" xfId="288"/>
    <cellStyle name="Accent3 74" xfId="289"/>
    <cellStyle name="Accent3 75" xfId="290"/>
    <cellStyle name="Accent3 76" xfId="291"/>
    <cellStyle name="Accent3 77" xfId="292"/>
    <cellStyle name="Accent3 78" xfId="293"/>
    <cellStyle name="Accent3 79" xfId="294"/>
    <cellStyle name="Accent3 8" xfId="295"/>
    <cellStyle name="Accent3 80" xfId="296"/>
    <cellStyle name="Accent3 81" xfId="297"/>
    <cellStyle name="Accent3 82" xfId="298"/>
    <cellStyle name="Accent3 83" xfId="299"/>
    <cellStyle name="Accent3 84" xfId="300"/>
    <cellStyle name="Accent3 85" xfId="301"/>
    <cellStyle name="Accent3 86" xfId="302"/>
    <cellStyle name="Accent3 87" xfId="303"/>
    <cellStyle name="Accent3 88" xfId="304"/>
    <cellStyle name="Accent3 89" xfId="305"/>
    <cellStyle name="Accent3 9" xfId="306"/>
    <cellStyle name="Accent3 90" xfId="307"/>
    <cellStyle name="Accent3 91" xfId="308"/>
    <cellStyle name="Accent3 92" xfId="309"/>
    <cellStyle name="Accent3 93" xfId="310"/>
    <cellStyle name="Accent3 94" xfId="311"/>
    <cellStyle name="Accent3 95" xfId="312"/>
    <cellStyle name="Accent3 96" xfId="313"/>
    <cellStyle name="Accent3 97" xfId="314"/>
    <cellStyle name="Accent3 98" xfId="315"/>
    <cellStyle name="Accent3 99" xfId="316"/>
    <cellStyle name="Accent4 - 20%" xfId="317"/>
    <cellStyle name="Accent4 - 40%" xfId="318"/>
    <cellStyle name="Accent4 - 60%" xfId="319"/>
    <cellStyle name="Accent4 10" xfId="320"/>
    <cellStyle name="Accent4 100" xfId="321"/>
    <cellStyle name="Accent4 101" xfId="322"/>
    <cellStyle name="Accent4 11" xfId="323"/>
    <cellStyle name="Accent4 12" xfId="324"/>
    <cellStyle name="Accent4 13" xfId="325"/>
    <cellStyle name="Accent4 14" xfId="326"/>
    <cellStyle name="Accent4 15" xfId="327"/>
    <cellStyle name="Accent4 16" xfId="328"/>
    <cellStyle name="Accent4 17" xfId="329"/>
    <cellStyle name="Accent4 18" xfId="330"/>
    <cellStyle name="Accent4 19" xfId="331"/>
    <cellStyle name="Accent4 2" xfId="332"/>
    <cellStyle name="Accent4 20" xfId="333"/>
    <cellStyle name="Accent4 21" xfId="334"/>
    <cellStyle name="Accent4 22" xfId="335"/>
    <cellStyle name="Accent4 23" xfId="336"/>
    <cellStyle name="Accent4 24" xfId="337"/>
    <cellStyle name="Accent4 25" xfId="338"/>
    <cellStyle name="Accent4 26" xfId="339"/>
    <cellStyle name="Accent4 27" xfId="340"/>
    <cellStyle name="Accent4 28" xfId="341"/>
    <cellStyle name="Accent4 29" xfId="342"/>
    <cellStyle name="Accent4 3" xfId="343"/>
    <cellStyle name="Accent4 30" xfId="344"/>
    <cellStyle name="Accent4 31" xfId="345"/>
    <cellStyle name="Accent4 32" xfId="346"/>
    <cellStyle name="Accent4 33" xfId="347"/>
    <cellStyle name="Accent4 34" xfId="348"/>
    <cellStyle name="Accent4 35" xfId="349"/>
    <cellStyle name="Accent4 36" xfId="350"/>
    <cellStyle name="Accent4 37" xfId="351"/>
    <cellStyle name="Accent4 38" xfId="352"/>
    <cellStyle name="Accent4 39" xfId="353"/>
    <cellStyle name="Accent4 4" xfId="354"/>
    <cellStyle name="Accent4 40" xfId="355"/>
    <cellStyle name="Accent4 41" xfId="356"/>
    <cellStyle name="Accent4 42" xfId="357"/>
    <cellStyle name="Accent4 43" xfId="358"/>
    <cellStyle name="Accent4 44" xfId="359"/>
    <cellStyle name="Accent4 45" xfId="360"/>
    <cellStyle name="Accent4 46" xfId="361"/>
    <cellStyle name="Accent4 47" xfId="362"/>
    <cellStyle name="Accent4 48" xfId="363"/>
    <cellStyle name="Accent4 49" xfId="364"/>
    <cellStyle name="Accent4 5" xfId="365"/>
    <cellStyle name="Accent4 50" xfId="366"/>
    <cellStyle name="Accent4 51" xfId="367"/>
    <cellStyle name="Accent4 52" xfId="368"/>
    <cellStyle name="Accent4 53" xfId="369"/>
    <cellStyle name="Accent4 54" xfId="370"/>
    <cellStyle name="Accent4 55" xfId="371"/>
    <cellStyle name="Accent4 56" xfId="372"/>
    <cellStyle name="Accent4 57" xfId="373"/>
    <cellStyle name="Accent4 58" xfId="374"/>
    <cellStyle name="Accent4 59" xfId="375"/>
    <cellStyle name="Accent4 6" xfId="376"/>
    <cellStyle name="Accent4 60" xfId="377"/>
    <cellStyle name="Accent4 61" xfId="378"/>
    <cellStyle name="Accent4 62" xfId="379"/>
    <cellStyle name="Accent4 63" xfId="380"/>
    <cellStyle name="Accent4 64" xfId="381"/>
    <cellStyle name="Accent4 65" xfId="382"/>
    <cellStyle name="Accent4 66" xfId="383"/>
    <cellStyle name="Accent4 67" xfId="384"/>
    <cellStyle name="Accent4 68" xfId="385"/>
    <cellStyle name="Accent4 69" xfId="386"/>
    <cellStyle name="Accent4 7" xfId="387"/>
    <cellStyle name="Accent4 70" xfId="388"/>
    <cellStyle name="Accent4 71" xfId="389"/>
    <cellStyle name="Accent4 72" xfId="390"/>
    <cellStyle name="Accent4 73" xfId="391"/>
    <cellStyle name="Accent4 74" xfId="392"/>
    <cellStyle name="Accent4 75" xfId="393"/>
    <cellStyle name="Accent4 76" xfId="394"/>
    <cellStyle name="Accent4 77" xfId="395"/>
    <cellStyle name="Accent4 78" xfId="396"/>
    <cellStyle name="Accent4 79" xfId="397"/>
    <cellStyle name="Accent4 8" xfId="398"/>
    <cellStyle name="Accent4 80" xfId="399"/>
    <cellStyle name="Accent4 81" xfId="400"/>
    <cellStyle name="Accent4 82" xfId="401"/>
    <cellStyle name="Accent4 83" xfId="402"/>
    <cellStyle name="Accent4 84" xfId="403"/>
    <cellStyle name="Accent4 85" xfId="404"/>
    <cellStyle name="Accent4 86" xfId="405"/>
    <cellStyle name="Accent4 87" xfId="406"/>
    <cellStyle name="Accent4 88" xfId="407"/>
    <cellStyle name="Accent4 89" xfId="408"/>
    <cellStyle name="Accent4 9" xfId="409"/>
    <cellStyle name="Accent4 90" xfId="410"/>
    <cellStyle name="Accent4 91" xfId="411"/>
    <cellStyle name="Accent4 92" xfId="412"/>
    <cellStyle name="Accent4 93" xfId="413"/>
    <cellStyle name="Accent4 94" xfId="414"/>
    <cellStyle name="Accent4 95" xfId="415"/>
    <cellStyle name="Accent4 96" xfId="416"/>
    <cellStyle name="Accent4 97" xfId="417"/>
    <cellStyle name="Accent4 98" xfId="418"/>
    <cellStyle name="Accent4 99" xfId="419"/>
    <cellStyle name="Accent5 - 20%" xfId="420"/>
    <cellStyle name="Accent5 - 40%" xfId="421"/>
    <cellStyle name="Accent5 - 60%" xfId="422"/>
    <cellStyle name="Accent5 10" xfId="423"/>
    <cellStyle name="Accent5 100" xfId="424"/>
    <cellStyle name="Accent5 101" xfId="425"/>
    <cellStyle name="Accent5 11" xfId="426"/>
    <cellStyle name="Accent5 12" xfId="427"/>
    <cellStyle name="Accent5 13" xfId="428"/>
    <cellStyle name="Accent5 14" xfId="429"/>
    <cellStyle name="Accent5 15" xfId="430"/>
    <cellStyle name="Accent5 16" xfId="431"/>
    <cellStyle name="Accent5 17" xfId="432"/>
    <cellStyle name="Accent5 18" xfId="433"/>
    <cellStyle name="Accent5 19" xfId="434"/>
    <cellStyle name="Accent5 2" xfId="435"/>
    <cellStyle name="Accent5 20" xfId="436"/>
    <cellStyle name="Accent5 21" xfId="437"/>
    <cellStyle name="Accent5 22" xfId="438"/>
    <cellStyle name="Accent5 23" xfId="439"/>
    <cellStyle name="Accent5 24" xfId="440"/>
    <cellStyle name="Accent5 25" xfId="441"/>
    <cellStyle name="Accent5 26" xfId="442"/>
    <cellStyle name="Accent5 27" xfId="443"/>
    <cellStyle name="Accent5 28" xfId="444"/>
    <cellStyle name="Accent5 29" xfId="445"/>
    <cellStyle name="Accent5 3" xfId="446"/>
    <cellStyle name="Accent5 30" xfId="447"/>
    <cellStyle name="Accent5 31" xfId="448"/>
    <cellStyle name="Accent5 32" xfId="449"/>
    <cellStyle name="Accent5 33" xfId="450"/>
    <cellStyle name="Accent5 34" xfId="451"/>
    <cellStyle name="Accent5 35" xfId="452"/>
    <cellStyle name="Accent5 36" xfId="453"/>
    <cellStyle name="Accent5 37" xfId="454"/>
    <cellStyle name="Accent5 38" xfId="455"/>
    <cellStyle name="Accent5 39" xfId="456"/>
    <cellStyle name="Accent5 4" xfId="457"/>
    <cellStyle name="Accent5 40" xfId="458"/>
    <cellStyle name="Accent5 41" xfId="459"/>
    <cellStyle name="Accent5 42" xfId="460"/>
    <cellStyle name="Accent5 43" xfId="461"/>
    <cellStyle name="Accent5 44" xfId="462"/>
    <cellStyle name="Accent5 45" xfId="463"/>
    <cellStyle name="Accent5 46" xfId="464"/>
    <cellStyle name="Accent5 47" xfId="465"/>
    <cellStyle name="Accent5 48" xfId="466"/>
    <cellStyle name="Accent5 49" xfId="467"/>
    <cellStyle name="Accent5 5" xfId="468"/>
    <cellStyle name="Accent5 50" xfId="469"/>
    <cellStyle name="Accent5 51" xfId="470"/>
    <cellStyle name="Accent5 52" xfId="471"/>
    <cellStyle name="Accent5 53" xfId="472"/>
    <cellStyle name="Accent5 54" xfId="473"/>
    <cellStyle name="Accent5 55" xfId="474"/>
    <cellStyle name="Accent5 56" xfId="475"/>
    <cellStyle name="Accent5 57" xfId="476"/>
    <cellStyle name="Accent5 58" xfId="477"/>
    <cellStyle name="Accent5 59" xfId="478"/>
    <cellStyle name="Accent5 6" xfId="479"/>
    <cellStyle name="Accent5 60" xfId="480"/>
    <cellStyle name="Accent5 61" xfId="481"/>
    <cellStyle name="Accent5 62" xfId="482"/>
    <cellStyle name="Accent5 63" xfId="483"/>
    <cellStyle name="Accent5 64" xfId="484"/>
    <cellStyle name="Accent5 65" xfId="485"/>
    <cellStyle name="Accent5 66" xfId="486"/>
    <cellStyle name="Accent5 67" xfId="487"/>
    <cellStyle name="Accent5 68" xfId="488"/>
    <cellStyle name="Accent5 69" xfId="489"/>
    <cellStyle name="Accent5 7" xfId="490"/>
    <cellStyle name="Accent5 70" xfId="491"/>
    <cellStyle name="Accent5 71" xfId="492"/>
    <cellStyle name="Accent5 72" xfId="493"/>
    <cellStyle name="Accent5 73" xfId="494"/>
    <cellStyle name="Accent5 74" xfId="495"/>
    <cellStyle name="Accent5 75" xfId="496"/>
    <cellStyle name="Accent5 76" xfId="497"/>
    <cellStyle name="Accent5 77" xfId="498"/>
    <cellStyle name="Accent5 78" xfId="499"/>
    <cellStyle name="Accent5 79" xfId="500"/>
    <cellStyle name="Accent5 8" xfId="501"/>
    <cellStyle name="Accent5 80" xfId="502"/>
    <cellStyle name="Accent5 81" xfId="503"/>
    <cellStyle name="Accent5 82" xfId="504"/>
    <cellStyle name="Accent5 83" xfId="505"/>
    <cellStyle name="Accent5 84" xfId="506"/>
    <cellStyle name="Accent5 85" xfId="507"/>
    <cellStyle name="Accent5 86" xfId="508"/>
    <cellStyle name="Accent5 87" xfId="509"/>
    <cellStyle name="Accent5 88" xfId="510"/>
    <cellStyle name="Accent5 89" xfId="511"/>
    <cellStyle name="Accent5 9" xfId="512"/>
    <cellStyle name="Accent5 90" xfId="513"/>
    <cellStyle name="Accent5 91" xfId="514"/>
    <cellStyle name="Accent5 92" xfId="515"/>
    <cellStyle name="Accent5 93" xfId="516"/>
    <cellStyle name="Accent5 94" xfId="517"/>
    <cellStyle name="Accent5 95" xfId="518"/>
    <cellStyle name="Accent5 96" xfId="519"/>
    <cellStyle name="Accent5 97" xfId="520"/>
    <cellStyle name="Accent5 98" xfId="521"/>
    <cellStyle name="Accent5 99" xfId="522"/>
    <cellStyle name="Accent6 - 20%" xfId="523"/>
    <cellStyle name="Accent6 - 40%" xfId="524"/>
    <cellStyle name="Accent6 - 60%" xfId="525"/>
    <cellStyle name="Accent6 10" xfId="526"/>
    <cellStyle name="Accent6 100" xfId="527"/>
    <cellStyle name="Accent6 101" xfId="528"/>
    <cellStyle name="Accent6 11" xfId="529"/>
    <cellStyle name="Accent6 12" xfId="530"/>
    <cellStyle name="Accent6 13" xfId="531"/>
    <cellStyle name="Accent6 14" xfId="532"/>
    <cellStyle name="Accent6 15" xfId="533"/>
    <cellStyle name="Accent6 16" xfId="534"/>
    <cellStyle name="Accent6 17" xfId="535"/>
    <cellStyle name="Accent6 18" xfId="536"/>
    <cellStyle name="Accent6 19" xfId="537"/>
    <cellStyle name="Accent6 2" xfId="538"/>
    <cellStyle name="Accent6 20" xfId="539"/>
    <cellStyle name="Accent6 21" xfId="540"/>
    <cellStyle name="Accent6 22" xfId="541"/>
    <cellStyle name="Accent6 23" xfId="542"/>
    <cellStyle name="Accent6 24" xfId="543"/>
    <cellStyle name="Accent6 25" xfId="544"/>
    <cellStyle name="Accent6 26" xfId="545"/>
    <cellStyle name="Accent6 27" xfId="546"/>
    <cellStyle name="Accent6 28" xfId="547"/>
    <cellStyle name="Accent6 29" xfId="548"/>
    <cellStyle name="Accent6 3" xfId="549"/>
    <cellStyle name="Accent6 30" xfId="550"/>
    <cellStyle name="Accent6 31" xfId="551"/>
    <cellStyle name="Accent6 32" xfId="552"/>
    <cellStyle name="Accent6 33" xfId="553"/>
    <cellStyle name="Accent6 34" xfId="554"/>
    <cellStyle name="Accent6 35" xfId="555"/>
    <cellStyle name="Accent6 36" xfId="556"/>
    <cellStyle name="Accent6 37" xfId="557"/>
    <cellStyle name="Accent6 38" xfId="558"/>
    <cellStyle name="Accent6 39" xfId="559"/>
    <cellStyle name="Accent6 4" xfId="560"/>
    <cellStyle name="Accent6 40" xfId="561"/>
    <cellStyle name="Accent6 41" xfId="562"/>
    <cellStyle name="Accent6 42" xfId="563"/>
    <cellStyle name="Accent6 43" xfId="564"/>
    <cellStyle name="Accent6 44" xfId="565"/>
    <cellStyle name="Accent6 45" xfId="566"/>
    <cellStyle name="Accent6 46" xfId="567"/>
    <cellStyle name="Accent6 47" xfId="568"/>
    <cellStyle name="Accent6 48" xfId="569"/>
    <cellStyle name="Accent6 49" xfId="570"/>
    <cellStyle name="Accent6 5" xfId="571"/>
    <cellStyle name="Accent6 50" xfId="572"/>
    <cellStyle name="Accent6 51" xfId="573"/>
    <cellStyle name="Accent6 52" xfId="574"/>
    <cellStyle name="Accent6 53" xfId="575"/>
    <cellStyle name="Accent6 54" xfId="576"/>
    <cellStyle name="Accent6 55" xfId="577"/>
    <cellStyle name="Accent6 56" xfId="578"/>
    <cellStyle name="Accent6 57" xfId="579"/>
    <cellStyle name="Accent6 58" xfId="580"/>
    <cellStyle name="Accent6 59" xfId="581"/>
    <cellStyle name="Accent6 6" xfId="582"/>
    <cellStyle name="Accent6 60" xfId="583"/>
    <cellStyle name="Accent6 61" xfId="584"/>
    <cellStyle name="Accent6 62" xfId="585"/>
    <cellStyle name="Accent6 63" xfId="586"/>
    <cellStyle name="Accent6 64" xfId="587"/>
    <cellStyle name="Accent6 65" xfId="588"/>
    <cellStyle name="Accent6 66" xfId="589"/>
    <cellStyle name="Accent6 67" xfId="590"/>
    <cellStyle name="Accent6 68" xfId="591"/>
    <cellStyle name="Accent6 69" xfId="592"/>
    <cellStyle name="Accent6 7" xfId="593"/>
    <cellStyle name="Accent6 70" xfId="594"/>
    <cellStyle name="Accent6 71" xfId="595"/>
    <cellStyle name="Accent6 72" xfId="596"/>
    <cellStyle name="Accent6 73" xfId="597"/>
    <cellStyle name="Accent6 74" xfId="598"/>
    <cellStyle name="Accent6 75" xfId="599"/>
    <cellStyle name="Accent6 76" xfId="600"/>
    <cellStyle name="Accent6 77" xfId="601"/>
    <cellStyle name="Accent6 78" xfId="602"/>
    <cellStyle name="Accent6 79" xfId="603"/>
    <cellStyle name="Accent6 8" xfId="604"/>
    <cellStyle name="Accent6 80" xfId="605"/>
    <cellStyle name="Accent6 81" xfId="606"/>
    <cellStyle name="Accent6 82" xfId="607"/>
    <cellStyle name="Accent6 83" xfId="608"/>
    <cellStyle name="Accent6 84" xfId="609"/>
    <cellStyle name="Accent6 85" xfId="610"/>
    <cellStyle name="Accent6 86" xfId="611"/>
    <cellStyle name="Accent6 87" xfId="612"/>
    <cellStyle name="Accent6 88" xfId="613"/>
    <cellStyle name="Accent6 89" xfId="614"/>
    <cellStyle name="Accent6 9" xfId="615"/>
    <cellStyle name="Accent6 90" xfId="616"/>
    <cellStyle name="Accent6 91" xfId="617"/>
    <cellStyle name="Accent6 92" xfId="618"/>
    <cellStyle name="Accent6 93" xfId="619"/>
    <cellStyle name="Accent6 94" xfId="620"/>
    <cellStyle name="Accent6 95" xfId="621"/>
    <cellStyle name="Accent6 96" xfId="622"/>
    <cellStyle name="Accent6 97" xfId="623"/>
    <cellStyle name="Accent6 98" xfId="624"/>
    <cellStyle name="Accent6 99" xfId="625"/>
    <cellStyle name="Bad 2" xfId="626"/>
    <cellStyle name="Calculation 2" xfId="627"/>
    <cellStyle name="Check Cell 2" xfId="628"/>
    <cellStyle name="Comma" xfId="3" builtinId="3"/>
    <cellStyle name="Comma 2" xfId="4"/>
    <cellStyle name="Comma 2 2" xfId="6"/>
    <cellStyle name="Currency" xfId="1" builtinId="4"/>
    <cellStyle name="Emphasis 1" xfId="629"/>
    <cellStyle name="Emphasis 2" xfId="630"/>
    <cellStyle name="Emphasis 3" xfId="631"/>
    <cellStyle name="Good 2" xfId="632"/>
    <cellStyle name="Good 2 2" xfId="633"/>
    <cellStyle name="Heading 1 2" xfId="634"/>
    <cellStyle name="Heading 2 2" xfId="635"/>
    <cellStyle name="Heading 3 2" xfId="636"/>
    <cellStyle name="Heading 4 2" xfId="637"/>
    <cellStyle name="Input 2" xfId="638"/>
    <cellStyle name="Linked Cell 2" xfId="639"/>
    <cellStyle name="Neutral 2" xfId="640"/>
    <cellStyle name="Normal" xfId="0" builtinId="0"/>
    <cellStyle name="Normal 2" xfId="5"/>
    <cellStyle name="Normal 2 2" xfId="641"/>
    <cellStyle name="Normal 2 2 2" xfId="642"/>
    <cellStyle name="Normal 2 2_O&amp;M" xfId="643"/>
    <cellStyle name="Normal 2 3" xfId="644"/>
    <cellStyle name="Normal 3" xfId="645"/>
    <cellStyle name="Normal 3 2" xfId="646"/>
    <cellStyle name="Normal 3 2 2" xfId="647"/>
    <cellStyle name="Normal 3 2_O&amp;M" xfId="648"/>
    <cellStyle name="Normal 3 3" xfId="649"/>
    <cellStyle name="Normal 3 4" xfId="650"/>
    <cellStyle name="Normal 4" xfId="651"/>
    <cellStyle name="Normal 4 2" xfId="652"/>
    <cellStyle name="Normal 4 2 2" xfId="653"/>
    <cellStyle name="Normal 4 3" xfId="654"/>
    <cellStyle name="Normal 5" xfId="655"/>
    <cellStyle name="Normal 5 2" xfId="656"/>
    <cellStyle name="Note 2" xfId="657"/>
    <cellStyle name="Note 2 2" xfId="658"/>
    <cellStyle name="Output 2" xfId="659"/>
    <cellStyle name="Percent" xfId="2" builtinId="5"/>
    <cellStyle name="Percent 2" xfId="7"/>
    <cellStyle name="SAPBEXaggData" xfId="660"/>
    <cellStyle name="SAPBEXaggData 2" xfId="661"/>
    <cellStyle name="SAPBEXaggDataEmph" xfId="662"/>
    <cellStyle name="SAPBEXaggItem" xfId="663"/>
    <cellStyle name="SAPBEXaggItem 2" xfId="664"/>
    <cellStyle name="SAPBEXaggItemX" xfId="665"/>
    <cellStyle name="SAPBEXchaText" xfId="666"/>
    <cellStyle name="SAPBEXchaText 2" xfId="667"/>
    <cellStyle name="SAPBEXexcBad7" xfId="668"/>
    <cellStyle name="SAPBEXexcBad7 2" xfId="669"/>
    <cellStyle name="SAPBEXexcBad8" xfId="670"/>
    <cellStyle name="SAPBEXexcBad8 2" xfId="671"/>
    <cellStyle name="SAPBEXexcBad9" xfId="672"/>
    <cellStyle name="SAPBEXexcBad9 2" xfId="673"/>
    <cellStyle name="SAPBEXexcCritical4" xfId="674"/>
    <cellStyle name="SAPBEXexcCritical4 2" xfId="675"/>
    <cellStyle name="SAPBEXexcCritical5" xfId="676"/>
    <cellStyle name="SAPBEXexcCritical5 2" xfId="677"/>
    <cellStyle name="SAPBEXexcCritical6" xfId="678"/>
    <cellStyle name="SAPBEXexcCritical6 2" xfId="679"/>
    <cellStyle name="SAPBEXexcGood1" xfId="680"/>
    <cellStyle name="SAPBEXexcGood1 2" xfId="681"/>
    <cellStyle name="SAPBEXexcGood2" xfId="682"/>
    <cellStyle name="SAPBEXexcGood2 2" xfId="683"/>
    <cellStyle name="SAPBEXexcGood3" xfId="684"/>
    <cellStyle name="SAPBEXexcGood3 2" xfId="685"/>
    <cellStyle name="SAPBEXfilterDrill" xfId="686"/>
    <cellStyle name="SAPBEXfilterDrill 2" xfId="687"/>
    <cellStyle name="SAPBEXfilterItem" xfId="688"/>
    <cellStyle name="SAPBEXfilterText" xfId="689"/>
    <cellStyle name="SAPBEXformats" xfId="690"/>
    <cellStyle name="SAPBEXformats 2" xfId="691"/>
    <cellStyle name="SAPBEXheaderItem" xfId="692"/>
    <cellStyle name="SAPBEXheaderItem 2" xfId="693"/>
    <cellStyle name="SAPBEXheaderText" xfId="694"/>
    <cellStyle name="SAPBEXheaderText 2" xfId="695"/>
    <cellStyle name="SAPBEXHLevel0" xfId="696"/>
    <cellStyle name="SAPBEXHLevel0 2" xfId="697"/>
    <cellStyle name="SAPBEXHLevel0X" xfId="698"/>
    <cellStyle name="SAPBEXHLevel1" xfId="699"/>
    <cellStyle name="SAPBEXHLevel1 2" xfId="700"/>
    <cellStyle name="SAPBEXHLevel1X" xfId="701"/>
    <cellStyle name="SAPBEXHLevel2" xfId="702"/>
    <cellStyle name="SAPBEXHLevel2 2" xfId="703"/>
    <cellStyle name="SAPBEXHLevel2X" xfId="704"/>
    <cellStyle name="SAPBEXHLevel3" xfId="705"/>
    <cellStyle name="SAPBEXHLevel3 2" xfId="706"/>
    <cellStyle name="SAPBEXHLevel3X" xfId="707"/>
    <cellStyle name="SAPBEXinputData" xfId="708"/>
    <cellStyle name="SAPBEXItemHeader" xfId="709"/>
    <cellStyle name="SAPBEXresData" xfId="710"/>
    <cellStyle name="SAPBEXresDataEmph" xfId="711"/>
    <cellStyle name="SAPBEXresItem" xfId="712"/>
    <cellStyle name="SAPBEXresItemX" xfId="713"/>
    <cellStyle name="SAPBEXstdData" xfId="714"/>
    <cellStyle name="SAPBEXstdData 2" xfId="715"/>
    <cellStyle name="SAPBEXstdDataEmph" xfId="716"/>
    <cellStyle name="SAPBEXstdItem" xfId="717"/>
    <cellStyle name="SAPBEXstdItem 2" xfId="718"/>
    <cellStyle name="SAPBEXstdItemX" xfId="719"/>
    <cellStyle name="SAPBEXtitle" xfId="720"/>
    <cellStyle name="SAPBEXunassignedItem" xfId="721"/>
    <cellStyle name="SAPBEXunassignedItem 2" xfId="722"/>
    <cellStyle name="SAPBEXundefined" xfId="723"/>
    <cellStyle name="Sheet Title" xfId="724"/>
    <cellStyle name="Style 1" xfId="725"/>
    <cellStyle name="Total 2" xfId="726"/>
    <cellStyle name="Warning Text 2" xfId="7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Incident Rate vs O&amp;M Costs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OSHA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3706846955414619E-3"/>
                  <c:y val="-3.790285055331889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Data!$E$3:$E$7</c:f>
              <c:numCache>
                <c:formatCode>"$"#,##0.00_);[Red]\("$"#,##0.00\)</c:formatCode>
                <c:ptCount val="5"/>
                <c:pt idx="0" formatCode="General">
                  <c:v>2019</c:v>
                </c:pt>
                <c:pt idx="1">
                  <c:v>9306.9540629999992</c:v>
                </c:pt>
                <c:pt idx="2">
                  <c:v>7206.9540629999992</c:v>
                </c:pt>
                <c:pt idx="3">
                  <c:v>2100</c:v>
                </c:pt>
              </c:numCache>
            </c:numRef>
          </c:xVal>
          <c:yVal>
            <c:numRef>
              <c:f>Data!$C$3:$C$7</c:f>
              <c:numCache>
                <c:formatCode>"$"#,##0.00_);[Red]\("$"#,##0.00\)</c:formatCode>
                <c:ptCount val="5"/>
                <c:pt idx="0" formatCode="General">
                  <c:v>2017</c:v>
                </c:pt>
                <c:pt idx="1">
                  <c:v>8803.7900000000009</c:v>
                </c:pt>
                <c:pt idx="2">
                  <c:v>6577.79</c:v>
                </c:pt>
                <c:pt idx="3">
                  <c:v>2226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7FA-4D2D-87B2-975A0897EA44}"/>
            </c:ext>
          </c:extLst>
        </c:ser>
        <c:ser>
          <c:idx val="1"/>
          <c:order val="1"/>
          <c:tx>
            <c:v>CMVI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5.7542612620893208E-3"/>
                  <c:y val="7.353461377414927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Data!$E$3:$E$7</c:f>
              <c:numCache>
                <c:formatCode>"$"#,##0.00_);[Red]\("$"#,##0.00\)</c:formatCode>
                <c:ptCount val="5"/>
                <c:pt idx="0" formatCode="General">
                  <c:v>2019</c:v>
                </c:pt>
                <c:pt idx="1">
                  <c:v>9306.9540629999992</c:v>
                </c:pt>
                <c:pt idx="2">
                  <c:v>7206.9540629999992</c:v>
                </c:pt>
                <c:pt idx="3">
                  <c:v>2100</c:v>
                </c:pt>
              </c:numCache>
            </c:numRef>
          </c:xVal>
          <c:yVal>
            <c:numRef>
              <c:f>Data!$D$3:$D$7</c:f>
              <c:numCache>
                <c:formatCode>"$"#,##0.00_);[Red]\("$"#,##0.00\)</c:formatCode>
                <c:ptCount val="5"/>
                <c:pt idx="0" formatCode="General">
                  <c:v>2018</c:v>
                </c:pt>
                <c:pt idx="1">
                  <c:v>9109.2999999999993</c:v>
                </c:pt>
                <c:pt idx="2">
                  <c:v>6660.7</c:v>
                </c:pt>
                <c:pt idx="3">
                  <c:v>2448.6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7FA-4D2D-87B2-975A0897E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31328"/>
        <c:axId val="81333248"/>
      </c:scatterChart>
      <c:valAx>
        <c:axId val="81331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O&amp;M Costs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33248"/>
        <c:crosses val="autoZero"/>
        <c:crossBetween val="midCat"/>
      </c:valAx>
      <c:valAx>
        <c:axId val="8133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Incident Rate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31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Incident Rate vs Capital Costs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OSHA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8570354417231517E-2"/>
                  <c:y val="6.768263263438160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strRef>
              <c:f>Data!$F$3:$F$7</c:f>
              <c:strCache>
                <c:ptCount val="4"/>
                <c:pt idx="0">
                  <c:v>Avg</c:v>
                </c:pt>
                <c:pt idx="1">
                  <c:v>$9,087.98 </c:v>
                </c:pt>
                <c:pt idx="2">
                  <c:v>$6,631.96 </c:v>
                </c:pt>
                <c:pt idx="3">
                  <c:v>$2,456.02 </c:v>
                </c:pt>
              </c:strCache>
            </c:strRef>
          </c:xVal>
          <c:yVal>
            <c:numRef>
              <c:f>Data!$C$3:$C$7</c:f>
              <c:numCache>
                <c:formatCode>"$"#,##0.00_);[Red]\("$"#,##0.00\)</c:formatCode>
                <c:ptCount val="5"/>
                <c:pt idx="0" formatCode="General">
                  <c:v>2017</c:v>
                </c:pt>
                <c:pt idx="1">
                  <c:v>8803.7900000000009</c:v>
                </c:pt>
                <c:pt idx="2">
                  <c:v>6577.79</c:v>
                </c:pt>
                <c:pt idx="3">
                  <c:v>2226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3BA-4AF2-B9E1-0326646706C0}"/>
            </c:ext>
          </c:extLst>
        </c:ser>
        <c:ser>
          <c:idx val="1"/>
          <c:order val="1"/>
          <c:tx>
            <c:v>CMVI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3915911502484293"/>
                  <c:y val="-7.450539708930532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strRef>
              <c:f>Data!$F$3:$F$7</c:f>
              <c:strCache>
                <c:ptCount val="4"/>
                <c:pt idx="0">
                  <c:v>Avg</c:v>
                </c:pt>
                <c:pt idx="1">
                  <c:v>$9,087.98 </c:v>
                </c:pt>
                <c:pt idx="2">
                  <c:v>$6,631.96 </c:v>
                </c:pt>
                <c:pt idx="3">
                  <c:v>$2,456.02 </c:v>
                </c:pt>
              </c:strCache>
            </c:strRef>
          </c:xVal>
          <c:yVal>
            <c:numRef>
              <c:f>Data!$D$3:$D$7</c:f>
              <c:numCache>
                <c:formatCode>"$"#,##0.00_);[Red]\("$"#,##0.00\)</c:formatCode>
                <c:ptCount val="5"/>
                <c:pt idx="0" formatCode="General">
                  <c:v>2018</c:v>
                </c:pt>
                <c:pt idx="1">
                  <c:v>9109.2999999999993</c:v>
                </c:pt>
                <c:pt idx="2">
                  <c:v>6660.7</c:v>
                </c:pt>
                <c:pt idx="3">
                  <c:v>2448.6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BA-4AF2-B9E1-032664670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37600"/>
        <c:axId val="220967680"/>
      </c:scatterChart>
      <c:valAx>
        <c:axId val="96137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Capital Costs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967680"/>
        <c:crosses val="autoZero"/>
        <c:crossBetween val="midCat"/>
        <c:majorUnit val="2000"/>
      </c:valAx>
      <c:valAx>
        <c:axId val="22096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Incident Rate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37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1809750</xdr:colOff>
      <xdr:row>14</xdr:row>
      <xdr:rowOff>123825</xdr:rowOff>
    </xdr:from>
    <xdr:to>
      <xdr:col>0</xdr:col>
      <xdr:colOff>4124325</xdr:colOff>
      <xdr:row>21</xdr:row>
      <xdr:rowOff>28575</xdr:rowOff>
    </xdr:to>
    <xdr:pic>
      <xdr:nvPicPr>
        <xdr:cNvPr id="2" name="Picture 1" descr="C:\Users\jyork\Documents\RAMP\Presentations\sdge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762500"/>
          <a:ext cx="2314575" cy="1238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157162</xdr:rowOff>
    </xdr:from>
    <xdr:to>
      <xdr:col>8</xdr:col>
      <xdr:colOff>619125</xdr:colOff>
      <xdr:row>50</xdr:row>
      <xdr:rowOff>180976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838200</xdr:colOff>
      <xdr:row>33</xdr:row>
      <xdr:rowOff>180975</xdr:rowOff>
    </xdr:from>
    <xdr:to>
      <xdr:col>14</xdr:col>
      <xdr:colOff>514349</xdr:colOff>
      <xdr:row>51</xdr:row>
      <xdr:rowOff>14289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york/Documents/RAMP/Workpaper/RSE/Gas/SDGE-2-WP-RSE%20Catastrophic%20Damage%20Involving%20Third%20Party%20Dig-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Analysis"/>
      <sheetName val="Baseline Mitigation"/>
      <sheetName val="2015Costs"/>
      <sheetName val="Data"/>
      <sheetName val="Refer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tabSelected="1" zoomScaleNormal="100" workbookViewId="0"/>
  </sheetViews>
  <sheetFormatPr defaultRowHeight="15" x14ac:dyDescent="0.25"/>
  <cols>
    <col min="1" max="1" width="90.42578125" style="99" customWidth="1"/>
  </cols>
  <sheetData>
    <row r="1" spans="1:1" ht="34.5" x14ac:dyDescent="0.25">
      <c r="A1" s="93"/>
    </row>
    <row r="2" spans="1:1" ht="34.5" x14ac:dyDescent="0.25">
      <c r="A2" s="93"/>
    </row>
    <row r="3" spans="1:1" ht="34.5" x14ac:dyDescent="0.25">
      <c r="A3" s="94" t="s">
        <v>110</v>
      </c>
    </row>
    <row r="4" spans="1:1" ht="6" customHeight="1" x14ac:dyDescent="0.25">
      <c r="A4" s="94"/>
    </row>
    <row r="5" spans="1:1" ht="34.5" x14ac:dyDescent="0.25">
      <c r="A5" s="95" t="s">
        <v>111</v>
      </c>
    </row>
    <row r="6" spans="1:1" ht="6" customHeight="1" x14ac:dyDescent="0.25">
      <c r="A6" s="94"/>
    </row>
    <row r="7" spans="1:1" ht="34.5" x14ac:dyDescent="0.25">
      <c r="A7" s="94" t="s">
        <v>112</v>
      </c>
    </row>
    <row r="8" spans="1:1" ht="6" customHeight="1" x14ac:dyDescent="0.25">
      <c r="A8" s="94"/>
    </row>
    <row r="9" spans="1:1" ht="34.5" x14ac:dyDescent="0.25">
      <c r="A9" s="96" t="s">
        <v>114</v>
      </c>
    </row>
    <row r="10" spans="1:1" ht="6" customHeight="1" x14ac:dyDescent="0.25">
      <c r="A10" s="94"/>
    </row>
    <row r="11" spans="1:1" ht="34.5" x14ac:dyDescent="0.25">
      <c r="A11" s="94" t="s">
        <v>115</v>
      </c>
    </row>
    <row r="12" spans="1:1" ht="31.5" customHeight="1" x14ac:dyDescent="0.25">
      <c r="A12" s="97"/>
    </row>
    <row r="13" spans="1:1" ht="18.75" x14ac:dyDescent="0.25">
      <c r="A13" s="98" t="s">
        <v>113</v>
      </c>
    </row>
  </sheetData>
  <printOptions horizontalCentered="1" verticalCentere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30"/>
  <sheetViews>
    <sheetView zoomScaleNormal="100" workbookViewId="0"/>
  </sheetViews>
  <sheetFormatPr defaultRowHeight="15" x14ac:dyDescent="0.25"/>
  <cols>
    <col min="1" max="1" width="5.7109375" style="26" customWidth="1"/>
    <col min="2" max="2" width="13.85546875" style="26" bestFit="1" customWidth="1"/>
    <col min="3" max="3" width="28.28515625" style="26" customWidth="1"/>
    <col min="4" max="4" width="11.7109375" style="26" bestFit="1" customWidth="1"/>
    <col min="5" max="5" width="23" style="26" bestFit="1" customWidth="1"/>
    <col min="6" max="6" width="2.28515625" style="26" customWidth="1"/>
    <col min="7" max="7" width="9.28515625" style="26" bestFit="1" customWidth="1"/>
    <col min="8" max="8" width="19" style="26" customWidth="1"/>
    <col min="9" max="9" width="11.42578125" style="26" customWidth="1"/>
    <col min="10" max="10" width="24.42578125" style="26" customWidth="1"/>
    <col min="11" max="11" width="11.5703125" style="26" bestFit="1" customWidth="1"/>
    <col min="12" max="12" width="11.5703125" style="26" hidden="1" customWidth="1"/>
    <col min="13" max="14" width="12.85546875" style="26" bestFit="1" customWidth="1"/>
    <col min="15" max="15" width="41" style="28" customWidth="1"/>
    <col min="16" max="16" width="10.28515625" style="26" customWidth="1"/>
    <col min="17" max="17" width="12.85546875" style="29" bestFit="1" customWidth="1"/>
    <col min="18" max="18" width="9.7109375" style="26" hidden="1" customWidth="1"/>
    <col min="19" max="19" width="6.5703125" style="26" hidden="1" customWidth="1"/>
    <col min="20" max="20" width="10" style="26" hidden="1" customWidth="1"/>
    <col min="21" max="21" width="11.42578125" style="26" hidden="1" customWidth="1"/>
    <col min="22" max="22" width="8.85546875" style="26" hidden="1" customWidth="1"/>
    <col min="23" max="23" width="11.28515625" style="26" hidden="1" customWidth="1"/>
    <col min="24" max="24" width="13.7109375" style="26" hidden="1" customWidth="1"/>
    <col min="25" max="25" width="11.42578125" style="26" hidden="1" customWidth="1"/>
    <col min="26" max="26" width="9.7109375" style="26" bestFit="1" customWidth="1"/>
    <col min="27" max="27" width="11.28515625" style="26" bestFit="1" customWidth="1"/>
    <col min="28" max="28" width="11.28515625" style="26" hidden="1" customWidth="1"/>
    <col min="29" max="29" width="11.5703125" style="26" bestFit="1" customWidth="1"/>
    <col min="30" max="30" width="15.140625" style="26" bestFit="1" customWidth="1"/>
    <col min="31" max="31" width="10.85546875" style="30" bestFit="1" customWidth="1"/>
    <col min="32" max="32" width="8.28515625" style="26" bestFit="1" customWidth="1"/>
    <col min="33" max="33" width="6" style="26" bestFit="1" customWidth="1"/>
    <col min="34" max="37" width="4.7109375" style="26" customWidth="1"/>
    <col min="38" max="38" width="14.28515625" style="26" customWidth="1"/>
    <col min="39" max="39" width="15.140625" style="26" customWidth="1"/>
    <col min="40" max="40" width="15.5703125" style="26" customWidth="1"/>
    <col min="41" max="41" width="14.42578125" style="26" customWidth="1"/>
    <col min="42" max="42" width="33.28515625" style="26" bestFit="1" customWidth="1"/>
    <col min="43" max="43" width="17.7109375" style="26" bestFit="1" customWidth="1"/>
    <col min="44" max="44" width="42.28515625" style="26" bestFit="1" customWidth="1"/>
    <col min="45" max="45" width="23.42578125" style="26" bestFit="1" customWidth="1"/>
    <col min="46" max="46" width="31.140625" style="26" bestFit="1" customWidth="1"/>
    <col min="47" max="47" width="47.140625" style="26" bestFit="1" customWidth="1"/>
    <col min="48" max="48" width="12" style="26" bestFit="1" customWidth="1"/>
    <col min="49" max="16384" width="9.140625" style="26"/>
  </cols>
  <sheetData>
    <row r="1" spans="1:43" ht="21.75" thickBot="1" x14ac:dyDescent="0.4">
      <c r="B1" s="27" t="s">
        <v>0</v>
      </c>
      <c r="C1" s="81" t="s">
        <v>1</v>
      </c>
      <c r="D1" s="82"/>
      <c r="E1" s="82"/>
      <c r="F1" s="82"/>
      <c r="G1" s="82"/>
      <c r="H1" s="83"/>
    </row>
    <row r="3" spans="1:43" ht="21" x14ac:dyDescent="0.35">
      <c r="B3" s="84" t="s">
        <v>2</v>
      </c>
      <c r="C3" s="84"/>
      <c r="D3" s="84"/>
      <c r="E3" s="84"/>
    </row>
    <row r="4" spans="1:43" ht="37.5" x14ac:dyDescent="0.3">
      <c r="B4" s="31" t="s">
        <v>102</v>
      </c>
      <c r="C4" s="32" t="s">
        <v>3</v>
      </c>
      <c r="D4" s="33" t="s">
        <v>4</v>
      </c>
      <c r="E4" s="34" t="s">
        <v>5</v>
      </c>
    </row>
    <row r="5" spans="1:43" x14ac:dyDescent="0.25">
      <c r="A5" s="85"/>
      <c r="B5" s="86">
        <v>1</v>
      </c>
      <c r="C5" s="35" t="s">
        <v>6</v>
      </c>
      <c r="D5" s="36">
        <f>INDEX(Reference!$C:$G,MATCH($C$1,Reference!$B:$B,0),ROW()-ROW($B$4))</f>
        <v>5.7735026918962602E-2</v>
      </c>
      <c r="E5" s="89">
        <f>D5*(0.4*10^D6+0.2*10^D7+0.2*10^D8+0.2*10^D9)</f>
        <v>2344.0420929098818</v>
      </c>
      <c r="J5" s="37"/>
    </row>
    <row r="6" spans="1:43" x14ac:dyDescent="0.25">
      <c r="A6" s="85"/>
      <c r="B6" s="87"/>
      <c r="C6" s="35" t="s">
        <v>7</v>
      </c>
      <c r="D6" s="38">
        <f>INDEX(Reference!$C:$G,MATCH($C$1,Reference!$B:$B,0),ROW()-ROW($B$4))</f>
        <v>5</v>
      </c>
      <c r="E6" s="90"/>
    </row>
    <row r="7" spans="1:43" x14ac:dyDescent="0.25">
      <c r="A7" s="85"/>
      <c r="B7" s="87"/>
      <c r="C7" s="35" t="s">
        <v>8</v>
      </c>
      <c r="D7" s="38">
        <f>INDEX(Reference!$C:$G,MATCH($C$1,Reference!$B:$B,0),ROW()-ROW($B$4))</f>
        <v>3</v>
      </c>
      <c r="E7" s="90"/>
    </row>
    <row r="8" spans="1:43" x14ac:dyDescent="0.25">
      <c r="A8" s="85"/>
      <c r="B8" s="87"/>
      <c r="C8" s="35" t="s">
        <v>9</v>
      </c>
      <c r="D8" s="38">
        <f>INDEX(Reference!$C:$G,MATCH($C$1,Reference!$B:$B,0),ROW()-ROW($B$4))</f>
        <v>3</v>
      </c>
      <c r="E8" s="90"/>
    </row>
    <row r="9" spans="1:43" x14ac:dyDescent="0.25">
      <c r="A9" s="85"/>
      <c r="B9" s="88"/>
      <c r="C9" s="35" t="s">
        <v>10</v>
      </c>
      <c r="D9" s="38">
        <f>INDEX(Reference!$C:$G,MATCH($C$1,Reference!$B:$B,0),ROW()-ROW($B$4))</f>
        <v>3</v>
      </c>
      <c r="E9" s="91"/>
    </row>
    <row r="10" spans="1:43" x14ac:dyDescent="0.25">
      <c r="AD10" s="30"/>
      <c r="AE10" s="26"/>
    </row>
    <row r="11" spans="1:43" x14ac:dyDescent="0.25">
      <c r="P11" s="26" t="s">
        <v>11</v>
      </c>
      <c r="Q11" s="29">
        <f>D5</f>
        <v>5.7735026918962602E-2</v>
      </c>
      <c r="R11" s="26">
        <f>D6</f>
        <v>5</v>
      </c>
      <c r="S11" s="26">
        <f>D7</f>
        <v>3</v>
      </c>
      <c r="T11" s="26">
        <f>D8</f>
        <v>3</v>
      </c>
      <c r="U11" s="26">
        <f>D9</f>
        <v>3</v>
      </c>
      <c r="V11" s="39"/>
      <c r="AD11" s="30"/>
      <c r="AE11" s="26"/>
    </row>
    <row r="12" spans="1:43" x14ac:dyDescent="0.25">
      <c r="G12" s="40"/>
      <c r="H12" s="40"/>
      <c r="I12" s="40"/>
      <c r="J12" s="80" t="s">
        <v>12</v>
      </c>
      <c r="K12" s="80"/>
      <c r="L12" s="41"/>
      <c r="M12" s="40"/>
      <c r="N12" s="40"/>
      <c r="O12" s="42"/>
      <c r="P12" s="40"/>
      <c r="Q12" s="43"/>
      <c r="R12" s="44">
        <v>0.4</v>
      </c>
      <c r="S12" s="44">
        <v>0.2</v>
      </c>
      <c r="T12" s="44">
        <v>0.2</v>
      </c>
      <c r="U12" s="44">
        <v>0.2</v>
      </c>
      <c r="V12" s="79" t="s">
        <v>13</v>
      </c>
      <c r="W12" s="79"/>
      <c r="X12" s="79"/>
      <c r="Y12" s="79"/>
      <c r="Z12" s="40"/>
      <c r="AA12" s="40"/>
      <c r="AB12" s="40"/>
      <c r="AC12" s="40"/>
      <c r="AD12" s="45"/>
      <c r="AE12" s="40"/>
      <c r="AF12" s="40"/>
      <c r="AG12" s="40"/>
      <c r="AH12" s="40"/>
      <c r="AI12" s="40"/>
      <c r="AJ12" s="40"/>
      <c r="AK12" s="40"/>
      <c r="AN12" s="40"/>
      <c r="AO12" s="40"/>
    </row>
    <row r="13" spans="1:43" s="28" customFormat="1" ht="45" x14ac:dyDescent="0.25">
      <c r="C13" s="34" t="s">
        <v>103</v>
      </c>
      <c r="D13" s="23" t="s">
        <v>14</v>
      </c>
      <c r="G13" s="34" t="s">
        <v>15</v>
      </c>
      <c r="H13" s="34" t="s">
        <v>16</v>
      </c>
      <c r="I13" s="34" t="s">
        <v>40</v>
      </c>
      <c r="J13" s="23" t="s">
        <v>104</v>
      </c>
      <c r="K13" s="23" t="s">
        <v>105</v>
      </c>
      <c r="L13" s="23" t="s">
        <v>19</v>
      </c>
      <c r="M13" s="34" t="s">
        <v>20</v>
      </c>
      <c r="N13" s="23" t="s">
        <v>21</v>
      </c>
      <c r="O13" s="23" t="s">
        <v>106</v>
      </c>
      <c r="P13" s="34" t="s">
        <v>23</v>
      </c>
      <c r="Q13" s="34" t="s">
        <v>24</v>
      </c>
      <c r="R13" s="34" t="s">
        <v>25</v>
      </c>
      <c r="S13" s="34" t="s">
        <v>26</v>
      </c>
      <c r="T13" s="34" t="s">
        <v>27</v>
      </c>
      <c r="U13" s="34" t="s">
        <v>28</v>
      </c>
      <c r="V13" s="34" t="s">
        <v>25</v>
      </c>
      <c r="W13" s="34" t="s">
        <v>26</v>
      </c>
      <c r="X13" s="34" t="s">
        <v>27</v>
      </c>
      <c r="Y13" s="34" t="s">
        <v>28</v>
      </c>
      <c r="Z13" s="34" t="s">
        <v>29</v>
      </c>
      <c r="AA13" s="34" t="s">
        <v>107</v>
      </c>
      <c r="AB13" s="34" t="s">
        <v>30</v>
      </c>
      <c r="AC13" s="34" t="str">
        <f>IF(D17=1,"Calibrated, ","")&amp;"Weighted New Score"</f>
        <v>Weighted New Score</v>
      </c>
      <c r="AD13" s="46" t="s">
        <v>31</v>
      </c>
      <c r="AE13" s="34" t="s">
        <v>108</v>
      </c>
      <c r="AF13" s="34" t="s">
        <v>32</v>
      </c>
      <c r="AG13" s="34"/>
      <c r="AH13" s="34"/>
      <c r="AI13" s="34"/>
      <c r="AJ13" s="47"/>
    </row>
    <row r="14" spans="1:43" ht="30" x14ac:dyDescent="0.25">
      <c r="C14" s="48" t="s">
        <v>109</v>
      </c>
      <c r="D14" s="48">
        <v>0</v>
      </c>
      <c r="G14" s="48" t="s">
        <v>33</v>
      </c>
      <c r="H14" s="49" t="s">
        <v>99</v>
      </c>
      <c r="I14" s="49"/>
      <c r="J14" s="24">
        <f>-Data!D10</f>
        <v>-45507.98</v>
      </c>
      <c r="K14" s="24">
        <f>-Data!C10</f>
        <v>-7206.9540629999992</v>
      </c>
      <c r="L14" s="24">
        <f t="shared" ref="L14" si="0">(0.08*J14)/(1-(1+0.08)^-N14)</f>
        <v>-4989.0139760546244</v>
      </c>
      <c r="M14" s="48" t="s">
        <v>34</v>
      </c>
      <c r="N14" s="48">
        <v>17</v>
      </c>
      <c r="O14" s="50"/>
      <c r="P14" s="51">
        <f>Data!E16</f>
        <v>-434.36328524366689</v>
      </c>
      <c r="Q14" s="52">
        <f t="shared" ref="Q14" si="1">$D$5*(1-($P14/100))</f>
        <v>0.30851478658048404</v>
      </c>
      <c r="R14" s="48">
        <v>0</v>
      </c>
      <c r="S14" s="38">
        <v>0</v>
      </c>
      <c r="T14" s="38">
        <v>0</v>
      </c>
      <c r="U14" s="38">
        <v>0</v>
      </c>
      <c r="V14" s="53">
        <f t="shared" ref="V14:Y14" si="2">(R$12)* ((10^R$11)*(1-(R14/100)))</f>
        <v>40000</v>
      </c>
      <c r="W14" s="53">
        <f t="shared" si="2"/>
        <v>200</v>
      </c>
      <c r="X14" s="53">
        <f t="shared" si="2"/>
        <v>200</v>
      </c>
      <c r="Y14" s="53">
        <f t="shared" si="2"/>
        <v>200</v>
      </c>
      <c r="Z14" s="54">
        <f t="shared" ref="Z14" si="3">Q14*SUM(V14:Y14)</f>
        <v>12525.700335167652</v>
      </c>
      <c r="AA14" s="54">
        <f>($E$5-Z14)*N14</f>
        <v>-173088.1901183821</v>
      </c>
      <c r="AB14" s="55"/>
      <c r="AC14" s="56">
        <f>IF($D$15=1,AA14*AB14*IF($D$17=1,$B$5,1),AA14*IF($D$17=1,$B$5,1))</f>
        <v>-173088.1901183821</v>
      </c>
      <c r="AD14" s="57">
        <f t="shared" ref="AD14" si="4">J14+K14*N14</f>
        <v>-168026.19907099998</v>
      </c>
      <c r="AE14" s="58">
        <f>AC14/AD14</f>
        <v>1.0301262010053751</v>
      </c>
      <c r="AF14" s="59"/>
      <c r="AG14" s="60"/>
      <c r="AH14" s="48"/>
      <c r="AI14" s="48"/>
      <c r="AJ14" s="61"/>
      <c r="AK14" s="61"/>
      <c r="AL14" s="62"/>
      <c r="AM14" s="62"/>
      <c r="AQ14" s="62"/>
    </row>
    <row r="15" spans="1:43" ht="30" x14ac:dyDescent="0.25">
      <c r="C15" s="48" t="s">
        <v>37</v>
      </c>
      <c r="D15" s="48">
        <v>0</v>
      </c>
      <c r="G15" s="48" t="s">
        <v>35</v>
      </c>
      <c r="H15" s="49" t="s">
        <v>100</v>
      </c>
      <c r="I15" s="49"/>
      <c r="J15" s="24">
        <v>0</v>
      </c>
      <c r="K15" s="24">
        <f>Data!C11</f>
        <v>2100</v>
      </c>
      <c r="L15" s="24">
        <f t="shared" ref="L15" si="5">(0.08*J15)/(1-(1+0.08)^-N15)</f>
        <v>0</v>
      </c>
      <c r="M15" s="48" t="s">
        <v>36</v>
      </c>
      <c r="N15" s="48">
        <v>17</v>
      </c>
      <c r="O15" s="50"/>
      <c r="P15" s="51">
        <f>Data!E17</f>
        <v>31.262069748949216</v>
      </c>
      <c r="Q15" s="52">
        <f>$D$5*(1-($P15/100))</f>
        <v>3.968586253398191E-2</v>
      </c>
      <c r="R15" s="38">
        <v>0</v>
      </c>
      <c r="S15" s="38">
        <v>0</v>
      </c>
      <c r="T15" s="38">
        <v>0</v>
      </c>
      <c r="U15" s="38">
        <v>0</v>
      </c>
      <c r="V15" s="53">
        <f t="shared" ref="V15:Y15" si="6">(R$12)* ((10^R$11)*(1-(R15/100)))</f>
        <v>40000</v>
      </c>
      <c r="W15" s="53">
        <f t="shared" si="6"/>
        <v>200</v>
      </c>
      <c r="X15" s="53">
        <f t="shared" si="6"/>
        <v>200</v>
      </c>
      <c r="Y15" s="53">
        <f t="shared" si="6"/>
        <v>200</v>
      </c>
      <c r="Z15" s="54">
        <f t="shared" ref="Z15" si="7">Q15*SUM(V15:Y15)</f>
        <v>1611.2460188796656</v>
      </c>
      <c r="AA15" s="54">
        <f>($E$5-Z15)*N15</f>
        <v>12457.533258513677</v>
      </c>
      <c r="AB15" s="55"/>
      <c r="AC15" s="56">
        <f>IF($D$15=1,AA15*AB15*IF($D$17=1,$B$5,1),AA15*IF($D$17=1,$B$5,1))</f>
        <v>12457.533258513677</v>
      </c>
      <c r="AD15" s="57">
        <f t="shared" ref="AD15" si="8">J15+K15*N15</f>
        <v>35700</v>
      </c>
      <c r="AE15" s="58">
        <f>AC15/AD15</f>
        <v>0.34895051144296013</v>
      </c>
      <c r="AF15" s="59"/>
      <c r="AG15" s="60"/>
      <c r="AH15" s="58"/>
      <c r="AI15" s="63"/>
      <c r="AJ15" s="61"/>
      <c r="AK15" s="61"/>
      <c r="AL15" s="62"/>
      <c r="AM15" s="62"/>
    </row>
    <row r="16" spans="1:43" x14ac:dyDescent="0.25">
      <c r="C16" s="48" t="s">
        <v>38</v>
      </c>
      <c r="D16" s="48">
        <v>0</v>
      </c>
      <c r="G16" s="48"/>
      <c r="H16" s="49"/>
      <c r="I16" s="49"/>
      <c r="J16" s="24"/>
      <c r="K16" s="24"/>
      <c r="L16" s="24"/>
      <c r="M16" s="48"/>
      <c r="N16" s="48"/>
      <c r="O16" s="50"/>
      <c r="P16" s="51"/>
      <c r="Q16" s="52"/>
      <c r="R16" s="38"/>
      <c r="S16" s="38"/>
      <c r="T16" s="38"/>
      <c r="U16" s="38"/>
      <c r="V16" s="53"/>
      <c r="W16" s="53"/>
      <c r="X16" s="53"/>
      <c r="Y16" s="53"/>
      <c r="Z16" s="54"/>
      <c r="AA16" s="54"/>
      <c r="AB16" s="55"/>
      <c r="AC16" s="56"/>
      <c r="AD16" s="57"/>
      <c r="AE16" s="58"/>
      <c r="AF16" s="59"/>
      <c r="AG16" s="60"/>
      <c r="AH16" s="58"/>
      <c r="AI16" s="63"/>
      <c r="AJ16" s="61"/>
      <c r="AK16" s="61"/>
      <c r="AL16" s="62"/>
      <c r="AM16" s="62"/>
    </row>
    <row r="17" spans="3:43" x14ac:dyDescent="0.25">
      <c r="C17" s="48" t="s">
        <v>102</v>
      </c>
      <c r="D17" s="48">
        <v>0</v>
      </c>
      <c r="G17" s="48"/>
      <c r="H17" s="49"/>
      <c r="I17" s="49"/>
      <c r="J17" s="24"/>
      <c r="K17" s="24"/>
      <c r="L17" s="24"/>
      <c r="M17" s="48"/>
      <c r="N17" s="48"/>
      <c r="O17" s="50"/>
      <c r="P17" s="51"/>
      <c r="Q17" s="52"/>
      <c r="R17" s="38"/>
      <c r="S17" s="38"/>
      <c r="T17" s="38"/>
      <c r="U17" s="38"/>
      <c r="V17" s="53"/>
      <c r="W17" s="53"/>
      <c r="X17" s="53"/>
      <c r="Y17" s="53"/>
      <c r="Z17" s="54"/>
      <c r="AA17" s="54"/>
      <c r="AB17" s="55"/>
      <c r="AC17" s="56"/>
      <c r="AD17" s="57"/>
      <c r="AE17" s="58"/>
      <c r="AF17" s="59"/>
      <c r="AG17" s="60"/>
      <c r="AH17" s="58"/>
      <c r="AI17" s="63"/>
      <c r="AJ17" s="61"/>
      <c r="AK17" s="61"/>
      <c r="AL17" s="62"/>
      <c r="AM17" s="62"/>
    </row>
    <row r="18" spans="3:43" x14ac:dyDescent="0.25">
      <c r="C18" s="61"/>
      <c r="G18" s="48"/>
      <c r="H18" s="48"/>
      <c r="I18" s="48"/>
      <c r="J18" s="24"/>
      <c r="K18" s="24"/>
      <c r="L18" s="24"/>
      <c r="M18" s="48"/>
      <c r="N18" s="48"/>
      <c r="O18" s="50"/>
      <c r="P18" s="64"/>
      <c r="Q18" s="52"/>
      <c r="R18" s="38"/>
      <c r="S18" s="38"/>
      <c r="T18" s="38"/>
      <c r="U18" s="38"/>
      <c r="V18" s="53"/>
      <c r="W18" s="53"/>
      <c r="X18" s="53"/>
      <c r="Y18" s="53"/>
      <c r="Z18" s="54"/>
      <c r="AA18" s="54"/>
      <c r="AB18" s="55"/>
      <c r="AC18" s="56"/>
      <c r="AD18" s="57"/>
      <c r="AE18" s="58"/>
      <c r="AF18" s="58"/>
      <c r="AG18" s="60"/>
      <c r="AH18" s="58"/>
      <c r="AI18" s="63"/>
      <c r="AJ18" s="61"/>
      <c r="AK18" s="61"/>
      <c r="AL18" s="62"/>
      <c r="AM18" s="62"/>
    </row>
    <row r="19" spans="3:43" x14ac:dyDescent="0.25">
      <c r="G19" s="48"/>
      <c r="H19" s="48"/>
      <c r="I19" s="48"/>
      <c r="J19" s="24"/>
      <c r="K19" s="24"/>
      <c r="L19" s="24"/>
      <c r="M19" s="48"/>
      <c r="N19" s="48"/>
      <c r="O19" s="50"/>
      <c r="P19" s="64"/>
      <c r="Q19" s="52"/>
      <c r="R19" s="38"/>
      <c r="S19" s="38"/>
      <c r="T19" s="38"/>
      <c r="U19" s="38"/>
      <c r="V19" s="53"/>
      <c r="W19" s="53"/>
      <c r="X19" s="53"/>
      <c r="Y19" s="53"/>
      <c r="Z19" s="54"/>
      <c r="AA19" s="54"/>
      <c r="AB19" s="55"/>
      <c r="AC19" s="56"/>
      <c r="AD19" s="57"/>
      <c r="AE19" s="58"/>
      <c r="AF19" s="59"/>
      <c r="AG19" s="60"/>
      <c r="AH19" s="58"/>
      <c r="AI19" s="63"/>
      <c r="AJ19" s="61"/>
      <c r="AK19" s="61"/>
      <c r="AL19" s="62"/>
      <c r="AM19" s="62"/>
    </row>
    <row r="20" spans="3:43" x14ac:dyDescent="0.25">
      <c r="G20" s="48"/>
      <c r="H20" s="48"/>
      <c r="I20" s="48"/>
      <c r="J20" s="24"/>
      <c r="K20" s="24"/>
      <c r="L20" s="24"/>
      <c r="M20" s="48"/>
      <c r="N20" s="48"/>
      <c r="O20" s="50"/>
      <c r="P20" s="64"/>
      <c r="Q20" s="52"/>
      <c r="R20" s="38"/>
      <c r="S20" s="38"/>
      <c r="T20" s="38"/>
      <c r="U20" s="38"/>
      <c r="V20" s="53"/>
      <c r="W20" s="53"/>
      <c r="X20" s="53"/>
      <c r="Y20" s="53"/>
      <c r="Z20" s="54"/>
      <c r="AA20" s="54"/>
      <c r="AB20" s="55"/>
      <c r="AC20" s="56"/>
      <c r="AD20" s="57"/>
      <c r="AE20" s="58"/>
      <c r="AF20" s="59"/>
      <c r="AG20" s="60"/>
      <c r="AH20" s="58"/>
      <c r="AI20" s="63"/>
      <c r="AJ20" s="65"/>
      <c r="AK20" s="65"/>
      <c r="AL20" s="65"/>
    </row>
    <row r="21" spans="3:43" x14ac:dyDescent="0.25">
      <c r="G21" s="48"/>
      <c r="H21" s="48"/>
      <c r="I21" s="48"/>
      <c r="J21" s="24"/>
      <c r="K21" s="24"/>
      <c r="L21" s="24"/>
      <c r="M21" s="48"/>
      <c r="N21" s="48"/>
      <c r="O21" s="50"/>
      <c r="P21" s="64"/>
      <c r="Q21" s="52"/>
      <c r="R21" s="38"/>
      <c r="S21" s="38"/>
      <c r="T21" s="38"/>
      <c r="U21" s="38"/>
      <c r="V21" s="53"/>
      <c r="W21" s="53"/>
      <c r="X21" s="53"/>
      <c r="Y21" s="53"/>
      <c r="Z21" s="54"/>
      <c r="AA21" s="54"/>
      <c r="AB21" s="55"/>
      <c r="AC21" s="56"/>
      <c r="AD21" s="57"/>
      <c r="AE21" s="58"/>
      <c r="AF21" s="59"/>
      <c r="AG21" s="60"/>
      <c r="AH21" s="58"/>
      <c r="AI21" s="63"/>
      <c r="AJ21" s="61"/>
      <c r="AK21" s="61"/>
      <c r="AL21" s="62"/>
      <c r="AM21" s="62"/>
      <c r="AO21" s="61"/>
      <c r="AP21" s="62"/>
      <c r="AQ21" s="62"/>
    </row>
    <row r="22" spans="3:43" x14ac:dyDescent="0.25">
      <c r="C22" s="80" t="s">
        <v>39</v>
      </c>
      <c r="D22" s="80"/>
      <c r="E22" s="33" t="s">
        <v>40</v>
      </c>
      <c r="G22" s="48"/>
      <c r="H22" s="48"/>
      <c r="I22" s="48"/>
      <c r="J22" s="24"/>
      <c r="K22" s="24"/>
      <c r="L22" s="24"/>
      <c r="M22" s="48"/>
      <c r="N22" s="48"/>
      <c r="O22" s="50"/>
      <c r="P22" s="64"/>
      <c r="Q22" s="52"/>
      <c r="R22" s="38"/>
      <c r="S22" s="38"/>
      <c r="T22" s="38"/>
      <c r="U22" s="38"/>
      <c r="V22" s="53"/>
      <c r="W22" s="53"/>
      <c r="X22" s="53"/>
      <c r="Y22" s="53"/>
      <c r="Z22" s="54"/>
      <c r="AA22" s="54"/>
      <c r="AB22" s="55"/>
      <c r="AC22" s="56"/>
      <c r="AD22" s="57"/>
      <c r="AE22" s="58"/>
      <c r="AF22" s="59"/>
      <c r="AG22" s="60"/>
      <c r="AH22" s="58"/>
      <c r="AI22" s="63"/>
      <c r="AJ22" s="61"/>
      <c r="AK22" s="61"/>
      <c r="AL22" s="62"/>
      <c r="AM22" s="62"/>
      <c r="AO22" s="61"/>
      <c r="AP22" s="62"/>
      <c r="AQ22" s="62"/>
    </row>
    <row r="23" spans="3:43" x14ac:dyDescent="0.25">
      <c r="C23" s="25">
        <v>7</v>
      </c>
      <c r="D23" s="49">
        <v>31.6227766016838</v>
      </c>
      <c r="E23" s="48" t="s">
        <v>41</v>
      </c>
      <c r="G23" s="48"/>
      <c r="H23" s="48"/>
      <c r="I23" s="48"/>
      <c r="J23" s="24"/>
      <c r="K23" s="24"/>
      <c r="L23" s="24"/>
      <c r="M23" s="48"/>
      <c r="N23" s="48"/>
      <c r="O23" s="50"/>
      <c r="P23" s="64"/>
      <c r="Q23" s="52"/>
      <c r="R23" s="38"/>
      <c r="S23" s="38"/>
      <c r="T23" s="38"/>
      <c r="U23" s="38"/>
      <c r="V23" s="53"/>
      <c r="W23" s="53"/>
      <c r="X23" s="53"/>
      <c r="Y23" s="53"/>
      <c r="Z23" s="54"/>
      <c r="AA23" s="54"/>
      <c r="AB23" s="55"/>
      <c r="AC23" s="56"/>
      <c r="AD23" s="57"/>
      <c r="AE23" s="58"/>
      <c r="AF23" s="59"/>
      <c r="AG23" s="60"/>
      <c r="AH23" s="58"/>
      <c r="AI23" s="63"/>
      <c r="AJ23" s="61"/>
      <c r="AK23" s="61"/>
      <c r="AL23" s="62"/>
      <c r="AM23" s="62"/>
      <c r="AO23" s="61"/>
      <c r="AP23" s="62"/>
      <c r="AQ23" s="62"/>
    </row>
    <row r="24" spans="3:43" x14ac:dyDescent="0.25">
      <c r="C24" s="25">
        <v>6</v>
      </c>
      <c r="D24" s="49">
        <v>3.16227766016838</v>
      </c>
      <c r="E24" s="48" t="s">
        <v>42</v>
      </c>
      <c r="AJ24" s="61"/>
      <c r="AK24" s="61"/>
      <c r="AL24" s="62"/>
      <c r="AM24" s="62"/>
      <c r="AO24" s="61"/>
      <c r="AP24" s="62"/>
      <c r="AQ24" s="62"/>
    </row>
    <row r="25" spans="3:43" x14ac:dyDescent="0.25">
      <c r="C25" s="25">
        <v>5</v>
      </c>
      <c r="D25" s="49">
        <v>0.57735026918962595</v>
      </c>
      <c r="E25" s="48" t="s">
        <v>43</v>
      </c>
      <c r="AJ25" s="61"/>
      <c r="AK25" s="61"/>
      <c r="AL25" s="62"/>
      <c r="AM25" s="62"/>
      <c r="AO25" s="61"/>
      <c r="AP25" s="62"/>
      <c r="AQ25" s="62"/>
    </row>
    <row r="26" spans="3:43" x14ac:dyDescent="0.25">
      <c r="C26" s="25">
        <v>4</v>
      </c>
      <c r="D26" s="49">
        <v>0.182574185835055</v>
      </c>
      <c r="E26" s="48" t="s">
        <v>44</v>
      </c>
      <c r="AD26" s="30"/>
      <c r="AE26" s="26"/>
    </row>
    <row r="27" spans="3:43" x14ac:dyDescent="0.25">
      <c r="C27" s="25">
        <v>3</v>
      </c>
      <c r="D27" s="49">
        <v>5.7735026918962602E-2</v>
      </c>
      <c r="E27" s="48" t="s">
        <v>45</v>
      </c>
      <c r="AD27" s="30"/>
      <c r="AE27" s="26"/>
    </row>
    <row r="28" spans="3:43" x14ac:dyDescent="0.25">
      <c r="C28" s="25">
        <v>2</v>
      </c>
      <c r="D28" s="49">
        <v>1.8257418583505498E-2</v>
      </c>
      <c r="E28" s="48" t="s">
        <v>46</v>
      </c>
      <c r="AD28" s="30"/>
      <c r="AE28" s="26"/>
    </row>
    <row r="29" spans="3:43" x14ac:dyDescent="0.25">
      <c r="C29" s="25">
        <v>1</v>
      </c>
      <c r="D29" s="49">
        <f>D27/10</f>
        <v>5.7735026918962606E-3</v>
      </c>
      <c r="E29" s="48" t="s">
        <v>47</v>
      </c>
      <c r="AD29" s="30"/>
      <c r="AE29" s="26"/>
    </row>
    <row r="30" spans="3:43" x14ac:dyDescent="0.25">
      <c r="AD30" s="30"/>
      <c r="AE30" s="26"/>
    </row>
  </sheetData>
  <sheetProtection algorithmName="SHA-512" hashValue="gahiDggejJg1Kb7APAdBw3pAVQVTlFDQJORQYy56KCFrZA4siYRgfw86fL5bW8fONcrRwJRd+NHWMQr5DMbcTQ==" saltValue="R7xlg1y2kxWTRWlABHOn+g==" spinCount="100000" sheet="1" objects="1" scenarios="1"/>
  <mergeCells count="8">
    <mergeCell ref="A5:A9"/>
    <mergeCell ref="B5:B9"/>
    <mergeCell ref="E5:E9"/>
    <mergeCell ref="V12:Y12"/>
    <mergeCell ref="C22:D22"/>
    <mergeCell ref="J12:K12"/>
    <mergeCell ref="C1:H1"/>
    <mergeCell ref="B3:E3"/>
  </mergeCells>
  <dataValidations count="1">
    <dataValidation type="list" allowBlank="1" showInputMessage="1" showErrorMessage="1" sqref="M14:M23">
      <formula1>"New, Existing"</formula1>
    </dataValidation>
  </dataValidations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Reference!$B$2:$B$29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J50"/>
  <sheetViews>
    <sheetView zoomScaleNormal="100" workbookViewId="0"/>
  </sheetViews>
  <sheetFormatPr defaultRowHeight="15" x14ac:dyDescent="0.25"/>
  <cols>
    <col min="1" max="1" width="9.5703125" style="26" bestFit="1" customWidth="1"/>
    <col min="2" max="2" width="33.28515625" style="26" bestFit="1" customWidth="1"/>
    <col min="3" max="3" width="16.5703125" style="26" bestFit="1" customWidth="1"/>
    <col min="4" max="5" width="10.85546875" style="26" bestFit="1" customWidth="1"/>
    <col min="6" max="6" width="9.85546875" style="26" bestFit="1" customWidth="1"/>
    <col min="7" max="7" width="7.140625" style="26" bestFit="1" customWidth="1"/>
    <col min="8" max="10" width="10.85546875" style="26" bestFit="1" customWidth="1"/>
    <col min="11" max="11" width="12.5703125" style="26" bestFit="1" customWidth="1"/>
    <col min="12" max="13" width="9.140625" style="26"/>
    <col min="14" max="15" width="12.5703125" style="26" bestFit="1" customWidth="1"/>
    <col min="16" max="16" width="20.5703125" style="26" customWidth="1"/>
    <col min="17" max="17" width="12.5703125" style="26" bestFit="1" customWidth="1"/>
    <col min="18" max="18" width="12.5703125" style="26" customWidth="1"/>
    <col min="19" max="19" width="3.42578125" style="26" customWidth="1"/>
    <col min="20" max="20" width="3.7109375" style="26" customWidth="1"/>
    <col min="21" max="25" width="11.7109375" style="26" customWidth="1"/>
    <col min="26" max="28" width="11.5703125" style="26" bestFit="1" customWidth="1"/>
    <col min="29" max="29" width="12.28515625" style="26" bestFit="1" customWidth="1"/>
    <col min="30" max="32" width="11.5703125" style="26" bestFit="1" customWidth="1"/>
    <col min="33" max="33" width="9.28515625" style="26" bestFit="1" customWidth="1"/>
    <col min="34" max="36" width="12.5703125" style="26" bestFit="1" customWidth="1"/>
    <col min="37" max="16384" width="9.140625" style="26"/>
  </cols>
  <sheetData>
    <row r="1" spans="1:36" x14ac:dyDescent="0.25">
      <c r="M1" s="66"/>
    </row>
    <row r="2" spans="1:36" x14ac:dyDescent="0.25">
      <c r="A2" s="66"/>
      <c r="C2" s="67" t="s">
        <v>87</v>
      </c>
      <c r="D2" s="67"/>
      <c r="E2" s="67"/>
      <c r="F2" s="67"/>
      <c r="G2" s="67" t="s">
        <v>88</v>
      </c>
      <c r="H2" s="67"/>
      <c r="I2" s="67"/>
      <c r="J2" s="66"/>
      <c r="K2" s="66"/>
      <c r="L2" s="66"/>
      <c r="M2" s="66"/>
      <c r="N2" s="66"/>
    </row>
    <row r="3" spans="1:36" x14ac:dyDescent="0.25">
      <c r="A3" s="66"/>
      <c r="B3" s="66"/>
      <c r="C3" s="67">
        <v>2017</v>
      </c>
      <c r="D3" s="67">
        <v>2018</v>
      </c>
      <c r="E3" s="67">
        <v>2019</v>
      </c>
      <c r="F3" s="67" t="s">
        <v>89</v>
      </c>
      <c r="G3" s="67"/>
      <c r="H3" s="67">
        <v>2017</v>
      </c>
      <c r="I3" s="67">
        <v>2018</v>
      </c>
      <c r="J3" s="67">
        <v>2019</v>
      </c>
      <c r="K3" s="67" t="s">
        <v>90</v>
      </c>
      <c r="L3" s="66"/>
      <c r="M3" s="66"/>
      <c r="N3" s="66"/>
    </row>
    <row r="4" spans="1:36" x14ac:dyDescent="0.25">
      <c r="A4" s="66"/>
      <c r="B4" s="66" t="s">
        <v>90</v>
      </c>
      <c r="C4" s="68">
        <v>8803.7900000000009</v>
      </c>
      <c r="D4" s="68">
        <v>9109.2999999999993</v>
      </c>
      <c r="E4" s="69">
        <f>SUM(E5:E6)</f>
        <v>9306.9540629999992</v>
      </c>
      <c r="F4" s="68">
        <v>9087.98</v>
      </c>
      <c r="G4" s="66"/>
      <c r="H4" s="68">
        <v>17048.330000000002</v>
      </c>
      <c r="I4" s="68">
        <v>15433.16</v>
      </c>
      <c r="J4" s="68">
        <v>13026.48</v>
      </c>
      <c r="K4" s="69">
        <v>45507.98</v>
      </c>
      <c r="L4" s="66"/>
      <c r="M4" s="66"/>
      <c r="N4" s="66">
        <v>7206.9540629999992</v>
      </c>
      <c r="AB4" s="70"/>
      <c r="AC4" s="70"/>
      <c r="AD4" s="70"/>
      <c r="AE4" s="70"/>
      <c r="AF4" s="70"/>
      <c r="AG4" s="70"/>
      <c r="AH4" s="70"/>
      <c r="AI4" s="70"/>
      <c r="AJ4" s="70"/>
    </row>
    <row r="5" spans="1:36" x14ac:dyDescent="0.25">
      <c r="A5" s="66"/>
      <c r="B5" s="66" t="s">
        <v>11</v>
      </c>
      <c r="C5" s="68">
        <v>6577.79</v>
      </c>
      <c r="D5" s="68">
        <v>6660.7</v>
      </c>
      <c r="E5" s="69">
        <v>7206.9540629999992</v>
      </c>
      <c r="F5" s="68">
        <v>6631.96</v>
      </c>
      <c r="G5" s="66"/>
      <c r="H5" s="68">
        <v>17048.330000000002</v>
      </c>
      <c r="I5" s="68">
        <v>15433.16</v>
      </c>
      <c r="J5" s="68">
        <v>13026.48</v>
      </c>
      <c r="K5" s="69">
        <v>45507.98</v>
      </c>
      <c r="L5" s="66"/>
      <c r="M5" s="66"/>
      <c r="N5" s="66">
        <v>2100</v>
      </c>
    </row>
    <row r="6" spans="1:36" x14ac:dyDescent="0.25">
      <c r="A6" s="66"/>
      <c r="B6" s="66" t="s">
        <v>91</v>
      </c>
      <c r="C6" s="68">
        <v>2226</v>
      </c>
      <c r="D6" s="68">
        <v>2448.6</v>
      </c>
      <c r="E6" s="69">
        <v>2100</v>
      </c>
      <c r="F6" s="68">
        <v>2456.02</v>
      </c>
      <c r="G6" s="66"/>
      <c r="H6" s="68">
        <v>0</v>
      </c>
      <c r="I6" s="68">
        <v>0</v>
      </c>
      <c r="J6" s="68">
        <v>0</v>
      </c>
      <c r="K6" s="69">
        <v>0</v>
      </c>
      <c r="L6" s="66"/>
      <c r="M6" s="66"/>
      <c r="N6" s="66"/>
      <c r="AD6" s="71"/>
      <c r="AH6" s="71"/>
      <c r="AI6" s="71"/>
    </row>
    <row r="7" spans="1:36" x14ac:dyDescent="0.2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36" x14ac:dyDescent="0.25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AD8" s="71"/>
      <c r="AE8" s="72"/>
      <c r="AH8" s="71"/>
      <c r="AI8" s="72"/>
      <c r="AJ8" s="71"/>
    </row>
    <row r="9" spans="1:36" x14ac:dyDescent="0.25">
      <c r="A9" s="66"/>
      <c r="B9" s="67"/>
      <c r="C9" s="67" t="s">
        <v>92</v>
      </c>
      <c r="D9" s="67" t="s">
        <v>88</v>
      </c>
      <c r="E9" s="66"/>
      <c r="F9" s="66"/>
      <c r="G9" s="66"/>
      <c r="H9" s="66"/>
      <c r="I9" s="66"/>
      <c r="J9" s="66"/>
      <c r="K9" s="66"/>
      <c r="L9" s="66"/>
      <c r="M9" s="66"/>
      <c r="N9" s="66"/>
      <c r="AD9" s="71"/>
      <c r="AH9" s="71"/>
      <c r="AI9" s="73"/>
      <c r="AJ9" s="71"/>
    </row>
    <row r="10" spans="1:36" x14ac:dyDescent="0.25">
      <c r="A10" s="66"/>
      <c r="B10" s="67" t="s">
        <v>34</v>
      </c>
      <c r="C10" s="69">
        <f>E5</f>
        <v>7206.9540629999992</v>
      </c>
      <c r="D10" s="69">
        <f>K5</f>
        <v>45507.98</v>
      </c>
      <c r="E10" s="68"/>
      <c r="F10" s="66"/>
      <c r="G10" s="66"/>
      <c r="H10" s="74"/>
      <c r="I10" s="75"/>
      <c r="J10" s="66"/>
      <c r="K10" s="66"/>
      <c r="L10" s="66"/>
      <c r="M10" s="66"/>
      <c r="N10" s="66"/>
    </row>
    <row r="11" spans="1:36" x14ac:dyDescent="0.25">
      <c r="A11" s="66"/>
      <c r="B11" s="67" t="s">
        <v>36</v>
      </c>
      <c r="C11" s="69">
        <f>E6</f>
        <v>2100</v>
      </c>
      <c r="D11" s="69">
        <f>K6</f>
        <v>0</v>
      </c>
      <c r="E11" s="68"/>
      <c r="F11" s="66"/>
      <c r="G11" s="66"/>
      <c r="H11" s="74"/>
      <c r="I11" s="75"/>
      <c r="J11" s="66"/>
      <c r="K11" s="66"/>
      <c r="L11" s="66"/>
      <c r="M11" s="66"/>
      <c r="N11" s="66"/>
    </row>
    <row r="12" spans="1:36" x14ac:dyDescent="0.2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</row>
    <row r="13" spans="1:36" x14ac:dyDescent="0.25">
      <c r="A13" s="66"/>
      <c r="L13" s="66"/>
      <c r="M13" s="66"/>
      <c r="N13" s="66"/>
    </row>
    <row r="14" spans="1:36" x14ac:dyDescent="0.25">
      <c r="A14" s="66"/>
      <c r="B14" s="66"/>
      <c r="C14" s="67" t="s">
        <v>98</v>
      </c>
      <c r="D14" s="67" t="s">
        <v>101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</row>
    <row r="15" spans="1:36" x14ac:dyDescent="0.25">
      <c r="A15" s="66"/>
      <c r="B15" s="67" t="s">
        <v>95</v>
      </c>
      <c r="C15" s="66">
        <v>4704</v>
      </c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</row>
    <row r="16" spans="1:36" x14ac:dyDescent="0.25">
      <c r="A16" s="66"/>
      <c r="B16" s="67" t="s">
        <v>96</v>
      </c>
      <c r="C16" s="66">
        <v>880.3</v>
      </c>
      <c r="D16" s="74">
        <f>(C16-C15)/C16</f>
        <v>-4.3436328524366692</v>
      </c>
      <c r="E16" s="66">
        <f>D16*100</f>
        <v>-434.36328524366689</v>
      </c>
      <c r="F16" s="66"/>
      <c r="G16" s="66"/>
      <c r="H16" s="66"/>
      <c r="I16" s="66"/>
      <c r="J16" s="66"/>
      <c r="K16" s="66"/>
      <c r="L16" s="66"/>
      <c r="M16" s="66"/>
      <c r="N16" s="66"/>
    </row>
    <row r="17" spans="1:30" x14ac:dyDescent="0.25">
      <c r="A17" s="66"/>
      <c r="B17" s="67" t="s">
        <v>97</v>
      </c>
      <c r="C17" s="66">
        <v>605.1</v>
      </c>
      <c r="D17" s="74">
        <f>(C16-C17)/C16</f>
        <v>0.31262069748949217</v>
      </c>
      <c r="E17" s="66">
        <f>D17*100</f>
        <v>31.262069748949216</v>
      </c>
      <c r="F17" s="76"/>
      <c r="G17" s="66"/>
      <c r="H17" s="66"/>
      <c r="I17" s="66"/>
      <c r="J17" s="66"/>
      <c r="K17" s="66"/>
      <c r="L17" s="66"/>
      <c r="M17" s="66"/>
      <c r="N17" s="66"/>
      <c r="AC17" s="71"/>
      <c r="AD17" s="71"/>
    </row>
    <row r="18" spans="1:30" x14ac:dyDescent="0.2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AC18" s="71"/>
      <c r="AD18" s="71"/>
    </row>
    <row r="19" spans="1:30" x14ac:dyDescent="0.25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AC19" s="71"/>
      <c r="AD19" s="71"/>
    </row>
    <row r="20" spans="1:30" x14ac:dyDescent="0.2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</row>
    <row r="21" spans="1:30" x14ac:dyDescent="0.2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</row>
    <row r="22" spans="1:30" x14ac:dyDescent="0.25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</row>
    <row r="23" spans="1:30" x14ac:dyDescent="0.2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</row>
    <row r="24" spans="1:30" x14ac:dyDescent="0.25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</row>
    <row r="25" spans="1:30" x14ac:dyDescent="0.2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</row>
    <row r="38" spans="2:3" x14ac:dyDescent="0.25">
      <c r="C38" s="26" t="s">
        <v>93</v>
      </c>
    </row>
    <row r="39" spans="2:3" x14ac:dyDescent="0.25">
      <c r="B39" s="26">
        <v>1</v>
      </c>
      <c r="C39" s="26">
        <v>4.7</v>
      </c>
    </row>
    <row r="40" spans="2:3" x14ac:dyDescent="0.25">
      <c r="B40" s="26">
        <v>2</v>
      </c>
      <c r="C40" s="26">
        <v>4.8</v>
      </c>
    </row>
    <row r="41" spans="2:3" x14ac:dyDescent="0.25">
      <c r="B41" s="26">
        <v>3</v>
      </c>
      <c r="C41" s="26">
        <v>4.8</v>
      </c>
    </row>
    <row r="42" spans="2:3" x14ac:dyDescent="0.25">
      <c r="B42" s="26">
        <v>4</v>
      </c>
      <c r="C42" s="26">
        <v>4.9000000000000004</v>
      </c>
    </row>
    <row r="43" spans="2:3" x14ac:dyDescent="0.25">
      <c r="B43" s="26">
        <v>5</v>
      </c>
      <c r="C43" s="26">
        <v>5.0999999999999996</v>
      </c>
    </row>
    <row r="44" spans="2:3" x14ac:dyDescent="0.25">
      <c r="B44" s="26">
        <v>6</v>
      </c>
      <c r="C44" s="26">
        <v>6</v>
      </c>
    </row>
    <row r="45" spans="2:3" x14ac:dyDescent="0.25">
      <c r="B45" s="26">
        <v>7</v>
      </c>
      <c r="C45" s="26">
        <v>6.9</v>
      </c>
    </row>
    <row r="46" spans="2:3" x14ac:dyDescent="0.25">
      <c r="B46" s="26">
        <v>8</v>
      </c>
      <c r="C46" s="26">
        <v>7.1</v>
      </c>
    </row>
    <row r="47" spans="2:3" x14ac:dyDescent="0.25">
      <c r="B47" s="26">
        <v>9</v>
      </c>
      <c r="C47" s="26">
        <v>7.5</v>
      </c>
    </row>
    <row r="48" spans="2:3" x14ac:dyDescent="0.25">
      <c r="B48" s="26">
        <v>10</v>
      </c>
      <c r="C48" s="26">
        <v>11.1</v>
      </c>
    </row>
    <row r="49" spans="2:3" x14ac:dyDescent="0.25">
      <c r="B49" s="26">
        <v>11</v>
      </c>
      <c r="C49" s="26">
        <v>16.100000000000001</v>
      </c>
    </row>
    <row r="50" spans="2:3" x14ac:dyDescent="0.25">
      <c r="B50" s="26" t="s">
        <v>94</v>
      </c>
      <c r="C50" s="26">
        <f>AVERAGE(C39:C49)</f>
        <v>7.1818181818181817</v>
      </c>
    </row>
  </sheetData>
  <sheetProtection algorithmName="SHA-512" hashValue="PT+FDnoZs9OOvVWBFE3uFomB3uSANGk1OshReZ1tq+ISlYfir87urCkugwgKs/dwqhVGul08Q/cclezUXCRWoQ==" saltValue="RZVwT2XJlne7uBooWreFs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4"/>
  <sheetViews>
    <sheetView workbookViewId="0"/>
  </sheetViews>
  <sheetFormatPr defaultRowHeight="15" x14ac:dyDescent="0.25"/>
  <cols>
    <col min="1" max="1" width="5.85546875" style="26" bestFit="1" customWidth="1"/>
    <col min="2" max="2" width="20.7109375" style="26" customWidth="1"/>
    <col min="3" max="3" width="51.140625" style="26" bestFit="1" customWidth="1"/>
    <col min="4" max="4" width="12.5703125" style="26" customWidth="1"/>
    <col min="5" max="5" width="16.85546875" style="26" bestFit="1" customWidth="1"/>
    <col min="6" max="6" width="10.5703125" style="26" customWidth="1"/>
    <col min="7" max="7" width="27.42578125" style="26" bestFit="1" customWidth="1"/>
    <col min="8" max="8" width="12.28515625" style="26" bestFit="1" customWidth="1"/>
    <col min="9" max="9" width="15" style="26" bestFit="1" customWidth="1"/>
    <col min="10" max="10" width="16.7109375" style="26" customWidth="1"/>
    <col min="11" max="11" width="13.85546875" style="26" customWidth="1"/>
    <col min="12" max="16384" width="9.140625" style="26"/>
  </cols>
  <sheetData>
    <row r="1" spans="1:11" ht="45" x14ac:dyDescent="0.25">
      <c r="A1" s="34" t="s">
        <v>15</v>
      </c>
      <c r="B1" s="34" t="s">
        <v>16</v>
      </c>
      <c r="C1" s="34"/>
      <c r="D1" s="23" t="s">
        <v>17</v>
      </c>
      <c r="E1" s="23" t="s">
        <v>18</v>
      </c>
      <c r="F1" s="23" t="s">
        <v>21</v>
      </c>
      <c r="G1" s="34" t="s">
        <v>22</v>
      </c>
      <c r="H1" s="34" t="s">
        <v>23</v>
      </c>
      <c r="I1" s="77" t="s">
        <v>24</v>
      </c>
      <c r="J1" s="34" t="str">
        <f>Analysis!AA13</f>
        <v>New Score (for life of project)</v>
      </c>
      <c r="K1" s="46" t="str">
        <f>Analysis!AD13</f>
        <v>Cost</v>
      </c>
    </row>
    <row r="2" spans="1:11" x14ac:dyDescent="0.25">
      <c r="A2" s="48" t="str">
        <f>Analysis!G14</f>
        <v>B1</v>
      </c>
      <c r="B2" s="48" t="str">
        <f>Analysis!H14</f>
        <v>Physical Security (Baseline)</v>
      </c>
      <c r="C2" s="49">
        <f>Analysis!I14</f>
        <v>0</v>
      </c>
      <c r="D2" s="24">
        <f>Analysis!J14</f>
        <v>-45507.98</v>
      </c>
      <c r="E2" s="24">
        <f>Analysis!K14</f>
        <v>-7206.9540629999992</v>
      </c>
      <c r="F2" s="48">
        <f>Analysis!N14</f>
        <v>17</v>
      </c>
      <c r="G2" s="50">
        <f>Analysis!O14</f>
        <v>0</v>
      </c>
      <c r="H2" s="64">
        <f>Analysis!P14</f>
        <v>-434.36328524366689</v>
      </c>
      <c r="I2" s="52">
        <f>Analysis!Q14</f>
        <v>0.30851478658048404</v>
      </c>
      <c r="J2" s="56">
        <f>Analysis!AC14</f>
        <v>-173088.1901183821</v>
      </c>
      <c r="K2" s="57">
        <f>Analysis!AD14</f>
        <v>-168026.19907099998</v>
      </c>
    </row>
    <row r="3" spans="1:11" x14ac:dyDescent="0.25">
      <c r="A3" s="48">
        <f>Analysis!G16</f>
        <v>0</v>
      </c>
      <c r="B3" s="48">
        <f>Analysis!H16</f>
        <v>0</v>
      </c>
      <c r="C3" s="49">
        <f>Analysis!I16</f>
        <v>0</v>
      </c>
      <c r="D3" s="24">
        <f>Analysis!J16</f>
        <v>0</v>
      </c>
      <c r="E3" s="24">
        <f>Analysis!K16</f>
        <v>0</v>
      </c>
      <c r="F3" s="48">
        <f>Analysis!N16</f>
        <v>0</v>
      </c>
      <c r="G3" s="50">
        <f>Analysis!O16</f>
        <v>0</v>
      </c>
      <c r="H3" s="64">
        <f>Analysis!P16</f>
        <v>0</v>
      </c>
      <c r="I3" s="52">
        <f>Analysis!Q16</f>
        <v>0</v>
      </c>
      <c r="J3" s="56">
        <f>Analysis!AC16</f>
        <v>0</v>
      </c>
      <c r="K3" s="57">
        <f>Analysis!AD16</f>
        <v>0</v>
      </c>
    </row>
    <row r="4" spans="1:11" x14ac:dyDescent="0.25">
      <c r="A4" s="48" t="str">
        <f>Analysis!G15</f>
        <v>P1</v>
      </c>
      <c r="B4" s="48" t="str">
        <f>Analysis!H15</f>
        <v>Physical Security (Proposed)</v>
      </c>
      <c r="C4" s="49">
        <f>Analysis!I15</f>
        <v>0</v>
      </c>
      <c r="D4" s="24">
        <f>Analysis!J15</f>
        <v>0</v>
      </c>
      <c r="E4" s="24">
        <f>Analysis!K15</f>
        <v>2100</v>
      </c>
      <c r="F4" s="48">
        <f>Analysis!N15</f>
        <v>17</v>
      </c>
      <c r="G4" s="50">
        <f>Analysis!O15</f>
        <v>0</v>
      </c>
      <c r="H4" s="64">
        <f>Analysis!P15</f>
        <v>31.262069748949216</v>
      </c>
      <c r="I4" s="52">
        <f>Analysis!Q15</f>
        <v>3.968586253398191E-2</v>
      </c>
      <c r="J4" s="56">
        <f>Analysis!AC15</f>
        <v>12457.533258513677</v>
      </c>
      <c r="K4" s="57">
        <f>Analysis!AD15</f>
        <v>35700</v>
      </c>
    </row>
    <row r="5" spans="1:11" x14ac:dyDescent="0.25">
      <c r="A5" s="48">
        <f>Analysis!G17</f>
        <v>0</v>
      </c>
      <c r="B5" s="48">
        <f>Analysis!H17</f>
        <v>0</v>
      </c>
      <c r="C5" s="49">
        <f>Analysis!I17</f>
        <v>0</v>
      </c>
      <c r="D5" s="24">
        <f>Analysis!J17</f>
        <v>0</v>
      </c>
      <c r="E5" s="24">
        <f>Analysis!K17</f>
        <v>0</v>
      </c>
      <c r="F5" s="48">
        <f>Analysis!N17</f>
        <v>0</v>
      </c>
      <c r="G5" s="50">
        <f>Analysis!O17</f>
        <v>0</v>
      </c>
      <c r="H5" s="64">
        <f>Analysis!P17</f>
        <v>0</v>
      </c>
      <c r="I5" s="52">
        <f>Analysis!Q17</f>
        <v>0</v>
      </c>
      <c r="J5" s="56">
        <f>Analysis!AC17</f>
        <v>0</v>
      </c>
      <c r="K5" s="57">
        <f>Analysis!AD17</f>
        <v>0</v>
      </c>
    </row>
    <row r="6" spans="1:11" x14ac:dyDescent="0.25">
      <c r="A6" s="48"/>
      <c r="B6" s="48"/>
      <c r="C6" s="48"/>
      <c r="D6" s="24"/>
      <c r="E6" s="24"/>
      <c r="F6" s="48"/>
      <c r="G6" s="50"/>
      <c r="H6" s="64"/>
      <c r="I6" s="52"/>
      <c r="J6" s="56"/>
      <c r="K6" s="57"/>
    </row>
    <row r="7" spans="1:11" x14ac:dyDescent="0.25">
      <c r="A7" s="48"/>
      <c r="B7" s="48"/>
      <c r="C7" s="48"/>
      <c r="D7" s="24"/>
      <c r="E7" s="24"/>
      <c r="F7" s="48"/>
      <c r="G7" s="50"/>
      <c r="H7" s="64"/>
      <c r="I7" s="52"/>
      <c r="J7" s="56"/>
      <c r="K7" s="57"/>
    </row>
    <row r="10" spans="1:11" x14ac:dyDescent="0.25">
      <c r="A10" s="33" t="s">
        <v>48</v>
      </c>
      <c r="B10" s="33"/>
      <c r="C10" s="33" t="str">
        <f>Analysis!$M$13</f>
        <v>New/Existing</v>
      </c>
      <c r="D10" s="78" t="str">
        <f>Analysis!AA13</f>
        <v>New Score (for life of project)</v>
      </c>
      <c r="E10" s="78" t="str">
        <f>Analysis!AD13</f>
        <v>Cost</v>
      </c>
      <c r="F10" s="78" t="str">
        <f>Analysis!AE13</f>
        <v>RSE</v>
      </c>
      <c r="G10" s="78" t="str">
        <f>Analysis!AF13</f>
        <v>Rank</v>
      </c>
    </row>
    <row r="11" spans="1:11" x14ac:dyDescent="0.25">
      <c r="A11" s="49">
        <f>Analysis!G19</f>
        <v>0</v>
      </c>
      <c r="B11" s="49">
        <f>Analysis!H19</f>
        <v>0</v>
      </c>
      <c r="C11" s="49">
        <f>Analysis!M19</f>
        <v>0</v>
      </c>
      <c r="D11" s="48">
        <f>Analysis!AA19</f>
        <v>0</v>
      </c>
      <c r="E11" s="48">
        <f>Analysis!AD19</f>
        <v>0</v>
      </c>
      <c r="F11" s="64">
        <f>Analysis!AE19</f>
        <v>0</v>
      </c>
      <c r="G11" s="48">
        <f>Analysis!AF19</f>
        <v>0</v>
      </c>
    </row>
    <row r="12" spans="1:11" x14ac:dyDescent="0.25">
      <c r="A12" s="49">
        <f>Analysis!G20</f>
        <v>0</v>
      </c>
      <c r="B12" s="49">
        <f>Analysis!H20</f>
        <v>0</v>
      </c>
      <c r="C12" s="49">
        <f>Analysis!M20</f>
        <v>0</v>
      </c>
      <c r="D12" s="48">
        <f>Analysis!AA20</f>
        <v>0</v>
      </c>
      <c r="E12" s="48">
        <f>Analysis!AD20</f>
        <v>0</v>
      </c>
      <c r="F12" s="64">
        <f>Analysis!AE20</f>
        <v>0</v>
      </c>
      <c r="G12" s="48">
        <f>Analysis!AF20</f>
        <v>0</v>
      </c>
    </row>
    <row r="13" spans="1:11" x14ac:dyDescent="0.25">
      <c r="A13" s="49">
        <f>Analysis!G21</f>
        <v>0</v>
      </c>
      <c r="B13" s="49">
        <f>Analysis!H21</f>
        <v>0</v>
      </c>
      <c r="C13" s="49">
        <f>Analysis!M21</f>
        <v>0</v>
      </c>
      <c r="D13" s="48">
        <f>Analysis!AA21</f>
        <v>0</v>
      </c>
      <c r="E13" s="48">
        <f>Analysis!AD21</f>
        <v>0</v>
      </c>
      <c r="F13" s="64">
        <f>Analysis!AE21</f>
        <v>0</v>
      </c>
      <c r="G13" s="48">
        <f>Analysis!AF21</f>
        <v>0</v>
      </c>
    </row>
    <row r="14" spans="1:11" x14ac:dyDescent="0.25">
      <c r="A14" s="49">
        <f>Analysis!G22</f>
        <v>0</v>
      </c>
      <c r="B14" s="49">
        <f>Analysis!H22</f>
        <v>0</v>
      </c>
      <c r="C14" s="49">
        <f>Analysis!M22</f>
        <v>0</v>
      </c>
      <c r="D14" s="48">
        <f>Analysis!AA22</f>
        <v>0</v>
      </c>
      <c r="E14" s="48">
        <f>Analysis!AD22</f>
        <v>0</v>
      </c>
      <c r="F14" s="64">
        <f>Analysis!AE22</f>
        <v>0</v>
      </c>
      <c r="G14" s="48">
        <f>Analysis!AF22</f>
        <v>0</v>
      </c>
    </row>
  </sheetData>
  <sheetProtection algorithmName="SHA-512" hashValue="El1bMvi86ouyQS2BMxD0FRtN1rMV/AT7Kurb3UXf1N3xNea12BJViO7QNZuMkdtig/7KRKasb++qEzJgB5k3Mg==" saltValue="Ckv1SlBbNo2Vud6Gv3pwmQ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48"/>
  <sheetViews>
    <sheetView workbookViewId="0">
      <selection activeCell="D15" sqref="D15"/>
    </sheetView>
  </sheetViews>
  <sheetFormatPr defaultRowHeight="15" x14ac:dyDescent="0.25"/>
  <cols>
    <col min="2" max="2" width="77.7109375" bestFit="1" customWidth="1"/>
    <col min="3" max="3" width="14.42578125" bestFit="1" customWidth="1"/>
    <col min="4" max="4" width="23.42578125" bestFit="1" customWidth="1"/>
    <col min="5" max="5" width="27" bestFit="1" customWidth="1"/>
    <col min="6" max="6" width="28.42578125" bestFit="1" customWidth="1"/>
    <col min="7" max="7" width="25.85546875" bestFit="1" customWidth="1"/>
    <col min="8" max="8" width="22.28515625" bestFit="1" customWidth="1"/>
    <col min="9" max="9" width="18.5703125" bestFit="1" customWidth="1"/>
    <col min="11" max="11" width="4.7109375" customWidth="1"/>
    <col min="12" max="12" width="11.5703125" bestFit="1" customWidth="1"/>
    <col min="13" max="13" width="24.140625" customWidth="1"/>
    <col min="15" max="15" width="4.140625" customWidth="1"/>
    <col min="16" max="16" width="11.5703125" bestFit="1" customWidth="1"/>
  </cols>
  <sheetData>
    <row r="1" spans="1:16" x14ac:dyDescent="0.25">
      <c r="B1" s="5" t="s">
        <v>49</v>
      </c>
      <c r="C1" s="5" t="s">
        <v>50</v>
      </c>
      <c r="D1" s="5" t="s">
        <v>51</v>
      </c>
      <c r="E1" s="5" t="s">
        <v>52</v>
      </c>
      <c r="F1" s="5" t="s">
        <v>53</v>
      </c>
      <c r="G1" s="5" t="s">
        <v>54</v>
      </c>
      <c r="H1" s="5" t="s">
        <v>55</v>
      </c>
      <c r="I1" s="6" t="s">
        <v>56</v>
      </c>
      <c r="K1" s="92" t="s">
        <v>39</v>
      </c>
      <c r="L1" s="92"/>
      <c r="M1" s="1" t="s">
        <v>40</v>
      </c>
      <c r="O1" s="92" t="s">
        <v>57</v>
      </c>
      <c r="P1" s="92"/>
    </row>
    <row r="2" spans="1:16" x14ac:dyDescent="0.25">
      <c r="A2">
        <v>1</v>
      </c>
      <c r="B2" s="7" t="s">
        <v>58</v>
      </c>
      <c r="C2" s="8">
        <v>0.182574185835055</v>
      </c>
      <c r="D2" s="7">
        <v>4</v>
      </c>
      <c r="E2" s="7">
        <v>6</v>
      </c>
      <c r="F2" s="7">
        <v>5</v>
      </c>
      <c r="G2" s="7">
        <v>5</v>
      </c>
      <c r="H2" s="9">
        <v>44548.101343753427</v>
      </c>
      <c r="I2" s="10">
        <f t="shared" ref="I2:I29" si="0">($K$11*$C2*10^$D2)+($K$12*$C2*10^$E2)+($K$13*$C2*10^$F2)+($K$14*$C2*10^$G2)</f>
        <v>44548.101343753427</v>
      </c>
      <c r="K2" s="3">
        <v>7</v>
      </c>
      <c r="L2" s="4">
        <v>31.6227766016838</v>
      </c>
      <c r="M2" s="2" t="s">
        <v>41</v>
      </c>
      <c r="O2" s="3">
        <v>7</v>
      </c>
      <c r="P2" s="11">
        <f>10^O2</f>
        <v>10000000</v>
      </c>
    </row>
    <row r="3" spans="1:16" x14ac:dyDescent="0.25">
      <c r="A3" t="s">
        <v>59</v>
      </c>
      <c r="B3" s="7" t="s">
        <v>60</v>
      </c>
      <c r="C3" s="8">
        <v>5.7735026918962602E-2</v>
      </c>
      <c r="D3" s="7">
        <v>4</v>
      </c>
      <c r="E3" s="7">
        <v>5</v>
      </c>
      <c r="F3" s="7">
        <v>4</v>
      </c>
      <c r="G3" s="7">
        <v>5</v>
      </c>
      <c r="H3" s="9">
        <v>2655.8112382722798</v>
      </c>
      <c r="I3" s="10">
        <f t="shared" si="0"/>
        <v>2655.8112382722798</v>
      </c>
      <c r="K3" s="3">
        <v>6</v>
      </c>
      <c r="L3" s="4">
        <v>3.16227766016838</v>
      </c>
      <c r="M3" s="2" t="s">
        <v>42</v>
      </c>
      <c r="O3" s="3">
        <v>6</v>
      </c>
      <c r="P3" s="11">
        <f t="shared" ref="P3:P8" si="1">10^O3</f>
        <v>1000000</v>
      </c>
    </row>
    <row r="4" spans="1:16" x14ac:dyDescent="0.25">
      <c r="A4">
        <v>3</v>
      </c>
      <c r="B4" s="7" t="s">
        <v>61</v>
      </c>
      <c r="C4" s="8">
        <v>0.57735026918962595</v>
      </c>
      <c r="D4" s="7">
        <v>6</v>
      </c>
      <c r="E4" s="7">
        <v>4</v>
      </c>
      <c r="F4" s="7">
        <v>3</v>
      </c>
      <c r="G4" s="7">
        <v>4</v>
      </c>
      <c r="H4" s="9">
        <v>233364.97880644683</v>
      </c>
      <c r="I4" s="10">
        <f t="shared" si="0"/>
        <v>233364.97880644683</v>
      </c>
      <c r="K4" s="3">
        <v>5</v>
      </c>
      <c r="L4" s="4">
        <v>0.57735026918962595</v>
      </c>
      <c r="M4" s="2" t="s">
        <v>43</v>
      </c>
      <c r="O4" s="3">
        <v>5</v>
      </c>
      <c r="P4" s="11">
        <f t="shared" si="1"/>
        <v>100000</v>
      </c>
    </row>
    <row r="5" spans="1:16" ht="15" customHeight="1" x14ac:dyDescent="0.25">
      <c r="A5">
        <v>4</v>
      </c>
      <c r="B5" s="7" t="s">
        <v>62</v>
      </c>
      <c r="C5" s="8">
        <v>5.7735026918962602E-2</v>
      </c>
      <c r="D5" s="7">
        <v>5</v>
      </c>
      <c r="E5" s="7">
        <v>5</v>
      </c>
      <c r="F5" s="7">
        <v>5</v>
      </c>
      <c r="G5" s="7">
        <v>4</v>
      </c>
      <c r="H5" s="9">
        <v>4734.2722073549339</v>
      </c>
      <c r="I5" s="10">
        <f t="shared" si="0"/>
        <v>4734.2722073549339</v>
      </c>
      <c r="K5" s="3">
        <v>4</v>
      </c>
      <c r="L5" s="4">
        <v>0.182574185835055</v>
      </c>
      <c r="M5" s="2" t="s">
        <v>44</v>
      </c>
      <c r="O5" s="3">
        <v>4</v>
      </c>
      <c r="P5" s="11">
        <f t="shared" si="1"/>
        <v>10000</v>
      </c>
    </row>
    <row r="6" spans="1:16" x14ac:dyDescent="0.25">
      <c r="A6">
        <v>5</v>
      </c>
      <c r="B6" s="7" t="s">
        <v>63</v>
      </c>
      <c r="C6" s="8">
        <v>0.57735026918962595</v>
      </c>
      <c r="D6" s="7">
        <v>4</v>
      </c>
      <c r="E6" s="7">
        <v>4</v>
      </c>
      <c r="F6" s="7">
        <v>4</v>
      </c>
      <c r="G6" s="7">
        <v>4</v>
      </c>
      <c r="H6" s="9">
        <v>5773.5026918962594</v>
      </c>
      <c r="I6" s="10">
        <f t="shared" si="0"/>
        <v>5773.5026918962594</v>
      </c>
      <c r="K6" s="3">
        <v>3</v>
      </c>
      <c r="L6" s="4">
        <v>5.7735026918962602E-2</v>
      </c>
      <c r="M6" s="2" t="s">
        <v>45</v>
      </c>
      <c r="O6" s="3">
        <v>3</v>
      </c>
      <c r="P6" s="11">
        <f t="shared" si="1"/>
        <v>1000</v>
      </c>
    </row>
    <row r="7" spans="1:16" x14ac:dyDescent="0.25">
      <c r="A7">
        <v>6</v>
      </c>
      <c r="B7" s="7" t="s">
        <v>64</v>
      </c>
      <c r="C7" s="8">
        <v>5.7735026918962602E-2</v>
      </c>
      <c r="D7" s="7">
        <v>6</v>
      </c>
      <c r="E7" s="7">
        <v>1</v>
      </c>
      <c r="F7" s="7">
        <v>2</v>
      </c>
      <c r="G7" s="7">
        <v>3</v>
      </c>
      <c r="H7" s="9">
        <v>23106.827943561053</v>
      </c>
      <c r="I7" s="10">
        <f t="shared" si="0"/>
        <v>23106.827943561053</v>
      </c>
      <c r="K7" s="3">
        <v>2</v>
      </c>
      <c r="L7" s="4">
        <v>1.8257418583505498E-2</v>
      </c>
      <c r="M7" s="2" t="s">
        <v>46</v>
      </c>
      <c r="O7" s="3">
        <v>2</v>
      </c>
      <c r="P7" s="11">
        <f t="shared" si="1"/>
        <v>100</v>
      </c>
    </row>
    <row r="8" spans="1:16" x14ac:dyDescent="0.25">
      <c r="A8">
        <v>7</v>
      </c>
      <c r="B8" s="7" t="s">
        <v>65</v>
      </c>
      <c r="C8" s="8">
        <v>0.182574185835055</v>
      </c>
      <c r="D8" s="7">
        <v>4</v>
      </c>
      <c r="E8" s="7">
        <v>6</v>
      </c>
      <c r="F8" s="7">
        <v>5</v>
      </c>
      <c r="G8" s="7">
        <v>5</v>
      </c>
      <c r="H8" s="9">
        <v>44548.101343753427</v>
      </c>
      <c r="I8" s="10">
        <f t="shared" si="0"/>
        <v>44548.101343753427</v>
      </c>
      <c r="K8" s="3">
        <v>1</v>
      </c>
      <c r="L8" s="4">
        <v>5.4772255750516604E-3</v>
      </c>
      <c r="M8" s="2" t="s">
        <v>47</v>
      </c>
      <c r="O8" s="3">
        <v>1</v>
      </c>
      <c r="P8" s="11">
        <f t="shared" si="1"/>
        <v>10</v>
      </c>
    </row>
    <row r="9" spans="1:16" x14ac:dyDescent="0.25">
      <c r="A9">
        <v>9</v>
      </c>
      <c r="B9" s="7" t="s">
        <v>66</v>
      </c>
      <c r="C9" s="8">
        <v>0.182574185835055</v>
      </c>
      <c r="D9" s="7">
        <v>6</v>
      </c>
      <c r="E9" s="7">
        <v>4</v>
      </c>
      <c r="F9" s="7">
        <v>4</v>
      </c>
      <c r="G9" s="7">
        <v>3</v>
      </c>
      <c r="H9" s="9">
        <v>73796.485914529228</v>
      </c>
      <c r="I9" s="10">
        <f t="shared" si="0"/>
        <v>73796.485914529228</v>
      </c>
    </row>
    <row r="10" spans="1:16" x14ac:dyDescent="0.25">
      <c r="A10">
        <v>10</v>
      </c>
      <c r="B10" s="7" t="s">
        <v>67</v>
      </c>
      <c r="C10" s="8">
        <v>5.7735026918962602E-2</v>
      </c>
      <c r="D10" s="7">
        <v>5</v>
      </c>
      <c r="E10" s="7">
        <v>5</v>
      </c>
      <c r="F10" s="7">
        <v>5</v>
      </c>
      <c r="G10" s="7">
        <v>4</v>
      </c>
      <c r="H10" s="9">
        <v>4734.2722073549339</v>
      </c>
      <c r="I10" s="10">
        <f t="shared" si="0"/>
        <v>4734.2722073549339</v>
      </c>
      <c r="K10" s="92" t="s">
        <v>68</v>
      </c>
      <c r="L10" s="92"/>
    </row>
    <row r="11" spans="1:16" x14ac:dyDescent="0.25">
      <c r="A11">
        <v>11</v>
      </c>
      <c r="B11" s="7" t="s">
        <v>69</v>
      </c>
      <c r="C11" s="8">
        <v>5.7735026918962602E-2</v>
      </c>
      <c r="D11" s="7">
        <v>4</v>
      </c>
      <c r="E11" s="7">
        <v>3</v>
      </c>
      <c r="F11" s="7">
        <v>3</v>
      </c>
      <c r="G11" s="7">
        <v>2</v>
      </c>
      <c r="H11" s="9">
        <v>255.18881898181468</v>
      </c>
      <c r="I11" s="10">
        <f t="shared" si="0"/>
        <v>255.18881898181468</v>
      </c>
      <c r="K11" s="12">
        <v>0.4</v>
      </c>
      <c r="L11" s="2" t="s">
        <v>25</v>
      </c>
    </row>
    <row r="12" spans="1:16" x14ac:dyDescent="0.25">
      <c r="A12">
        <v>12</v>
      </c>
      <c r="B12" s="7" t="s">
        <v>70</v>
      </c>
      <c r="C12" s="8">
        <v>5.7735026918962602E-2</v>
      </c>
      <c r="D12" s="7">
        <v>6</v>
      </c>
      <c r="E12" s="7">
        <v>1</v>
      </c>
      <c r="F12" s="7">
        <v>2</v>
      </c>
      <c r="G12" s="7">
        <v>3</v>
      </c>
      <c r="H12" s="9">
        <v>23106.827943561053</v>
      </c>
      <c r="I12" s="10">
        <f t="shared" si="0"/>
        <v>23106.827943561053</v>
      </c>
      <c r="K12" s="12">
        <v>0.2</v>
      </c>
      <c r="L12" s="2" t="s">
        <v>26</v>
      </c>
    </row>
    <row r="13" spans="1:16" x14ac:dyDescent="0.25">
      <c r="A13">
        <v>13</v>
      </c>
      <c r="B13" s="7" t="s">
        <v>71</v>
      </c>
      <c r="C13" s="8">
        <v>5.7735026918962602E-2</v>
      </c>
      <c r="D13" s="7">
        <v>6</v>
      </c>
      <c r="E13" s="7">
        <v>2</v>
      </c>
      <c r="F13" s="7">
        <v>2</v>
      </c>
      <c r="G13" s="7">
        <v>3</v>
      </c>
      <c r="H13" s="9">
        <v>23107.867174045594</v>
      </c>
      <c r="I13" s="10">
        <f t="shared" si="0"/>
        <v>23107.867174045594</v>
      </c>
      <c r="K13" s="12">
        <v>0.2</v>
      </c>
      <c r="L13" s="2" t="s">
        <v>27</v>
      </c>
    </row>
    <row r="14" spans="1:16" ht="15" customHeight="1" x14ac:dyDescent="0.25">
      <c r="A14">
        <v>14</v>
      </c>
      <c r="B14" s="7" t="s">
        <v>72</v>
      </c>
      <c r="C14" s="8">
        <v>0.182574185835055</v>
      </c>
      <c r="D14" s="7">
        <v>6</v>
      </c>
      <c r="E14" s="7">
        <v>3</v>
      </c>
      <c r="F14" s="7">
        <v>3</v>
      </c>
      <c r="G14" s="7">
        <v>3</v>
      </c>
      <c r="H14" s="9">
        <v>73139.218845523035</v>
      </c>
      <c r="I14" s="10">
        <f t="shared" si="0"/>
        <v>73139.218845523035</v>
      </c>
      <c r="K14" s="12">
        <v>0.2</v>
      </c>
      <c r="L14" s="2" t="s">
        <v>28</v>
      </c>
    </row>
    <row r="15" spans="1:16" s="17" customFormat="1" x14ac:dyDescent="0.25">
      <c r="A15">
        <v>15</v>
      </c>
      <c r="B15" s="7" t="s">
        <v>73</v>
      </c>
      <c r="C15" s="8">
        <v>0.182574185835055</v>
      </c>
      <c r="D15" s="7">
        <v>4</v>
      </c>
      <c r="E15" s="7">
        <v>4</v>
      </c>
      <c r="F15" s="7">
        <v>5</v>
      </c>
      <c r="G15" s="7">
        <v>4</v>
      </c>
      <c r="H15" s="9">
        <v>5112.077203381541</v>
      </c>
      <c r="I15" s="10">
        <f t="shared" si="0"/>
        <v>5112.077203381541</v>
      </c>
    </row>
    <row r="16" spans="1:16" ht="15" customHeight="1" x14ac:dyDescent="0.25">
      <c r="A16">
        <v>16</v>
      </c>
      <c r="B16" s="7" t="s">
        <v>74</v>
      </c>
      <c r="C16" s="8">
        <v>1.8257418583505498E-2</v>
      </c>
      <c r="D16" s="7">
        <v>6</v>
      </c>
      <c r="E16" s="7">
        <v>7</v>
      </c>
      <c r="F16" s="7">
        <v>5</v>
      </c>
      <c r="G16" s="7">
        <v>5</v>
      </c>
      <c r="H16" s="9">
        <v>44548.10134375342</v>
      </c>
      <c r="I16" s="10">
        <f t="shared" si="0"/>
        <v>44548.10134375342</v>
      </c>
    </row>
    <row r="17" spans="1:9" x14ac:dyDescent="0.25">
      <c r="A17">
        <v>17</v>
      </c>
      <c r="B17" s="7" t="s">
        <v>75</v>
      </c>
      <c r="C17" s="8">
        <v>1.8257418583505498E-2</v>
      </c>
      <c r="D17" s="7">
        <v>6</v>
      </c>
      <c r="E17" s="7">
        <v>7</v>
      </c>
      <c r="F17" s="7">
        <v>5</v>
      </c>
      <c r="G17" s="7">
        <v>5</v>
      </c>
      <c r="H17" s="9">
        <v>44548.10134375342</v>
      </c>
      <c r="I17" s="10">
        <f t="shared" si="0"/>
        <v>44548.10134375342</v>
      </c>
    </row>
    <row r="18" spans="1:9" x14ac:dyDescent="0.25">
      <c r="A18">
        <v>18</v>
      </c>
      <c r="B18" s="7" t="s">
        <v>1</v>
      </c>
      <c r="C18" s="8">
        <v>5.7735026918962602E-2</v>
      </c>
      <c r="D18" s="7">
        <v>5</v>
      </c>
      <c r="E18" s="7">
        <v>3</v>
      </c>
      <c r="F18" s="7">
        <v>3</v>
      </c>
      <c r="G18" s="7">
        <v>3</v>
      </c>
      <c r="H18" s="9">
        <v>2344.0420929098818</v>
      </c>
      <c r="I18" s="10">
        <f t="shared" si="0"/>
        <v>2344.0420929098818</v>
      </c>
    </row>
    <row r="19" spans="1:9" x14ac:dyDescent="0.25">
      <c r="A19">
        <v>19</v>
      </c>
      <c r="B19" s="7" t="s">
        <v>76</v>
      </c>
      <c r="C19" s="8">
        <v>1.8257418583505498E-2</v>
      </c>
      <c r="D19" s="7">
        <v>6</v>
      </c>
      <c r="E19" s="7">
        <v>4</v>
      </c>
      <c r="F19" s="7">
        <v>3</v>
      </c>
      <c r="G19" s="7">
        <v>4</v>
      </c>
      <c r="H19" s="9">
        <v>7379.6485914529239</v>
      </c>
      <c r="I19" s="10">
        <f t="shared" si="0"/>
        <v>7379.6485914529239</v>
      </c>
    </row>
    <row r="20" spans="1:9" x14ac:dyDescent="0.25">
      <c r="A20" s="17">
        <v>20</v>
      </c>
      <c r="B20" s="18" t="s">
        <v>77</v>
      </c>
      <c r="C20" s="19">
        <v>0.57735026918962595</v>
      </c>
      <c r="D20" s="18">
        <v>7</v>
      </c>
      <c r="E20" s="18">
        <v>6</v>
      </c>
      <c r="F20" s="18">
        <v>5</v>
      </c>
      <c r="G20" s="18">
        <v>6</v>
      </c>
      <c r="H20" s="20">
        <v>2551888.1898181466</v>
      </c>
      <c r="I20" s="21">
        <f t="shared" si="0"/>
        <v>2551888.1898181466</v>
      </c>
    </row>
    <row r="21" spans="1:9" x14ac:dyDescent="0.25">
      <c r="A21">
        <v>21</v>
      </c>
      <c r="B21" s="7" t="s">
        <v>78</v>
      </c>
      <c r="C21" s="8">
        <v>0.57735026918962595</v>
      </c>
      <c r="D21" s="7">
        <v>6</v>
      </c>
      <c r="E21" s="7">
        <v>4</v>
      </c>
      <c r="F21" s="7">
        <v>3</v>
      </c>
      <c r="G21" s="7">
        <v>4</v>
      </c>
      <c r="H21" s="9">
        <v>233364.97880644683</v>
      </c>
      <c r="I21" s="10">
        <f t="shared" si="0"/>
        <v>233364.97880644683</v>
      </c>
    </row>
    <row r="22" spans="1:9" x14ac:dyDescent="0.25">
      <c r="A22">
        <v>22</v>
      </c>
      <c r="B22" s="7" t="s">
        <v>79</v>
      </c>
      <c r="C22" s="8">
        <v>5.7735026918962602E-2</v>
      </c>
      <c r="D22" s="7">
        <v>6</v>
      </c>
      <c r="E22" s="7">
        <v>5</v>
      </c>
      <c r="F22" s="7">
        <v>5</v>
      </c>
      <c r="G22" s="7">
        <v>6</v>
      </c>
      <c r="H22" s="9">
        <v>36950.417228136066</v>
      </c>
      <c r="I22" s="10">
        <f t="shared" si="0"/>
        <v>36950.417228136066</v>
      </c>
    </row>
    <row r="23" spans="1:9" x14ac:dyDescent="0.25">
      <c r="A23">
        <v>23</v>
      </c>
      <c r="B23" s="7" t="s">
        <v>80</v>
      </c>
      <c r="C23" s="8">
        <v>5.7735026918962602E-2</v>
      </c>
      <c r="D23" s="7">
        <v>5</v>
      </c>
      <c r="E23" s="7">
        <v>3</v>
      </c>
      <c r="F23" s="7">
        <v>3</v>
      </c>
      <c r="G23" s="7">
        <v>3</v>
      </c>
      <c r="H23" s="9">
        <v>2344.0420929098818</v>
      </c>
      <c r="I23" s="10">
        <f t="shared" si="0"/>
        <v>2344.0420929098818</v>
      </c>
    </row>
    <row r="24" spans="1:9" x14ac:dyDescent="0.25">
      <c r="A24">
        <v>24</v>
      </c>
      <c r="B24" s="7" t="s">
        <v>81</v>
      </c>
      <c r="C24" s="8">
        <v>1.8257418583505498E-2</v>
      </c>
      <c r="D24" s="7">
        <v>5</v>
      </c>
      <c r="E24" s="7">
        <v>5</v>
      </c>
      <c r="F24" s="7">
        <v>5</v>
      </c>
      <c r="G24" s="7">
        <v>5</v>
      </c>
      <c r="H24" s="9">
        <v>1825.74185835055</v>
      </c>
      <c r="I24" s="10">
        <f t="shared" si="0"/>
        <v>1825.74185835055</v>
      </c>
    </row>
    <row r="25" spans="1:9" ht="15" customHeight="1" x14ac:dyDescent="0.25">
      <c r="A25">
        <v>25</v>
      </c>
      <c r="B25" s="7" t="s">
        <v>82</v>
      </c>
      <c r="C25" s="8">
        <v>5.7735026918962602E-2</v>
      </c>
      <c r="D25" s="7">
        <v>5</v>
      </c>
      <c r="E25" s="7">
        <v>6</v>
      </c>
      <c r="F25" s="7">
        <v>4</v>
      </c>
      <c r="G25" s="7">
        <v>4</v>
      </c>
      <c r="H25" s="9">
        <v>14087.346568226876</v>
      </c>
      <c r="I25" s="10">
        <f t="shared" si="0"/>
        <v>14087.346568226876</v>
      </c>
    </row>
    <row r="26" spans="1:9" s="17" customFormat="1" x14ac:dyDescent="0.25">
      <c r="A26" s="17">
        <v>26</v>
      </c>
      <c r="B26" s="18" t="s">
        <v>83</v>
      </c>
      <c r="C26" s="19">
        <v>0.57735026918962595</v>
      </c>
      <c r="D26" s="18">
        <v>6</v>
      </c>
      <c r="E26" s="18">
        <v>4</v>
      </c>
      <c r="F26" s="18">
        <v>3</v>
      </c>
      <c r="G26" s="18">
        <v>4</v>
      </c>
      <c r="H26" s="20">
        <v>233364.97880644683</v>
      </c>
      <c r="I26" s="21">
        <f t="shared" si="0"/>
        <v>233364.97880644683</v>
      </c>
    </row>
    <row r="27" spans="1:9" s="17" customFormat="1" x14ac:dyDescent="0.25">
      <c r="A27">
        <v>27</v>
      </c>
      <c r="B27" s="7" t="s">
        <v>84</v>
      </c>
      <c r="C27" s="8">
        <v>1.8257418583505498E-2</v>
      </c>
      <c r="D27" s="7">
        <v>6</v>
      </c>
      <c r="E27" s="7">
        <v>4</v>
      </c>
      <c r="F27" s="7">
        <v>5</v>
      </c>
      <c r="G27" s="7">
        <v>6</v>
      </c>
      <c r="H27" s="9">
        <v>11356.11435894042</v>
      </c>
      <c r="I27" s="10">
        <f t="shared" si="0"/>
        <v>11356.11435894042</v>
      </c>
    </row>
    <row r="28" spans="1:9" ht="15" customHeight="1" x14ac:dyDescent="0.25">
      <c r="A28" s="17">
        <v>28</v>
      </c>
      <c r="B28" s="18" t="s">
        <v>85</v>
      </c>
      <c r="C28" s="19">
        <v>5.7735026918962602E-2</v>
      </c>
      <c r="D28" s="18">
        <v>5</v>
      </c>
      <c r="E28" s="18">
        <v>3</v>
      </c>
      <c r="F28" s="18">
        <v>3</v>
      </c>
      <c r="G28" s="18">
        <v>3</v>
      </c>
      <c r="H28" s="20">
        <v>2344.04209290988</v>
      </c>
      <c r="I28" s="21">
        <f t="shared" si="0"/>
        <v>2344.0420929098818</v>
      </c>
    </row>
    <row r="29" spans="1:9" x14ac:dyDescent="0.25">
      <c r="A29" s="22"/>
      <c r="B29" s="13" t="s">
        <v>86</v>
      </c>
      <c r="C29" s="14">
        <v>5.7735026918962602E-2</v>
      </c>
      <c r="D29" s="13">
        <v>4</v>
      </c>
      <c r="E29" s="13">
        <v>1</v>
      </c>
      <c r="F29" s="13">
        <v>5</v>
      </c>
      <c r="G29" s="13">
        <v>4</v>
      </c>
      <c r="H29" s="15">
        <v>1501.2261699468656</v>
      </c>
      <c r="I29" s="16">
        <f t="shared" si="0"/>
        <v>1501.2261699468656</v>
      </c>
    </row>
    <row r="37" ht="15" customHeight="1" x14ac:dyDescent="0.25"/>
    <row r="39" ht="15" customHeight="1" x14ac:dyDescent="0.25"/>
    <row r="48" ht="15" customHeight="1" x14ac:dyDescent="0.25"/>
  </sheetData>
  <sheetProtection algorithmName="SHA-512" hashValue="Y8VwVR3DpdrZCkSbwuKoRPZk9QqAgV6hX/zWxYDOII5H7G7ouUFSOfqMyeTPLEz+UOROuh+RHO54/C59dX3Q4w==" saltValue="VHqHi+xq9f1NXe4kJqq3GQ==" spinCount="100000" sheet="1" objects="1" scenarios="1"/>
  <sortState ref="A2:I28">
    <sortCondition ref="A2"/>
  </sortState>
  <mergeCells count="3">
    <mergeCell ref="K1:L1"/>
    <mergeCell ref="O1:P1"/>
    <mergeCell ref="K10:L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5F11FE97CC0B4B99B15CE895FECCD9" ma:contentTypeVersion="2" ma:contentTypeDescription="Create a new document." ma:contentTypeScope="" ma:versionID="bd3593010a512bd2aa90b0c20cf1f5f4">
  <xsd:schema xmlns:xsd="http://www.w3.org/2001/XMLSchema" xmlns:xs="http://www.w3.org/2001/XMLSchema" xmlns:p="http://schemas.microsoft.com/office/2006/metadata/properties" xmlns:ns2="c9707976-b9a4-4d64-b46b-225405a11850" targetNamespace="http://schemas.microsoft.com/office/2006/metadata/properties" ma:root="true" ma:fieldsID="4c5c5e0f3adf1f87f277ab198cdd28fa" ns2:_="">
    <xsd:import namespace="c9707976-b9a4-4d64-b46b-225405a1185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07976-b9a4-4d64-b46b-225405a118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AAF2A1-B381-4395-B9EF-4B8F33B3E1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707976-b9a4-4d64-b46b-225405a118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0DA406-AFA7-4B13-A211-DBBBCB820962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c9707976-b9a4-4d64-b46b-225405a11850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5339F5E-CF94-47A9-8F97-5E602980FB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Cover Page</vt:lpstr>
      <vt:lpstr>Analysis</vt:lpstr>
      <vt:lpstr>Data</vt:lpstr>
      <vt:lpstr>Summary</vt:lpstr>
      <vt:lpstr>Reference</vt:lpstr>
      <vt:lpstr>'Cover Page'!Print_Area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Almujahed</dc:creator>
  <cp:lastModifiedBy>York, Jamie K</cp:lastModifiedBy>
  <cp:revision/>
  <dcterms:created xsi:type="dcterms:W3CDTF">2015-11-11T19:37:07Z</dcterms:created>
  <dcterms:modified xsi:type="dcterms:W3CDTF">2017-01-11T22:11:44Z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0x010100995F11FE97CC0B4B99B15CE895FECCD9</vt:lpwstr>
  </property>
</Properties>
</file>