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/>
  <bookViews>
    <workbookView xWindow="1500" yWindow="690" windowWidth="5070" windowHeight="5850"/>
  </bookViews>
  <sheets>
    <sheet name="Cover Page" sheetId="8" r:id="rId1"/>
    <sheet name="Analysis" sheetId="3" r:id="rId2"/>
    <sheet name="Data" sheetId="2" r:id="rId3"/>
    <sheet name="Reference" sheetId="7" r:id="rId4"/>
  </sheets>
  <externalReferences>
    <externalReference r:id="rId5"/>
  </externalReferences>
  <definedNames>
    <definedName name="ExpResult" localSheetId="0">#REF!</definedName>
    <definedName name="ExpResult">#REF!</definedName>
    <definedName name="InputVal" localSheetId="0">#REF!</definedName>
    <definedName name="InputVal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A31" i="2" l="1"/>
  <c r="A20" i="2" l="1"/>
  <c r="P31" i="2"/>
  <c r="L18" i="7" l="1"/>
  <c r="AD38" i="3" l="1"/>
  <c r="AD26" i="3"/>
  <c r="A36" i="2" l="1"/>
  <c r="A25" i="2"/>
  <c r="A15" i="2"/>
  <c r="A16" i="2" s="1"/>
  <c r="A14" i="2"/>
  <c r="A10" i="2" l="1"/>
  <c r="A7" i="2"/>
  <c r="A37" i="2" l="1"/>
  <c r="A38" i="2" s="1"/>
  <c r="A17" i="2" l="1"/>
  <c r="A8" i="2"/>
  <c r="A9" i="2" s="1"/>
  <c r="P14" i="3" l="1"/>
  <c r="I10" i="2"/>
  <c r="P26" i="3"/>
  <c r="I17" i="2"/>
  <c r="E21" i="2"/>
  <c r="A28" i="2"/>
  <c r="A26" i="2"/>
  <c r="A27" i="2" s="1"/>
  <c r="P31" i="3" l="1"/>
  <c r="I27" i="2"/>
  <c r="D32" i="2"/>
  <c r="A39" i="2"/>
  <c r="P38" i="3" l="1"/>
  <c r="I40" i="2"/>
  <c r="L38" i="3"/>
  <c r="AD31" i="3"/>
  <c r="L31" i="3"/>
  <c r="L26" i="3" l="1"/>
  <c r="L14" i="3" l="1"/>
  <c r="D9" i="3" l="1"/>
  <c r="U11" i="3" s="1"/>
  <c r="Y31" i="3" l="1"/>
  <c r="Y38" i="3"/>
  <c r="Y14" i="3"/>
  <c r="Y26" i="3"/>
  <c r="D7" i="3"/>
  <c r="S11" i="3" s="1"/>
  <c r="D8" i="3"/>
  <c r="T11" i="3" s="1"/>
  <c r="D5" i="3"/>
  <c r="D6" i="3"/>
  <c r="R11" i="3" s="1"/>
  <c r="AD14" i="3"/>
  <c r="Q31" i="3" l="1"/>
  <c r="Q26" i="3"/>
  <c r="Q14" i="3"/>
  <c r="Q38" i="3"/>
  <c r="V38" i="3"/>
  <c r="V31" i="3"/>
  <c r="X31" i="3"/>
  <c r="X38" i="3"/>
  <c r="W38" i="3"/>
  <c r="W31" i="3"/>
  <c r="V26" i="3"/>
  <c r="V14" i="3"/>
  <c r="W14" i="3"/>
  <c r="W26" i="3"/>
  <c r="Q11" i="3"/>
  <c r="X14" i="3"/>
  <c r="X26" i="3"/>
  <c r="E5" i="3"/>
  <c r="Z31" i="3" l="1"/>
  <c r="AA31" i="3" s="1"/>
  <c r="AC31" i="3" s="1"/>
  <c r="AE31" i="3" s="1"/>
  <c r="Z38" i="3"/>
  <c r="AA38" i="3" s="1"/>
  <c r="AC38" i="3" s="1"/>
  <c r="AE38" i="3" s="1"/>
  <c r="Z26" i="3"/>
  <c r="AA26" i="3" s="1"/>
  <c r="Z14" i="3"/>
  <c r="AA14" i="3" s="1"/>
  <c r="AC26" i="3" l="1"/>
  <c r="AC14" i="3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AE14" i="3" l="1"/>
  <c r="AE26" i="3"/>
  <c r="I20" i="7"/>
  <c r="I28" i="7"/>
  <c r="AF14" i="3" l="1"/>
  <c r="AF26" i="3"/>
  <c r="AF31" i="3"/>
  <c r="AF38" i="3"/>
</calcChain>
</file>

<file path=xl/sharedStrings.xml><?xml version="1.0" encoding="utf-8"?>
<sst xmlns="http://schemas.openxmlformats.org/spreadsheetml/2006/main" count="897" uniqueCount="244">
  <si>
    <t>Financial</t>
  </si>
  <si>
    <t>Frequency</t>
  </si>
  <si>
    <t>Baseline Residual Risk</t>
  </si>
  <si>
    <t>Original</t>
  </si>
  <si>
    <t>Original Baseline</t>
  </si>
  <si>
    <t>Safety Consequence</t>
  </si>
  <si>
    <t>Reliability Consequence</t>
  </si>
  <si>
    <t>Compliance Consequence</t>
  </si>
  <si>
    <t>Financial Consequence</t>
  </si>
  <si>
    <t>(000s)</t>
  </si>
  <si>
    <t>Enable</t>
  </si>
  <si>
    <t>Project ID</t>
  </si>
  <si>
    <t>Name</t>
  </si>
  <si>
    <t>Annuity</t>
  </si>
  <si>
    <t>New/Existing</t>
  </si>
  <si>
    <t>Life of the Project</t>
  </si>
  <si>
    <t>Frequency %</t>
  </si>
  <si>
    <t>Safety</t>
  </si>
  <si>
    <t>Reliability</t>
  </si>
  <si>
    <t>Compliance</t>
  </si>
  <si>
    <t>Existing</t>
  </si>
  <si>
    <t>Weights on Each Mitigation</t>
  </si>
  <si>
    <t>Annuity instead of Capital Cost</t>
  </si>
  <si>
    <t>Probability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</si>
  <si>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</si>
  <si>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</si>
  <si>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</si>
  <si>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</si>
  <si>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</si>
  <si>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</si>
  <si>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</si>
  <si>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</si>
  <si>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</si>
  <si>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</si>
  <si>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</si>
  <si>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</si>
  <si>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Before</t>
  </si>
  <si>
    <t>SCG - Catastrophic Event related to Storage Well Integrity</t>
  </si>
  <si>
    <t>SCG - Cyber Security</t>
  </si>
  <si>
    <t>SCG - Employee, Contractor, Customer and Public  Safety</t>
  </si>
  <si>
    <t>SCG - Physical Security of Critical Infrastructure</t>
  </si>
  <si>
    <t>SCG - Records Management</t>
  </si>
  <si>
    <t>SCG - Workforce Planning</t>
  </si>
  <si>
    <t>Weights</t>
  </si>
  <si>
    <t>SCG - Workplace Violence</t>
  </si>
  <si>
    <t>SDGE - Aviation Incident</t>
  </si>
  <si>
    <t>SDGE - Catastrophic Damage involving Gas Infrastructure (Dig-Ins)</t>
  </si>
  <si>
    <t>SDGE - Catastrophic Damage Involving Gas Transmission Pipeline Failure</t>
  </si>
  <si>
    <t>Impact</t>
  </si>
  <si>
    <t>SDGE - Catastrophic Damage Involving Medium and non-DOT Pipeline Failure</t>
  </si>
  <si>
    <t>SDGE - Cyber Security</t>
  </si>
  <si>
    <t>Finance</t>
  </si>
  <si>
    <t>SDGE - Distributed Energy Resources (DERs) Safety and Operational Concerns</t>
  </si>
  <si>
    <t>SDGE - Electric Infrastructure Integrity</t>
  </si>
  <si>
    <t>SDGE - Employee, Contractor &amp; Public Safety</t>
  </si>
  <si>
    <t>SDGE - Fail to Black Start</t>
  </si>
  <si>
    <t>SDGE - Major Disturbance to Electrical Service (e.g. Blackout)</t>
  </si>
  <si>
    <t>SDGE - Public Safety Events - Electric</t>
  </si>
  <si>
    <t>SDGE - Records Management</t>
  </si>
  <si>
    <t>SDGE - Violation of Environmental Policies/Procedures</t>
  </si>
  <si>
    <t>SDGE - Wildfires caused by SDG&amp;E Equipment (including 3rd Party Pole Attachments)</t>
  </si>
  <si>
    <t>After</t>
  </si>
  <si>
    <t>SDGE - Workforce Planning</t>
  </si>
  <si>
    <t>SDGE - Workplace Violence</t>
  </si>
  <si>
    <t>B1</t>
  </si>
  <si>
    <t>B2</t>
  </si>
  <si>
    <t>Cost</t>
  </si>
  <si>
    <t>Baseline</t>
  </si>
  <si>
    <t>New Frequency</t>
  </si>
  <si>
    <t>New Score</t>
  </si>
  <si>
    <t>New Consequence Scores, weighted</t>
  </si>
  <si>
    <t>Rank</t>
  </si>
  <si>
    <t>Mitigation Weight</t>
  </si>
  <si>
    <t>SDGE - Climate Change Adaptation</t>
  </si>
  <si>
    <t>SDGE - Unmanned Aircraft System (UAS) Incident</t>
  </si>
  <si>
    <t>2, 8</t>
  </si>
  <si>
    <t>P1</t>
  </si>
  <si>
    <t>B3</t>
  </si>
  <si>
    <t>Description</t>
  </si>
  <si>
    <t>Policies in place to comply with Federal and State Regulations regarding inspections, repair schedules, repair methods, and monitoring pending leaks</t>
  </si>
  <si>
    <t>Operator Qualification Program</t>
  </si>
  <si>
    <t>Pipeline Safety and Compliance</t>
  </si>
  <si>
    <t>Employees are comprehensively trained to perform compliance inspections.</t>
  </si>
  <si>
    <t/>
  </si>
  <si>
    <t>Capital Cost (2017-2019)</t>
  </si>
  <si>
    <t>OM Cost (2017-2019 average)</t>
  </si>
  <si>
    <t>Data for mitigation B1</t>
  </si>
  <si>
    <t xml:space="preserve"> Current incident rate where cause is incorrect operations, significant incidents per million people per year</t>
  </si>
  <si>
    <t>Data for mitigation B2</t>
  </si>
  <si>
    <t>Distribution Integrity management programs are closely monitored and given high priority.  Frequent audits are conducted.</t>
  </si>
  <si>
    <t>DIMP DREAMS</t>
  </si>
  <si>
    <t xml:space="preserve"> Percent improvement in corrosion or other outside force incident rate</t>
  </si>
  <si>
    <t>New</t>
  </si>
  <si>
    <t>Newly proposed Distribution Integrity management programs adddressing high priority, non-state-of-the-art, distribution services and mains.</t>
  </si>
  <si>
    <t>Data for mitigation P1</t>
  </si>
  <si>
    <t>Systems are in place to monitor and manage compliance activity schedules</t>
  </si>
  <si>
    <t>Utility Conflict Review (Right of Way)</t>
  </si>
  <si>
    <t>Data for mitigation B3</t>
  </si>
  <si>
    <t>State</t>
  </si>
  <si>
    <t>AK</t>
  </si>
  <si>
    <t>AL</t>
  </si>
  <si>
    <t>AZ</t>
  </si>
  <si>
    <t>CT</t>
  </si>
  <si>
    <t>DE</t>
  </si>
  <si>
    <t>HI</t>
  </si>
  <si>
    <t>IN</t>
  </si>
  <si>
    <t>ME</t>
  </si>
  <si>
    <t>MD</t>
  </si>
  <si>
    <t>MO</t>
  </si>
  <si>
    <t>MT</t>
  </si>
  <si>
    <t>ND</t>
  </si>
  <si>
    <t>NH</t>
  </si>
  <si>
    <t>OR</t>
  </si>
  <si>
    <t>RI</t>
  </si>
  <si>
    <t>SC</t>
  </si>
  <si>
    <t>SD</t>
  </si>
  <si>
    <t>UT</t>
  </si>
  <si>
    <t>VA</t>
  </si>
  <si>
    <t>VT</t>
  </si>
  <si>
    <t>WI</t>
  </si>
  <si>
    <t>WV</t>
  </si>
  <si>
    <t>WY</t>
  </si>
  <si>
    <t>ID</t>
  </si>
  <si>
    <t>IA</t>
  </si>
  <si>
    <t>FL</t>
  </si>
  <si>
    <t>WA</t>
  </si>
  <si>
    <t>KY</t>
  </si>
  <si>
    <t>OK</t>
  </si>
  <si>
    <t>MS</t>
  </si>
  <si>
    <t>SDGE</t>
  </si>
  <si>
    <t>CA</t>
  </si>
  <si>
    <t>TX</t>
  </si>
  <si>
    <t>IL</t>
  </si>
  <si>
    <t>MI</t>
  </si>
  <si>
    <t>NJ</t>
  </si>
  <si>
    <t>National</t>
  </si>
  <si>
    <t>NY</t>
  </si>
  <si>
    <t>PA</t>
  </si>
  <si>
    <t>TN</t>
  </si>
  <si>
    <t>OH</t>
  </si>
  <si>
    <t>CO</t>
  </si>
  <si>
    <t>NC</t>
  </si>
  <si>
    <t>AR</t>
  </si>
  <si>
    <t>MN</t>
  </si>
  <si>
    <t>GA</t>
  </si>
  <si>
    <t>LA</t>
  </si>
  <si>
    <t>MA</t>
  </si>
  <si>
    <t>NM</t>
  </si>
  <si>
    <t>NE</t>
  </si>
  <si>
    <t>NV</t>
  </si>
  <si>
    <t>KS</t>
  </si>
  <si>
    <t>DC</t>
  </si>
  <si>
    <t>Significant incidents per million people per  year</t>
  </si>
  <si>
    <t>Distribution only - Incorrect operations</t>
  </si>
  <si>
    <t>Distribution - All causes</t>
  </si>
  <si>
    <t>Distribution only - corrosion and material failure or pipe or weld</t>
  </si>
  <si>
    <t>Distribution only - corrosion and other outside forces</t>
  </si>
  <si>
    <t xml:space="preserve"> What percent of bad assets are being replaced?</t>
  </si>
  <si>
    <t>SCG</t>
  </si>
  <si>
    <t>Training</t>
  </si>
  <si>
    <t>Systems</t>
  </si>
  <si>
    <t>Chart 1</t>
  </si>
  <si>
    <t>Chart II</t>
  </si>
  <si>
    <t>Chart III</t>
  </si>
  <si>
    <t>TABLE 1. Likelihood table</t>
  </si>
  <si>
    <t>&gt; 10 times per year</t>
  </si>
  <si>
    <t>1-10 times per year</t>
  </si>
  <si>
    <t>Once every 1-3 years</t>
  </si>
  <si>
    <t>Once every 3-10</t>
  </si>
  <si>
    <t>Once every 10-30 years</t>
  </si>
  <si>
    <t>Once every 30-100 years</t>
  </si>
  <si>
    <t>Once every 100+ years</t>
  </si>
  <si>
    <t>Infrastructure replacement DIMP</t>
  </si>
  <si>
    <t>Chart IV</t>
  </si>
  <si>
    <t xml:space="preserve"> Incident rate shifted to worst state performance</t>
  </si>
  <si>
    <t xml:space="preserve"> Expected number of incidents per year at the highest incident rate</t>
  </si>
  <si>
    <t xml:space="preserve"> Incidents per year from all causes (2010-2016 PHMSA data)</t>
  </si>
  <si>
    <t xml:space="preserve">Source: Chart 1 </t>
  </si>
  <si>
    <t xml:space="preserve"> Total targeted assets, pipe miles</t>
  </si>
  <si>
    <t>Source: Chart IV</t>
  </si>
  <si>
    <t xml:space="preserve"> Effectiveness</t>
  </si>
  <si>
    <t>Source: Chart II</t>
  </si>
  <si>
    <t xml:space="preserve"> Current incident rate from all causes, significant incidents per million people per year</t>
  </si>
  <si>
    <t xml:space="preserve"> Remediated assets, pipe miles (estimated from the funding at $5 million per mile)</t>
  </si>
  <si>
    <t>Rationale</t>
  </si>
  <si>
    <t>Distribution
Reg Tech Op Qual Training</t>
  </si>
  <si>
    <t>Distribution
System Protection Op Qual Training</t>
  </si>
  <si>
    <t>Distribution
Locate and Mark  Op Qual Training</t>
  </si>
  <si>
    <t>Distribution
Instrument Tech Op Qual Training</t>
  </si>
  <si>
    <t>Distribution                                     Pipeline Patrollers Op Qual Training</t>
  </si>
  <si>
    <t>Distribution
Valve Tech Op Qual Training</t>
  </si>
  <si>
    <t>Distribution
Welder Training</t>
  </si>
  <si>
    <t>Distribution Construction Training</t>
  </si>
  <si>
    <t xml:space="preserve">Distribution Op Qual Instructor </t>
  </si>
  <si>
    <t xml:space="preserve">Training Props </t>
  </si>
  <si>
    <t>DREAMS/ALDYL-A Pipe Replacement</t>
  </si>
  <si>
    <t>Dresser Mechanical Coupling Removal</t>
  </si>
  <si>
    <t>Oil Drip Pipeing Removal</t>
  </si>
  <si>
    <t>Buried Pipeing in Vaults</t>
  </si>
  <si>
    <t>Closed Valves Between HP and MP Piping</t>
  </si>
  <si>
    <t>CP Reliabiltiy Enhancement Program</t>
  </si>
  <si>
    <t>Early Vintage Steel Pipeline Replacements</t>
  </si>
  <si>
    <t>Pre-1933 Threaded Main Removal</t>
  </si>
  <si>
    <t xml:space="preserve">CP </t>
  </si>
  <si>
    <t>Leak Mitigation</t>
  </si>
  <si>
    <t>Leak Repair</t>
  </si>
  <si>
    <t>Regulator Station Inspections</t>
  </si>
  <si>
    <t>Locate and Mark</t>
  </si>
  <si>
    <t>Gas Standards Review</t>
  </si>
  <si>
    <t>QA/QC mostly new construction</t>
  </si>
  <si>
    <t xml:space="preserve">Odorization new pipelines </t>
  </si>
  <si>
    <t>Distribution - material, and other</t>
  </si>
  <si>
    <t>Per million per  year</t>
  </si>
  <si>
    <t>Chart V</t>
  </si>
  <si>
    <t xml:space="preserve"> Current incident rate where cause is material/weld/pipe or other, significant incidents per million people per year</t>
  </si>
  <si>
    <t>Source: Chart V</t>
  </si>
  <si>
    <t xml:space="preserve"> Remediated assets, pipe miles</t>
  </si>
  <si>
    <t>Early vintage steel, threaded</t>
  </si>
  <si>
    <t>?</t>
  </si>
  <si>
    <t>Program</t>
  </si>
  <si>
    <t>Avg 2017-2019 O&amp;M</t>
  </si>
  <si>
    <t>Sum 2017-2019 Capital</t>
  </si>
  <si>
    <t>Rebuilt miles</t>
  </si>
  <si>
    <t>Non-performing miles</t>
  </si>
  <si>
    <t>SDGE footprint population: 3.6 million people</t>
  </si>
  <si>
    <t xml:space="preserve"> Current incident rate where cause is corrosion or material failure of pipe or weld, significant incidents per million people per year</t>
  </si>
  <si>
    <t>This is using data from the table to the side</t>
  </si>
  <si>
    <t>This is the addition of plastic pipe, threaded main, and the old vintage steel miles</t>
  </si>
  <si>
    <t>Performance deteriorates without these activities, drift towards worst state performance, one third of the way</t>
  </si>
  <si>
    <t>NA</t>
  </si>
  <si>
    <t>Drifts towards worst state performance with a number of prorations</t>
  </si>
  <si>
    <t xml:space="preserve">Drifts towards worst state performance  </t>
  </si>
  <si>
    <t>Controls</t>
  </si>
  <si>
    <t>Adjusted Baseline</t>
  </si>
  <si>
    <t>Adjustment Factor</t>
  </si>
  <si>
    <t>Score Category</t>
  </si>
  <si>
    <t>New Score (for life of project)</t>
  </si>
  <si>
    <t>RSE</t>
  </si>
  <si>
    <t>2016 Risk Assessment Mitigation Phase</t>
  </si>
  <si>
    <t>Investigation 16-10-015</t>
  </si>
  <si>
    <t>Risk Spend Efficiency Workpapers to</t>
  </si>
  <si>
    <t>January 2017</t>
  </si>
  <si>
    <t>Catastrophic Damage Involving a Medium-Pressure Pipeline Failure</t>
  </si>
  <si>
    <t>(Chapter SDG&amp;E-16-WP-RSE)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</si>
</sst>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  <numFmt numFmtId="173" formatCode="0.0"/>
    <numFmt numFmtId="174" formatCode="0.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2"/>
      <color theme="0"/>
      <name val="Arial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Gill Sans MT"/>
      <family val="2"/>
    </font>
    <font>
      <b/>
      <sz val="10"/>
      <name val="Gill Sans MT"/>
      <family val="2"/>
    </font>
    <font>
      <sz val="14"/>
      <name val="Gill Sans MT"/>
      <family val="2"/>
    </font>
    <font>
      <sz val="14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24" fillId="9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20" borderId="0" applyNumberFormat="0" applyBorder="0" applyAlignment="0" applyProtection="0"/>
    <xf numFmtId="0" fontId="26" fillId="24" borderId="18" applyNumberFormat="0" applyAlignment="0" applyProtection="0"/>
    <xf numFmtId="0" fontId="27" fillId="17" borderId="19" applyNumberFormat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5" fillId="13" borderId="0" applyNumberFormat="0" applyBorder="0" applyAlignment="0" applyProtection="0"/>
    <xf numFmtId="0" fontId="18" fillId="2" borderId="0" applyNumberFormat="0" applyBorder="0" applyAlignment="0" applyProtection="0"/>
    <xf numFmtId="0" fontId="29" fillId="0" borderId="20" applyNumberFormat="0" applyFill="0" applyAlignment="0" applyProtection="0"/>
    <xf numFmtId="0" fontId="30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32" fillId="21" borderId="18" applyNumberFormat="0" applyAlignment="0" applyProtection="0"/>
    <xf numFmtId="0" fontId="33" fillId="0" borderId="23" applyNumberFormat="0" applyFill="0" applyAlignment="0" applyProtection="0"/>
    <xf numFmtId="0" fontId="33" fillId="21" borderId="0" applyNumberFormat="0" applyBorder="0" applyAlignment="0" applyProtection="0"/>
    <xf numFmtId="0" fontId="34" fillId="28" borderId="0"/>
    <xf numFmtId="0" fontId="35" fillId="0" borderId="0"/>
    <xf numFmtId="0" fontId="7" fillId="0" borderId="0"/>
    <xf numFmtId="0" fontId="5" fillId="0" borderId="0"/>
    <xf numFmtId="0" fontId="36" fillId="0" borderId="0"/>
    <xf numFmtId="0" fontId="34" fillId="28" borderId="0"/>
    <xf numFmtId="0" fontId="36" fillId="0" borderId="0"/>
    <xf numFmtId="0" fontId="7" fillId="0" borderId="0"/>
    <xf numFmtId="0" fontId="37" fillId="0" borderId="0"/>
    <xf numFmtId="0" fontId="7" fillId="0" borderId="0"/>
    <xf numFmtId="0" fontId="34" fillId="28" borderId="0"/>
    <xf numFmtId="0" fontId="34" fillId="28" borderId="0"/>
    <xf numFmtId="0" fontId="7" fillId="0" borderId="0"/>
    <xf numFmtId="0" fontId="34" fillId="28" borderId="0"/>
    <xf numFmtId="0" fontId="34" fillId="28" borderId="0"/>
    <xf numFmtId="0" fontId="34" fillId="28" borderId="0"/>
    <xf numFmtId="0" fontId="34" fillId="28" borderId="0"/>
    <xf numFmtId="0" fontId="34" fillId="20" borderId="18" applyNumberFormat="0" applyFont="0" applyAlignment="0" applyProtection="0"/>
    <xf numFmtId="0" fontId="1" fillId="3" borderId="17" applyNumberFormat="0" applyFont="0" applyAlignment="0" applyProtection="0"/>
    <xf numFmtId="0" fontId="38" fillId="24" borderId="24" applyNumberFormat="0" applyAlignment="0" applyProtection="0"/>
    <xf numFmtId="4" fontId="34" fillId="29" borderId="18" applyNumberFormat="0" applyProtection="0">
      <alignment vertical="center"/>
    </xf>
    <xf numFmtId="4" fontId="34" fillId="29" borderId="18" applyNumberFormat="0" applyProtection="0">
      <alignment vertical="center"/>
    </xf>
    <xf numFmtId="4" fontId="39" fillId="30" borderId="18" applyNumberFormat="0" applyProtection="0">
      <alignment vertical="center"/>
    </xf>
    <xf numFmtId="4" fontId="34" fillId="30" borderId="18" applyNumberFormat="0" applyProtection="0">
      <alignment horizontal="left" vertical="center" indent="1"/>
    </xf>
    <xf numFmtId="4" fontId="34" fillId="30" borderId="18" applyNumberFormat="0" applyProtection="0">
      <alignment horizontal="left" vertical="center" indent="1"/>
    </xf>
    <xf numFmtId="0" fontId="40" fillId="29" borderId="25" applyNumberFormat="0" applyProtection="0">
      <alignment horizontal="left" vertical="top" indent="1"/>
    </xf>
    <xf numFmtId="4" fontId="34" fillId="31" borderId="18" applyNumberFormat="0" applyProtection="0">
      <alignment horizontal="left" vertical="center" indent="1"/>
    </xf>
    <xf numFmtId="4" fontId="34" fillId="31" borderId="18" applyNumberFormat="0" applyProtection="0">
      <alignment horizontal="left" vertical="center" indent="1"/>
    </xf>
    <xf numFmtId="4" fontId="34" fillId="32" borderId="18" applyNumberFormat="0" applyProtection="0">
      <alignment horizontal="right" vertical="center"/>
    </xf>
    <xf numFmtId="4" fontId="34" fillId="32" borderId="18" applyNumberFormat="0" applyProtection="0">
      <alignment horizontal="right" vertical="center"/>
    </xf>
    <xf numFmtId="4" fontId="34" fillId="33" borderId="18" applyNumberFormat="0" applyProtection="0">
      <alignment horizontal="right" vertical="center"/>
    </xf>
    <xf numFmtId="4" fontId="34" fillId="33" borderId="18" applyNumberFormat="0" applyProtection="0">
      <alignment horizontal="right" vertical="center"/>
    </xf>
    <xf numFmtId="4" fontId="34" fillId="34" borderId="26" applyNumberFormat="0" applyProtection="0">
      <alignment horizontal="right" vertical="center"/>
    </xf>
    <xf numFmtId="4" fontId="34" fillId="34" borderId="26" applyNumberFormat="0" applyProtection="0">
      <alignment horizontal="right" vertical="center"/>
    </xf>
    <xf numFmtId="4" fontId="34" fillId="35" borderId="18" applyNumberFormat="0" applyProtection="0">
      <alignment horizontal="right" vertical="center"/>
    </xf>
    <xf numFmtId="4" fontId="34" fillId="35" borderId="18" applyNumberFormat="0" applyProtection="0">
      <alignment horizontal="right" vertical="center"/>
    </xf>
    <xf numFmtId="4" fontId="34" fillId="36" borderId="18" applyNumberFormat="0" applyProtection="0">
      <alignment horizontal="right" vertical="center"/>
    </xf>
    <xf numFmtId="4" fontId="34" fillId="36" borderId="18" applyNumberFormat="0" applyProtection="0">
      <alignment horizontal="right" vertical="center"/>
    </xf>
    <xf numFmtId="4" fontId="34" fillId="37" borderId="18" applyNumberFormat="0" applyProtection="0">
      <alignment horizontal="right" vertical="center"/>
    </xf>
    <xf numFmtId="4" fontId="34" fillId="37" borderId="18" applyNumberFormat="0" applyProtection="0">
      <alignment horizontal="right" vertical="center"/>
    </xf>
    <xf numFmtId="4" fontId="34" fillId="38" borderId="18" applyNumberFormat="0" applyProtection="0">
      <alignment horizontal="right" vertical="center"/>
    </xf>
    <xf numFmtId="4" fontId="34" fillId="38" borderId="18" applyNumberFormat="0" applyProtection="0">
      <alignment horizontal="right" vertical="center"/>
    </xf>
    <xf numFmtId="4" fontId="34" fillId="39" borderId="18" applyNumberFormat="0" applyProtection="0">
      <alignment horizontal="right" vertical="center"/>
    </xf>
    <xf numFmtId="4" fontId="34" fillId="39" borderId="18" applyNumberFormat="0" applyProtection="0">
      <alignment horizontal="right" vertical="center"/>
    </xf>
    <xf numFmtId="4" fontId="34" fillId="40" borderId="18" applyNumberFormat="0" applyProtection="0">
      <alignment horizontal="right" vertical="center"/>
    </xf>
    <xf numFmtId="4" fontId="34" fillId="40" borderId="18" applyNumberFormat="0" applyProtection="0">
      <alignment horizontal="right" vertical="center"/>
    </xf>
    <xf numFmtId="4" fontId="34" fillId="41" borderId="26" applyNumberFormat="0" applyProtection="0">
      <alignment horizontal="left" vertical="center" indent="1"/>
    </xf>
    <xf numFmtId="4" fontId="34" fillId="41" borderId="26" applyNumberFormat="0" applyProtection="0">
      <alignment horizontal="left" vertical="center" indent="1"/>
    </xf>
    <xf numFmtId="4" fontId="7" fillId="42" borderId="26" applyNumberFormat="0" applyProtection="0">
      <alignment horizontal="left" vertical="center" indent="1"/>
    </xf>
    <xf numFmtId="4" fontId="7" fillId="42" borderId="26" applyNumberFormat="0" applyProtection="0">
      <alignment horizontal="left" vertical="center" indent="1"/>
    </xf>
    <xf numFmtId="4" fontId="34" fillId="43" borderId="18" applyNumberFormat="0" applyProtection="0">
      <alignment horizontal="right" vertical="center"/>
    </xf>
    <xf numFmtId="4" fontId="34" fillId="43" borderId="18" applyNumberFormat="0" applyProtection="0">
      <alignment horizontal="right" vertical="center"/>
    </xf>
    <xf numFmtId="4" fontId="34" fillId="44" borderId="26" applyNumberFormat="0" applyProtection="0">
      <alignment horizontal="left" vertical="center" indent="1"/>
    </xf>
    <xf numFmtId="4" fontId="34" fillId="44" borderId="26" applyNumberFormat="0" applyProtection="0">
      <alignment horizontal="left" vertical="center" indent="1"/>
    </xf>
    <xf numFmtId="4" fontId="34" fillId="43" borderId="26" applyNumberFormat="0" applyProtection="0">
      <alignment horizontal="left" vertical="center" indent="1"/>
    </xf>
    <xf numFmtId="4" fontId="34" fillId="43" borderId="26" applyNumberFormat="0" applyProtection="0">
      <alignment horizontal="left" vertical="center" indent="1"/>
    </xf>
    <xf numFmtId="0" fontId="34" fillId="45" borderId="18" applyNumberFormat="0" applyProtection="0">
      <alignment horizontal="left" vertical="center" indent="1"/>
    </xf>
    <xf numFmtId="0" fontId="34" fillId="45" borderId="18" applyNumberFormat="0" applyProtection="0">
      <alignment horizontal="left" vertical="center" indent="1"/>
    </xf>
    <xf numFmtId="0" fontId="34" fillId="42" borderId="25" applyNumberFormat="0" applyProtection="0">
      <alignment horizontal="left" vertical="top" indent="1"/>
    </xf>
    <xf numFmtId="0" fontId="34" fillId="46" borderId="18" applyNumberFormat="0" applyProtection="0">
      <alignment horizontal="left" vertical="center" indent="1"/>
    </xf>
    <xf numFmtId="0" fontId="34" fillId="46" borderId="18" applyNumberFormat="0" applyProtection="0">
      <alignment horizontal="left" vertical="center" indent="1"/>
    </xf>
    <xf numFmtId="0" fontId="34" fillId="43" borderId="25" applyNumberFormat="0" applyProtection="0">
      <alignment horizontal="left" vertical="top" indent="1"/>
    </xf>
    <xf numFmtId="0" fontId="34" fillId="47" borderId="18" applyNumberFormat="0" applyProtection="0">
      <alignment horizontal="left" vertical="center" indent="1"/>
    </xf>
    <xf numFmtId="0" fontId="34" fillId="47" borderId="18" applyNumberFormat="0" applyProtection="0">
      <alignment horizontal="left" vertical="center" indent="1"/>
    </xf>
    <xf numFmtId="0" fontId="34" fillId="47" borderId="25" applyNumberFormat="0" applyProtection="0">
      <alignment horizontal="left" vertical="top" indent="1"/>
    </xf>
    <xf numFmtId="0" fontId="34" fillId="44" borderId="18" applyNumberFormat="0" applyProtection="0">
      <alignment horizontal="left" vertical="center" indent="1"/>
    </xf>
    <xf numFmtId="0" fontId="34" fillId="44" borderId="18" applyNumberFormat="0" applyProtection="0">
      <alignment horizontal="left" vertical="center" indent="1"/>
    </xf>
    <xf numFmtId="0" fontId="34" fillId="44" borderId="25" applyNumberFormat="0" applyProtection="0">
      <alignment horizontal="left" vertical="top" indent="1"/>
    </xf>
    <xf numFmtId="0" fontId="34" fillId="48" borderId="27" applyNumberFormat="0">
      <protection locked="0"/>
    </xf>
    <xf numFmtId="0" fontId="41" fillId="42" borderId="28" applyBorder="0"/>
    <xf numFmtId="4" fontId="42" fillId="49" borderId="25" applyNumberFormat="0" applyProtection="0">
      <alignment vertical="center"/>
    </xf>
    <xf numFmtId="4" fontId="39" fillId="50" borderId="1" applyNumberFormat="0" applyProtection="0">
      <alignment vertical="center"/>
    </xf>
    <xf numFmtId="4" fontId="42" fillId="45" borderId="25" applyNumberFormat="0" applyProtection="0">
      <alignment horizontal="left" vertical="center" indent="1"/>
    </xf>
    <xf numFmtId="0" fontId="42" fillId="49" borderId="25" applyNumberFormat="0" applyProtection="0">
      <alignment horizontal="left" vertical="top" indent="1"/>
    </xf>
    <xf numFmtId="4" fontId="34" fillId="0" borderId="18" applyNumberFormat="0" applyProtection="0">
      <alignment horizontal="right" vertical="center"/>
    </xf>
    <xf numFmtId="4" fontId="34" fillId="0" borderId="18" applyNumberFormat="0" applyProtection="0">
      <alignment horizontal="right" vertical="center"/>
    </xf>
    <xf numFmtId="4" fontId="39" fillId="51" borderId="18" applyNumberFormat="0" applyProtection="0">
      <alignment horizontal="right" vertical="center"/>
    </xf>
    <xf numFmtId="4" fontId="34" fillId="31" borderId="18" applyNumberFormat="0" applyProtection="0">
      <alignment horizontal="left" vertical="center" indent="1"/>
    </xf>
    <xf numFmtId="4" fontId="34" fillId="31" borderId="18" applyNumberFormat="0" applyProtection="0">
      <alignment horizontal="left" vertical="center" indent="1"/>
    </xf>
    <xf numFmtId="0" fontId="42" fillId="43" borderId="25" applyNumberFormat="0" applyProtection="0">
      <alignment horizontal="left" vertical="top" indent="1"/>
    </xf>
    <xf numFmtId="4" fontId="43" fillId="52" borderId="26" applyNumberFormat="0" applyProtection="0">
      <alignment horizontal="left" vertical="center" indent="1"/>
    </xf>
    <xf numFmtId="0" fontId="34" fillId="53" borderId="1"/>
    <xf numFmtId="0" fontId="34" fillId="53" borderId="1"/>
    <xf numFmtId="4" fontId="44" fillId="48" borderId="18" applyNumberFormat="0" applyProtection="0">
      <alignment horizontal="right" vertical="center"/>
    </xf>
    <xf numFmtId="0" fontId="45" fillId="0" borderId="0" applyNumberFormat="0" applyFill="0" applyBorder="0" applyAlignment="0" applyProtection="0"/>
    <xf numFmtId="0" fontId="1" fillId="54" borderId="7">
      <alignment horizontal="center" vertical="center" wrapText="1"/>
    </xf>
    <xf numFmtId="0" fontId="28" fillId="0" borderId="29" applyNumberFormat="0" applyFill="0" applyAlignment="0" applyProtection="0"/>
    <xf numFmtId="0" fontId="46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1" xfId="0" applyFill="1" applyBorder="1"/>
    <xf numFmtId="9" fontId="4" fillId="0" borderId="1" xfId="2" applyFont="1" applyFill="1" applyBorder="1" applyAlignment="1">
      <alignment wrapText="1"/>
    </xf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/>
    <xf numFmtId="165" fontId="3" fillId="0" borderId="4" xfId="3" applyNumberFormat="1" applyFont="1" applyFill="1" applyBorder="1"/>
    <xf numFmtId="165" fontId="3" fillId="0" borderId="4" xfId="0" applyNumberFormat="1" applyFont="1" applyFill="1" applyBorder="1"/>
    <xf numFmtId="167" fontId="3" fillId="0" borderId="4" xfId="0" applyNumberFormat="1" applyFont="1" applyFill="1" applyBorder="1"/>
    <xf numFmtId="171" fontId="3" fillId="0" borderId="4" xfId="0" applyNumberFormat="1" applyFont="1" applyFill="1" applyBorder="1"/>
    <xf numFmtId="43" fontId="3" fillId="0" borderId="4" xfId="3" applyFont="1" applyFill="1" applyBorder="1"/>
    <xf numFmtId="0" fontId="3" fillId="0" borderId="4" xfId="3" applyNumberFormat="1" applyFont="1" applyFill="1" applyBorder="1"/>
    <xf numFmtId="165" fontId="3" fillId="0" borderId="6" xfId="3" applyNumberFormat="1" applyFont="1" applyFill="1" applyBorder="1"/>
    <xf numFmtId="165" fontId="3" fillId="0" borderId="6" xfId="0" applyNumberFormat="1" applyFont="1" applyFill="1" applyBorder="1"/>
    <xf numFmtId="167" fontId="3" fillId="0" borderId="6" xfId="0" applyNumberFormat="1" applyFont="1" applyFill="1" applyBorder="1"/>
    <xf numFmtId="171" fontId="3" fillId="0" borderId="6" xfId="0" applyNumberFormat="1" applyFont="1" applyFill="1" applyBorder="1"/>
    <xf numFmtId="43" fontId="3" fillId="0" borderId="6" xfId="3" applyFont="1" applyFill="1" applyBorder="1"/>
    <xf numFmtId="0" fontId="3" fillId="0" borderId="6" xfId="3" applyNumberFormat="1" applyFont="1" applyFill="1" applyBorder="1"/>
    <xf numFmtId="2" fontId="3" fillId="0" borderId="4" xfId="0" applyNumberFormat="1" applyFont="1" applyFill="1" applyBorder="1"/>
    <xf numFmtId="2" fontId="3" fillId="0" borderId="6" xfId="0" applyNumberFormat="1" applyFont="1" applyFill="1" applyBorder="1"/>
    <xf numFmtId="1" fontId="4" fillId="0" borderId="0" xfId="2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2" fillId="0" borderId="0" xfId="0" quotePrefix="1" applyNumberFormat="1" applyFont="1" applyFill="1"/>
    <xf numFmtId="0" fontId="2" fillId="0" borderId="0" xfId="0" applyNumberFormat="1" applyFont="1" applyFill="1"/>
    <xf numFmtId="0" fontId="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5" fontId="0" fillId="0" borderId="1" xfId="4" applyNumberFormat="1" applyFont="1" applyFill="1" applyBorder="1"/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9" fontId="3" fillId="0" borderId="4" xfId="2" applyNumberFormat="1" applyFont="1" applyFill="1" applyBorder="1"/>
    <xf numFmtId="169" fontId="3" fillId="0" borderId="6" xfId="2" applyNumberFormat="1" applyFont="1" applyFill="1" applyBorder="1"/>
    <xf numFmtId="164" fontId="3" fillId="0" borderId="0" xfId="1" applyNumberFormat="1" applyFont="1" applyFill="1" applyBorder="1"/>
    <xf numFmtId="2" fontId="3" fillId="0" borderId="0" xfId="0" applyNumberFormat="1" applyFont="1" applyFill="1" applyBorder="1"/>
    <xf numFmtId="165" fontId="3" fillId="0" borderId="0" xfId="3" applyNumberFormat="1" applyFont="1" applyFill="1" applyBorder="1"/>
    <xf numFmtId="165" fontId="3" fillId="0" borderId="0" xfId="0" applyNumberFormat="1" applyFont="1" applyFill="1" applyBorder="1"/>
    <xf numFmtId="169" fontId="3" fillId="0" borderId="0" xfId="2" applyNumberFormat="1" applyFont="1" applyFill="1" applyBorder="1"/>
    <xf numFmtId="167" fontId="3" fillId="0" borderId="0" xfId="0" applyNumberFormat="1" applyFont="1" applyFill="1" applyBorder="1"/>
    <xf numFmtId="171" fontId="3" fillId="0" borderId="0" xfId="0" applyNumberFormat="1" applyFont="1" applyFill="1" applyBorder="1"/>
    <xf numFmtId="43" fontId="3" fillId="0" borderId="0" xfId="3" applyFont="1" applyFill="1" applyBorder="1"/>
    <xf numFmtId="0" fontId="3" fillId="0" borderId="0" xfId="3" applyNumberFormat="1" applyFont="1" applyFill="1" applyBorder="1"/>
    <xf numFmtId="0" fontId="3" fillId="0" borderId="0" xfId="0" applyFont="1" applyFill="1"/>
    <xf numFmtId="171" fontId="3" fillId="0" borderId="0" xfId="0" applyNumberFormat="1" applyFont="1" applyFill="1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166" fontId="3" fillId="0" borderId="0" xfId="0" applyNumberFormat="1" applyFont="1" applyFill="1"/>
    <xf numFmtId="0" fontId="3" fillId="0" borderId="0" xfId="0" quotePrefix="1" applyFont="1" applyFill="1"/>
    <xf numFmtId="0" fontId="11" fillId="0" borderId="0" xfId="0" applyFont="1" applyFill="1"/>
    <xf numFmtId="0" fontId="11" fillId="0" borderId="0" xfId="0" applyFont="1" applyFill="1" applyBorder="1" applyAlignment="1">
      <alignment horizontal="center"/>
    </xf>
    <xf numFmtId="9" fontId="11" fillId="0" borderId="1" xfId="2" applyFont="1" applyFill="1" applyBorder="1" applyAlignment="1">
      <alignment horizontal="center"/>
    </xf>
    <xf numFmtId="171" fontId="11" fillId="0" borderId="0" xfId="0" applyNumberFormat="1" applyFont="1" applyFill="1"/>
    <xf numFmtId="0" fontId="3" fillId="0" borderId="0" xfId="0" applyFont="1" applyFill="1" applyAlignment="1">
      <alignment wrapText="1"/>
    </xf>
    <xf numFmtId="171" fontId="11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164" fontId="3" fillId="0" borderId="4" xfId="1" applyNumberFormat="1" applyFont="1" applyFill="1" applyBorder="1"/>
    <xf numFmtId="0" fontId="3" fillId="0" borderId="4" xfId="0" applyFont="1" applyFill="1" applyBorder="1"/>
    <xf numFmtId="0" fontId="3" fillId="0" borderId="4" xfId="0" applyNumberFormat="1" applyFont="1" applyFill="1" applyBorder="1"/>
    <xf numFmtId="44" fontId="3" fillId="0" borderId="1" xfId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0" fontId="3" fillId="0" borderId="7" xfId="0" applyFont="1" applyFill="1" applyBorder="1" applyAlignment="1">
      <alignment wrapText="1"/>
    </xf>
    <xf numFmtId="0" fontId="3" fillId="0" borderId="0" xfId="0" applyNumberFormat="1" applyFont="1" applyFill="1" applyBorder="1"/>
    <xf numFmtId="44" fontId="3" fillId="0" borderId="8" xfId="1" applyFont="1" applyFill="1" applyBorder="1"/>
    <xf numFmtId="43" fontId="3" fillId="0" borderId="1" xfId="3" applyFont="1" applyFill="1" applyBorder="1"/>
    <xf numFmtId="168" fontId="3" fillId="0" borderId="1" xfId="0" applyNumberFormat="1" applyFont="1" applyFill="1" applyBorder="1"/>
    <xf numFmtId="168" fontId="3" fillId="0" borderId="0" xfId="0" applyNumberFormat="1" applyFont="1" applyFill="1" applyBorder="1"/>
    <xf numFmtId="164" fontId="3" fillId="0" borderId="6" xfId="1" applyNumberFormat="1" applyFont="1" applyFill="1" applyBorder="1"/>
    <xf numFmtId="0" fontId="3" fillId="0" borderId="6" xfId="0" applyFont="1" applyFill="1" applyBorder="1"/>
    <xf numFmtId="0" fontId="3" fillId="0" borderId="6" xfId="0" applyNumberFormat="1" applyFont="1" applyFill="1" applyBorder="1"/>
    <xf numFmtId="0" fontId="14" fillId="0" borderId="0" xfId="0" applyFont="1" applyFill="1"/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5" fillId="0" borderId="7" xfId="0" applyFont="1" applyFill="1" applyBorder="1"/>
    <xf numFmtId="0" fontId="15" fillId="0" borderId="8" xfId="0" applyFont="1" applyFill="1" applyBorder="1"/>
    <xf numFmtId="0" fontId="16" fillId="0" borderId="0" xfId="0" applyFont="1" applyFill="1" applyAlignment="1">
      <alignment horizontal="left"/>
    </xf>
    <xf numFmtId="0" fontId="15" fillId="0" borderId="0" xfId="0" applyFont="1" applyFill="1"/>
    <xf numFmtId="0" fontId="15" fillId="0" borderId="4" xfId="0" applyFont="1" applyFill="1" applyBorder="1" applyAlignment="1">
      <alignment horizontal="center"/>
    </xf>
    <xf numFmtId="0" fontId="16" fillId="0" borderId="0" xfId="0" applyFont="1" applyFill="1" applyAlignment="1">
      <alignment horizontal="right"/>
    </xf>
    <xf numFmtId="0" fontId="15" fillId="0" borderId="6" xfId="0" applyFont="1" applyFill="1" applyBorder="1" applyAlignment="1">
      <alignment horizontal="center"/>
    </xf>
    <xf numFmtId="166" fontId="16" fillId="0" borderId="0" xfId="0" applyNumberFormat="1" applyFont="1" applyFill="1"/>
    <xf numFmtId="2" fontId="16" fillId="0" borderId="0" xfId="0" applyNumberFormat="1" applyFont="1" applyFill="1"/>
    <xf numFmtId="173" fontId="14" fillId="0" borderId="0" xfId="0" applyNumberFormat="1" applyFont="1" applyFill="1"/>
    <xf numFmtId="0" fontId="15" fillId="0" borderId="5" xfId="0" applyFont="1" applyFill="1" applyBorder="1" applyAlignment="1">
      <alignment horizontal="center"/>
    </xf>
    <xf numFmtId="3" fontId="16" fillId="0" borderId="0" xfId="0" applyNumberFormat="1" applyFont="1" applyFill="1"/>
    <xf numFmtId="9" fontId="16" fillId="0" borderId="0" xfId="0" applyNumberFormat="1" applyFont="1" applyFill="1"/>
    <xf numFmtId="1" fontId="16" fillId="0" borderId="0" xfId="0" applyNumberFormat="1" applyFont="1" applyFill="1"/>
    <xf numFmtId="0" fontId="13" fillId="0" borderId="9" xfId="0" applyFont="1" applyFill="1" applyBorder="1" applyAlignment="1">
      <alignment horizontal="center"/>
    </xf>
    <xf numFmtId="0" fontId="13" fillId="0" borderId="10" xfId="0" applyFont="1" applyFill="1" applyBorder="1"/>
    <xf numFmtId="0" fontId="13" fillId="0" borderId="11" xfId="0" applyFont="1" applyFill="1" applyBorder="1"/>
    <xf numFmtId="0" fontId="17" fillId="0" borderId="12" xfId="0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14" xfId="0" applyFont="1" applyFill="1" applyBorder="1" applyAlignment="1">
      <alignment horizontal="center" vertical="center"/>
    </xf>
    <xf numFmtId="3" fontId="17" fillId="0" borderId="15" xfId="0" applyNumberFormat="1" applyFont="1" applyFill="1" applyBorder="1" applyAlignment="1">
      <alignment horizontal="center"/>
    </xf>
    <xf numFmtId="9" fontId="17" fillId="0" borderId="15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horizontal="center"/>
    </xf>
    <xf numFmtId="174" fontId="14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right"/>
    </xf>
    <xf numFmtId="0" fontId="16" fillId="0" borderId="0" xfId="0" applyFont="1" applyFill="1" applyAlignment="1">
      <alignment horizontal="center"/>
    </xf>
    <xf numFmtId="166" fontId="1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1" fillId="0" borderId="2" xfId="0" applyFont="1" applyFill="1" applyBorder="1" applyAlignment="1">
      <alignment horizontal="center" vertical="center" textRotation="90" wrapText="1"/>
    </xf>
    <xf numFmtId="166" fontId="3" fillId="0" borderId="4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/>
    </xf>
    <xf numFmtId="166" fontId="3" fillId="0" borderId="5" xfId="0" applyNumberFormat="1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9" fontId="11" fillId="0" borderId="1" xfId="2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 textRotation="90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7" fontId="23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</cellXfs>
  <cellStyles count="726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urrency" xfId="1" builtinId="4"/>
    <cellStyle name="Emphasis 1" xfId="626"/>
    <cellStyle name="Emphasis 2" xfId="627"/>
    <cellStyle name="Emphasis 3" xfId="628"/>
    <cellStyle name="Good 2" xfId="629"/>
    <cellStyle name="Good 2 2" xfId="630"/>
    <cellStyle name="Heading 1 2" xfId="631"/>
    <cellStyle name="Heading 2 2" xfId="632"/>
    <cellStyle name="Heading 3 2" xfId="633"/>
    <cellStyle name="Heading 4 2" xfId="634"/>
    <cellStyle name="Input 2" xfId="635"/>
    <cellStyle name="Linked Cell 2" xfId="636"/>
    <cellStyle name="Neutral 2" xfId="637"/>
    <cellStyle name="Normal" xfId="0" builtinId="0"/>
    <cellStyle name="Normal 2" xfId="638"/>
    <cellStyle name="Normal 2 2" xfId="639"/>
    <cellStyle name="Normal 2 2 2" xfId="640"/>
    <cellStyle name="Normal 2 2_O&amp;M" xfId="641"/>
    <cellStyle name="Normal 2 3" xfId="642"/>
    <cellStyle name="Normal 3" xfId="643"/>
    <cellStyle name="Normal 3 2" xfId="644"/>
    <cellStyle name="Normal 3 2 2" xfId="645"/>
    <cellStyle name="Normal 3 2_O&amp;M" xfId="646"/>
    <cellStyle name="Normal 3 3" xfId="647"/>
    <cellStyle name="Normal 3 4" xfId="648"/>
    <cellStyle name="Normal 4" xfId="649"/>
    <cellStyle name="Normal 4 2" xfId="650"/>
    <cellStyle name="Normal 4 2 2" xfId="651"/>
    <cellStyle name="Normal 4 3" xfId="652"/>
    <cellStyle name="Normal 5" xfId="653"/>
    <cellStyle name="Normal 5 2" xfId="654"/>
    <cellStyle name="Note 2" xfId="655"/>
    <cellStyle name="Note 2 2" xfId="656"/>
    <cellStyle name="Output 2" xfId="657"/>
    <cellStyle name="Percent" xfId="2" builtinId="5"/>
    <cellStyle name="SAPBEXaggData" xfId="658"/>
    <cellStyle name="SAPBEXaggData 2" xfId="659"/>
    <cellStyle name="SAPBEXaggDataEmph" xfId="660"/>
    <cellStyle name="SAPBEXaggItem" xfId="661"/>
    <cellStyle name="SAPBEXaggItem 2" xfId="662"/>
    <cellStyle name="SAPBEXaggItemX" xfId="663"/>
    <cellStyle name="SAPBEXchaText" xfId="664"/>
    <cellStyle name="SAPBEXchaText 2" xfId="665"/>
    <cellStyle name="SAPBEXexcBad7" xfId="666"/>
    <cellStyle name="SAPBEXexcBad7 2" xfId="667"/>
    <cellStyle name="SAPBEXexcBad8" xfId="668"/>
    <cellStyle name="SAPBEXexcBad8 2" xfId="669"/>
    <cellStyle name="SAPBEXexcBad9" xfId="670"/>
    <cellStyle name="SAPBEXexcBad9 2" xfId="671"/>
    <cellStyle name="SAPBEXexcCritical4" xfId="672"/>
    <cellStyle name="SAPBEXexcCritical4 2" xfId="673"/>
    <cellStyle name="SAPBEXexcCritical5" xfId="674"/>
    <cellStyle name="SAPBEXexcCritical5 2" xfId="675"/>
    <cellStyle name="SAPBEXexcCritical6" xfId="676"/>
    <cellStyle name="SAPBEXexcCritical6 2" xfId="677"/>
    <cellStyle name="SAPBEXexcGood1" xfId="678"/>
    <cellStyle name="SAPBEXexcGood1 2" xfId="679"/>
    <cellStyle name="SAPBEXexcGood2" xfId="680"/>
    <cellStyle name="SAPBEXexcGood2 2" xfId="681"/>
    <cellStyle name="SAPBEXexcGood3" xfId="682"/>
    <cellStyle name="SAPBEXexcGood3 2" xfId="683"/>
    <cellStyle name="SAPBEXfilterDrill" xfId="684"/>
    <cellStyle name="SAPBEXfilterDrill 2" xfId="685"/>
    <cellStyle name="SAPBEXfilterItem" xfId="686"/>
    <cellStyle name="SAPBEXfilterText" xfId="687"/>
    <cellStyle name="SAPBEXformats" xfId="688"/>
    <cellStyle name="SAPBEXformats 2" xfId="689"/>
    <cellStyle name="SAPBEXheaderItem" xfId="690"/>
    <cellStyle name="SAPBEXheaderItem 2" xfId="691"/>
    <cellStyle name="SAPBEXheaderText" xfId="692"/>
    <cellStyle name="SAPBEXheaderText 2" xfId="693"/>
    <cellStyle name="SAPBEXHLevel0" xfId="694"/>
    <cellStyle name="SAPBEXHLevel0 2" xfId="695"/>
    <cellStyle name="SAPBEXHLevel0X" xfId="696"/>
    <cellStyle name="SAPBEXHLevel1" xfId="697"/>
    <cellStyle name="SAPBEXHLevel1 2" xfId="698"/>
    <cellStyle name="SAPBEXHLevel1X" xfId="699"/>
    <cellStyle name="SAPBEXHLevel2" xfId="700"/>
    <cellStyle name="SAPBEXHLevel2 2" xfId="701"/>
    <cellStyle name="SAPBEXHLevel2X" xfId="702"/>
    <cellStyle name="SAPBEXHLevel3" xfId="703"/>
    <cellStyle name="SAPBEXHLevel3 2" xfId="704"/>
    <cellStyle name="SAPBEXHLevel3X" xfId="705"/>
    <cellStyle name="SAPBEXinputData" xfId="706"/>
    <cellStyle name="SAPBEXItemHeader" xfId="707"/>
    <cellStyle name="SAPBEXresData" xfId="708"/>
    <cellStyle name="SAPBEXresDataEmph" xfId="709"/>
    <cellStyle name="SAPBEXresItem" xfId="710"/>
    <cellStyle name="SAPBEXresItemX" xfId="711"/>
    <cellStyle name="SAPBEXstdData" xfId="712"/>
    <cellStyle name="SAPBEXstdData 2" xfId="713"/>
    <cellStyle name="SAPBEXstdDataEmph" xfId="714"/>
    <cellStyle name="SAPBEXstdItem" xfId="715"/>
    <cellStyle name="SAPBEXstdItem 2" xfId="716"/>
    <cellStyle name="SAPBEXstdItemX" xfId="717"/>
    <cellStyle name="SAPBEXtitle" xfId="718"/>
    <cellStyle name="SAPBEXunassignedItem" xfId="719"/>
    <cellStyle name="SAPBEXunassignedItem 2" xfId="720"/>
    <cellStyle name="SAPBEXundefined" xfId="721"/>
    <cellStyle name="Sheet Title" xfId="722"/>
    <cellStyle name="Style 1" xfId="723"/>
    <cellStyle name="Total 2" xfId="724"/>
    <cellStyle name="Warning Text 2" xfId="7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microsoft.com/office/2011/relationships/chartStyle" Target="style3.xml"/><Relationship Id="rId2" Type="http://schemas.microsoft.com/office/2011/relationships/chartColorStyle" Target="colors3.xml"/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Style" Target="style4.xml"/><Relationship Id="rId2" Type="http://schemas.microsoft.com/office/2011/relationships/chartColorStyle" Target="colors4.xml"/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3" Type="http://schemas.microsoft.com/office/2011/relationships/chartStyle" Target="style5.xml"/><Relationship Id="rId2" Type="http://schemas.microsoft.com/office/2011/relationships/chartColorStyle" Target="colors5.xml"/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2010-2016</a:t>
            </a:r>
            <a:r>
              <a:rPr lang="en-US" baseline="0"/>
              <a:t> Significant Incident Rate from Incorrect Operations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DF7-49AD-947B-9BCEF3B267AC}"/>
              </c:ext>
            </c:extLst>
          </c:dPt>
          <c:dPt>
            <c:idx val="37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DF7-49AD-947B-9BCEF3B267AC}"/>
              </c:ext>
            </c:extLst>
          </c:dPt>
          <c:cat>
            <c:strRef>
              <c:f>Data!$B$46:$B$99</c:f>
              <c:strCache>
                <c:ptCount val="54"/>
                <c:pt idx="0">
                  <c:v>AK</c:v>
                </c:pt>
                <c:pt idx="1">
                  <c:v>AL</c:v>
                </c:pt>
                <c:pt idx="2">
                  <c:v>AZ</c:v>
                </c:pt>
                <c:pt idx="3">
                  <c:v>CT</c:v>
                </c:pt>
                <c:pt idx="4">
                  <c:v>DE</c:v>
                </c:pt>
                <c:pt idx="5">
                  <c:v>HI</c:v>
                </c:pt>
                <c:pt idx="6">
                  <c:v>IN</c:v>
                </c:pt>
                <c:pt idx="7">
                  <c:v>ME</c:v>
                </c:pt>
                <c:pt idx="8">
                  <c:v>MD</c:v>
                </c:pt>
                <c:pt idx="9">
                  <c:v>MO</c:v>
                </c:pt>
                <c:pt idx="10">
                  <c:v>MT</c:v>
                </c:pt>
                <c:pt idx="11">
                  <c:v>ND</c:v>
                </c:pt>
                <c:pt idx="12">
                  <c:v>NH</c:v>
                </c:pt>
                <c:pt idx="13">
                  <c:v>OR</c:v>
                </c:pt>
                <c:pt idx="14">
                  <c:v>RI</c:v>
                </c:pt>
                <c:pt idx="15">
                  <c:v>SC</c:v>
                </c:pt>
                <c:pt idx="16">
                  <c:v>SD</c:v>
                </c:pt>
                <c:pt idx="17">
                  <c:v>UT</c:v>
                </c:pt>
                <c:pt idx="18">
                  <c:v>VA</c:v>
                </c:pt>
                <c:pt idx="19">
                  <c:v>VT</c:v>
                </c:pt>
                <c:pt idx="20">
                  <c:v>WI</c:v>
                </c:pt>
                <c:pt idx="21">
                  <c:v>WV</c:v>
                </c:pt>
                <c:pt idx="22">
                  <c:v>WY</c:v>
                </c:pt>
                <c:pt idx="23">
                  <c:v>ID</c:v>
                </c:pt>
                <c:pt idx="24">
                  <c:v>IA</c:v>
                </c:pt>
                <c:pt idx="25">
                  <c:v>FL</c:v>
                </c:pt>
                <c:pt idx="26">
                  <c:v>WA</c:v>
                </c:pt>
                <c:pt idx="27">
                  <c:v>KY</c:v>
                </c:pt>
                <c:pt idx="28">
                  <c:v>OK</c:v>
                </c:pt>
                <c:pt idx="29">
                  <c:v>MS</c:v>
                </c:pt>
                <c:pt idx="30">
                  <c:v>SDGE</c:v>
                </c:pt>
                <c:pt idx="31">
                  <c:v>SCG</c:v>
                </c:pt>
                <c:pt idx="32">
                  <c:v>CA</c:v>
                </c:pt>
                <c:pt idx="33">
                  <c:v>TX</c:v>
                </c:pt>
                <c:pt idx="34">
                  <c:v>IL</c:v>
                </c:pt>
                <c:pt idx="35">
                  <c:v>MI</c:v>
                </c:pt>
                <c:pt idx="36">
                  <c:v>NJ</c:v>
                </c:pt>
                <c:pt idx="37">
                  <c:v>National</c:v>
                </c:pt>
                <c:pt idx="38">
                  <c:v>NY</c:v>
                </c:pt>
                <c:pt idx="39">
                  <c:v>PA</c:v>
                </c:pt>
                <c:pt idx="40">
                  <c:v>TN</c:v>
                </c:pt>
                <c:pt idx="41">
                  <c:v>OH</c:v>
                </c:pt>
                <c:pt idx="42">
                  <c:v>CO</c:v>
                </c:pt>
                <c:pt idx="43">
                  <c:v>NC</c:v>
                </c:pt>
                <c:pt idx="44">
                  <c:v>AR</c:v>
                </c:pt>
                <c:pt idx="45">
                  <c:v>MN</c:v>
                </c:pt>
                <c:pt idx="46">
                  <c:v>GA</c:v>
                </c:pt>
                <c:pt idx="47">
                  <c:v>LA</c:v>
                </c:pt>
                <c:pt idx="48">
                  <c:v>MA</c:v>
                </c:pt>
                <c:pt idx="49">
                  <c:v>NM</c:v>
                </c:pt>
                <c:pt idx="50">
                  <c:v>NE</c:v>
                </c:pt>
                <c:pt idx="51">
                  <c:v>NV</c:v>
                </c:pt>
                <c:pt idx="52">
                  <c:v>KS</c:v>
                </c:pt>
                <c:pt idx="53">
                  <c:v>DC</c:v>
                </c:pt>
              </c:strCache>
            </c:strRef>
          </c:cat>
          <c:val>
            <c:numRef>
              <c:f>Data!$C$46:$C$99</c:f>
              <c:numCache>
                <c:formatCode>0.0000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4.1296595144460326E-3</c:v>
                </c:pt>
                <c:pt idx="33">
                  <c:v>6.1182231665522927E-3</c:v>
                </c:pt>
                <c:pt idx="34">
                  <c:v>1.1990535917962097E-2</c:v>
                </c:pt>
                <c:pt idx="35">
                  <c:v>1.5565738315656361E-2</c:v>
                </c:pt>
                <c:pt idx="36">
                  <c:v>1.7498636112554797E-2</c:v>
                </c:pt>
                <c:pt idx="37">
                  <c:v>1.7938596212073964E-2</c:v>
                </c:pt>
                <c:pt idx="38">
                  <c:v>2.3817526687518804E-2</c:v>
                </c:pt>
                <c:pt idx="39">
                  <c:v>2.4223203204085449E-2</c:v>
                </c:pt>
                <c:pt idx="40">
                  <c:v>2.4242610837065231E-2</c:v>
                </c:pt>
                <c:pt idx="41">
                  <c:v>2.667119152321255E-2</c:v>
                </c:pt>
                <c:pt idx="42">
                  <c:v>3.0590606102079507E-2</c:v>
                </c:pt>
                <c:pt idx="43">
                  <c:v>3.2268140763536332E-2</c:v>
                </c:pt>
                <c:pt idx="44">
                  <c:v>5.2760795689780662E-2</c:v>
                </c:pt>
                <c:pt idx="45">
                  <c:v>5.8012190536688907E-2</c:v>
                </c:pt>
                <c:pt idx="46">
                  <c:v>6.3522569954210309E-2</c:v>
                </c:pt>
                <c:pt idx="47">
                  <c:v>6.7872724253008054E-2</c:v>
                </c:pt>
                <c:pt idx="48">
                  <c:v>7.0489403345617402E-2</c:v>
                </c:pt>
                <c:pt idx="49">
                  <c:v>7.4712375100053866E-2</c:v>
                </c:pt>
                <c:pt idx="50">
                  <c:v>8.4237365227059921E-2</c:v>
                </c:pt>
                <c:pt idx="51">
                  <c:v>0.11393686240041669</c:v>
                </c:pt>
                <c:pt idx="52">
                  <c:v>0.16176634178413282</c:v>
                </c:pt>
                <c:pt idx="53">
                  <c:v>0.25567604004858357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F7-49AD-947B-9BCEF3B26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668864"/>
        <c:axId val="95788032"/>
      </c:barChart>
      <c:catAx>
        <c:axId val="9566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88032"/>
        <c:crosses val="autoZero"/>
        <c:auto val="1"/>
        <c:lblAlgn val="ctr"/>
        <c:lblOffset val="100"/>
        <c:noMultiLvlLbl val="0"/>
      </c:catAx>
      <c:valAx>
        <c:axId val="9578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million people per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68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2010-2016</a:t>
            </a:r>
            <a:r>
              <a:rPr lang="en-US" baseline="0"/>
              <a:t> Significant Incident Rate from all Sources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D979-4F13-9E9B-1C7B190300A6}"/>
              </c:ext>
            </c:extLst>
          </c:dPt>
          <c:dPt>
            <c:idx val="1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D979-4F13-9E9B-1C7B190300A6}"/>
              </c:ext>
            </c:extLst>
          </c:dPt>
          <c:dPt>
            <c:idx val="3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D979-4F13-9E9B-1C7B190300A6}"/>
              </c:ext>
            </c:extLst>
          </c:dPt>
          <c:dPt>
            <c:idx val="3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979-4F13-9E9B-1C7B190300A6}"/>
              </c:ext>
            </c:extLst>
          </c:dPt>
          <c:cat>
            <c:strRef>
              <c:f>Data!$B$103:$B$156</c:f>
              <c:strCache>
                <c:ptCount val="54"/>
                <c:pt idx="0">
                  <c:v>ME</c:v>
                </c:pt>
                <c:pt idx="1">
                  <c:v>VT</c:v>
                </c:pt>
                <c:pt idx="2">
                  <c:v>FL</c:v>
                </c:pt>
                <c:pt idx="3">
                  <c:v>NC</c:v>
                </c:pt>
                <c:pt idx="4">
                  <c:v>SC</c:v>
                </c:pt>
                <c:pt idx="5">
                  <c:v>OR</c:v>
                </c:pt>
                <c:pt idx="6">
                  <c:v>WI</c:v>
                </c:pt>
                <c:pt idx="7">
                  <c:v>NH</c:v>
                </c:pt>
                <c:pt idx="8">
                  <c:v>SDGE</c:v>
                </c:pt>
                <c:pt idx="9">
                  <c:v>CT</c:v>
                </c:pt>
                <c:pt idx="10">
                  <c:v>AZ</c:v>
                </c:pt>
                <c:pt idx="11">
                  <c:v>MS</c:v>
                </c:pt>
                <c:pt idx="12">
                  <c:v>UT</c:v>
                </c:pt>
                <c:pt idx="13">
                  <c:v>SCG</c:v>
                </c:pt>
                <c:pt idx="14">
                  <c:v>IA</c:v>
                </c:pt>
                <c:pt idx="15">
                  <c:v>LA</c:v>
                </c:pt>
                <c:pt idx="16">
                  <c:v>HI</c:v>
                </c:pt>
                <c:pt idx="17">
                  <c:v>ND</c:v>
                </c:pt>
                <c:pt idx="18">
                  <c:v>WV</c:v>
                </c:pt>
                <c:pt idx="19">
                  <c:v>GA</c:v>
                </c:pt>
                <c:pt idx="20">
                  <c:v>PA</c:v>
                </c:pt>
                <c:pt idx="21">
                  <c:v>AR</c:v>
                </c:pt>
                <c:pt idx="22">
                  <c:v>VA</c:v>
                </c:pt>
                <c:pt idx="23">
                  <c:v>WY</c:v>
                </c:pt>
                <c:pt idx="24">
                  <c:v>IL</c:v>
                </c:pt>
                <c:pt idx="25">
                  <c:v>AL</c:v>
                </c:pt>
                <c:pt idx="26">
                  <c:v>TN</c:v>
                </c:pt>
                <c:pt idx="27">
                  <c:v>RI</c:v>
                </c:pt>
                <c:pt idx="28">
                  <c:v>NJ</c:v>
                </c:pt>
                <c:pt idx="29">
                  <c:v>TX</c:v>
                </c:pt>
                <c:pt idx="30">
                  <c:v>National</c:v>
                </c:pt>
                <c:pt idx="31">
                  <c:v>IN</c:v>
                </c:pt>
                <c:pt idx="32">
                  <c:v>OH</c:v>
                </c:pt>
                <c:pt idx="33">
                  <c:v>WA</c:v>
                </c:pt>
                <c:pt idx="34">
                  <c:v>CA</c:v>
                </c:pt>
                <c:pt idx="35">
                  <c:v>CO</c:v>
                </c:pt>
                <c:pt idx="36">
                  <c:v>OK</c:v>
                </c:pt>
                <c:pt idx="37">
                  <c:v>SD</c:v>
                </c:pt>
                <c:pt idx="38">
                  <c:v>ID</c:v>
                </c:pt>
                <c:pt idx="39">
                  <c:v>KY</c:v>
                </c:pt>
                <c:pt idx="40">
                  <c:v>MO</c:v>
                </c:pt>
                <c:pt idx="41">
                  <c:v>MA</c:v>
                </c:pt>
                <c:pt idx="42">
                  <c:v>MD</c:v>
                </c:pt>
                <c:pt idx="43">
                  <c:v>DE</c:v>
                </c:pt>
                <c:pt idx="44">
                  <c:v>NM</c:v>
                </c:pt>
                <c:pt idx="45">
                  <c:v>NY</c:v>
                </c:pt>
                <c:pt idx="46">
                  <c:v>KS</c:v>
                </c:pt>
                <c:pt idx="47">
                  <c:v>NV</c:v>
                </c:pt>
                <c:pt idx="48">
                  <c:v>MN</c:v>
                </c:pt>
                <c:pt idx="49">
                  <c:v>MT</c:v>
                </c:pt>
                <c:pt idx="50">
                  <c:v>MI</c:v>
                </c:pt>
                <c:pt idx="51">
                  <c:v>DC</c:v>
                </c:pt>
                <c:pt idx="52">
                  <c:v>AK</c:v>
                </c:pt>
                <c:pt idx="53">
                  <c:v>NE</c:v>
                </c:pt>
              </c:strCache>
            </c:strRef>
          </c:cat>
          <c:val>
            <c:numRef>
              <c:f>Data!$C$103:$C$156</c:f>
              <c:numCache>
                <c:formatCode>0.0000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5.7279151129526452E-2</c:v>
                </c:pt>
                <c:pt idx="3">
                  <c:v>6.4536281527072664E-2</c:v>
                </c:pt>
                <c:pt idx="4">
                  <c:v>6.6522831001475283E-2</c:v>
                </c:pt>
                <c:pt idx="5">
                  <c:v>8.0314895429403788E-2</c:v>
                </c:pt>
                <c:pt idx="6">
                  <c:v>8.1156954059401862E-2</c:v>
                </c:pt>
                <c:pt idx="7">
                  <c:v>0.11686263556796118</c:v>
                </c:pt>
                <c:pt idx="8">
                  <c:v>0.12820512820512822</c:v>
                </c:pt>
                <c:pt idx="9">
                  <c:v>0.1291342852581957</c:v>
                </c:pt>
                <c:pt idx="10">
                  <c:v>0.14441089926339729</c:v>
                </c:pt>
                <c:pt idx="11">
                  <c:v>0.15554171407124448</c:v>
                </c:pt>
                <c:pt idx="12">
                  <c:v>0.16698902506380023</c:v>
                </c:pt>
                <c:pt idx="13">
                  <c:v>0.19874861980125139</c:v>
                </c:pt>
                <c:pt idx="14">
                  <c:v>0.20200686242562518</c:v>
                </c:pt>
                <c:pt idx="15">
                  <c:v>0.20361817275902419</c:v>
                </c:pt>
                <c:pt idx="16">
                  <c:v>0.22619428177462758</c:v>
                </c:pt>
                <c:pt idx="17">
                  <c:v>0.22873656329947004</c:v>
                </c:pt>
                <c:pt idx="18">
                  <c:v>0.24907714840871667</c:v>
                </c:pt>
                <c:pt idx="19">
                  <c:v>0.25409027981684124</c:v>
                </c:pt>
                <c:pt idx="20">
                  <c:v>0.25434363364289719</c:v>
                </c:pt>
                <c:pt idx="21">
                  <c:v>0.2638039784489033</c:v>
                </c:pt>
                <c:pt idx="22">
                  <c:v>0.26919631210282008</c:v>
                </c:pt>
                <c:pt idx="23">
                  <c:v>0.27295787250083181</c:v>
                </c:pt>
                <c:pt idx="24">
                  <c:v>0.28777286203109026</c:v>
                </c:pt>
                <c:pt idx="25">
                  <c:v>0.28968448981604522</c:v>
                </c:pt>
                <c:pt idx="26">
                  <c:v>0.29091133004478281</c:v>
                </c:pt>
                <c:pt idx="27">
                  <c:v>0.29232562648487714</c:v>
                </c:pt>
                <c:pt idx="28">
                  <c:v>0.29747681391343156</c:v>
                </c:pt>
                <c:pt idx="29">
                  <c:v>0.29979293516106231</c:v>
                </c:pt>
                <c:pt idx="30">
                  <c:v>0.31841008276431293</c:v>
                </c:pt>
                <c:pt idx="31">
                  <c:v>0.33218876113831886</c:v>
                </c:pt>
                <c:pt idx="32">
                  <c:v>0.3333898940401569</c:v>
                </c:pt>
                <c:pt idx="33">
                  <c:v>0.34317474618223809</c:v>
                </c:pt>
                <c:pt idx="34">
                  <c:v>0.34689139921346662</c:v>
                </c:pt>
                <c:pt idx="35">
                  <c:v>0.36708727322495405</c:v>
                </c:pt>
                <c:pt idx="36">
                  <c:v>0.36909779559827505</c:v>
                </c:pt>
                <c:pt idx="37">
                  <c:v>0.37791680917279685</c:v>
                </c:pt>
                <c:pt idx="38">
                  <c:v>0.39256932995187199</c:v>
                </c:pt>
                <c:pt idx="39">
                  <c:v>0.42544312250008959</c:v>
                </c:pt>
                <c:pt idx="40">
                  <c:v>0.48808023926104344</c:v>
                </c:pt>
                <c:pt idx="41">
                  <c:v>0.49342582341932184</c:v>
                </c:pt>
                <c:pt idx="42">
                  <c:v>0.50628745061565616</c:v>
                </c:pt>
                <c:pt idx="43">
                  <c:v>0.51400042936169199</c:v>
                </c:pt>
                <c:pt idx="44">
                  <c:v>0.52298662570037713</c:v>
                </c:pt>
                <c:pt idx="45">
                  <c:v>0.52398558712541377</c:v>
                </c:pt>
                <c:pt idx="46">
                  <c:v>0.5392211392804428</c:v>
                </c:pt>
                <c:pt idx="47">
                  <c:v>0.56968431200208347</c:v>
                </c:pt>
                <c:pt idx="48">
                  <c:v>0.58012190536688901</c:v>
                </c:pt>
                <c:pt idx="49">
                  <c:v>0.62196814823366875</c:v>
                </c:pt>
                <c:pt idx="50">
                  <c:v>0.63819527094191086</c:v>
                </c:pt>
                <c:pt idx="51">
                  <c:v>0.76702812014575072</c:v>
                </c:pt>
                <c:pt idx="52">
                  <c:v>1.0830712391190602</c:v>
                </c:pt>
                <c:pt idx="53">
                  <c:v>1.1793231131788389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79-4F13-9E9B-1C7B19030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6595200"/>
        <c:axId val="220967296"/>
      </c:barChart>
      <c:catAx>
        <c:axId val="16659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967296"/>
        <c:crosses val="autoZero"/>
        <c:auto val="1"/>
        <c:lblAlgn val="ctr"/>
        <c:lblOffset val="100"/>
        <c:noMultiLvlLbl val="0"/>
      </c:catAx>
      <c:valAx>
        <c:axId val="22096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million peope per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595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2010-2016</a:t>
            </a:r>
            <a:r>
              <a:rPr lang="en-US" baseline="0"/>
              <a:t> Significant Incident Rate from Corrosion and Other Outside Force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524-4BEF-8251-6B94C1AF4782}"/>
              </c:ext>
            </c:extLst>
          </c:dPt>
          <c:dPt>
            <c:idx val="3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524-4BEF-8251-6B94C1AF4782}"/>
              </c:ext>
            </c:extLst>
          </c:dPt>
          <c:dPt>
            <c:idx val="3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524-4BEF-8251-6B94C1AF4782}"/>
              </c:ext>
            </c:extLst>
          </c:dPt>
          <c:dPt>
            <c:idx val="4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4524-4BEF-8251-6B94C1AF4782}"/>
              </c:ext>
            </c:extLst>
          </c:dPt>
          <c:cat>
            <c:strRef>
              <c:f>Data!$B$160:$B$213</c:f>
              <c:strCache>
                <c:ptCount val="54"/>
                <c:pt idx="0">
                  <c:v>ME</c:v>
                </c:pt>
                <c:pt idx="1">
                  <c:v>VT</c:v>
                </c:pt>
                <c:pt idx="2">
                  <c:v>SC</c:v>
                </c:pt>
                <c:pt idx="3">
                  <c:v>WI</c:v>
                </c:pt>
                <c:pt idx="4">
                  <c:v>NH</c:v>
                </c:pt>
                <c:pt idx="5">
                  <c:v>CT</c:v>
                </c:pt>
                <c:pt idx="6">
                  <c:v>HI</c:v>
                </c:pt>
                <c:pt idx="7">
                  <c:v>GA</c:v>
                </c:pt>
                <c:pt idx="8">
                  <c:v>RI</c:v>
                </c:pt>
                <c:pt idx="9">
                  <c:v>MT</c:v>
                </c:pt>
                <c:pt idx="10">
                  <c:v>PA</c:v>
                </c:pt>
                <c:pt idx="11">
                  <c:v>CO</c:v>
                </c:pt>
                <c:pt idx="12">
                  <c:v>NC</c:v>
                </c:pt>
                <c:pt idx="13">
                  <c:v>FL</c:v>
                </c:pt>
                <c:pt idx="14">
                  <c:v>LA</c:v>
                </c:pt>
                <c:pt idx="15">
                  <c:v>IA</c:v>
                </c:pt>
                <c:pt idx="16">
                  <c:v>MS</c:v>
                </c:pt>
                <c:pt idx="17">
                  <c:v>NV</c:v>
                </c:pt>
                <c:pt idx="18">
                  <c:v>NJ</c:v>
                </c:pt>
                <c:pt idx="19">
                  <c:v>AZ</c:v>
                </c:pt>
                <c:pt idx="20">
                  <c:v>OR</c:v>
                </c:pt>
                <c:pt idx="21">
                  <c:v>OK</c:v>
                </c:pt>
                <c:pt idx="22">
                  <c:v>WV</c:v>
                </c:pt>
                <c:pt idx="23">
                  <c:v>MN</c:v>
                </c:pt>
                <c:pt idx="24">
                  <c:v>TX</c:v>
                </c:pt>
                <c:pt idx="25">
                  <c:v>AL</c:v>
                </c:pt>
                <c:pt idx="26">
                  <c:v>TN</c:v>
                </c:pt>
                <c:pt idx="27">
                  <c:v>ID</c:v>
                </c:pt>
                <c:pt idx="28">
                  <c:v>AR</c:v>
                </c:pt>
                <c:pt idx="29">
                  <c:v>KS</c:v>
                </c:pt>
                <c:pt idx="30">
                  <c:v>UT</c:v>
                </c:pt>
                <c:pt idx="31">
                  <c:v>National</c:v>
                </c:pt>
                <c:pt idx="32">
                  <c:v>IN</c:v>
                </c:pt>
                <c:pt idx="33">
                  <c:v>IL</c:v>
                </c:pt>
                <c:pt idx="34">
                  <c:v>OH</c:v>
                </c:pt>
                <c:pt idx="35">
                  <c:v>NY</c:v>
                </c:pt>
                <c:pt idx="36">
                  <c:v>SDGE</c:v>
                </c:pt>
                <c:pt idx="37">
                  <c:v>VA</c:v>
                </c:pt>
                <c:pt idx="38">
                  <c:v>SCG</c:v>
                </c:pt>
                <c:pt idx="39">
                  <c:v>NM</c:v>
                </c:pt>
                <c:pt idx="40">
                  <c:v>MA</c:v>
                </c:pt>
                <c:pt idx="41">
                  <c:v>SD</c:v>
                </c:pt>
                <c:pt idx="42">
                  <c:v>MI</c:v>
                </c:pt>
                <c:pt idx="43">
                  <c:v>MO</c:v>
                </c:pt>
                <c:pt idx="44">
                  <c:v>WA</c:v>
                </c:pt>
                <c:pt idx="45">
                  <c:v>CA</c:v>
                </c:pt>
                <c:pt idx="46">
                  <c:v>ND</c:v>
                </c:pt>
                <c:pt idx="47">
                  <c:v>KY</c:v>
                </c:pt>
                <c:pt idx="48">
                  <c:v>WY</c:v>
                </c:pt>
                <c:pt idx="49">
                  <c:v>DE</c:v>
                </c:pt>
                <c:pt idx="50">
                  <c:v>MD</c:v>
                </c:pt>
                <c:pt idx="51">
                  <c:v>NE</c:v>
                </c:pt>
                <c:pt idx="52">
                  <c:v>DC</c:v>
                </c:pt>
                <c:pt idx="53">
                  <c:v>AK</c:v>
                </c:pt>
              </c:strCache>
            </c:strRef>
          </c:cat>
          <c:val>
            <c:numRef>
              <c:f>Data!$C$160:$C$213</c:f>
              <c:numCache>
                <c:formatCode>0.0000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2.4223203204085449E-2</c:v>
                </c:pt>
                <c:pt idx="11">
                  <c:v>3.0590606102079507E-2</c:v>
                </c:pt>
                <c:pt idx="12">
                  <c:v>3.2268140763536332E-2</c:v>
                </c:pt>
                <c:pt idx="13">
                  <c:v>3.2730943502586547E-2</c:v>
                </c:pt>
                <c:pt idx="14">
                  <c:v>3.3936362126504027E-2</c:v>
                </c:pt>
                <c:pt idx="15">
                  <c:v>5.0501715606406296E-2</c:v>
                </c:pt>
                <c:pt idx="16">
                  <c:v>5.184723802374816E-2</c:v>
                </c:pt>
                <c:pt idx="17">
                  <c:v>5.6968431200208343E-2</c:v>
                </c:pt>
                <c:pt idx="18">
                  <c:v>6.9994544450219187E-2</c:v>
                </c:pt>
                <c:pt idx="19">
                  <c:v>7.2205449631698643E-2</c:v>
                </c:pt>
                <c:pt idx="20">
                  <c:v>8.0314895429403788E-2</c:v>
                </c:pt>
                <c:pt idx="21">
                  <c:v>8.2021732355172225E-2</c:v>
                </c:pt>
                <c:pt idx="22">
                  <c:v>8.3025716136238895E-2</c:v>
                </c:pt>
                <c:pt idx="23">
                  <c:v>8.701828580503336E-2</c:v>
                </c:pt>
                <c:pt idx="24">
                  <c:v>9.1773347498284405E-2</c:v>
                </c:pt>
                <c:pt idx="25">
                  <c:v>9.6561496605348407E-2</c:v>
                </c:pt>
                <c:pt idx="26">
                  <c:v>9.6970443348260923E-2</c:v>
                </c:pt>
                <c:pt idx="27">
                  <c:v>9.8142332487967998E-2</c:v>
                </c:pt>
                <c:pt idx="28">
                  <c:v>0.10552159137956132</c:v>
                </c:pt>
                <c:pt idx="29">
                  <c:v>0.10784422785608856</c:v>
                </c:pt>
                <c:pt idx="30">
                  <c:v>0.11132601670920017</c:v>
                </c:pt>
                <c:pt idx="31">
                  <c:v>0.11759746405692934</c:v>
                </c:pt>
                <c:pt idx="32">
                  <c:v>0.11863884326368529</c:v>
                </c:pt>
                <c:pt idx="33">
                  <c:v>0.11990535917962095</c:v>
                </c:pt>
                <c:pt idx="34">
                  <c:v>0.12002036185445647</c:v>
                </c:pt>
                <c:pt idx="35">
                  <c:v>0.1270268090001003</c:v>
                </c:pt>
                <c:pt idx="36">
                  <c:v>0.12820000000000001</c:v>
                </c:pt>
                <c:pt idx="37">
                  <c:v>0.13459815605141004</c:v>
                </c:pt>
                <c:pt idx="38">
                  <c:v>0.1472</c:v>
                </c:pt>
                <c:pt idx="39">
                  <c:v>0.14942475020010773</c:v>
                </c:pt>
                <c:pt idx="40">
                  <c:v>0.16447527447310728</c:v>
                </c:pt>
                <c:pt idx="41">
                  <c:v>0.18895840458639843</c:v>
                </c:pt>
                <c:pt idx="42">
                  <c:v>0.20235459810353268</c:v>
                </c:pt>
                <c:pt idx="43">
                  <c:v>0.20550746916254461</c:v>
                </c:pt>
                <c:pt idx="44">
                  <c:v>0.20590484770934289</c:v>
                </c:pt>
                <c:pt idx="45">
                  <c:v>0.22713127329453175</c:v>
                </c:pt>
                <c:pt idx="46">
                  <c:v>0.22873656329947004</c:v>
                </c:pt>
                <c:pt idx="47">
                  <c:v>0.24817515479171892</c:v>
                </c:pt>
                <c:pt idx="48">
                  <c:v>0.27295787250083181</c:v>
                </c:pt>
                <c:pt idx="49">
                  <c:v>0.34266695290779464</c:v>
                </c:pt>
                <c:pt idx="50">
                  <c:v>0.37305391097995722</c:v>
                </c:pt>
                <c:pt idx="51">
                  <c:v>0.50542419136235961</c:v>
                </c:pt>
                <c:pt idx="52">
                  <c:v>0.51135208009716715</c:v>
                </c:pt>
                <c:pt idx="53">
                  <c:v>0.86645699129524811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24-4BEF-8251-6B94C1AF4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581824"/>
        <c:axId val="89583616"/>
      </c:barChart>
      <c:catAx>
        <c:axId val="8958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83616"/>
        <c:crosses val="autoZero"/>
        <c:auto val="1"/>
        <c:lblAlgn val="ctr"/>
        <c:lblOffset val="100"/>
        <c:noMultiLvlLbl val="0"/>
      </c:catAx>
      <c:valAx>
        <c:axId val="8958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million peope per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81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2010-2016</a:t>
            </a:r>
            <a:r>
              <a:rPr lang="en-US" baseline="0"/>
              <a:t> Significant Incident Rate from Corrosion and Material Failure or Pipe or Weld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8B14-4DD9-81D3-45AD0B1BD150}"/>
              </c:ext>
            </c:extLst>
          </c:dPt>
          <c:dPt>
            <c:idx val="3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14-4DD9-81D3-45AD0B1BD150}"/>
              </c:ext>
            </c:extLst>
          </c:dPt>
          <c:dPt>
            <c:idx val="3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B14-4DD9-81D3-45AD0B1BD150}"/>
              </c:ext>
            </c:extLst>
          </c:dPt>
          <c:cat>
            <c:strRef>
              <c:f>Data!$B$218:$B$271</c:f>
              <c:strCache>
                <c:ptCount val="54"/>
                <c:pt idx="0">
                  <c:v>ME</c:v>
                </c:pt>
                <c:pt idx="1">
                  <c:v>VT</c:v>
                </c:pt>
                <c:pt idx="2">
                  <c:v>SC</c:v>
                </c:pt>
                <c:pt idx="3">
                  <c:v>WI</c:v>
                </c:pt>
                <c:pt idx="4">
                  <c:v>NH</c:v>
                </c:pt>
                <c:pt idx="5">
                  <c:v>HI</c:v>
                </c:pt>
                <c:pt idx="6">
                  <c:v>RI</c:v>
                </c:pt>
                <c:pt idx="7">
                  <c:v>MT</c:v>
                </c:pt>
                <c:pt idx="8">
                  <c:v>NC</c:v>
                </c:pt>
                <c:pt idx="9">
                  <c:v>FL</c:v>
                </c:pt>
                <c:pt idx="10">
                  <c:v>LA</c:v>
                </c:pt>
                <c:pt idx="11">
                  <c:v>IA</c:v>
                </c:pt>
                <c:pt idx="12">
                  <c:v>OR</c:v>
                </c:pt>
                <c:pt idx="13">
                  <c:v>WV</c:v>
                </c:pt>
                <c:pt idx="14">
                  <c:v>MN</c:v>
                </c:pt>
                <c:pt idx="15">
                  <c:v>TN</c:v>
                </c:pt>
                <c:pt idx="16">
                  <c:v>ID</c:v>
                </c:pt>
                <c:pt idx="17">
                  <c:v>AR</c:v>
                </c:pt>
                <c:pt idx="18">
                  <c:v>KS</c:v>
                </c:pt>
                <c:pt idx="19">
                  <c:v>UT</c:v>
                </c:pt>
                <c:pt idx="20">
                  <c:v>SDGE</c:v>
                </c:pt>
                <c:pt idx="21">
                  <c:v>VA</c:v>
                </c:pt>
                <c:pt idx="22">
                  <c:v>MA</c:v>
                </c:pt>
                <c:pt idx="23">
                  <c:v>SD</c:v>
                </c:pt>
                <c:pt idx="24">
                  <c:v>ND</c:v>
                </c:pt>
                <c:pt idx="25">
                  <c:v>KY</c:v>
                </c:pt>
                <c:pt idx="26">
                  <c:v>WY</c:v>
                </c:pt>
                <c:pt idx="27">
                  <c:v>DE</c:v>
                </c:pt>
                <c:pt idx="28">
                  <c:v>MD</c:v>
                </c:pt>
                <c:pt idx="29">
                  <c:v>NE</c:v>
                </c:pt>
                <c:pt idx="30">
                  <c:v>DC</c:v>
                </c:pt>
                <c:pt idx="31">
                  <c:v>AK</c:v>
                </c:pt>
                <c:pt idx="32">
                  <c:v>SCG</c:v>
                </c:pt>
                <c:pt idx="33">
                  <c:v>GA</c:v>
                </c:pt>
                <c:pt idx="34">
                  <c:v>WA</c:v>
                </c:pt>
                <c:pt idx="35">
                  <c:v>IN</c:v>
                </c:pt>
                <c:pt idx="36">
                  <c:v>AZ</c:v>
                </c:pt>
                <c:pt idx="37">
                  <c:v>PA</c:v>
                </c:pt>
                <c:pt idx="38">
                  <c:v>CA</c:v>
                </c:pt>
                <c:pt idx="39">
                  <c:v>National</c:v>
                </c:pt>
                <c:pt idx="40">
                  <c:v>CO</c:v>
                </c:pt>
                <c:pt idx="41">
                  <c:v>AL</c:v>
                </c:pt>
                <c:pt idx="42">
                  <c:v>NJ</c:v>
                </c:pt>
                <c:pt idx="43">
                  <c:v>IL</c:v>
                </c:pt>
                <c:pt idx="44">
                  <c:v>NY</c:v>
                </c:pt>
                <c:pt idx="45">
                  <c:v>OK</c:v>
                </c:pt>
                <c:pt idx="46">
                  <c:v>CT</c:v>
                </c:pt>
                <c:pt idx="47">
                  <c:v>MI</c:v>
                </c:pt>
                <c:pt idx="48">
                  <c:v>TX</c:v>
                </c:pt>
                <c:pt idx="49">
                  <c:v>MS</c:v>
                </c:pt>
                <c:pt idx="50">
                  <c:v>OH</c:v>
                </c:pt>
                <c:pt idx="51">
                  <c:v>NM</c:v>
                </c:pt>
                <c:pt idx="52">
                  <c:v>MO</c:v>
                </c:pt>
                <c:pt idx="53">
                  <c:v>NV</c:v>
                </c:pt>
              </c:strCache>
            </c:strRef>
          </c:cat>
          <c:val>
            <c:numRef>
              <c:f>Data!$C$218:$C$271</c:f>
              <c:numCache>
                <c:formatCode>0.0000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7.4000000000000003E-3</c:v>
                </c:pt>
                <c:pt idx="33">
                  <c:v>1.5880642488552577E-2</c:v>
                </c:pt>
                <c:pt idx="34">
                  <c:v>2.287831641214921E-2</c:v>
                </c:pt>
                <c:pt idx="35">
                  <c:v>2.3727768652737059E-2</c:v>
                </c:pt>
                <c:pt idx="36">
                  <c:v>2.4068483210566215E-2</c:v>
                </c:pt>
                <c:pt idx="37">
                  <c:v>2.4223203204085449E-2</c:v>
                </c:pt>
                <c:pt idx="38">
                  <c:v>2.4777957086676194E-2</c:v>
                </c:pt>
                <c:pt idx="39">
                  <c:v>2.5413011300438118E-2</c:v>
                </c:pt>
                <c:pt idx="40">
                  <c:v>3.0590606102079507E-2</c:v>
                </c:pt>
                <c:pt idx="41">
                  <c:v>3.2187165535116136E-2</c:v>
                </c:pt>
                <c:pt idx="42">
                  <c:v>3.4997272225109594E-2</c:v>
                </c:pt>
                <c:pt idx="43">
                  <c:v>3.5971607753886282E-2</c:v>
                </c:pt>
                <c:pt idx="44">
                  <c:v>3.9695877812531338E-2</c:v>
                </c:pt>
                <c:pt idx="45">
                  <c:v>4.1010866177586112E-2</c:v>
                </c:pt>
                <c:pt idx="46">
                  <c:v>4.3044761752731898E-2</c:v>
                </c:pt>
                <c:pt idx="47">
                  <c:v>4.6697214946969087E-2</c:v>
                </c:pt>
                <c:pt idx="48">
                  <c:v>4.8945785332418341E-2</c:v>
                </c:pt>
                <c:pt idx="49">
                  <c:v>5.184723802374816E-2</c:v>
                </c:pt>
                <c:pt idx="50">
                  <c:v>6.6677978808031377E-2</c:v>
                </c:pt>
                <c:pt idx="51">
                  <c:v>7.4712375100053866E-2</c:v>
                </c:pt>
                <c:pt idx="52">
                  <c:v>7.706530093595422E-2</c:v>
                </c:pt>
                <c:pt idx="53">
                  <c:v>0.22787372480083337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14-4DD9-81D3-45AD0B1BD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598976"/>
        <c:axId val="89617152"/>
      </c:barChart>
      <c:catAx>
        <c:axId val="8959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17152"/>
        <c:crosses val="autoZero"/>
        <c:auto val="1"/>
        <c:lblAlgn val="ctr"/>
        <c:lblOffset val="100"/>
        <c:noMultiLvlLbl val="0"/>
      </c:catAx>
      <c:valAx>
        <c:axId val="8961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98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2010-2016</a:t>
            </a:r>
            <a:r>
              <a:rPr lang="en-US" baseline="0"/>
              <a:t> Significant incident rate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EF2A-4DDC-856A-3EECE8C5E659}"/>
              </c:ext>
            </c:extLst>
          </c:dPt>
          <c:dPt>
            <c:idx val="2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EF2A-4DDC-856A-3EECE8C5E659}"/>
              </c:ext>
            </c:extLst>
          </c:dPt>
          <c:dPt>
            <c:idx val="3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F2A-4DDC-856A-3EECE8C5E659}"/>
              </c:ext>
            </c:extLst>
          </c:dPt>
          <c:cat>
            <c:strRef>
              <c:f>Data!$B$276:$B$329</c:f>
              <c:strCache>
                <c:ptCount val="54"/>
                <c:pt idx="0">
                  <c:v>ME</c:v>
                </c:pt>
                <c:pt idx="1">
                  <c:v>VT</c:v>
                </c:pt>
                <c:pt idx="2">
                  <c:v>HI</c:v>
                </c:pt>
                <c:pt idx="3">
                  <c:v>RI</c:v>
                </c:pt>
                <c:pt idx="4">
                  <c:v>OR</c:v>
                </c:pt>
                <c:pt idx="5">
                  <c:v>SD</c:v>
                </c:pt>
                <c:pt idx="6">
                  <c:v>DE</c:v>
                </c:pt>
                <c:pt idx="7">
                  <c:v>MD</c:v>
                </c:pt>
                <c:pt idx="8">
                  <c:v>DC</c:v>
                </c:pt>
                <c:pt idx="9">
                  <c:v>SDGE</c:v>
                </c:pt>
                <c:pt idx="10">
                  <c:v>NC</c:v>
                </c:pt>
                <c:pt idx="11">
                  <c:v>WI</c:v>
                </c:pt>
                <c:pt idx="12">
                  <c:v>AK</c:v>
                </c:pt>
                <c:pt idx="13">
                  <c:v>UT</c:v>
                </c:pt>
                <c:pt idx="14">
                  <c:v>ID</c:v>
                </c:pt>
                <c:pt idx="15">
                  <c:v>KS</c:v>
                </c:pt>
                <c:pt idx="16">
                  <c:v>AR</c:v>
                </c:pt>
                <c:pt idx="17">
                  <c:v>WY</c:v>
                </c:pt>
                <c:pt idx="18">
                  <c:v>ND</c:v>
                </c:pt>
                <c:pt idx="19">
                  <c:v>SCG</c:v>
                </c:pt>
                <c:pt idx="20">
                  <c:v>FL</c:v>
                </c:pt>
                <c:pt idx="21">
                  <c:v>NJ</c:v>
                </c:pt>
                <c:pt idx="22">
                  <c:v>CA</c:v>
                </c:pt>
                <c:pt idx="23">
                  <c:v>WA</c:v>
                </c:pt>
                <c:pt idx="24">
                  <c:v>IN</c:v>
                </c:pt>
                <c:pt idx="25">
                  <c:v>AZ</c:v>
                </c:pt>
                <c:pt idx="26">
                  <c:v>TN</c:v>
                </c:pt>
                <c:pt idx="27">
                  <c:v>MN</c:v>
                </c:pt>
                <c:pt idx="28">
                  <c:v>CO</c:v>
                </c:pt>
                <c:pt idx="29">
                  <c:v>SC</c:v>
                </c:pt>
                <c:pt idx="30">
                  <c:v>OK</c:v>
                </c:pt>
                <c:pt idx="31">
                  <c:v>GA</c:v>
                </c:pt>
                <c:pt idx="32">
                  <c:v>TX</c:v>
                </c:pt>
                <c:pt idx="33">
                  <c:v>IA</c:v>
                </c:pt>
                <c:pt idx="34">
                  <c:v>National</c:v>
                </c:pt>
                <c:pt idx="35">
                  <c:v>MS</c:v>
                </c:pt>
                <c:pt idx="36">
                  <c:v>VA</c:v>
                </c:pt>
                <c:pt idx="37">
                  <c:v>IL</c:v>
                </c:pt>
                <c:pt idx="38">
                  <c:v>MA</c:v>
                </c:pt>
                <c:pt idx="39">
                  <c:v>MI</c:v>
                </c:pt>
                <c:pt idx="40">
                  <c:v>OH</c:v>
                </c:pt>
                <c:pt idx="41">
                  <c:v>WV</c:v>
                </c:pt>
                <c:pt idx="42">
                  <c:v>NE</c:v>
                </c:pt>
                <c:pt idx="43">
                  <c:v>PA</c:v>
                </c:pt>
                <c:pt idx="44">
                  <c:v>AL</c:v>
                </c:pt>
                <c:pt idx="45">
                  <c:v>LA</c:v>
                </c:pt>
                <c:pt idx="46">
                  <c:v>MO</c:v>
                </c:pt>
                <c:pt idx="47">
                  <c:v>NH</c:v>
                </c:pt>
                <c:pt idx="48">
                  <c:v>CT</c:v>
                </c:pt>
                <c:pt idx="49">
                  <c:v>KY</c:v>
                </c:pt>
                <c:pt idx="50">
                  <c:v>NY</c:v>
                </c:pt>
                <c:pt idx="51">
                  <c:v>MT</c:v>
                </c:pt>
                <c:pt idx="52">
                  <c:v>NV</c:v>
                </c:pt>
                <c:pt idx="53">
                  <c:v>NM</c:v>
                </c:pt>
              </c:strCache>
            </c:strRef>
          </c:cat>
          <c:val>
            <c:numRef>
              <c:f>Data!$C$276:$C$329</c:f>
              <c:numCache>
                <c:formatCode>General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7.3610599926389403E-3</c:v>
                </c:pt>
                <c:pt idx="20">
                  <c:v>1.6365471751293274E-2</c:v>
                </c:pt>
                <c:pt idx="21">
                  <c:v>1.7498636112554797E-2</c:v>
                </c:pt>
                <c:pt idx="22">
                  <c:v>2.0648297572230162E-2</c:v>
                </c:pt>
                <c:pt idx="23">
                  <c:v>2.287831641214921E-2</c:v>
                </c:pt>
                <c:pt idx="24">
                  <c:v>2.3727768652737059E-2</c:v>
                </c:pt>
                <c:pt idx="25">
                  <c:v>2.4068483210566215E-2</c:v>
                </c:pt>
                <c:pt idx="26">
                  <c:v>2.4242610837065231E-2</c:v>
                </c:pt>
                <c:pt idx="27">
                  <c:v>2.9006095268344453E-2</c:v>
                </c:pt>
                <c:pt idx="28">
                  <c:v>3.0590606102079507E-2</c:v>
                </c:pt>
                <c:pt idx="29">
                  <c:v>3.3261415500737641E-2</c:v>
                </c:pt>
                <c:pt idx="30">
                  <c:v>4.1010866177586112E-2</c:v>
                </c:pt>
                <c:pt idx="31">
                  <c:v>4.7641927465657728E-2</c:v>
                </c:pt>
                <c:pt idx="32">
                  <c:v>4.8945785332418341E-2</c:v>
                </c:pt>
                <c:pt idx="33">
                  <c:v>5.0501715606406296E-2</c:v>
                </c:pt>
                <c:pt idx="34">
                  <c:v>5.182261127932479E-2</c:v>
                </c:pt>
                <c:pt idx="35">
                  <c:v>5.184723802374816E-2</c:v>
                </c:pt>
                <c:pt idx="36">
                  <c:v>5.7684924022032867E-2</c:v>
                </c:pt>
                <c:pt idx="37">
                  <c:v>5.9952679589810473E-2</c:v>
                </c:pt>
                <c:pt idx="38">
                  <c:v>7.0489403345617402E-2</c:v>
                </c:pt>
                <c:pt idx="39">
                  <c:v>7.7828691578281817E-2</c:v>
                </c:pt>
                <c:pt idx="40">
                  <c:v>8.001357456963766E-2</c:v>
                </c:pt>
                <c:pt idx="41">
                  <c:v>8.3025716136238895E-2</c:v>
                </c:pt>
                <c:pt idx="42">
                  <c:v>8.4237365227059921E-2</c:v>
                </c:pt>
                <c:pt idx="43">
                  <c:v>8.478121121429906E-2</c:v>
                </c:pt>
                <c:pt idx="44">
                  <c:v>9.6561496605348407E-2</c:v>
                </c:pt>
                <c:pt idx="45">
                  <c:v>0.1018090863795121</c:v>
                </c:pt>
                <c:pt idx="46">
                  <c:v>0.10275373458127231</c:v>
                </c:pt>
                <c:pt idx="47">
                  <c:v>0.11686263556796118</c:v>
                </c:pt>
                <c:pt idx="48">
                  <c:v>0.1291342852581957</c:v>
                </c:pt>
                <c:pt idx="49">
                  <c:v>0.14181437416669651</c:v>
                </c:pt>
                <c:pt idx="50">
                  <c:v>0.1508443356876191</c:v>
                </c:pt>
                <c:pt idx="51">
                  <c:v>0.15549203705841719</c:v>
                </c:pt>
                <c:pt idx="52">
                  <c:v>0.17090529360062504</c:v>
                </c:pt>
                <c:pt idx="53">
                  <c:v>0.22413712530016164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2A-4DDC-856A-3EECE8C5E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287488"/>
        <c:axId val="90289280"/>
      </c:barChart>
      <c:catAx>
        <c:axId val="9028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89280"/>
        <c:crosses val="autoZero"/>
        <c:auto val="1"/>
        <c:lblAlgn val="ctr"/>
        <c:lblOffset val="100"/>
        <c:noMultiLvlLbl val="0"/>
      </c:catAx>
      <c:valAx>
        <c:axId val="9028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8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1809750</xdr:colOff>
      <xdr:row>14</xdr:row>
      <xdr:rowOff>123825</xdr:rowOff>
    </xdr:from>
    <xdr:to>
      <xdr:col>0</xdr:col>
      <xdr:colOff>4124325</xdr:colOff>
      <xdr:row>21</xdr:row>
      <xdr:rowOff>28575</xdr:rowOff>
    </xdr:to>
    <xdr:pic>
      <xdr:nvPicPr>
        <xdr:cNvPr id="2" name="Picture 1" descr="C:\Users\jyork\Documents\RAMP\Presentations\sdge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00"/>
          <a:ext cx="2314575" cy="1238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42</xdr:row>
      <xdr:rowOff>176212</xdr:rowOff>
    </xdr:from>
    <xdr:to>
      <xdr:col>16</xdr:col>
      <xdr:colOff>495300</xdr:colOff>
      <xdr:row>73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19049</xdr:colOff>
      <xdr:row>99</xdr:row>
      <xdr:rowOff>185736</xdr:rowOff>
    </xdr:from>
    <xdr:to>
      <xdr:col>16</xdr:col>
      <xdr:colOff>190499</xdr:colOff>
      <xdr:row>132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28575</xdr:colOff>
      <xdr:row>157</xdr:row>
      <xdr:rowOff>4761</xdr:rowOff>
    </xdr:from>
    <xdr:to>
      <xdr:col>19</xdr:col>
      <xdr:colOff>95250</xdr:colOff>
      <xdr:row>191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9525</xdr:colOff>
      <xdr:row>215</xdr:row>
      <xdr:rowOff>14287</xdr:rowOff>
    </xdr:from>
    <xdr:to>
      <xdr:col>18</xdr:col>
      <xdr:colOff>533400</xdr:colOff>
      <xdr:row>246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142875</xdr:colOff>
      <xdr:row>273</xdr:row>
      <xdr:rowOff>4762</xdr:rowOff>
    </xdr:from>
    <xdr:to>
      <xdr:col>15</xdr:col>
      <xdr:colOff>352425</xdr:colOff>
      <xdr:row>307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0.69466</cdr:x>
      <cdr:y>0.27373</cdr:y>
    </cdr:from>
    <cdr:to>
      <cdr:x>0.8645</cdr:x>
      <cdr:y>0.32706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934200" y="1662113"/>
          <a:ext cx="16954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Distribution Only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0.70554</cdr:x>
      <cdr:y>0.23834</cdr:y>
    </cdr:from>
    <cdr:to>
      <cdr:x>0.86899</cdr:x>
      <cdr:y>0.2892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318375" y="1517650"/>
          <a:ext cx="16954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Distribution Only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0.75696</cdr:x>
      <cdr:y>0.18553</cdr:y>
    </cdr:from>
    <cdr:to>
      <cdr:x>0.89711</cdr:x>
      <cdr:y>0.23393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156700" y="1241425"/>
          <a:ext cx="16954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Distribution Only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0.77539</cdr:x>
      <cdr:y>0.31824</cdr:y>
    </cdr:from>
    <cdr:to>
      <cdr:x>0.91733</cdr:x>
      <cdr:y>0.37043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261475" y="1974850"/>
          <a:ext cx="16954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Distribution Only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0.62044</cdr:x>
      <cdr:y>0.16214</cdr:y>
    </cdr:from>
    <cdr:to>
      <cdr:x>0.80702</cdr:x>
      <cdr:y>0.20953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051550" y="1108075"/>
          <a:ext cx="1819763" cy="323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Causes:</a:t>
          </a:r>
          <a:r>
            <a:rPr lang="en-US" sz="1100" baseline="0"/>
            <a:t> material and other</a:t>
          </a:r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DGE-2-WP-RSE%20Catastrophic%20Damage%20Involving%20Third%20Party%20Dig-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Analysis"/>
      <sheetName val="Baseline Mitigation"/>
      <sheetName val="2015Costs"/>
      <sheetName val="Data"/>
      <sheetName val="Refer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136" customWidth="1"/>
  </cols>
  <sheetData>
    <row r="1" spans="1:1" ht="34.5" x14ac:dyDescent="0.25">
      <c r="A1" s="130"/>
    </row>
    <row r="2" spans="1:1" ht="34.5" x14ac:dyDescent="0.25">
      <c r="A2" s="130"/>
    </row>
    <row r="3" spans="1:1" ht="34.5" x14ac:dyDescent="0.25">
      <c r="A3" s="131" t="s">
        <v>238</v>
      </c>
    </row>
    <row r="4" spans="1:1" ht="6" customHeight="1" x14ac:dyDescent="0.25">
      <c r="A4" s="131"/>
    </row>
    <row r="5" spans="1:1" ht="34.5" x14ac:dyDescent="0.25">
      <c r="A5" s="132" t="s">
        <v>239</v>
      </c>
    </row>
    <row r="6" spans="1:1" ht="6" customHeight="1" x14ac:dyDescent="0.25">
      <c r="A6" s="131"/>
    </row>
    <row r="7" spans="1:1" ht="34.5" x14ac:dyDescent="0.25">
      <c r="A7" s="131" t="s">
        <v>240</v>
      </c>
    </row>
    <row r="8" spans="1:1" ht="6" customHeight="1" x14ac:dyDescent="0.25">
      <c r="A8" s="131"/>
    </row>
    <row r="9" spans="1:1" ht="69" x14ac:dyDescent="0.25">
      <c r="A9" s="133" t="s">
        <v>242</v>
      </c>
    </row>
    <row r="10" spans="1:1" ht="6" customHeight="1" x14ac:dyDescent="0.25">
      <c r="A10" s="131"/>
    </row>
    <row r="11" spans="1:1" ht="34.5" x14ac:dyDescent="0.25">
      <c r="A11" s="131" t="s">
        <v>243</v>
      </c>
    </row>
    <row r="12" spans="1:1" ht="31.5" customHeight="1" x14ac:dyDescent="0.25">
      <c r="A12" s="134"/>
    </row>
    <row r="13" spans="1:1" ht="18.75" x14ac:dyDescent="0.25">
      <c r="A13" s="135" t="s">
        <v>241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L56"/>
  <sheetViews>
    <sheetView zoomScale="85" zoomScaleNormal="85" workbookViewId="0"/>
  </sheetViews>
  <sheetFormatPr defaultRowHeight="15" x14ac:dyDescent="0.25"/>
  <cols>
    <col min="1" max="1" width="5.7109375" style="46" customWidth="1"/>
    <col min="2" max="2" width="14.85546875" style="46" customWidth="1"/>
    <col min="3" max="3" width="28.28515625" style="46" customWidth="1"/>
    <col min="4" max="4" width="11.7109375" style="46" customWidth="1"/>
    <col min="5" max="5" width="9.140625" style="46" customWidth="1"/>
    <col min="6" max="6" width="2.28515625" style="46" customWidth="1"/>
    <col min="7" max="7" width="9.5703125" style="46" bestFit="1" customWidth="1"/>
    <col min="8" max="9" width="24.42578125" style="46" customWidth="1"/>
    <col min="10" max="11" width="11.5703125" style="46" bestFit="1" customWidth="1"/>
    <col min="12" max="12" width="11.5703125" style="46" customWidth="1"/>
    <col min="13" max="13" width="12.85546875" style="46" bestFit="1" customWidth="1"/>
    <col min="14" max="14" width="10.28515625" style="46" hidden="1" customWidth="1"/>
    <col min="15" max="15" width="22.7109375" style="46" customWidth="1"/>
    <col min="16" max="16" width="12.85546875" style="46" bestFit="1" customWidth="1"/>
    <col min="17" max="17" width="9.7109375" style="46" bestFit="1" customWidth="1"/>
    <col min="18" max="18" width="6.5703125" style="46" hidden="1" customWidth="1"/>
    <col min="19" max="19" width="10" style="46" hidden="1" customWidth="1"/>
    <col min="20" max="20" width="11.42578125" style="46" hidden="1" customWidth="1"/>
    <col min="21" max="21" width="8.85546875" style="46" hidden="1" customWidth="1"/>
    <col min="22" max="22" width="11.28515625" style="46" hidden="1" customWidth="1"/>
    <col min="23" max="23" width="13.7109375" style="46" hidden="1" customWidth="1"/>
    <col min="24" max="24" width="11.42578125" style="46" hidden="1" customWidth="1"/>
    <col min="25" max="25" width="9.7109375" style="46" hidden="1" customWidth="1"/>
    <col min="26" max="26" width="11.28515625" style="46" bestFit="1" customWidth="1"/>
    <col min="27" max="27" width="11.28515625" style="46" customWidth="1"/>
    <col min="28" max="28" width="10.28515625" style="46" hidden="1" customWidth="1"/>
    <col min="29" max="29" width="15.140625" style="46" bestFit="1" customWidth="1"/>
    <col min="30" max="30" width="13.5703125" style="47" bestFit="1" customWidth="1"/>
    <col min="31" max="31" width="10.85546875" style="46" customWidth="1"/>
    <col min="32" max="32" width="7.85546875" style="46" bestFit="1" customWidth="1"/>
    <col min="33" max="36" width="4.7109375" style="46" customWidth="1"/>
    <col min="37" max="37" width="15.140625" style="46" customWidth="1"/>
    <col min="38" max="38" width="15.5703125" style="46" customWidth="1"/>
    <col min="39" max="39" width="14.42578125" style="46" customWidth="1"/>
    <col min="40" max="40" width="33.28515625" style="46" bestFit="1" customWidth="1"/>
    <col min="41" max="41" width="17.7109375" style="46" bestFit="1" customWidth="1"/>
    <col min="42" max="42" width="42.28515625" style="46" bestFit="1" customWidth="1"/>
    <col min="43" max="43" width="23.42578125" style="46" bestFit="1" customWidth="1"/>
    <col min="44" max="44" width="31.140625" style="46" bestFit="1" customWidth="1"/>
    <col min="45" max="45" width="47.140625" style="46" bestFit="1" customWidth="1"/>
    <col min="46" max="46" width="12" style="46" bestFit="1" customWidth="1"/>
    <col min="47" max="16384" width="9.140625" style="46"/>
  </cols>
  <sheetData>
    <row r="1" spans="1:38" x14ac:dyDescent="0.25">
      <c r="C1" s="115" t="s">
        <v>49</v>
      </c>
      <c r="D1" s="115"/>
      <c r="E1" s="115"/>
      <c r="F1" s="115"/>
      <c r="G1" s="115"/>
    </row>
    <row r="3" spans="1:38" ht="21" x14ac:dyDescent="0.35">
      <c r="B3" s="116" t="s">
        <v>2</v>
      </c>
      <c r="C3" s="116"/>
      <c r="D3" s="116"/>
      <c r="E3" s="116"/>
    </row>
    <row r="4" spans="1:38" ht="37.5" x14ac:dyDescent="0.3">
      <c r="B4" s="48" t="s">
        <v>234</v>
      </c>
      <c r="C4" s="49" t="s">
        <v>235</v>
      </c>
      <c r="D4" s="50" t="s">
        <v>3</v>
      </c>
      <c r="E4" s="51" t="s">
        <v>4</v>
      </c>
    </row>
    <row r="5" spans="1:38" ht="15" customHeight="1" x14ac:dyDescent="0.25">
      <c r="A5" s="117"/>
      <c r="B5" s="118">
        <v>1</v>
      </c>
      <c r="C5" s="52" t="s">
        <v>1</v>
      </c>
      <c r="D5" s="53">
        <f>INDEX(Reference!$C:$G,MATCH($C$1,Reference!$B:$B,0),ROW()-ROW($B$4))</f>
        <v>5.7735026918962602E-2</v>
      </c>
      <c r="E5" s="121">
        <f>D5*(0.4*10^D6+0.2*10^D7+0.2*10^D8+0.2*10^D9)</f>
        <v>2344.0420929098818</v>
      </c>
      <c r="G5" s="54"/>
      <c r="H5" s="54"/>
      <c r="I5" s="54"/>
    </row>
    <row r="6" spans="1:38" x14ac:dyDescent="0.25">
      <c r="A6" s="117"/>
      <c r="B6" s="119"/>
      <c r="C6" s="52" t="s">
        <v>5</v>
      </c>
      <c r="D6" s="55">
        <f>INDEX(Reference!$C:$G,MATCH($C$1,Reference!$B:$B,0),ROW()-ROW($B$4))</f>
        <v>5</v>
      </c>
      <c r="E6" s="122"/>
    </row>
    <row r="7" spans="1:38" x14ac:dyDescent="0.25">
      <c r="A7" s="117"/>
      <c r="B7" s="119"/>
      <c r="C7" s="52" t="s">
        <v>6</v>
      </c>
      <c r="D7" s="55">
        <f>INDEX(Reference!$C:$G,MATCH($C$1,Reference!$B:$B,0),ROW()-ROW($B$4))</f>
        <v>3</v>
      </c>
      <c r="E7" s="122"/>
    </row>
    <row r="8" spans="1:38" x14ac:dyDescent="0.25">
      <c r="A8" s="117"/>
      <c r="B8" s="119"/>
      <c r="C8" s="52" t="s">
        <v>7</v>
      </c>
      <c r="D8" s="55">
        <f>INDEX(Reference!$C:$G,MATCH($C$1,Reference!$B:$B,0),ROW()-ROW($B$4))</f>
        <v>3</v>
      </c>
      <c r="E8" s="122"/>
    </row>
    <row r="9" spans="1:38" x14ac:dyDescent="0.25">
      <c r="A9" s="117"/>
      <c r="B9" s="120"/>
      <c r="C9" s="52" t="s">
        <v>8</v>
      </c>
      <c r="D9" s="55">
        <f>INDEX(Reference!$C:$G,MATCH($C$1,Reference!$B:$B,0),ROW()-ROW($B$4))</f>
        <v>3</v>
      </c>
      <c r="E9" s="123"/>
    </row>
    <row r="11" spans="1:38" x14ac:dyDescent="0.25">
      <c r="P11" s="46" t="s">
        <v>67</v>
      </c>
      <c r="Q11" s="56">
        <f>D5</f>
        <v>5.7735026918962602E-2</v>
      </c>
      <c r="R11" s="46">
        <f>D6</f>
        <v>5</v>
      </c>
      <c r="S11" s="46">
        <f>D7</f>
        <v>3</v>
      </c>
      <c r="T11" s="46">
        <f>D8</f>
        <v>3</v>
      </c>
      <c r="U11" s="46">
        <f>D9</f>
        <v>3</v>
      </c>
      <c r="V11" s="57"/>
    </row>
    <row r="12" spans="1:38" x14ac:dyDescent="0.25">
      <c r="G12" s="58"/>
      <c r="H12" s="58"/>
      <c r="I12" s="58"/>
      <c r="J12" s="125" t="s">
        <v>9</v>
      </c>
      <c r="K12" s="125"/>
      <c r="L12" s="59"/>
      <c r="M12" s="58"/>
      <c r="N12" s="58"/>
      <c r="O12" s="58"/>
      <c r="P12" s="58"/>
      <c r="Q12" s="58"/>
      <c r="R12" s="60">
        <v>0.4</v>
      </c>
      <c r="S12" s="60">
        <v>0.2</v>
      </c>
      <c r="T12" s="60">
        <v>0.2</v>
      </c>
      <c r="U12" s="60">
        <v>0.2</v>
      </c>
      <c r="V12" s="124" t="s">
        <v>70</v>
      </c>
      <c r="W12" s="124"/>
      <c r="X12" s="124"/>
      <c r="Y12" s="124"/>
      <c r="Z12" s="58"/>
      <c r="AA12" s="58"/>
      <c r="AB12" s="58"/>
      <c r="AC12" s="58"/>
      <c r="AD12" s="61"/>
      <c r="AE12" s="58"/>
      <c r="AF12" s="58"/>
      <c r="AG12" s="58"/>
      <c r="AH12" s="58"/>
      <c r="AI12" s="58"/>
      <c r="AJ12" s="58"/>
    </row>
    <row r="13" spans="1:38" s="62" customFormat="1" ht="45" x14ac:dyDescent="0.25">
      <c r="C13" s="51" t="s">
        <v>232</v>
      </c>
      <c r="D13" s="25" t="s">
        <v>10</v>
      </c>
      <c r="G13" s="51" t="s">
        <v>11</v>
      </c>
      <c r="H13" s="51" t="s">
        <v>12</v>
      </c>
      <c r="I13" s="51" t="s">
        <v>78</v>
      </c>
      <c r="J13" s="25" t="s">
        <v>84</v>
      </c>
      <c r="K13" s="25" t="s">
        <v>85</v>
      </c>
      <c r="L13" s="25" t="s">
        <v>13</v>
      </c>
      <c r="M13" s="51" t="s">
        <v>14</v>
      </c>
      <c r="N13" s="25" t="s">
        <v>15</v>
      </c>
      <c r="O13" s="25" t="s">
        <v>184</v>
      </c>
      <c r="P13" s="51" t="s">
        <v>16</v>
      </c>
      <c r="Q13" s="51" t="s">
        <v>68</v>
      </c>
      <c r="R13" s="51" t="s">
        <v>17</v>
      </c>
      <c r="S13" s="51" t="s">
        <v>18</v>
      </c>
      <c r="T13" s="51" t="s">
        <v>19</v>
      </c>
      <c r="U13" s="51" t="s">
        <v>0</v>
      </c>
      <c r="V13" s="51" t="s">
        <v>17</v>
      </c>
      <c r="W13" s="51" t="s">
        <v>18</v>
      </c>
      <c r="X13" s="51" t="s">
        <v>19</v>
      </c>
      <c r="Y13" s="51" t="s">
        <v>0</v>
      </c>
      <c r="Z13" s="51" t="s">
        <v>69</v>
      </c>
      <c r="AA13" s="51" t="s">
        <v>236</v>
      </c>
      <c r="AB13" s="51" t="s">
        <v>72</v>
      </c>
      <c r="AC13" s="51" t="str">
        <f>IF(D17=1,"Calibrated, ","")&amp;"Weighted New Score"</f>
        <v>Weighted New Score</v>
      </c>
      <c r="AD13" s="63" t="s">
        <v>66</v>
      </c>
      <c r="AE13" s="51" t="s">
        <v>237</v>
      </c>
      <c r="AF13" s="51" t="s">
        <v>71</v>
      </c>
      <c r="AG13" s="51"/>
      <c r="AH13" s="51"/>
      <c r="AI13" s="51"/>
      <c r="AJ13" s="64"/>
    </row>
    <row r="14" spans="1:38" ht="90" x14ac:dyDescent="0.25">
      <c r="C14" s="65" t="s">
        <v>233</v>
      </c>
      <c r="D14" s="65">
        <v>0</v>
      </c>
      <c r="G14" s="65" t="s">
        <v>64</v>
      </c>
      <c r="H14" s="66" t="s">
        <v>82</v>
      </c>
      <c r="I14" s="66" t="s">
        <v>185</v>
      </c>
      <c r="J14" s="67">
        <v>-1574</v>
      </c>
      <c r="K14" s="67">
        <v>-1234</v>
      </c>
      <c r="L14" s="67">
        <f>(0.08*J14)/(1-(1+0.08)^-N14)</f>
        <v>-1699.9199999999976</v>
      </c>
      <c r="M14" s="68" t="s">
        <v>20</v>
      </c>
      <c r="N14" s="68">
        <v>1</v>
      </c>
      <c r="O14" s="66" t="s">
        <v>228</v>
      </c>
      <c r="P14" s="22">
        <f>-100*(Data!A9/Data!A10)/3</f>
        <v>-66.475770412631718</v>
      </c>
      <c r="Q14" s="22">
        <f>+D5*(100-P14)/100</f>
        <v>9.6114830861283307E-2</v>
      </c>
      <c r="R14" s="68">
        <v>0</v>
      </c>
      <c r="S14" s="69">
        <v>0</v>
      </c>
      <c r="T14" s="69">
        <v>0</v>
      </c>
      <c r="U14" s="69">
        <v>0</v>
      </c>
      <c r="V14" s="10">
        <f>(R$12)* ((10^R$11)*(1-(R14/100)))</f>
        <v>40000</v>
      </c>
      <c r="W14" s="10">
        <f t="shared" ref="W14:Y14" si="0">(S$12)* ((10^S$11)*(1-(S14/100)))</f>
        <v>200</v>
      </c>
      <c r="X14" s="10">
        <f t="shared" si="0"/>
        <v>200</v>
      </c>
      <c r="Y14" s="10">
        <f t="shared" si="0"/>
        <v>200</v>
      </c>
      <c r="Z14" s="11">
        <f>Q14*SUM(V14:Y14)</f>
        <v>3902.2621329681024</v>
      </c>
      <c r="AA14" s="11">
        <f>($E$5-Z14)*N14</f>
        <v>-1558.2200400582205</v>
      </c>
      <c r="AB14" s="35">
        <v>1</v>
      </c>
      <c r="AC14" s="12">
        <f>IF($D$15=1,AA14*AB14*IF($D$17=1,$B$5,1),AA14*IF($D$17=1,$B$5,1))</f>
        <v>-1558.2200400582205</v>
      </c>
      <c r="AD14" s="13">
        <f>J14+K14*N14</f>
        <v>-2808</v>
      </c>
      <c r="AE14" s="14">
        <f>AC14/AD14</f>
        <v>0.55492166668740051</v>
      </c>
      <c r="AF14" s="15">
        <f>RANK(AE14,$AE$14:$AE$38)</f>
        <v>4</v>
      </c>
      <c r="AG14" s="70"/>
      <c r="AH14" s="65"/>
      <c r="AI14" s="65"/>
      <c r="AJ14" s="71"/>
      <c r="AK14" s="72"/>
      <c r="AL14" s="72"/>
    </row>
    <row r="15" spans="1:38" ht="45" x14ac:dyDescent="0.25">
      <c r="C15" s="65" t="s">
        <v>21</v>
      </c>
      <c r="D15" s="65">
        <v>0</v>
      </c>
      <c r="G15" s="65"/>
      <c r="H15" s="66"/>
      <c r="I15" s="73" t="s">
        <v>186</v>
      </c>
      <c r="J15" s="37"/>
      <c r="K15" s="37"/>
      <c r="L15" s="37"/>
      <c r="M15" s="71"/>
      <c r="N15" s="71"/>
      <c r="O15" s="38"/>
      <c r="P15" s="38"/>
      <c r="Q15" s="38"/>
      <c r="R15" s="74"/>
      <c r="S15" s="74"/>
      <c r="T15" s="74"/>
      <c r="U15" s="74"/>
      <c r="V15" s="39"/>
      <c r="W15" s="39"/>
      <c r="X15" s="39"/>
      <c r="Y15" s="39"/>
      <c r="Z15" s="40"/>
      <c r="AA15" s="40"/>
      <c r="AB15" s="41"/>
      <c r="AC15" s="42"/>
      <c r="AD15" s="43"/>
      <c r="AE15" s="44"/>
      <c r="AF15" s="45"/>
      <c r="AG15" s="75"/>
      <c r="AH15" s="76"/>
      <c r="AI15" s="77"/>
      <c r="AJ15" s="71"/>
      <c r="AK15" s="72"/>
      <c r="AL15" s="72"/>
    </row>
    <row r="16" spans="1:38" ht="45" x14ac:dyDescent="0.25">
      <c r="C16" s="65" t="s">
        <v>22</v>
      </c>
      <c r="D16" s="65">
        <v>0</v>
      </c>
      <c r="G16" s="65"/>
      <c r="H16" s="66"/>
      <c r="I16" s="73" t="s">
        <v>187</v>
      </c>
      <c r="J16" s="37"/>
      <c r="K16" s="37"/>
      <c r="L16" s="37"/>
      <c r="M16" s="71"/>
      <c r="N16" s="71"/>
      <c r="O16" s="38"/>
      <c r="P16" s="38"/>
      <c r="Q16" s="38"/>
      <c r="R16" s="74"/>
      <c r="S16" s="74"/>
      <c r="T16" s="74"/>
      <c r="U16" s="74"/>
      <c r="V16" s="39"/>
      <c r="W16" s="39"/>
      <c r="X16" s="39"/>
      <c r="Y16" s="39"/>
      <c r="Z16" s="40"/>
      <c r="AA16" s="40"/>
      <c r="AB16" s="41"/>
      <c r="AC16" s="42"/>
      <c r="AD16" s="43"/>
      <c r="AE16" s="44"/>
      <c r="AF16" s="45"/>
      <c r="AG16" s="75"/>
      <c r="AH16" s="76"/>
      <c r="AI16" s="77"/>
      <c r="AJ16" s="71"/>
      <c r="AK16" s="72"/>
      <c r="AL16" s="72"/>
    </row>
    <row r="17" spans="3:38" ht="45" x14ac:dyDescent="0.25">
      <c r="C17" s="65" t="s">
        <v>234</v>
      </c>
      <c r="D17" s="65">
        <v>0</v>
      </c>
      <c r="G17" s="65"/>
      <c r="H17" s="66"/>
      <c r="I17" s="73" t="s">
        <v>188</v>
      </c>
      <c r="J17" s="37"/>
      <c r="K17" s="37"/>
      <c r="L17" s="37"/>
      <c r="M17" s="71"/>
      <c r="N17" s="71"/>
      <c r="O17" s="38"/>
      <c r="P17" s="38"/>
      <c r="Q17" s="38"/>
      <c r="R17" s="74"/>
      <c r="S17" s="74"/>
      <c r="T17" s="74"/>
      <c r="U17" s="74"/>
      <c r="V17" s="39"/>
      <c r="W17" s="39"/>
      <c r="X17" s="39"/>
      <c r="Y17" s="39"/>
      <c r="Z17" s="40"/>
      <c r="AA17" s="40"/>
      <c r="AB17" s="41"/>
      <c r="AC17" s="42"/>
      <c r="AD17" s="43"/>
      <c r="AE17" s="44"/>
      <c r="AF17" s="45"/>
      <c r="AG17" s="75"/>
      <c r="AH17" s="76"/>
      <c r="AI17" s="77"/>
      <c r="AJ17" s="71"/>
      <c r="AK17" s="72"/>
      <c r="AL17" s="72"/>
    </row>
    <row r="18" spans="3:38" ht="45" x14ac:dyDescent="0.25">
      <c r="C18" s="71"/>
      <c r="D18" s="71"/>
      <c r="G18" s="65"/>
      <c r="H18" s="66"/>
      <c r="I18" s="73" t="s">
        <v>189</v>
      </c>
      <c r="J18" s="37"/>
      <c r="K18" s="37"/>
      <c r="L18" s="37"/>
      <c r="M18" s="71"/>
      <c r="N18" s="71"/>
      <c r="O18" s="38"/>
      <c r="P18" s="38"/>
      <c r="Q18" s="38"/>
      <c r="R18" s="74"/>
      <c r="S18" s="74"/>
      <c r="T18" s="74"/>
      <c r="U18" s="74"/>
      <c r="V18" s="39"/>
      <c r="W18" s="39"/>
      <c r="X18" s="39"/>
      <c r="Y18" s="39"/>
      <c r="Z18" s="40"/>
      <c r="AA18" s="40"/>
      <c r="AB18" s="41"/>
      <c r="AC18" s="42"/>
      <c r="AD18" s="43"/>
      <c r="AE18" s="44"/>
      <c r="AF18" s="45"/>
      <c r="AG18" s="75"/>
      <c r="AH18" s="76"/>
      <c r="AI18" s="77"/>
      <c r="AJ18" s="71"/>
      <c r="AK18" s="72"/>
      <c r="AL18" s="72"/>
    </row>
    <row r="19" spans="3:38" ht="45" x14ac:dyDescent="0.25">
      <c r="G19" s="65"/>
      <c r="H19" s="66"/>
      <c r="I19" s="73" t="s">
        <v>190</v>
      </c>
      <c r="J19" s="37"/>
      <c r="K19" s="37"/>
      <c r="L19" s="37"/>
      <c r="M19" s="71"/>
      <c r="N19" s="71"/>
      <c r="O19" s="38"/>
      <c r="P19" s="38"/>
      <c r="Q19" s="38"/>
      <c r="R19" s="74"/>
      <c r="S19" s="74"/>
      <c r="T19" s="74"/>
      <c r="U19" s="74"/>
      <c r="V19" s="39"/>
      <c r="W19" s="39"/>
      <c r="X19" s="39"/>
      <c r="Y19" s="39"/>
      <c r="Z19" s="40"/>
      <c r="AA19" s="40"/>
      <c r="AB19" s="41"/>
      <c r="AC19" s="42"/>
      <c r="AD19" s="43"/>
      <c r="AE19" s="44"/>
      <c r="AF19" s="45"/>
      <c r="AG19" s="75"/>
      <c r="AH19" s="76"/>
      <c r="AI19" s="77"/>
      <c r="AJ19" s="71"/>
      <c r="AK19" s="72"/>
      <c r="AL19" s="72"/>
    </row>
    <row r="20" spans="3:38" ht="30" x14ac:dyDescent="0.25">
      <c r="C20" s="71"/>
      <c r="D20" s="71"/>
      <c r="G20" s="65"/>
      <c r="H20" s="66"/>
      <c r="I20" s="73" t="s">
        <v>191</v>
      </c>
      <c r="J20" s="37"/>
      <c r="K20" s="37"/>
      <c r="L20" s="37"/>
      <c r="M20" s="71"/>
      <c r="N20" s="71"/>
      <c r="O20" s="38"/>
      <c r="P20" s="38"/>
      <c r="Q20" s="38"/>
      <c r="R20" s="74"/>
      <c r="S20" s="74"/>
      <c r="T20" s="74"/>
      <c r="U20" s="74"/>
      <c r="V20" s="39"/>
      <c r="W20" s="39"/>
      <c r="X20" s="39"/>
      <c r="Y20" s="39"/>
      <c r="Z20" s="40"/>
      <c r="AA20" s="40"/>
      <c r="AB20" s="41"/>
      <c r="AC20" s="42"/>
      <c r="AD20" s="43"/>
      <c r="AE20" s="44"/>
      <c r="AF20" s="45"/>
      <c r="AG20" s="75"/>
      <c r="AH20" s="76"/>
      <c r="AI20" s="77"/>
      <c r="AJ20" s="71"/>
      <c r="AK20" s="72"/>
      <c r="AL20" s="72"/>
    </row>
    <row r="21" spans="3:38" ht="30" x14ac:dyDescent="0.25">
      <c r="C21" s="71"/>
      <c r="D21" s="71"/>
      <c r="G21" s="65"/>
      <c r="H21" s="66"/>
      <c r="I21" s="73" t="s">
        <v>192</v>
      </c>
      <c r="J21" s="37"/>
      <c r="K21" s="37"/>
      <c r="L21" s="37"/>
      <c r="M21" s="71"/>
      <c r="N21" s="71"/>
      <c r="O21" s="38"/>
      <c r="P21" s="38"/>
      <c r="Q21" s="38"/>
      <c r="R21" s="74"/>
      <c r="S21" s="74"/>
      <c r="T21" s="74"/>
      <c r="U21" s="74"/>
      <c r="V21" s="39"/>
      <c r="W21" s="39"/>
      <c r="X21" s="39"/>
      <c r="Y21" s="39"/>
      <c r="Z21" s="40"/>
      <c r="AA21" s="40"/>
      <c r="AB21" s="41"/>
      <c r="AC21" s="42"/>
      <c r="AD21" s="43"/>
      <c r="AE21" s="44"/>
      <c r="AF21" s="45"/>
      <c r="AG21" s="75"/>
      <c r="AH21" s="76"/>
      <c r="AI21" s="77"/>
      <c r="AJ21" s="71"/>
      <c r="AK21" s="72"/>
      <c r="AL21" s="72"/>
    </row>
    <row r="22" spans="3:38" ht="30" x14ac:dyDescent="0.25">
      <c r="C22" s="71"/>
      <c r="D22" s="71"/>
      <c r="G22" s="65"/>
      <c r="H22" s="66"/>
      <c r="I22" s="73" t="s">
        <v>193</v>
      </c>
      <c r="J22" s="37"/>
      <c r="K22" s="37"/>
      <c r="L22" s="37"/>
      <c r="M22" s="71"/>
      <c r="N22" s="71"/>
      <c r="O22" s="38"/>
      <c r="P22" s="38"/>
      <c r="Q22" s="38"/>
      <c r="R22" s="74"/>
      <c r="S22" s="74"/>
      <c r="T22" s="74"/>
      <c r="U22" s="74"/>
      <c r="V22" s="39"/>
      <c r="W22" s="39"/>
      <c r="X22" s="39"/>
      <c r="Y22" s="39"/>
      <c r="Z22" s="40"/>
      <c r="AA22" s="40"/>
      <c r="AB22" s="41"/>
      <c r="AC22" s="42"/>
      <c r="AD22" s="43"/>
      <c r="AE22" s="44"/>
      <c r="AF22" s="45"/>
      <c r="AG22" s="75"/>
      <c r="AH22" s="76"/>
      <c r="AI22" s="77"/>
      <c r="AJ22" s="71"/>
      <c r="AK22" s="72"/>
      <c r="AL22" s="72"/>
    </row>
    <row r="23" spans="3:38" x14ac:dyDescent="0.25">
      <c r="C23" s="71"/>
      <c r="D23" s="71"/>
      <c r="G23" s="65"/>
      <c r="H23" s="66"/>
      <c r="I23" s="73" t="s">
        <v>194</v>
      </c>
      <c r="J23" s="37"/>
      <c r="K23" s="37"/>
      <c r="L23" s="37"/>
      <c r="M23" s="71"/>
      <c r="N23" s="71"/>
      <c r="O23" s="38"/>
      <c r="P23" s="38"/>
      <c r="Q23" s="38"/>
      <c r="R23" s="74"/>
      <c r="S23" s="74"/>
      <c r="T23" s="74"/>
      <c r="U23" s="74"/>
      <c r="V23" s="39"/>
      <c r="W23" s="39"/>
      <c r="X23" s="39"/>
      <c r="Y23" s="39"/>
      <c r="Z23" s="40"/>
      <c r="AA23" s="40"/>
      <c r="AB23" s="41"/>
      <c r="AC23" s="42"/>
      <c r="AD23" s="43"/>
      <c r="AE23" s="44"/>
      <c r="AF23" s="45"/>
      <c r="AG23" s="75"/>
      <c r="AH23" s="76"/>
      <c r="AI23" s="77"/>
      <c r="AJ23" s="71"/>
      <c r="AK23" s="72"/>
      <c r="AL23" s="72"/>
    </row>
    <row r="24" spans="3:38" ht="105" x14ac:dyDescent="0.25">
      <c r="C24" s="71"/>
      <c r="D24" s="71"/>
      <c r="G24" s="65"/>
      <c r="H24" s="66" t="s">
        <v>79</v>
      </c>
      <c r="I24" s="73" t="s">
        <v>80</v>
      </c>
      <c r="J24" s="37"/>
      <c r="K24" s="37"/>
      <c r="L24" s="37"/>
      <c r="M24" s="71"/>
      <c r="N24" s="71"/>
      <c r="O24" s="38"/>
      <c r="P24" s="38"/>
      <c r="Q24" s="38"/>
      <c r="R24" s="74"/>
      <c r="S24" s="74"/>
      <c r="T24" s="74"/>
      <c r="U24" s="74"/>
      <c r="V24" s="39"/>
      <c r="W24" s="39"/>
      <c r="X24" s="39"/>
      <c r="Y24" s="39"/>
      <c r="Z24" s="40"/>
      <c r="AA24" s="40"/>
      <c r="AB24" s="41"/>
      <c r="AC24" s="42"/>
      <c r="AD24" s="43"/>
      <c r="AE24" s="44"/>
      <c r="AF24" s="45"/>
      <c r="AG24" s="75"/>
      <c r="AH24" s="76"/>
      <c r="AI24" s="77"/>
      <c r="AJ24" s="71"/>
      <c r="AK24" s="72"/>
      <c r="AL24" s="72"/>
    </row>
    <row r="25" spans="3:38" ht="30" x14ac:dyDescent="0.25">
      <c r="G25" s="65"/>
      <c r="H25" s="66"/>
      <c r="I25" s="73" t="s">
        <v>81</v>
      </c>
      <c r="J25" s="37"/>
      <c r="K25" s="37"/>
      <c r="L25" s="37"/>
      <c r="M25" s="71"/>
      <c r="N25" s="71"/>
      <c r="O25" s="38"/>
      <c r="P25" s="38"/>
      <c r="Q25" s="38"/>
      <c r="R25" s="74"/>
      <c r="S25" s="74"/>
      <c r="T25" s="74"/>
      <c r="U25" s="74"/>
      <c r="V25" s="39"/>
      <c r="W25" s="39"/>
      <c r="X25" s="39"/>
      <c r="Y25" s="39"/>
      <c r="Z25" s="40"/>
      <c r="AA25" s="40"/>
      <c r="AB25" s="41"/>
      <c r="AC25" s="42"/>
      <c r="AD25" s="43"/>
      <c r="AE25" s="44"/>
      <c r="AF25" s="44"/>
      <c r="AG25" s="75"/>
      <c r="AH25" s="76"/>
      <c r="AI25" s="77"/>
      <c r="AJ25" s="78"/>
      <c r="AK25" s="78"/>
    </row>
    <row r="26" spans="3:38" ht="90" x14ac:dyDescent="0.25">
      <c r="G26" s="65" t="s">
        <v>65</v>
      </c>
      <c r="H26" s="66" t="s">
        <v>89</v>
      </c>
      <c r="I26" s="73" t="s">
        <v>90</v>
      </c>
      <c r="J26" s="79">
        <v>-76820</v>
      </c>
      <c r="K26" s="79">
        <v>-261</v>
      </c>
      <c r="L26" s="79">
        <f>(0.08*J26)/(1-(1+0.08)^-N26)</f>
        <v>-6178.5664626814078</v>
      </c>
      <c r="M26" s="80" t="s">
        <v>20</v>
      </c>
      <c r="N26" s="80">
        <v>68</v>
      </c>
      <c r="O26" s="66" t="s">
        <v>230</v>
      </c>
      <c r="P26" s="23">
        <f>-100*(Data!A16/Data!A17)*Data!A20*Data!A21</f>
        <v>-174.82695773412604</v>
      </c>
      <c r="Q26" s="23">
        <f>$D$5*(1-($P26/100))</f>
        <v>0.15867141802836365</v>
      </c>
      <c r="R26" s="81">
        <v>0</v>
      </c>
      <c r="S26" s="81">
        <v>0</v>
      </c>
      <c r="T26" s="81">
        <v>0</v>
      </c>
      <c r="U26" s="81">
        <v>0</v>
      </c>
      <c r="V26" s="16">
        <f t="shared" ref="V26:Y26" si="1">(R$12)* ((10^R$11)*(1-(R26/100)))</f>
        <v>40000</v>
      </c>
      <c r="W26" s="16">
        <f t="shared" si="1"/>
        <v>200</v>
      </c>
      <c r="X26" s="16">
        <f t="shared" si="1"/>
        <v>200</v>
      </c>
      <c r="Y26" s="16">
        <f t="shared" si="1"/>
        <v>200</v>
      </c>
      <c r="Z26" s="17">
        <f t="shared" ref="Z26" si="2">Q26*SUM(V26:Y26)</f>
        <v>6442.0595719515641</v>
      </c>
      <c r="AA26" s="17">
        <f>($E$5-Z26)*N26</f>
        <v>-278665.18857483438</v>
      </c>
      <c r="AB26" s="36">
        <v>1</v>
      </c>
      <c r="AC26" s="18">
        <f>IF($D$15=1,AA26*AB26*IF($D$17=1,$B$5,1),AA26*IF($D$17=1,$B$5,1))</f>
        <v>-278665.18857483438</v>
      </c>
      <c r="AD26" s="19">
        <f>J26+K26*N26</f>
        <v>-94568</v>
      </c>
      <c r="AE26" s="20">
        <f t="shared" ref="AE26" si="3">AC26/AD26</f>
        <v>2.9467175849635647</v>
      </c>
      <c r="AF26" s="21">
        <f>RANK(AE26,$AE$14:$AE$38)</f>
        <v>1</v>
      </c>
      <c r="AG26" s="70"/>
      <c r="AH26" s="76"/>
      <c r="AI26" s="77"/>
      <c r="AJ26" s="71"/>
      <c r="AK26" s="72"/>
      <c r="AL26" s="72"/>
    </row>
    <row r="27" spans="3:38" ht="30" x14ac:dyDescent="0.25">
      <c r="G27" s="65"/>
      <c r="H27" s="66"/>
      <c r="I27" s="73" t="s">
        <v>195</v>
      </c>
      <c r="J27" s="37"/>
      <c r="K27" s="37"/>
      <c r="L27" s="37"/>
      <c r="M27" s="71"/>
      <c r="N27" s="71"/>
      <c r="O27" s="38"/>
      <c r="P27" s="38"/>
      <c r="Q27" s="38"/>
      <c r="R27" s="74"/>
      <c r="S27" s="74"/>
      <c r="T27" s="74"/>
      <c r="U27" s="74"/>
      <c r="V27" s="39"/>
      <c r="W27" s="39"/>
      <c r="X27" s="39"/>
      <c r="Y27" s="39"/>
      <c r="Z27" s="40"/>
      <c r="AA27" s="40"/>
      <c r="AB27" s="41"/>
      <c r="AC27" s="42"/>
      <c r="AD27" s="43"/>
      <c r="AE27" s="44"/>
      <c r="AF27" s="45"/>
      <c r="AG27" s="75"/>
      <c r="AH27" s="76"/>
      <c r="AI27" s="77"/>
      <c r="AJ27" s="71"/>
      <c r="AK27" s="72"/>
      <c r="AL27" s="72"/>
    </row>
    <row r="28" spans="3:38" x14ac:dyDescent="0.25">
      <c r="G28" s="65"/>
      <c r="H28" s="66"/>
      <c r="I28" s="73"/>
      <c r="J28" s="37"/>
      <c r="K28" s="37"/>
      <c r="L28" s="37"/>
      <c r="M28" s="71"/>
      <c r="N28" s="71"/>
      <c r="O28" s="38"/>
      <c r="P28" s="38"/>
      <c r="Q28" s="38"/>
      <c r="R28" s="74"/>
      <c r="S28" s="74"/>
      <c r="T28" s="74"/>
      <c r="U28" s="74"/>
      <c r="V28" s="39"/>
      <c r="W28" s="39"/>
      <c r="X28" s="39"/>
      <c r="Y28" s="39"/>
      <c r="Z28" s="40"/>
      <c r="AA28" s="40"/>
      <c r="AB28" s="41"/>
      <c r="AC28" s="42"/>
      <c r="AD28" s="43"/>
      <c r="AE28" s="44"/>
      <c r="AF28" s="45"/>
      <c r="AG28" s="75"/>
      <c r="AH28" s="76"/>
      <c r="AI28" s="77"/>
      <c r="AJ28" s="71"/>
      <c r="AK28" s="72"/>
      <c r="AL28" s="72"/>
    </row>
    <row r="29" spans="3:38" x14ac:dyDescent="0.25">
      <c r="G29" s="65"/>
      <c r="H29" s="66"/>
      <c r="I29" s="73"/>
      <c r="J29" s="37"/>
      <c r="K29" s="37"/>
      <c r="L29" s="37"/>
      <c r="M29" s="71"/>
      <c r="N29" s="71"/>
      <c r="O29" s="38"/>
      <c r="P29" s="38"/>
      <c r="Q29" s="38"/>
      <c r="R29" s="74"/>
      <c r="S29" s="74"/>
      <c r="T29" s="74"/>
      <c r="U29" s="74"/>
      <c r="V29" s="39"/>
      <c r="W29" s="39"/>
      <c r="X29" s="39"/>
      <c r="Y29" s="39"/>
      <c r="Z29" s="40"/>
      <c r="AA29" s="40"/>
      <c r="AB29" s="41"/>
      <c r="AC29" s="42"/>
      <c r="AD29" s="43"/>
      <c r="AE29" s="44"/>
      <c r="AF29" s="45"/>
      <c r="AG29" s="75"/>
      <c r="AH29" s="76"/>
      <c r="AI29" s="77"/>
      <c r="AJ29" s="71"/>
      <c r="AK29" s="72"/>
      <c r="AL29" s="72"/>
    </row>
    <row r="30" spans="3:38" x14ac:dyDescent="0.25">
      <c r="G30" s="65"/>
      <c r="H30" s="66"/>
      <c r="I30" s="73"/>
      <c r="J30" s="37"/>
      <c r="K30" s="37"/>
      <c r="L30" s="37"/>
      <c r="M30" s="71"/>
      <c r="N30" s="71"/>
      <c r="O30" s="38"/>
      <c r="P30" s="38"/>
      <c r="Q30" s="38"/>
      <c r="R30" s="74"/>
      <c r="S30" s="74"/>
      <c r="T30" s="74"/>
      <c r="U30" s="74"/>
      <c r="V30" s="39"/>
      <c r="W30" s="39"/>
      <c r="X30" s="39"/>
      <c r="Y30" s="39"/>
      <c r="Z30" s="40"/>
      <c r="AA30" s="40"/>
      <c r="AB30" s="41"/>
      <c r="AC30" s="42"/>
      <c r="AD30" s="43"/>
      <c r="AE30" s="44"/>
      <c r="AF30" s="45"/>
      <c r="AG30" s="75"/>
      <c r="AH30" s="76"/>
      <c r="AI30" s="77"/>
      <c r="AJ30" s="71"/>
      <c r="AK30" s="72"/>
      <c r="AL30" s="72"/>
    </row>
    <row r="31" spans="3:38" ht="105" x14ac:dyDescent="0.25">
      <c r="G31" s="65" t="s">
        <v>76</v>
      </c>
      <c r="H31" s="66" t="s">
        <v>93</v>
      </c>
      <c r="I31" s="66" t="s">
        <v>196</v>
      </c>
      <c r="J31" s="79">
        <v>136068.5</v>
      </c>
      <c r="K31" s="79">
        <v>0</v>
      </c>
      <c r="L31" s="79">
        <f>(0.08*J31)/(1-(1+0.08)^-N31)</f>
        <v>10943.872308348933</v>
      </c>
      <c r="M31" s="80" t="s">
        <v>92</v>
      </c>
      <c r="N31" s="80">
        <v>68</v>
      </c>
      <c r="O31" s="66" t="s">
        <v>230</v>
      </c>
      <c r="P31" s="23">
        <f>100*(Data!A27/Data!A28)*Data!A31*Data!A32</f>
        <v>108.86667202359814</v>
      </c>
      <c r="Q31" s="23">
        <f>$D$5*(1-($P31/100))</f>
        <v>-5.1191754796405141E-3</v>
      </c>
      <c r="R31" s="81">
        <v>0</v>
      </c>
      <c r="S31" s="81">
        <v>0</v>
      </c>
      <c r="T31" s="81">
        <v>0</v>
      </c>
      <c r="U31" s="81">
        <v>0</v>
      </c>
      <c r="V31" s="16">
        <f t="shared" ref="V31:V38" si="4">(R$12)* ((10^R$11)*(1-(R31/100)))</f>
        <v>40000</v>
      </c>
      <c r="W31" s="16">
        <f t="shared" ref="W31:W38" si="5">(S$12)* ((10^S$11)*(1-(S31/100)))</f>
        <v>200</v>
      </c>
      <c r="X31" s="16">
        <f t="shared" ref="X31:X38" si="6">(T$12)* ((10^T$11)*(1-(T31/100)))</f>
        <v>200</v>
      </c>
      <c r="Y31" s="16">
        <f t="shared" ref="Y31:Y38" si="7">(U$12)* ((10^U$11)*(1-(U31/100)))</f>
        <v>200</v>
      </c>
      <c r="Z31" s="17">
        <f t="shared" ref="Z31" si="8">Q31*SUM(V31:Y31)</f>
        <v>-207.83852447340487</v>
      </c>
      <c r="AA31" s="17">
        <f>($E$5-Z31)*N31</f>
        <v>173527.8819820635</v>
      </c>
      <c r="AB31" s="36">
        <v>1</v>
      </c>
      <c r="AC31" s="18">
        <f>IF($D$15=1,AA31*AB31*IF($D$17=1,$B$5,1),AA31*IF($D$17=1,$B$5,1))</f>
        <v>173527.8819820635</v>
      </c>
      <c r="AD31" s="19">
        <f>J31+K31*N31</f>
        <v>136068.5</v>
      </c>
      <c r="AE31" s="20">
        <f t="shared" ref="AE31" si="9">AC31/AD31</f>
        <v>1.2752979711106061</v>
      </c>
      <c r="AF31" s="21">
        <f>RANK(AE31,$AE$14:$AE$38)</f>
        <v>3</v>
      </c>
      <c r="AG31" s="75"/>
      <c r="AH31" s="76"/>
      <c r="AI31" s="77"/>
    </row>
    <row r="32" spans="3:38" x14ac:dyDescent="0.25">
      <c r="G32" s="65"/>
      <c r="H32" s="66"/>
      <c r="I32" s="73" t="s">
        <v>197</v>
      </c>
      <c r="J32" s="37"/>
      <c r="K32" s="37"/>
      <c r="L32" s="37"/>
      <c r="M32" s="71"/>
      <c r="N32" s="71"/>
      <c r="O32" s="38"/>
      <c r="P32" s="38"/>
      <c r="Q32" s="38"/>
      <c r="R32" s="74"/>
      <c r="S32" s="74"/>
      <c r="T32" s="74"/>
      <c r="U32" s="74"/>
      <c r="V32" s="39"/>
      <c r="W32" s="39"/>
      <c r="X32" s="39"/>
      <c r="Y32" s="39"/>
      <c r="Z32" s="40"/>
      <c r="AA32" s="40"/>
      <c r="AB32" s="41"/>
      <c r="AC32" s="42"/>
      <c r="AD32" s="43"/>
      <c r="AE32" s="44"/>
      <c r="AF32" s="45"/>
      <c r="AG32" s="75"/>
      <c r="AH32" s="76"/>
      <c r="AI32" s="77"/>
    </row>
    <row r="33" spans="7:35" x14ac:dyDescent="0.25">
      <c r="G33" s="65"/>
      <c r="H33" s="66"/>
      <c r="I33" s="73" t="s">
        <v>198</v>
      </c>
      <c r="J33" s="37"/>
      <c r="K33" s="37"/>
      <c r="L33" s="37"/>
      <c r="M33" s="71"/>
      <c r="N33" s="71"/>
      <c r="O33" s="38"/>
      <c r="P33" s="38"/>
      <c r="Q33" s="38"/>
      <c r="R33" s="74"/>
      <c r="S33" s="74"/>
      <c r="T33" s="74"/>
      <c r="U33" s="74"/>
      <c r="V33" s="39"/>
      <c r="W33" s="39"/>
      <c r="X33" s="39"/>
      <c r="Y33" s="39"/>
      <c r="Z33" s="40"/>
      <c r="AA33" s="40"/>
      <c r="AB33" s="41"/>
      <c r="AC33" s="42"/>
      <c r="AD33" s="43"/>
      <c r="AE33" s="44"/>
      <c r="AF33" s="45"/>
      <c r="AG33" s="75"/>
      <c r="AH33" s="76"/>
      <c r="AI33" s="77"/>
    </row>
    <row r="34" spans="7:35" ht="30" x14ac:dyDescent="0.25">
      <c r="G34" s="65"/>
      <c r="H34" s="66"/>
      <c r="I34" s="73" t="s">
        <v>199</v>
      </c>
      <c r="J34" s="37"/>
      <c r="K34" s="37"/>
      <c r="L34" s="37"/>
      <c r="M34" s="71"/>
      <c r="N34" s="71"/>
      <c r="O34" s="38"/>
      <c r="P34" s="38"/>
      <c r="Q34" s="38"/>
      <c r="R34" s="74"/>
      <c r="S34" s="74"/>
      <c r="T34" s="74"/>
      <c r="U34" s="74"/>
      <c r="V34" s="39"/>
      <c r="W34" s="39"/>
      <c r="X34" s="39"/>
      <c r="Y34" s="39"/>
      <c r="Z34" s="40"/>
      <c r="AA34" s="40"/>
      <c r="AB34" s="41"/>
      <c r="AC34" s="42"/>
      <c r="AD34" s="43"/>
      <c r="AE34" s="44"/>
      <c r="AF34" s="45"/>
      <c r="AG34" s="75"/>
      <c r="AH34" s="76"/>
      <c r="AI34" s="77"/>
    </row>
    <row r="35" spans="7:35" ht="30" x14ac:dyDescent="0.25">
      <c r="G35" s="65"/>
      <c r="H35" s="66"/>
      <c r="I35" s="73" t="s">
        <v>200</v>
      </c>
      <c r="J35" s="37"/>
      <c r="K35" s="37"/>
      <c r="L35" s="37"/>
      <c r="M35" s="71"/>
      <c r="N35" s="71"/>
      <c r="O35" s="38"/>
      <c r="P35" s="38"/>
      <c r="Q35" s="38"/>
      <c r="R35" s="74"/>
      <c r="S35" s="74"/>
      <c r="T35" s="74"/>
      <c r="U35" s="74"/>
      <c r="V35" s="39"/>
      <c r="W35" s="39"/>
      <c r="X35" s="39"/>
      <c r="Y35" s="39"/>
      <c r="Z35" s="40"/>
      <c r="AA35" s="40"/>
      <c r="AB35" s="41"/>
      <c r="AC35" s="42"/>
      <c r="AD35" s="43"/>
      <c r="AE35" s="44"/>
      <c r="AF35" s="45"/>
      <c r="AG35" s="75"/>
      <c r="AH35" s="76"/>
      <c r="AI35" s="77"/>
    </row>
    <row r="36" spans="7:35" ht="30" x14ac:dyDescent="0.25">
      <c r="G36" s="65"/>
      <c r="H36" s="66"/>
      <c r="I36" s="73" t="s">
        <v>201</v>
      </c>
      <c r="J36" s="37"/>
      <c r="K36" s="37"/>
      <c r="L36" s="37"/>
      <c r="M36" s="71"/>
      <c r="N36" s="71"/>
      <c r="O36" s="38"/>
      <c r="P36" s="38"/>
      <c r="Q36" s="38"/>
      <c r="R36" s="74"/>
      <c r="S36" s="74"/>
      <c r="T36" s="74"/>
      <c r="U36" s="74"/>
      <c r="V36" s="39"/>
      <c r="W36" s="39"/>
      <c r="X36" s="39"/>
      <c r="Y36" s="39"/>
      <c r="Z36" s="40"/>
      <c r="AA36" s="40"/>
      <c r="AB36" s="41"/>
      <c r="AC36" s="42"/>
      <c r="AD36" s="43"/>
      <c r="AE36" s="44"/>
      <c r="AF36" s="45"/>
      <c r="AG36" s="75"/>
      <c r="AH36" s="76"/>
      <c r="AI36" s="77"/>
    </row>
    <row r="37" spans="7:35" ht="30" x14ac:dyDescent="0.25">
      <c r="G37" s="65"/>
      <c r="H37" s="66"/>
      <c r="I37" s="73" t="s">
        <v>202</v>
      </c>
      <c r="J37" s="37"/>
      <c r="K37" s="37"/>
      <c r="L37" s="37"/>
      <c r="M37" s="71"/>
      <c r="N37" s="71"/>
      <c r="O37" s="38"/>
      <c r="P37" s="38"/>
      <c r="Q37" s="38"/>
      <c r="R37" s="74"/>
      <c r="S37" s="74"/>
      <c r="T37" s="74"/>
      <c r="U37" s="74"/>
      <c r="V37" s="39"/>
      <c r="W37" s="39"/>
      <c r="X37" s="39"/>
      <c r="Y37" s="39"/>
      <c r="Z37" s="40"/>
      <c r="AA37" s="40"/>
      <c r="AB37" s="41"/>
      <c r="AC37" s="42"/>
      <c r="AD37" s="43"/>
      <c r="AE37" s="44"/>
      <c r="AF37" s="45"/>
      <c r="AG37" s="75"/>
      <c r="AH37" s="76"/>
      <c r="AI37" s="77"/>
    </row>
    <row r="38" spans="7:35" ht="59.25" customHeight="1" x14ac:dyDescent="0.25">
      <c r="G38" s="65" t="s">
        <v>77</v>
      </c>
      <c r="H38" s="66" t="s">
        <v>95</v>
      </c>
      <c r="I38" s="66" t="s">
        <v>203</v>
      </c>
      <c r="J38" s="79">
        <v>-11012.5</v>
      </c>
      <c r="K38" s="79">
        <v>-7850.5</v>
      </c>
      <c r="L38" s="79">
        <f>(0.08*J38)/(1-(1+0.08)^-N38)</f>
        <v>-1121.647449664946</v>
      </c>
      <c r="M38" s="80" t="s">
        <v>20</v>
      </c>
      <c r="N38" s="80">
        <v>20</v>
      </c>
      <c r="O38" s="66" t="s">
        <v>231</v>
      </c>
      <c r="P38" s="23">
        <f>-100*Data!A38/Data!A39</f>
        <v>-819.8720282794942</v>
      </c>
      <c r="Q38" s="23">
        <f>$D$5*(1-($P38/100))</f>
        <v>0.53108836314717334</v>
      </c>
      <c r="R38" s="81">
        <v>0</v>
      </c>
      <c r="S38" s="81">
        <v>0</v>
      </c>
      <c r="T38" s="81">
        <v>0</v>
      </c>
      <c r="U38" s="81">
        <v>0</v>
      </c>
      <c r="V38" s="16">
        <f t="shared" si="4"/>
        <v>40000</v>
      </c>
      <c r="W38" s="16">
        <f t="shared" si="5"/>
        <v>200</v>
      </c>
      <c r="X38" s="16">
        <f t="shared" si="6"/>
        <v>200</v>
      </c>
      <c r="Y38" s="16">
        <f t="shared" si="7"/>
        <v>200</v>
      </c>
      <c r="Z38" s="17">
        <f>Q38*SUM(V38:Y38)</f>
        <v>21562.187543775239</v>
      </c>
      <c r="AA38" s="17">
        <f>($E$5-Z38)*N38</f>
        <v>-384362.9090173071</v>
      </c>
      <c r="AB38" s="36">
        <v>1</v>
      </c>
      <c r="AC38" s="18">
        <f>IF($D$15=1,AA38*AB38*IF($D$17=1,$B$5,1),AA38*IF($D$17=1,$B$5,1))</f>
        <v>-384362.9090173071</v>
      </c>
      <c r="AD38" s="19">
        <f>J38+K38*N38</f>
        <v>-168022.5</v>
      </c>
      <c r="AE38" s="20">
        <f>AC38/AD38</f>
        <v>2.2875680877103193</v>
      </c>
      <c r="AF38" s="21">
        <f>RANK(AE38,$AE$14:$AE$38)</f>
        <v>2</v>
      </c>
      <c r="AG38" s="75"/>
      <c r="AH38" s="76"/>
      <c r="AI38" s="77"/>
    </row>
    <row r="39" spans="7:35" x14ac:dyDescent="0.25">
      <c r="G39" s="65"/>
      <c r="H39" s="66"/>
      <c r="I39" s="73" t="s">
        <v>204</v>
      </c>
      <c r="J39" s="37"/>
      <c r="K39" s="37"/>
      <c r="L39" s="37"/>
      <c r="M39" s="71"/>
      <c r="N39" s="71"/>
      <c r="O39" s="38"/>
      <c r="P39" s="38"/>
      <c r="Q39" s="38"/>
      <c r="R39" s="74"/>
      <c r="S39" s="74"/>
      <c r="T39" s="74"/>
      <c r="U39" s="74"/>
      <c r="V39" s="39"/>
      <c r="W39" s="39"/>
      <c r="X39" s="39"/>
      <c r="Y39" s="39"/>
      <c r="Z39" s="40"/>
      <c r="AA39" s="40"/>
      <c r="AB39" s="41"/>
      <c r="AC39" s="42"/>
      <c r="AD39" s="43"/>
      <c r="AE39" s="44"/>
      <c r="AF39" s="45"/>
      <c r="AG39" s="75"/>
      <c r="AH39" s="76"/>
      <c r="AI39" s="77"/>
    </row>
    <row r="40" spans="7:35" x14ac:dyDescent="0.25">
      <c r="G40" s="65"/>
      <c r="H40" s="66"/>
      <c r="I40" s="73" t="s">
        <v>205</v>
      </c>
      <c r="J40" s="37"/>
      <c r="K40" s="37"/>
      <c r="L40" s="37"/>
      <c r="M40" s="71"/>
      <c r="N40" s="71"/>
      <c r="O40" s="38"/>
      <c r="P40" s="38"/>
      <c r="Q40" s="38"/>
      <c r="R40" s="74"/>
      <c r="S40" s="74"/>
      <c r="T40" s="74"/>
      <c r="U40" s="74"/>
      <c r="V40" s="39"/>
      <c r="W40" s="39"/>
      <c r="X40" s="39"/>
      <c r="Y40" s="39"/>
      <c r="Z40" s="40"/>
      <c r="AA40" s="40"/>
      <c r="AB40" s="41"/>
      <c r="AC40" s="42"/>
      <c r="AD40" s="43"/>
      <c r="AE40" s="44"/>
      <c r="AF40" s="45"/>
      <c r="AG40" s="75"/>
      <c r="AH40" s="76"/>
      <c r="AI40" s="77"/>
    </row>
    <row r="41" spans="7:35" ht="30" x14ac:dyDescent="0.25">
      <c r="G41" s="65"/>
      <c r="H41" s="66"/>
      <c r="I41" s="73" t="s">
        <v>206</v>
      </c>
      <c r="J41" s="37"/>
      <c r="K41" s="37"/>
      <c r="L41" s="37"/>
      <c r="M41" s="71"/>
      <c r="N41" s="71"/>
      <c r="O41" s="38"/>
      <c r="P41" s="38"/>
      <c r="Q41" s="38"/>
      <c r="R41" s="74"/>
      <c r="S41" s="74"/>
      <c r="T41" s="74"/>
      <c r="U41" s="74"/>
      <c r="V41" s="39"/>
      <c r="W41" s="39"/>
      <c r="X41" s="39"/>
      <c r="Y41" s="39"/>
      <c r="Z41" s="40"/>
      <c r="AA41" s="40"/>
      <c r="AB41" s="41"/>
      <c r="AC41" s="42"/>
      <c r="AD41" s="43"/>
      <c r="AE41" s="44"/>
      <c r="AF41" s="45"/>
      <c r="AG41" s="75"/>
      <c r="AH41" s="76"/>
      <c r="AI41" s="77"/>
    </row>
    <row r="42" spans="7:35" x14ac:dyDescent="0.25">
      <c r="G42" s="65"/>
      <c r="H42" s="66"/>
      <c r="I42" s="73" t="s">
        <v>207</v>
      </c>
      <c r="J42" s="37"/>
      <c r="K42" s="37"/>
      <c r="L42" s="37"/>
      <c r="M42" s="71"/>
      <c r="N42" s="71"/>
      <c r="O42" s="38"/>
      <c r="P42" s="38"/>
      <c r="Q42" s="38"/>
      <c r="R42" s="74"/>
      <c r="S42" s="74"/>
      <c r="T42" s="74"/>
      <c r="U42" s="74"/>
      <c r="V42" s="39"/>
      <c r="W42" s="39"/>
      <c r="X42" s="39"/>
      <c r="Y42" s="39"/>
      <c r="Z42" s="40"/>
      <c r="AA42" s="40"/>
      <c r="AB42" s="41"/>
      <c r="AC42" s="42"/>
      <c r="AD42" s="43"/>
      <c r="AE42" s="44"/>
      <c r="AF42" s="45"/>
      <c r="AG42" s="75"/>
      <c r="AH42" s="76"/>
      <c r="AI42" s="77"/>
    </row>
    <row r="43" spans="7:35" ht="30" x14ac:dyDescent="0.25">
      <c r="G43" s="65"/>
      <c r="H43" s="66"/>
      <c r="I43" s="73" t="s">
        <v>96</v>
      </c>
      <c r="J43" s="37"/>
      <c r="K43" s="37"/>
      <c r="L43" s="37"/>
      <c r="M43" s="71"/>
      <c r="N43" s="71"/>
      <c r="O43" s="38"/>
      <c r="P43" s="38"/>
      <c r="Q43" s="38"/>
      <c r="R43" s="74"/>
      <c r="S43" s="74"/>
      <c r="T43" s="74"/>
      <c r="U43" s="74"/>
      <c r="V43" s="39"/>
      <c r="W43" s="39"/>
      <c r="X43" s="39"/>
      <c r="Y43" s="39"/>
      <c r="Z43" s="40"/>
      <c r="AA43" s="40"/>
      <c r="AB43" s="41"/>
      <c r="AC43" s="42"/>
      <c r="AD43" s="43"/>
      <c r="AE43" s="44"/>
      <c r="AF43" s="45"/>
      <c r="AG43" s="75"/>
      <c r="AH43" s="76"/>
      <c r="AI43" s="77"/>
    </row>
    <row r="44" spans="7:35" x14ac:dyDescent="0.25">
      <c r="G44" s="65"/>
      <c r="H44" s="66"/>
      <c r="I44" s="73" t="s">
        <v>208</v>
      </c>
      <c r="J44" s="37"/>
      <c r="K44" s="37"/>
      <c r="L44" s="37"/>
      <c r="M44" s="71"/>
      <c r="N44" s="71"/>
      <c r="O44" s="38"/>
      <c r="P44" s="38"/>
      <c r="Q44" s="38"/>
      <c r="R44" s="74"/>
      <c r="S44" s="74"/>
      <c r="T44" s="74"/>
      <c r="U44" s="74"/>
      <c r="V44" s="39"/>
      <c r="W44" s="39"/>
      <c r="X44" s="39"/>
      <c r="Y44" s="39"/>
      <c r="Z44" s="40"/>
      <c r="AA44" s="40"/>
      <c r="AB44" s="41"/>
      <c r="AC44" s="42"/>
      <c r="AD44" s="43"/>
      <c r="AE44" s="44"/>
      <c r="AF44" s="45"/>
      <c r="AG44" s="75"/>
      <c r="AH44" s="76"/>
      <c r="AI44" s="77"/>
    </row>
    <row r="45" spans="7:35" ht="30" x14ac:dyDescent="0.25">
      <c r="G45" s="65"/>
      <c r="H45" s="66"/>
      <c r="I45" s="73" t="s">
        <v>209</v>
      </c>
      <c r="J45" s="37"/>
      <c r="K45" s="37"/>
      <c r="L45" s="37"/>
      <c r="M45" s="71"/>
      <c r="N45" s="71"/>
      <c r="O45" s="38"/>
      <c r="P45" s="38"/>
      <c r="Q45" s="38"/>
      <c r="R45" s="74"/>
      <c r="S45" s="74"/>
      <c r="T45" s="74"/>
      <c r="U45" s="74"/>
      <c r="V45" s="39"/>
      <c r="W45" s="39"/>
      <c r="X45" s="39"/>
      <c r="Y45" s="39"/>
      <c r="Z45" s="40"/>
      <c r="AA45" s="40"/>
      <c r="AB45" s="41"/>
      <c r="AC45" s="42"/>
      <c r="AD45" s="43"/>
      <c r="AE45" s="44"/>
      <c r="AF45" s="45"/>
      <c r="AG45" s="75"/>
      <c r="AH45" s="76"/>
      <c r="AI45" s="77"/>
    </row>
    <row r="46" spans="7:35" ht="30" x14ac:dyDescent="0.25">
      <c r="G46" s="65"/>
      <c r="H46" s="66"/>
      <c r="I46" s="73" t="s">
        <v>210</v>
      </c>
      <c r="J46" s="37"/>
      <c r="K46" s="37"/>
      <c r="L46" s="37"/>
      <c r="M46" s="71"/>
      <c r="N46" s="71"/>
      <c r="O46" s="38"/>
      <c r="P46" s="38"/>
      <c r="Q46" s="38"/>
      <c r="R46" s="74"/>
      <c r="S46" s="74"/>
      <c r="T46" s="74"/>
      <c r="U46" s="74"/>
      <c r="V46" s="39"/>
      <c r="W46" s="39"/>
      <c r="X46" s="39"/>
      <c r="Y46" s="39"/>
      <c r="Z46" s="40"/>
      <c r="AA46" s="40"/>
      <c r="AB46" s="41"/>
      <c r="AC46" s="42"/>
      <c r="AD46" s="43"/>
      <c r="AE46" s="44"/>
      <c r="AF46" s="45"/>
      <c r="AG46" s="75"/>
      <c r="AH46" s="76"/>
      <c r="AI46" s="77"/>
    </row>
    <row r="49" spans="3:4" x14ac:dyDescent="0.25">
      <c r="C49" s="125" t="s">
        <v>23</v>
      </c>
      <c r="D49" s="125"/>
    </row>
    <row r="50" spans="3:4" x14ac:dyDescent="0.25">
      <c r="C50" s="28">
        <v>7</v>
      </c>
      <c r="D50" s="66">
        <v>31.6227766016838</v>
      </c>
    </row>
    <row r="51" spans="3:4" x14ac:dyDescent="0.25">
      <c r="C51" s="28">
        <v>6</v>
      </c>
      <c r="D51" s="66">
        <v>3.16227766016838</v>
      </c>
    </row>
    <row r="52" spans="3:4" x14ac:dyDescent="0.25">
      <c r="C52" s="28">
        <v>5</v>
      </c>
      <c r="D52" s="66">
        <v>0.57735026918962595</v>
      </c>
    </row>
    <row r="53" spans="3:4" x14ac:dyDescent="0.25">
      <c r="C53" s="28">
        <v>4</v>
      </c>
      <c r="D53" s="66">
        <v>0.182574185835055</v>
      </c>
    </row>
    <row r="54" spans="3:4" x14ac:dyDescent="0.25">
      <c r="C54" s="28">
        <v>3</v>
      </c>
      <c r="D54" s="66">
        <v>5.7735026918962602E-2</v>
      </c>
    </row>
    <row r="55" spans="3:4" x14ac:dyDescent="0.25">
      <c r="C55" s="28">
        <v>2</v>
      </c>
      <c r="D55" s="66">
        <v>1.8257418583505498E-2</v>
      </c>
    </row>
    <row r="56" spans="3:4" x14ac:dyDescent="0.25">
      <c r="C56" s="28">
        <v>1</v>
      </c>
      <c r="D56" s="66">
        <v>5.4772255750516604E-3</v>
      </c>
    </row>
  </sheetData>
  <sheetProtection algorithmName="SHA-512" hashValue="Mqr9b8t4BVYCQI0RTbJWhOu3AVV4bmob69uSB/K7SrYN6tZFVVH44R+DWg8gaIfwFeKC2pgCcbtimnoEOuluyg==" saltValue="ORwNZ/iyAPjdhrop9ASHAg==" spinCount="100000" sheet="1" objects="1" scenarios="1"/>
  <mergeCells count="8">
    <mergeCell ref="V12:Y12"/>
    <mergeCell ref="C49:D49"/>
    <mergeCell ref="J12:K12"/>
    <mergeCell ref="C1:G1"/>
    <mergeCell ref="B3:E3"/>
    <mergeCell ref="A5:A9"/>
    <mergeCell ref="B5:B9"/>
    <mergeCell ref="E5:E9"/>
  </mergeCells>
  <dataValidations count="1">
    <dataValidation type="list" allowBlank="1" showInputMessage="1" showErrorMessage="1" sqref="M14:M46">
      <formula1>"New, Existing"</formula1>
    </dataValidation>
  </dataValidation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P329"/>
  <sheetViews>
    <sheetView workbookViewId="0"/>
  </sheetViews>
  <sheetFormatPr defaultColWidth="9.140625" defaultRowHeight="15" x14ac:dyDescent="0.3"/>
  <cols>
    <col min="1" max="1" width="29.5703125" style="82" bestFit="1" customWidth="1"/>
    <col min="2" max="2" width="18.140625" style="85" customWidth="1"/>
    <col min="3" max="3" width="9.28515625" style="84" customWidth="1"/>
    <col min="4" max="4" width="13.42578125" style="84" customWidth="1"/>
    <col min="5" max="5" width="10.7109375" style="82" customWidth="1"/>
    <col min="6" max="6" width="11.42578125" style="82" customWidth="1"/>
    <col min="7" max="9" width="11" style="82" bestFit="1" customWidth="1"/>
    <col min="10" max="10" width="8.28515625" style="82" bestFit="1" customWidth="1"/>
    <col min="11" max="11" width="7.140625" style="82" customWidth="1"/>
    <col min="12" max="12" width="45.85546875" style="82" bestFit="1" customWidth="1"/>
    <col min="13" max="13" width="26.85546875" style="82" customWidth="1"/>
    <col min="14" max="14" width="28" style="82" bestFit="1" customWidth="1"/>
    <col min="15" max="15" width="17.140625" style="82" customWidth="1"/>
    <col min="16" max="16" width="26.140625" style="82" customWidth="1"/>
    <col min="17" max="16384" width="9.140625" style="82"/>
  </cols>
  <sheetData>
    <row r="2" spans="1:16" x14ac:dyDescent="0.3">
      <c r="B2" s="83"/>
    </row>
    <row r="4" spans="1:16" x14ac:dyDescent="0.3">
      <c r="O4" s="86" t="s">
        <v>164</v>
      </c>
      <c r="P4" s="87"/>
    </row>
    <row r="5" spans="1:16" ht="21.75" x14ac:dyDescent="0.45">
      <c r="B5" s="88" t="s">
        <v>86</v>
      </c>
      <c r="D5" s="88" t="s">
        <v>159</v>
      </c>
      <c r="F5" s="89"/>
      <c r="O5" s="90">
        <v>7</v>
      </c>
      <c r="P5" s="90" t="s">
        <v>165</v>
      </c>
    </row>
    <row r="6" spans="1:16" ht="15" customHeight="1" x14ac:dyDescent="0.45">
      <c r="B6" s="91"/>
      <c r="O6" s="92">
        <v>6</v>
      </c>
      <c r="P6" s="92" t="s">
        <v>166</v>
      </c>
    </row>
    <row r="7" spans="1:16" ht="21.75" x14ac:dyDescent="0.45">
      <c r="A7" s="93">
        <f>+C76</f>
        <v>0</v>
      </c>
      <c r="B7" s="88" t="s">
        <v>87</v>
      </c>
      <c r="O7" s="92">
        <v>5</v>
      </c>
      <c r="P7" s="92" t="s">
        <v>167</v>
      </c>
    </row>
    <row r="8" spans="1:16" ht="21.75" x14ac:dyDescent="0.45">
      <c r="A8" s="93">
        <f>+C99</f>
        <v>0.25567604004858357</v>
      </c>
      <c r="B8" s="88" t="s">
        <v>174</v>
      </c>
      <c r="L8" s="89" t="s">
        <v>177</v>
      </c>
      <c r="O8" s="92">
        <v>4</v>
      </c>
      <c r="P8" s="92" t="s">
        <v>168</v>
      </c>
    </row>
    <row r="9" spans="1:16" ht="21.75" x14ac:dyDescent="0.45">
      <c r="A9" s="94">
        <f>+(A8-A7)*3.6</f>
        <v>0.92043374417490087</v>
      </c>
      <c r="B9" s="88" t="s">
        <v>175</v>
      </c>
      <c r="L9" s="89" t="s">
        <v>224</v>
      </c>
      <c r="O9" s="92">
        <v>3</v>
      </c>
      <c r="P9" s="92" t="s">
        <v>169</v>
      </c>
    </row>
    <row r="10" spans="1:16" ht="21.75" x14ac:dyDescent="0.45">
      <c r="A10" s="94">
        <f>+C111*3.6</f>
        <v>0.46153846153846162</v>
      </c>
      <c r="B10" s="88" t="s">
        <v>176</v>
      </c>
      <c r="I10" s="95">
        <f>+A9/A10</f>
        <v>1.9942731123789514</v>
      </c>
      <c r="O10" s="92"/>
      <c r="P10" s="92"/>
    </row>
    <row r="11" spans="1:16" x14ac:dyDescent="0.3">
      <c r="O11" s="92">
        <v>2</v>
      </c>
      <c r="P11" s="92" t="s">
        <v>170</v>
      </c>
    </row>
    <row r="12" spans="1:16" ht="21.75" x14ac:dyDescent="0.45">
      <c r="B12" s="88" t="s">
        <v>88</v>
      </c>
      <c r="E12" s="88" t="s">
        <v>172</v>
      </c>
      <c r="F12" s="88"/>
      <c r="I12" s="89"/>
      <c r="O12" s="96">
        <v>1</v>
      </c>
      <c r="P12" s="96" t="s">
        <v>171</v>
      </c>
    </row>
    <row r="14" spans="1:16" ht="21.75" x14ac:dyDescent="0.45">
      <c r="A14" s="93">
        <f>+C285</f>
        <v>0</v>
      </c>
      <c r="B14" s="88" t="s">
        <v>214</v>
      </c>
    </row>
    <row r="15" spans="1:16" ht="21.75" x14ac:dyDescent="0.45">
      <c r="A15" s="93">
        <f>+C329</f>
        <v>0.22413712530016164</v>
      </c>
      <c r="B15" s="88" t="s">
        <v>174</v>
      </c>
      <c r="L15" s="89" t="s">
        <v>215</v>
      </c>
    </row>
    <row r="16" spans="1:16" ht="21.75" x14ac:dyDescent="0.45">
      <c r="A16" s="94">
        <f>3.6*(A15-A14)</f>
        <v>0.80689365108058186</v>
      </c>
      <c r="B16" s="88" t="s">
        <v>175</v>
      </c>
    </row>
    <row r="17" spans="1:16" ht="21.75" x14ac:dyDescent="0.45">
      <c r="A17" s="94">
        <f>+A10</f>
        <v>0.46153846153846162</v>
      </c>
      <c r="B17" s="88" t="s">
        <v>176</v>
      </c>
      <c r="I17" s="95">
        <f>+A16/A17</f>
        <v>1.7482695773412604</v>
      </c>
    </row>
    <row r="18" spans="1:16" ht="21.75" x14ac:dyDescent="0.45">
      <c r="A18" s="97">
        <v>38</v>
      </c>
      <c r="B18" s="88" t="s">
        <v>178</v>
      </c>
      <c r="F18" s="89" t="s">
        <v>227</v>
      </c>
    </row>
    <row r="19" spans="1:16" ht="21.75" x14ac:dyDescent="0.45">
      <c r="A19" s="97">
        <v>38</v>
      </c>
      <c r="B19" s="88" t="s">
        <v>216</v>
      </c>
    </row>
    <row r="20" spans="1:16" ht="21.75" x14ac:dyDescent="0.45">
      <c r="A20" s="98">
        <f>+A19/A18</f>
        <v>1</v>
      </c>
      <c r="B20" s="88" t="s">
        <v>157</v>
      </c>
      <c r="F20" s="89" t="s">
        <v>226</v>
      </c>
      <c r="M20" s="88" t="s">
        <v>91</v>
      </c>
    </row>
    <row r="21" spans="1:16" ht="21.75" x14ac:dyDescent="0.45">
      <c r="A21" s="99">
        <v>1</v>
      </c>
      <c r="B21" s="88" t="s">
        <v>180</v>
      </c>
      <c r="E21" s="82">
        <f>+A16/A17*A21</f>
        <v>1.7482695773412604</v>
      </c>
      <c r="M21" s="88"/>
    </row>
    <row r="23" spans="1:16" ht="21.75" x14ac:dyDescent="0.45">
      <c r="B23" s="88" t="s">
        <v>94</v>
      </c>
      <c r="E23" s="88" t="s">
        <v>217</v>
      </c>
      <c r="I23" s="89"/>
    </row>
    <row r="25" spans="1:16" ht="21.75" x14ac:dyDescent="0.45">
      <c r="A25" s="93">
        <f>+C238</f>
        <v>0</v>
      </c>
      <c r="B25" s="88" t="s">
        <v>225</v>
      </c>
    </row>
    <row r="26" spans="1:16" ht="21.75" x14ac:dyDescent="0.45">
      <c r="A26" s="93">
        <f>+C271</f>
        <v>0.22787372480083337</v>
      </c>
      <c r="B26" s="88" t="s">
        <v>174</v>
      </c>
      <c r="L26" s="89" t="s">
        <v>179</v>
      </c>
    </row>
    <row r="27" spans="1:16" ht="22.5" thickBot="1" x14ac:dyDescent="0.5">
      <c r="A27" s="94">
        <f>3.6*(A26-A25)</f>
        <v>0.82034540928300015</v>
      </c>
      <c r="B27" s="88" t="s">
        <v>175</v>
      </c>
      <c r="I27" s="95">
        <f>+A27/A28</f>
        <v>1.7774150534465001</v>
      </c>
    </row>
    <row r="28" spans="1:16" ht="22.5" thickTop="1" x14ac:dyDescent="0.45">
      <c r="A28" s="94">
        <f>+A17</f>
        <v>0.46153846153846162</v>
      </c>
      <c r="B28" s="88" t="s">
        <v>176</v>
      </c>
      <c r="L28" s="100" t="s">
        <v>219</v>
      </c>
      <c r="M28" s="101" t="s">
        <v>220</v>
      </c>
      <c r="N28" s="101" t="s">
        <v>221</v>
      </c>
      <c r="O28" s="101" t="s">
        <v>222</v>
      </c>
      <c r="P28" s="102" t="s">
        <v>223</v>
      </c>
    </row>
    <row r="29" spans="1:16" ht="21.75" x14ac:dyDescent="0.45">
      <c r="A29" s="97" t="s">
        <v>229</v>
      </c>
      <c r="B29" s="88" t="s">
        <v>178</v>
      </c>
      <c r="L29" s="103" t="s">
        <v>201</v>
      </c>
      <c r="M29" s="104">
        <v>0</v>
      </c>
      <c r="N29" s="104">
        <v>44941</v>
      </c>
      <c r="O29" s="105">
        <v>45</v>
      </c>
      <c r="P29" s="106">
        <v>1000</v>
      </c>
    </row>
    <row r="30" spans="1:16" ht="22.5" thickBot="1" x14ac:dyDescent="0.5">
      <c r="A30" s="97" t="s">
        <v>229</v>
      </c>
      <c r="B30" s="88" t="s">
        <v>183</v>
      </c>
      <c r="L30" s="107" t="s">
        <v>202</v>
      </c>
      <c r="M30" s="108">
        <v>0</v>
      </c>
      <c r="N30" s="108">
        <v>44941</v>
      </c>
      <c r="O30" s="109">
        <v>0.2</v>
      </c>
      <c r="P30" s="110" t="s">
        <v>218</v>
      </c>
    </row>
    <row r="31" spans="1:16" ht="22.5" thickTop="1" x14ac:dyDescent="0.45">
      <c r="A31" s="98">
        <f>+AVERAGE(O30,O29/P29)</f>
        <v>0.1225</v>
      </c>
      <c r="B31" s="88" t="s">
        <v>157</v>
      </c>
      <c r="P31" s="82">
        <f>+O29/O30</f>
        <v>225</v>
      </c>
    </row>
    <row r="32" spans="1:16" ht="21.75" x14ac:dyDescent="0.45">
      <c r="A32" s="99">
        <v>5</v>
      </c>
      <c r="B32" s="88" t="s">
        <v>180</v>
      </c>
      <c r="D32" s="111">
        <f>+A32*A31*A27/A28</f>
        <v>1.0886667202359814</v>
      </c>
    </row>
    <row r="34" spans="1:12" ht="21.75" x14ac:dyDescent="0.45">
      <c r="B34" s="88" t="s">
        <v>97</v>
      </c>
      <c r="D34" s="88" t="s">
        <v>160</v>
      </c>
      <c r="F34" s="89"/>
    </row>
    <row r="36" spans="1:12" ht="21.75" x14ac:dyDescent="0.45">
      <c r="A36" s="93">
        <f>+C111</f>
        <v>0.12820512820512822</v>
      </c>
      <c r="B36" s="88" t="s">
        <v>182</v>
      </c>
      <c r="L36" s="89" t="s">
        <v>181</v>
      </c>
    </row>
    <row r="37" spans="1:12" ht="21.75" x14ac:dyDescent="0.45">
      <c r="A37" s="93">
        <f>+C156</f>
        <v>1.1793231131788389</v>
      </c>
      <c r="B37" s="88" t="s">
        <v>174</v>
      </c>
    </row>
    <row r="38" spans="1:12" ht="21.75" x14ac:dyDescent="0.45">
      <c r="A38" s="94">
        <f>3.6*(A37-A36)</f>
        <v>3.7840247459053584</v>
      </c>
      <c r="B38" s="88" t="s">
        <v>175</v>
      </c>
    </row>
    <row r="39" spans="1:12" ht="21.75" x14ac:dyDescent="0.45">
      <c r="A39" s="94">
        <f>+A28</f>
        <v>0.46153846153846162</v>
      </c>
      <c r="B39" s="88" t="s">
        <v>176</v>
      </c>
    </row>
    <row r="40" spans="1:12" ht="15.75" x14ac:dyDescent="0.3">
      <c r="B40" s="46"/>
      <c r="I40" s="95">
        <f>+A38/A39</f>
        <v>8.198720282794941</v>
      </c>
    </row>
    <row r="43" spans="1:12" x14ac:dyDescent="0.3">
      <c r="B43" s="112" t="s">
        <v>161</v>
      </c>
    </row>
    <row r="44" spans="1:12" ht="21.75" x14ac:dyDescent="0.45">
      <c r="B44" s="88" t="s">
        <v>153</v>
      </c>
      <c r="C44" s="113"/>
    </row>
    <row r="45" spans="1:12" ht="21.75" x14ac:dyDescent="0.45">
      <c r="B45" s="91" t="s">
        <v>98</v>
      </c>
      <c r="C45" s="88" t="s">
        <v>152</v>
      </c>
    </row>
    <row r="46" spans="1:12" x14ac:dyDescent="0.3">
      <c r="B46" s="85" t="s">
        <v>99</v>
      </c>
      <c r="C46" s="114">
        <v>0</v>
      </c>
    </row>
    <row r="47" spans="1:12" x14ac:dyDescent="0.3">
      <c r="B47" s="85" t="s">
        <v>100</v>
      </c>
      <c r="C47" s="114">
        <v>0</v>
      </c>
    </row>
    <row r="48" spans="1:12" x14ac:dyDescent="0.3">
      <c r="B48" s="85" t="s">
        <v>101</v>
      </c>
      <c r="C48" s="114">
        <v>0</v>
      </c>
    </row>
    <row r="49" spans="2:3" x14ac:dyDescent="0.3">
      <c r="B49" s="85" t="s">
        <v>102</v>
      </c>
      <c r="C49" s="114">
        <v>0</v>
      </c>
    </row>
    <row r="50" spans="2:3" x14ac:dyDescent="0.3">
      <c r="B50" s="85" t="s">
        <v>103</v>
      </c>
      <c r="C50" s="114">
        <v>0</v>
      </c>
    </row>
    <row r="51" spans="2:3" x14ac:dyDescent="0.3">
      <c r="B51" s="85" t="s">
        <v>104</v>
      </c>
      <c r="C51" s="114">
        <v>0</v>
      </c>
    </row>
    <row r="52" spans="2:3" x14ac:dyDescent="0.3">
      <c r="B52" s="85" t="s">
        <v>105</v>
      </c>
      <c r="C52" s="114">
        <v>0</v>
      </c>
    </row>
    <row r="53" spans="2:3" x14ac:dyDescent="0.3">
      <c r="B53" s="85" t="s">
        <v>106</v>
      </c>
      <c r="C53" s="114">
        <v>0</v>
      </c>
    </row>
    <row r="54" spans="2:3" x14ac:dyDescent="0.3">
      <c r="B54" s="85" t="s">
        <v>107</v>
      </c>
      <c r="C54" s="114">
        <v>0</v>
      </c>
    </row>
    <row r="55" spans="2:3" x14ac:dyDescent="0.3">
      <c r="B55" s="85" t="s">
        <v>108</v>
      </c>
      <c r="C55" s="114">
        <v>0</v>
      </c>
    </row>
    <row r="56" spans="2:3" x14ac:dyDescent="0.3">
      <c r="B56" s="85" t="s">
        <v>109</v>
      </c>
      <c r="C56" s="114">
        <v>0</v>
      </c>
    </row>
    <row r="57" spans="2:3" x14ac:dyDescent="0.3">
      <c r="B57" s="85" t="s">
        <v>110</v>
      </c>
      <c r="C57" s="114">
        <v>0</v>
      </c>
    </row>
    <row r="58" spans="2:3" x14ac:dyDescent="0.3">
      <c r="B58" s="85" t="s">
        <v>111</v>
      </c>
      <c r="C58" s="114">
        <v>0</v>
      </c>
    </row>
    <row r="59" spans="2:3" x14ac:dyDescent="0.3">
      <c r="B59" s="85" t="s">
        <v>112</v>
      </c>
      <c r="C59" s="114">
        <v>0</v>
      </c>
    </row>
    <row r="60" spans="2:3" x14ac:dyDescent="0.3">
      <c r="B60" s="85" t="s">
        <v>113</v>
      </c>
      <c r="C60" s="114">
        <v>0</v>
      </c>
    </row>
    <row r="61" spans="2:3" x14ac:dyDescent="0.3">
      <c r="B61" s="85" t="s">
        <v>114</v>
      </c>
      <c r="C61" s="114">
        <v>0</v>
      </c>
    </row>
    <row r="62" spans="2:3" x14ac:dyDescent="0.3">
      <c r="B62" s="85" t="s">
        <v>115</v>
      </c>
      <c r="C62" s="114">
        <v>0</v>
      </c>
    </row>
    <row r="63" spans="2:3" x14ac:dyDescent="0.3">
      <c r="B63" s="85" t="s">
        <v>116</v>
      </c>
      <c r="C63" s="114">
        <v>0</v>
      </c>
    </row>
    <row r="64" spans="2:3" x14ac:dyDescent="0.3">
      <c r="B64" s="85" t="s">
        <v>117</v>
      </c>
      <c r="C64" s="114">
        <v>0</v>
      </c>
    </row>
    <row r="65" spans="2:3" x14ac:dyDescent="0.3">
      <c r="B65" s="85" t="s">
        <v>118</v>
      </c>
      <c r="C65" s="114">
        <v>0</v>
      </c>
    </row>
    <row r="66" spans="2:3" x14ac:dyDescent="0.3">
      <c r="B66" s="85" t="s">
        <v>119</v>
      </c>
      <c r="C66" s="114">
        <v>0</v>
      </c>
    </row>
    <row r="67" spans="2:3" x14ac:dyDescent="0.3">
      <c r="B67" s="85" t="s">
        <v>120</v>
      </c>
      <c r="C67" s="114">
        <v>0</v>
      </c>
    </row>
    <row r="68" spans="2:3" x14ac:dyDescent="0.3">
      <c r="B68" s="85" t="s">
        <v>121</v>
      </c>
      <c r="C68" s="114">
        <v>0</v>
      </c>
    </row>
    <row r="69" spans="2:3" x14ac:dyDescent="0.3">
      <c r="B69" s="85" t="s">
        <v>122</v>
      </c>
      <c r="C69" s="114">
        <v>0</v>
      </c>
    </row>
    <row r="70" spans="2:3" x14ac:dyDescent="0.3">
      <c r="B70" s="85" t="s">
        <v>123</v>
      </c>
      <c r="C70" s="114">
        <v>0</v>
      </c>
    </row>
    <row r="71" spans="2:3" x14ac:dyDescent="0.3">
      <c r="B71" s="85" t="s">
        <v>124</v>
      </c>
      <c r="C71" s="114">
        <v>0</v>
      </c>
    </row>
    <row r="72" spans="2:3" x14ac:dyDescent="0.3">
      <c r="B72" s="85" t="s">
        <v>125</v>
      </c>
      <c r="C72" s="114">
        <v>0</v>
      </c>
    </row>
    <row r="73" spans="2:3" x14ac:dyDescent="0.3">
      <c r="B73" s="85" t="s">
        <v>126</v>
      </c>
      <c r="C73" s="114">
        <v>0</v>
      </c>
    </row>
    <row r="74" spans="2:3" x14ac:dyDescent="0.3">
      <c r="B74" s="85" t="s">
        <v>127</v>
      </c>
      <c r="C74" s="114">
        <v>0</v>
      </c>
    </row>
    <row r="75" spans="2:3" x14ac:dyDescent="0.3">
      <c r="B75" s="85" t="s">
        <v>128</v>
      </c>
      <c r="C75" s="114">
        <v>0</v>
      </c>
    </row>
    <row r="76" spans="2:3" x14ac:dyDescent="0.3">
      <c r="B76" s="85" t="s">
        <v>129</v>
      </c>
      <c r="C76" s="114">
        <v>0</v>
      </c>
    </row>
    <row r="77" spans="2:3" x14ac:dyDescent="0.3">
      <c r="B77" s="85" t="s">
        <v>158</v>
      </c>
      <c r="C77" s="114">
        <v>0</v>
      </c>
    </row>
    <row r="78" spans="2:3" x14ac:dyDescent="0.3">
      <c r="B78" s="85" t="s">
        <v>130</v>
      </c>
      <c r="C78" s="114">
        <v>4.1296595144460326E-3</v>
      </c>
    </row>
    <row r="79" spans="2:3" x14ac:dyDescent="0.3">
      <c r="B79" s="85" t="s">
        <v>131</v>
      </c>
      <c r="C79" s="114">
        <v>6.1182231665522927E-3</v>
      </c>
    </row>
    <row r="80" spans="2:3" x14ac:dyDescent="0.3">
      <c r="B80" s="85" t="s">
        <v>132</v>
      </c>
      <c r="C80" s="114">
        <v>1.1990535917962097E-2</v>
      </c>
    </row>
    <row r="81" spans="2:3" x14ac:dyDescent="0.3">
      <c r="B81" s="85" t="s">
        <v>133</v>
      </c>
      <c r="C81" s="114">
        <v>1.5565738315656361E-2</v>
      </c>
    </row>
    <row r="82" spans="2:3" x14ac:dyDescent="0.3">
      <c r="B82" s="85" t="s">
        <v>134</v>
      </c>
      <c r="C82" s="114">
        <v>1.7498636112554797E-2</v>
      </c>
    </row>
    <row r="83" spans="2:3" x14ac:dyDescent="0.3">
      <c r="B83" s="85" t="s">
        <v>135</v>
      </c>
      <c r="C83" s="114">
        <v>1.7938596212073964E-2</v>
      </c>
    </row>
    <row r="84" spans="2:3" x14ac:dyDescent="0.3">
      <c r="B84" s="85" t="s">
        <v>136</v>
      </c>
      <c r="C84" s="114">
        <v>2.3817526687518804E-2</v>
      </c>
    </row>
    <row r="85" spans="2:3" x14ac:dyDescent="0.3">
      <c r="B85" s="85" t="s">
        <v>137</v>
      </c>
      <c r="C85" s="114">
        <v>2.4223203204085449E-2</v>
      </c>
    </row>
    <row r="86" spans="2:3" x14ac:dyDescent="0.3">
      <c r="B86" s="85" t="s">
        <v>138</v>
      </c>
      <c r="C86" s="114">
        <v>2.4242610837065231E-2</v>
      </c>
    </row>
    <row r="87" spans="2:3" x14ac:dyDescent="0.3">
      <c r="B87" s="85" t="s">
        <v>139</v>
      </c>
      <c r="C87" s="114">
        <v>2.667119152321255E-2</v>
      </c>
    </row>
    <row r="88" spans="2:3" x14ac:dyDescent="0.3">
      <c r="B88" s="85" t="s">
        <v>140</v>
      </c>
      <c r="C88" s="114">
        <v>3.0590606102079507E-2</v>
      </c>
    </row>
    <row r="89" spans="2:3" x14ac:dyDescent="0.3">
      <c r="B89" s="85" t="s">
        <v>141</v>
      </c>
      <c r="C89" s="114">
        <v>3.2268140763536332E-2</v>
      </c>
    </row>
    <row r="90" spans="2:3" x14ac:dyDescent="0.3">
      <c r="B90" s="85" t="s">
        <v>142</v>
      </c>
      <c r="C90" s="114">
        <v>5.2760795689780662E-2</v>
      </c>
    </row>
    <row r="91" spans="2:3" x14ac:dyDescent="0.3">
      <c r="B91" s="85" t="s">
        <v>143</v>
      </c>
      <c r="C91" s="114">
        <v>5.8012190536688907E-2</v>
      </c>
    </row>
    <row r="92" spans="2:3" x14ac:dyDescent="0.3">
      <c r="B92" s="85" t="s">
        <v>144</v>
      </c>
      <c r="C92" s="114">
        <v>6.3522569954210309E-2</v>
      </c>
    </row>
    <row r="93" spans="2:3" x14ac:dyDescent="0.3">
      <c r="B93" s="85" t="s">
        <v>145</v>
      </c>
      <c r="C93" s="114">
        <v>6.7872724253008054E-2</v>
      </c>
    </row>
    <row r="94" spans="2:3" x14ac:dyDescent="0.3">
      <c r="B94" s="85" t="s">
        <v>146</v>
      </c>
      <c r="C94" s="114">
        <v>7.0489403345617402E-2</v>
      </c>
    </row>
    <row r="95" spans="2:3" x14ac:dyDescent="0.3">
      <c r="B95" s="85" t="s">
        <v>147</v>
      </c>
      <c r="C95" s="114">
        <v>7.4712375100053866E-2</v>
      </c>
    </row>
    <row r="96" spans="2:3" x14ac:dyDescent="0.3">
      <c r="B96" s="85" t="s">
        <v>148</v>
      </c>
      <c r="C96" s="114">
        <v>8.4237365227059921E-2</v>
      </c>
    </row>
    <row r="97" spans="2:3" x14ac:dyDescent="0.3">
      <c r="B97" s="85" t="s">
        <v>149</v>
      </c>
      <c r="C97" s="114">
        <v>0.11393686240041669</v>
      </c>
    </row>
    <row r="98" spans="2:3" x14ac:dyDescent="0.3">
      <c r="B98" s="85" t="s">
        <v>150</v>
      </c>
      <c r="C98" s="114">
        <v>0.16176634178413282</v>
      </c>
    </row>
    <row r="99" spans="2:3" x14ac:dyDescent="0.3">
      <c r="B99" s="85" t="s">
        <v>151</v>
      </c>
      <c r="C99" s="114">
        <v>0.25567604004858357</v>
      </c>
    </row>
    <row r="100" spans="2:3" x14ac:dyDescent="0.3">
      <c r="B100" s="112" t="s">
        <v>162</v>
      </c>
    </row>
    <row r="101" spans="2:3" ht="21.75" x14ac:dyDescent="0.45">
      <c r="B101" s="88" t="s">
        <v>154</v>
      </c>
      <c r="C101" s="113"/>
    </row>
    <row r="102" spans="2:3" ht="21.75" x14ac:dyDescent="0.45">
      <c r="B102" s="91" t="s">
        <v>98</v>
      </c>
      <c r="C102" s="88" t="s">
        <v>152</v>
      </c>
    </row>
    <row r="103" spans="2:3" x14ac:dyDescent="0.3">
      <c r="B103" s="85" t="s">
        <v>106</v>
      </c>
      <c r="C103" s="114">
        <v>0</v>
      </c>
    </row>
    <row r="104" spans="2:3" x14ac:dyDescent="0.3">
      <c r="B104" s="85" t="s">
        <v>118</v>
      </c>
      <c r="C104" s="114">
        <v>0</v>
      </c>
    </row>
    <row r="105" spans="2:3" x14ac:dyDescent="0.3">
      <c r="B105" s="85" t="s">
        <v>124</v>
      </c>
      <c r="C105" s="114">
        <v>5.7279151129526452E-2</v>
      </c>
    </row>
    <row r="106" spans="2:3" x14ac:dyDescent="0.3">
      <c r="B106" s="85" t="s">
        <v>141</v>
      </c>
      <c r="C106" s="114">
        <v>6.4536281527072664E-2</v>
      </c>
    </row>
    <row r="107" spans="2:3" x14ac:dyDescent="0.3">
      <c r="B107" s="85" t="s">
        <v>114</v>
      </c>
      <c r="C107" s="114">
        <v>6.6522831001475283E-2</v>
      </c>
    </row>
    <row r="108" spans="2:3" x14ac:dyDescent="0.3">
      <c r="B108" s="85" t="s">
        <v>112</v>
      </c>
      <c r="C108" s="114">
        <v>8.0314895429403788E-2</v>
      </c>
    </row>
    <row r="109" spans="2:3" x14ac:dyDescent="0.3">
      <c r="B109" s="85" t="s">
        <v>119</v>
      </c>
      <c r="C109" s="114">
        <v>8.1156954059401862E-2</v>
      </c>
    </row>
    <row r="110" spans="2:3" x14ac:dyDescent="0.3">
      <c r="B110" s="85" t="s">
        <v>111</v>
      </c>
      <c r="C110" s="114">
        <v>0.11686263556796118</v>
      </c>
    </row>
    <row r="111" spans="2:3" x14ac:dyDescent="0.3">
      <c r="B111" s="85" t="s">
        <v>129</v>
      </c>
      <c r="C111" s="114">
        <v>0.12820512820512822</v>
      </c>
    </row>
    <row r="112" spans="2:3" x14ac:dyDescent="0.3">
      <c r="B112" s="85" t="s">
        <v>102</v>
      </c>
      <c r="C112" s="114">
        <v>0.1291342852581957</v>
      </c>
    </row>
    <row r="113" spans="2:3" x14ac:dyDescent="0.3">
      <c r="B113" s="85" t="s">
        <v>101</v>
      </c>
      <c r="C113" s="114">
        <v>0.14441089926339729</v>
      </c>
    </row>
    <row r="114" spans="2:3" x14ac:dyDescent="0.3">
      <c r="B114" s="85" t="s">
        <v>128</v>
      </c>
      <c r="C114" s="114">
        <v>0.15554171407124448</v>
      </c>
    </row>
    <row r="115" spans="2:3" x14ac:dyDescent="0.3">
      <c r="B115" s="85" t="s">
        <v>116</v>
      </c>
      <c r="C115" s="114">
        <v>0.16698902506380023</v>
      </c>
    </row>
    <row r="116" spans="2:3" x14ac:dyDescent="0.3">
      <c r="B116" s="85" t="s">
        <v>158</v>
      </c>
      <c r="C116" s="114">
        <v>0.19874861980125139</v>
      </c>
    </row>
    <row r="117" spans="2:3" x14ac:dyDescent="0.3">
      <c r="B117" s="85" t="s">
        <v>123</v>
      </c>
      <c r="C117" s="114">
        <v>0.20200686242562518</v>
      </c>
    </row>
    <row r="118" spans="2:3" x14ac:dyDescent="0.3">
      <c r="B118" s="85" t="s">
        <v>145</v>
      </c>
      <c r="C118" s="114">
        <v>0.20361817275902419</v>
      </c>
    </row>
    <row r="119" spans="2:3" x14ac:dyDescent="0.3">
      <c r="B119" s="85" t="s">
        <v>104</v>
      </c>
      <c r="C119" s="114">
        <v>0.22619428177462758</v>
      </c>
    </row>
    <row r="120" spans="2:3" x14ac:dyDescent="0.3">
      <c r="B120" s="85" t="s">
        <v>110</v>
      </c>
      <c r="C120" s="114">
        <v>0.22873656329947004</v>
      </c>
    </row>
    <row r="121" spans="2:3" x14ac:dyDescent="0.3">
      <c r="B121" s="85" t="s">
        <v>120</v>
      </c>
      <c r="C121" s="114">
        <v>0.24907714840871667</v>
      </c>
    </row>
    <row r="122" spans="2:3" x14ac:dyDescent="0.3">
      <c r="B122" s="85" t="s">
        <v>144</v>
      </c>
      <c r="C122" s="114">
        <v>0.25409027981684124</v>
      </c>
    </row>
    <row r="123" spans="2:3" x14ac:dyDescent="0.3">
      <c r="B123" s="85" t="s">
        <v>137</v>
      </c>
      <c r="C123" s="114">
        <v>0.25434363364289719</v>
      </c>
    </row>
    <row r="124" spans="2:3" x14ac:dyDescent="0.3">
      <c r="B124" s="85" t="s">
        <v>142</v>
      </c>
      <c r="C124" s="114">
        <v>0.2638039784489033</v>
      </c>
    </row>
    <row r="125" spans="2:3" x14ac:dyDescent="0.3">
      <c r="B125" s="85" t="s">
        <v>117</v>
      </c>
      <c r="C125" s="114">
        <v>0.26919631210282008</v>
      </c>
    </row>
    <row r="126" spans="2:3" x14ac:dyDescent="0.3">
      <c r="B126" s="85" t="s">
        <v>121</v>
      </c>
      <c r="C126" s="114">
        <v>0.27295787250083181</v>
      </c>
    </row>
    <row r="127" spans="2:3" x14ac:dyDescent="0.3">
      <c r="B127" s="85" t="s">
        <v>132</v>
      </c>
      <c r="C127" s="114">
        <v>0.28777286203109026</v>
      </c>
    </row>
    <row r="128" spans="2:3" x14ac:dyDescent="0.3">
      <c r="B128" s="85" t="s">
        <v>100</v>
      </c>
      <c r="C128" s="114">
        <v>0.28968448981604522</v>
      </c>
    </row>
    <row r="129" spans="2:3" x14ac:dyDescent="0.3">
      <c r="B129" s="85" t="s">
        <v>138</v>
      </c>
      <c r="C129" s="114">
        <v>0.29091133004478281</v>
      </c>
    </row>
    <row r="130" spans="2:3" x14ac:dyDescent="0.3">
      <c r="B130" s="85" t="s">
        <v>113</v>
      </c>
      <c r="C130" s="114">
        <v>0.29232562648487714</v>
      </c>
    </row>
    <row r="131" spans="2:3" x14ac:dyDescent="0.3">
      <c r="B131" s="85" t="s">
        <v>134</v>
      </c>
      <c r="C131" s="114">
        <v>0.29747681391343156</v>
      </c>
    </row>
    <row r="132" spans="2:3" x14ac:dyDescent="0.3">
      <c r="B132" s="85" t="s">
        <v>131</v>
      </c>
      <c r="C132" s="114">
        <v>0.29979293516106231</v>
      </c>
    </row>
    <row r="133" spans="2:3" x14ac:dyDescent="0.3">
      <c r="B133" s="85" t="s">
        <v>135</v>
      </c>
      <c r="C133" s="114">
        <v>0.31841008276431293</v>
      </c>
    </row>
    <row r="134" spans="2:3" x14ac:dyDescent="0.3">
      <c r="B134" s="85" t="s">
        <v>105</v>
      </c>
      <c r="C134" s="114">
        <v>0.33218876113831886</v>
      </c>
    </row>
    <row r="135" spans="2:3" x14ac:dyDescent="0.3">
      <c r="B135" s="85" t="s">
        <v>139</v>
      </c>
      <c r="C135" s="114">
        <v>0.3333898940401569</v>
      </c>
    </row>
    <row r="136" spans="2:3" x14ac:dyDescent="0.3">
      <c r="B136" s="85" t="s">
        <v>125</v>
      </c>
      <c r="C136" s="114">
        <v>0.34317474618223809</v>
      </c>
    </row>
    <row r="137" spans="2:3" x14ac:dyDescent="0.3">
      <c r="B137" s="85" t="s">
        <v>130</v>
      </c>
      <c r="C137" s="114">
        <v>0.34689139921346662</v>
      </c>
    </row>
    <row r="138" spans="2:3" x14ac:dyDescent="0.3">
      <c r="B138" s="85" t="s">
        <v>140</v>
      </c>
      <c r="C138" s="114">
        <v>0.36708727322495405</v>
      </c>
    </row>
    <row r="139" spans="2:3" x14ac:dyDescent="0.3">
      <c r="B139" s="85" t="s">
        <v>127</v>
      </c>
      <c r="C139" s="114">
        <v>0.36909779559827505</v>
      </c>
    </row>
    <row r="140" spans="2:3" x14ac:dyDescent="0.3">
      <c r="B140" s="85" t="s">
        <v>115</v>
      </c>
      <c r="C140" s="114">
        <v>0.37791680917279685</v>
      </c>
    </row>
    <row r="141" spans="2:3" x14ac:dyDescent="0.3">
      <c r="B141" s="85" t="s">
        <v>122</v>
      </c>
      <c r="C141" s="114">
        <v>0.39256932995187199</v>
      </c>
    </row>
    <row r="142" spans="2:3" x14ac:dyDescent="0.3">
      <c r="B142" s="85" t="s">
        <v>126</v>
      </c>
      <c r="C142" s="114">
        <v>0.42544312250008959</v>
      </c>
    </row>
    <row r="143" spans="2:3" x14ac:dyDescent="0.3">
      <c r="B143" s="85" t="s">
        <v>108</v>
      </c>
      <c r="C143" s="114">
        <v>0.48808023926104344</v>
      </c>
    </row>
    <row r="144" spans="2:3" x14ac:dyDescent="0.3">
      <c r="B144" s="85" t="s">
        <v>146</v>
      </c>
      <c r="C144" s="114">
        <v>0.49342582341932184</v>
      </c>
    </row>
    <row r="145" spans="2:3" x14ac:dyDescent="0.3">
      <c r="B145" s="85" t="s">
        <v>107</v>
      </c>
      <c r="C145" s="114">
        <v>0.50628745061565616</v>
      </c>
    </row>
    <row r="146" spans="2:3" x14ac:dyDescent="0.3">
      <c r="B146" s="85" t="s">
        <v>103</v>
      </c>
      <c r="C146" s="114">
        <v>0.51400042936169199</v>
      </c>
    </row>
    <row r="147" spans="2:3" x14ac:dyDescent="0.3">
      <c r="B147" s="85" t="s">
        <v>147</v>
      </c>
      <c r="C147" s="114">
        <v>0.52298662570037713</v>
      </c>
    </row>
    <row r="148" spans="2:3" x14ac:dyDescent="0.3">
      <c r="B148" s="85" t="s">
        <v>136</v>
      </c>
      <c r="C148" s="114">
        <v>0.52398558712541377</v>
      </c>
    </row>
    <row r="149" spans="2:3" x14ac:dyDescent="0.3">
      <c r="B149" s="85" t="s">
        <v>150</v>
      </c>
      <c r="C149" s="114">
        <v>0.5392211392804428</v>
      </c>
    </row>
    <row r="150" spans="2:3" x14ac:dyDescent="0.3">
      <c r="B150" s="85" t="s">
        <v>149</v>
      </c>
      <c r="C150" s="114">
        <v>0.56968431200208347</v>
      </c>
    </row>
    <row r="151" spans="2:3" x14ac:dyDescent="0.3">
      <c r="B151" s="85" t="s">
        <v>143</v>
      </c>
      <c r="C151" s="114">
        <v>0.58012190536688901</v>
      </c>
    </row>
    <row r="152" spans="2:3" x14ac:dyDescent="0.3">
      <c r="B152" s="85" t="s">
        <v>109</v>
      </c>
      <c r="C152" s="114">
        <v>0.62196814823366875</v>
      </c>
    </row>
    <row r="153" spans="2:3" x14ac:dyDescent="0.3">
      <c r="B153" s="85" t="s">
        <v>133</v>
      </c>
      <c r="C153" s="114">
        <v>0.63819527094191086</v>
      </c>
    </row>
    <row r="154" spans="2:3" x14ac:dyDescent="0.3">
      <c r="B154" s="85" t="s">
        <v>151</v>
      </c>
      <c r="C154" s="114">
        <v>0.76702812014575072</v>
      </c>
    </row>
    <row r="155" spans="2:3" x14ac:dyDescent="0.3">
      <c r="B155" s="85" t="s">
        <v>99</v>
      </c>
      <c r="C155" s="114">
        <v>1.0830712391190602</v>
      </c>
    </row>
    <row r="156" spans="2:3" x14ac:dyDescent="0.3">
      <c r="B156" s="85" t="s">
        <v>148</v>
      </c>
      <c r="C156" s="114">
        <v>1.1793231131788389</v>
      </c>
    </row>
    <row r="157" spans="2:3" x14ac:dyDescent="0.3">
      <c r="B157" s="112" t="s">
        <v>163</v>
      </c>
    </row>
    <row r="158" spans="2:3" ht="21.75" x14ac:dyDescent="0.45">
      <c r="B158" s="88" t="s">
        <v>156</v>
      </c>
      <c r="C158" s="113"/>
    </row>
    <row r="159" spans="2:3" ht="21.75" x14ac:dyDescent="0.45">
      <c r="B159" s="91" t="s">
        <v>98</v>
      </c>
      <c r="C159" s="88" t="s">
        <v>152</v>
      </c>
    </row>
    <row r="160" spans="2:3" x14ac:dyDescent="0.3">
      <c r="B160" s="85" t="s">
        <v>106</v>
      </c>
      <c r="C160" s="114">
        <v>0</v>
      </c>
    </row>
    <row r="161" spans="2:3" x14ac:dyDescent="0.3">
      <c r="B161" s="85" t="s">
        <v>118</v>
      </c>
      <c r="C161" s="114">
        <v>0</v>
      </c>
    </row>
    <row r="162" spans="2:3" x14ac:dyDescent="0.3">
      <c r="B162" s="85" t="s">
        <v>114</v>
      </c>
      <c r="C162" s="114">
        <v>0</v>
      </c>
    </row>
    <row r="163" spans="2:3" x14ac:dyDescent="0.3">
      <c r="B163" s="85" t="s">
        <v>119</v>
      </c>
      <c r="C163" s="114">
        <v>0</v>
      </c>
    </row>
    <row r="164" spans="2:3" x14ac:dyDescent="0.3">
      <c r="B164" s="85" t="s">
        <v>111</v>
      </c>
      <c r="C164" s="114">
        <v>0</v>
      </c>
    </row>
    <row r="165" spans="2:3" x14ac:dyDescent="0.3">
      <c r="B165" s="85" t="s">
        <v>102</v>
      </c>
      <c r="C165" s="114">
        <v>0</v>
      </c>
    </row>
    <row r="166" spans="2:3" x14ac:dyDescent="0.3">
      <c r="B166" s="85" t="s">
        <v>104</v>
      </c>
      <c r="C166" s="114">
        <v>0</v>
      </c>
    </row>
    <row r="167" spans="2:3" x14ac:dyDescent="0.3">
      <c r="B167" s="85" t="s">
        <v>144</v>
      </c>
      <c r="C167" s="114">
        <v>0</v>
      </c>
    </row>
    <row r="168" spans="2:3" x14ac:dyDescent="0.3">
      <c r="B168" s="85" t="s">
        <v>113</v>
      </c>
      <c r="C168" s="114">
        <v>0</v>
      </c>
    </row>
    <row r="169" spans="2:3" x14ac:dyDescent="0.3">
      <c r="B169" s="85" t="s">
        <v>109</v>
      </c>
      <c r="C169" s="114">
        <v>0</v>
      </c>
    </row>
    <row r="170" spans="2:3" x14ac:dyDescent="0.3">
      <c r="B170" s="85" t="s">
        <v>137</v>
      </c>
      <c r="C170" s="114">
        <v>2.4223203204085449E-2</v>
      </c>
    </row>
    <row r="171" spans="2:3" x14ac:dyDescent="0.3">
      <c r="B171" s="85" t="s">
        <v>140</v>
      </c>
      <c r="C171" s="114">
        <v>3.0590606102079507E-2</v>
      </c>
    </row>
    <row r="172" spans="2:3" x14ac:dyDescent="0.3">
      <c r="B172" s="85" t="s">
        <v>141</v>
      </c>
      <c r="C172" s="114">
        <v>3.2268140763536332E-2</v>
      </c>
    </row>
    <row r="173" spans="2:3" x14ac:dyDescent="0.3">
      <c r="B173" s="85" t="s">
        <v>124</v>
      </c>
      <c r="C173" s="114">
        <v>3.2730943502586547E-2</v>
      </c>
    </row>
    <row r="174" spans="2:3" x14ac:dyDescent="0.3">
      <c r="B174" s="85" t="s">
        <v>145</v>
      </c>
      <c r="C174" s="114">
        <v>3.3936362126504027E-2</v>
      </c>
    </row>
    <row r="175" spans="2:3" x14ac:dyDescent="0.3">
      <c r="B175" s="85" t="s">
        <v>123</v>
      </c>
      <c r="C175" s="114">
        <v>5.0501715606406296E-2</v>
      </c>
    </row>
    <row r="176" spans="2:3" x14ac:dyDescent="0.3">
      <c r="B176" s="85" t="s">
        <v>128</v>
      </c>
      <c r="C176" s="114">
        <v>5.184723802374816E-2</v>
      </c>
    </row>
    <row r="177" spans="2:3" x14ac:dyDescent="0.3">
      <c r="B177" s="85" t="s">
        <v>149</v>
      </c>
      <c r="C177" s="114">
        <v>5.6968431200208343E-2</v>
      </c>
    </row>
    <row r="178" spans="2:3" x14ac:dyDescent="0.3">
      <c r="B178" s="85" t="s">
        <v>134</v>
      </c>
      <c r="C178" s="114">
        <v>6.9994544450219187E-2</v>
      </c>
    </row>
    <row r="179" spans="2:3" x14ac:dyDescent="0.3">
      <c r="B179" s="85" t="s">
        <v>101</v>
      </c>
      <c r="C179" s="114">
        <v>7.2205449631698643E-2</v>
      </c>
    </row>
    <row r="180" spans="2:3" x14ac:dyDescent="0.3">
      <c r="B180" s="85" t="s">
        <v>112</v>
      </c>
      <c r="C180" s="114">
        <v>8.0314895429403788E-2</v>
      </c>
    </row>
    <row r="181" spans="2:3" x14ac:dyDescent="0.3">
      <c r="B181" s="85" t="s">
        <v>127</v>
      </c>
      <c r="C181" s="114">
        <v>8.2021732355172225E-2</v>
      </c>
    </row>
    <row r="182" spans="2:3" x14ac:dyDescent="0.3">
      <c r="B182" s="85" t="s">
        <v>120</v>
      </c>
      <c r="C182" s="114">
        <v>8.3025716136238895E-2</v>
      </c>
    </row>
    <row r="183" spans="2:3" x14ac:dyDescent="0.3">
      <c r="B183" s="85" t="s">
        <v>143</v>
      </c>
      <c r="C183" s="114">
        <v>8.701828580503336E-2</v>
      </c>
    </row>
    <row r="184" spans="2:3" x14ac:dyDescent="0.3">
      <c r="B184" s="85" t="s">
        <v>131</v>
      </c>
      <c r="C184" s="114">
        <v>9.1773347498284405E-2</v>
      </c>
    </row>
    <row r="185" spans="2:3" x14ac:dyDescent="0.3">
      <c r="B185" s="85" t="s">
        <v>100</v>
      </c>
      <c r="C185" s="114">
        <v>9.6561496605348407E-2</v>
      </c>
    </row>
    <row r="186" spans="2:3" x14ac:dyDescent="0.3">
      <c r="B186" s="85" t="s">
        <v>138</v>
      </c>
      <c r="C186" s="114">
        <v>9.6970443348260923E-2</v>
      </c>
    </row>
    <row r="187" spans="2:3" x14ac:dyDescent="0.3">
      <c r="B187" s="85" t="s">
        <v>122</v>
      </c>
      <c r="C187" s="114">
        <v>9.8142332487967998E-2</v>
      </c>
    </row>
    <row r="188" spans="2:3" x14ac:dyDescent="0.3">
      <c r="B188" s="85" t="s">
        <v>142</v>
      </c>
      <c r="C188" s="114">
        <v>0.10552159137956132</v>
      </c>
    </row>
    <row r="189" spans="2:3" x14ac:dyDescent="0.3">
      <c r="B189" s="85" t="s">
        <v>150</v>
      </c>
      <c r="C189" s="114">
        <v>0.10784422785608856</v>
      </c>
    </row>
    <row r="190" spans="2:3" x14ac:dyDescent="0.3">
      <c r="B190" s="85" t="s">
        <v>116</v>
      </c>
      <c r="C190" s="114">
        <v>0.11132601670920017</v>
      </c>
    </row>
    <row r="191" spans="2:3" x14ac:dyDescent="0.3">
      <c r="B191" s="85" t="s">
        <v>135</v>
      </c>
      <c r="C191" s="114">
        <v>0.11759746405692934</v>
      </c>
    </row>
    <row r="192" spans="2:3" x14ac:dyDescent="0.3">
      <c r="B192" s="85" t="s">
        <v>105</v>
      </c>
      <c r="C192" s="114">
        <v>0.11863884326368529</v>
      </c>
    </row>
    <row r="193" spans="2:3" x14ac:dyDescent="0.3">
      <c r="B193" s="85" t="s">
        <v>132</v>
      </c>
      <c r="C193" s="114">
        <v>0.11990535917962095</v>
      </c>
    </row>
    <row r="194" spans="2:3" x14ac:dyDescent="0.3">
      <c r="B194" s="85" t="s">
        <v>139</v>
      </c>
      <c r="C194" s="114">
        <v>0.12002036185445647</v>
      </c>
    </row>
    <row r="195" spans="2:3" x14ac:dyDescent="0.3">
      <c r="B195" s="85" t="s">
        <v>136</v>
      </c>
      <c r="C195" s="114">
        <v>0.1270268090001003</v>
      </c>
    </row>
    <row r="196" spans="2:3" x14ac:dyDescent="0.3">
      <c r="B196" s="85" t="s">
        <v>129</v>
      </c>
      <c r="C196" s="114">
        <v>0.12820000000000001</v>
      </c>
    </row>
    <row r="197" spans="2:3" x14ac:dyDescent="0.3">
      <c r="B197" s="85" t="s">
        <v>117</v>
      </c>
      <c r="C197" s="114">
        <v>0.13459815605141004</v>
      </c>
    </row>
    <row r="198" spans="2:3" x14ac:dyDescent="0.3">
      <c r="B198" s="85" t="s">
        <v>158</v>
      </c>
      <c r="C198" s="114">
        <v>0.1472</v>
      </c>
    </row>
    <row r="199" spans="2:3" x14ac:dyDescent="0.3">
      <c r="B199" s="85" t="s">
        <v>147</v>
      </c>
      <c r="C199" s="114">
        <v>0.14942475020010773</v>
      </c>
    </row>
    <row r="200" spans="2:3" x14ac:dyDescent="0.3">
      <c r="B200" s="85" t="s">
        <v>146</v>
      </c>
      <c r="C200" s="114">
        <v>0.16447527447310728</v>
      </c>
    </row>
    <row r="201" spans="2:3" x14ac:dyDescent="0.3">
      <c r="B201" s="85" t="s">
        <v>115</v>
      </c>
      <c r="C201" s="114">
        <v>0.18895840458639843</v>
      </c>
    </row>
    <row r="202" spans="2:3" x14ac:dyDescent="0.3">
      <c r="B202" s="85" t="s">
        <v>133</v>
      </c>
      <c r="C202" s="114">
        <v>0.20235459810353268</v>
      </c>
    </row>
    <row r="203" spans="2:3" x14ac:dyDescent="0.3">
      <c r="B203" s="85" t="s">
        <v>108</v>
      </c>
      <c r="C203" s="114">
        <v>0.20550746916254461</v>
      </c>
    </row>
    <row r="204" spans="2:3" x14ac:dyDescent="0.3">
      <c r="B204" s="85" t="s">
        <v>125</v>
      </c>
      <c r="C204" s="114">
        <v>0.20590484770934289</v>
      </c>
    </row>
    <row r="205" spans="2:3" x14ac:dyDescent="0.3">
      <c r="B205" s="85" t="s">
        <v>130</v>
      </c>
      <c r="C205" s="114">
        <v>0.22713127329453175</v>
      </c>
    </row>
    <row r="206" spans="2:3" x14ac:dyDescent="0.3">
      <c r="B206" s="85" t="s">
        <v>110</v>
      </c>
      <c r="C206" s="114">
        <v>0.22873656329947004</v>
      </c>
    </row>
    <row r="207" spans="2:3" x14ac:dyDescent="0.3">
      <c r="B207" s="85" t="s">
        <v>126</v>
      </c>
      <c r="C207" s="114">
        <v>0.24817515479171892</v>
      </c>
    </row>
    <row r="208" spans="2:3" x14ac:dyDescent="0.3">
      <c r="B208" s="85" t="s">
        <v>121</v>
      </c>
      <c r="C208" s="114">
        <v>0.27295787250083181</v>
      </c>
    </row>
    <row r="209" spans="2:3" x14ac:dyDescent="0.3">
      <c r="B209" s="85" t="s">
        <v>103</v>
      </c>
      <c r="C209" s="114">
        <v>0.34266695290779464</v>
      </c>
    </row>
    <row r="210" spans="2:3" x14ac:dyDescent="0.3">
      <c r="B210" s="85" t="s">
        <v>107</v>
      </c>
      <c r="C210" s="114">
        <v>0.37305391097995722</v>
      </c>
    </row>
    <row r="211" spans="2:3" x14ac:dyDescent="0.3">
      <c r="B211" s="85" t="s">
        <v>148</v>
      </c>
      <c r="C211" s="114">
        <v>0.50542419136235961</v>
      </c>
    </row>
    <row r="212" spans="2:3" x14ac:dyDescent="0.3">
      <c r="B212" s="85" t="s">
        <v>151</v>
      </c>
      <c r="C212" s="114">
        <v>0.51135208009716715</v>
      </c>
    </row>
    <row r="213" spans="2:3" x14ac:dyDescent="0.3">
      <c r="B213" s="85" t="s">
        <v>99</v>
      </c>
      <c r="C213" s="114">
        <v>0.86645699129524811</v>
      </c>
    </row>
    <row r="214" spans="2:3" x14ac:dyDescent="0.3">
      <c r="C214" s="114"/>
    </row>
    <row r="215" spans="2:3" x14ac:dyDescent="0.3">
      <c r="B215" s="112" t="s">
        <v>173</v>
      </c>
    </row>
    <row r="216" spans="2:3" ht="21.75" x14ac:dyDescent="0.45">
      <c r="B216" s="88" t="s">
        <v>155</v>
      </c>
      <c r="C216" s="113"/>
    </row>
    <row r="217" spans="2:3" ht="21.75" x14ac:dyDescent="0.45">
      <c r="B217" s="91" t="s">
        <v>98</v>
      </c>
      <c r="C217" s="88" t="s">
        <v>152</v>
      </c>
    </row>
    <row r="218" spans="2:3" x14ac:dyDescent="0.3">
      <c r="B218" s="85" t="s">
        <v>106</v>
      </c>
      <c r="C218" s="114">
        <v>0</v>
      </c>
    </row>
    <row r="219" spans="2:3" x14ac:dyDescent="0.3">
      <c r="B219" s="85" t="s">
        <v>118</v>
      </c>
      <c r="C219" s="114">
        <v>0</v>
      </c>
    </row>
    <row r="220" spans="2:3" x14ac:dyDescent="0.3">
      <c r="B220" s="85" t="s">
        <v>114</v>
      </c>
      <c r="C220" s="114">
        <v>0</v>
      </c>
    </row>
    <row r="221" spans="2:3" x14ac:dyDescent="0.3">
      <c r="B221" s="85" t="s">
        <v>119</v>
      </c>
      <c r="C221" s="114">
        <v>0</v>
      </c>
    </row>
    <row r="222" spans="2:3" x14ac:dyDescent="0.3">
      <c r="B222" s="85" t="s">
        <v>111</v>
      </c>
      <c r="C222" s="114">
        <v>0</v>
      </c>
    </row>
    <row r="223" spans="2:3" x14ac:dyDescent="0.3">
      <c r="B223" s="85" t="s">
        <v>104</v>
      </c>
      <c r="C223" s="114">
        <v>0</v>
      </c>
    </row>
    <row r="224" spans="2:3" x14ac:dyDescent="0.3">
      <c r="B224" s="85" t="s">
        <v>113</v>
      </c>
      <c r="C224" s="114">
        <v>0</v>
      </c>
    </row>
    <row r="225" spans="2:3" x14ac:dyDescent="0.3">
      <c r="B225" s="85" t="s">
        <v>109</v>
      </c>
      <c r="C225" s="114">
        <v>0</v>
      </c>
    </row>
    <row r="226" spans="2:3" x14ac:dyDescent="0.3">
      <c r="B226" s="85" t="s">
        <v>141</v>
      </c>
      <c r="C226" s="114">
        <v>0</v>
      </c>
    </row>
    <row r="227" spans="2:3" x14ac:dyDescent="0.3">
      <c r="B227" s="85" t="s">
        <v>124</v>
      </c>
      <c r="C227" s="114">
        <v>0</v>
      </c>
    </row>
    <row r="228" spans="2:3" x14ac:dyDescent="0.3">
      <c r="B228" s="85" t="s">
        <v>145</v>
      </c>
      <c r="C228" s="114">
        <v>0</v>
      </c>
    </row>
    <row r="229" spans="2:3" x14ac:dyDescent="0.3">
      <c r="B229" s="85" t="s">
        <v>123</v>
      </c>
      <c r="C229" s="114">
        <v>0</v>
      </c>
    </row>
    <row r="230" spans="2:3" x14ac:dyDescent="0.3">
      <c r="B230" s="85" t="s">
        <v>112</v>
      </c>
      <c r="C230" s="114">
        <v>0</v>
      </c>
    </row>
    <row r="231" spans="2:3" x14ac:dyDescent="0.3">
      <c r="B231" s="85" t="s">
        <v>120</v>
      </c>
      <c r="C231" s="114">
        <v>0</v>
      </c>
    </row>
    <row r="232" spans="2:3" x14ac:dyDescent="0.3">
      <c r="B232" s="85" t="s">
        <v>143</v>
      </c>
      <c r="C232" s="114">
        <v>0</v>
      </c>
    </row>
    <row r="233" spans="2:3" x14ac:dyDescent="0.3">
      <c r="B233" s="85" t="s">
        <v>138</v>
      </c>
      <c r="C233" s="114">
        <v>0</v>
      </c>
    </row>
    <row r="234" spans="2:3" x14ac:dyDescent="0.3">
      <c r="B234" s="85" t="s">
        <v>122</v>
      </c>
      <c r="C234" s="114">
        <v>0</v>
      </c>
    </row>
    <row r="235" spans="2:3" x14ac:dyDescent="0.3">
      <c r="B235" s="85" t="s">
        <v>142</v>
      </c>
      <c r="C235" s="114">
        <v>0</v>
      </c>
    </row>
    <row r="236" spans="2:3" x14ac:dyDescent="0.3">
      <c r="B236" s="85" t="s">
        <v>150</v>
      </c>
      <c r="C236" s="114">
        <v>0</v>
      </c>
    </row>
    <row r="237" spans="2:3" x14ac:dyDescent="0.3">
      <c r="B237" s="85" t="s">
        <v>116</v>
      </c>
      <c r="C237" s="114">
        <v>0</v>
      </c>
    </row>
    <row r="238" spans="2:3" x14ac:dyDescent="0.3">
      <c r="B238" s="85" t="s">
        <v>129</v>
      </c>
      <c r="C238" s="114">
        <v>0</v>
      </c>
    </row>
    <row r="239" spans="2:3" x14ac:dyDescent="0.3">
      <c r="B239" s="85" t="s">
        <v>117</v>
      </c>
      <c r="C239" s="114">
        <v>0</v>
      </c>
    </row>
    <row r="240" spans="2:3" x14ac:dyDescent="0.3">
      <c r="B240" s="85" t="s">
        <v>146</v>
      </c>
      <c r="C240" s="114">
        <v>0</v>
      </c>
    </row>
    <row r="241" spans="2:3" x14ac:dyDescent="0.3">
      <c r="B241" s="85" t="s">
        <v>115</v>
      </c>
      <c r="C241" s="114">
        <v>0</v>
      </c>
    </row>
    <row r="242" spans="2:3" x14ac:dyDescent="0.3">
      <c r="B242" s="85" t="s">
        <v>110</v>
      </c>
      <c r="C242" s="114">
        <v>0</v>
      </c>
    </row>
    <row r="243" spans="2:3" x14ac:dyDescent="0.3">
      <c r="B243" s="85" t="s">
        <v>126</v>
      </c>
      <c r="C243" s="114">
        <v>0</v>
      </c>
    </row>
    <row r="244" spans="2:3" x14ac:dyDescent="0.3">
      <c r="B244" s="85" t="s">
        <v>121</v>
      </c>
      <c r="C244" s="114">
        <v>0</v>
      </c>
    </row>
    <row r="245" spans="2:3" x14ac:dyDescent="0.3">
      <c r="B245" s="85" t="s">
        <v>103</v>
      </c>
      <c r="C245" s="114">
        <v>0</v>
      </c>
    </row>
    <row r="246" spans="2:3" x14ac:dyDescent="0.3">
      <c r="B246" s="85" t="s">
        <v>107</v>
      </c>
      <c r="C246" s="114">
        <v>0</v>
      </c>
    </row>
    <row r="247" spans="2:3" x14ac:dyDescent="0.3">
      <c r="B247" s="85" t="s">
        <v>148</v>
      </c>
      <c r="C247" s="114">
        <v>0</v>
      </c>
    </row>
    <row r="248" spans="2:3" x14ac:dyDescent="0.3">
      <c r="B248" s="85" t="s">
        <v>151</v>
      </c>
      <c r="C248" s="114">
        <v>0</v>
      </c>
    </row>
    <row r="249" spans="2:3" x14ac:dyDescent="0.3">
      <c r="B249" s="85" t="s">
        <v>99</v>
      </c>
      <c r="C249" s="114">
        <v>0</v>
      </c>
    </row>
    <row r="250" spans="2:3" x14ac:dyDescent="0.3">
      <c r="B250" s="85" t="s">
        <v>158</v>
      </c>
      <c r="C250" s="114">
        <v>7.4000000000000003E-3</v>
      </c>
    </row>
    <row r="251" spans="2:3" x14ac:dyDescent="0.3">
      <c r="B251" s="85" t="s">
        <v>144</v>
      </c>
      <c r="C251" s="114">
        <v>1.5880642488552577E-2</v>
      </c>
    </row>
    <row r="252" spans="2:3" x14ac:dyDescent="0.3">
      <c r="B252" s="85" t="s">
        <v>125</v>
      </c>
      <c r="C252" s="114">
        <v>2.287831641214921E-2</v>
      </c>
    </row>
    <row r="253" spans="2:3" x14ac:dyDescent="0.3">
      <c r="B253" s="85" t="s">
        <v>105</v>
      </c>
      <c r="C253" s="114">
        <v>2.3727768652737059E-2</v>
      </c>
    </row>
    <row r="254" spans="2:3" x14ac:dyDescent="0.3">
      <c r="B254" s="85" t="s">
        <v>101</v>
      </c>
      <c r="C254" s="114">
        <v>2.4068483210566215E-2</v>
      </c>
    </row>
    <row r="255" spans="2:3" x14ac:dyDescent="0.3">
      <c r="B255" s="85" t="s">
        <v>137</v>
      </c>
      <c r="C255" s="114">
        <v>2.4223203204085449E-2</v>
      </c>
    </row>
    <row r="256" spans="2:3" x14ac:dyDescent="0.3">
      <c r="B256" s="85" t="s">
        <v>130</v>
      </c>
      <c r="C256" s="114">
        <v>2.4777957086676194E-2</v>
      </c>
    </row>
    <row r="257" spans="2:3" x14ac:dyDescent="0.3">
      <c r="B257" s="85" t="s">
        <v>135</v>
      </c>
      <c r="C257" s="114">
        <v>2.5413011300438118E-2</v>
      </c>
    </row>
    <row r="258" spans="2:3" x14ac:dyDescent="0.3">
      <c r="B258" s="85" t="s">
        <v>140</v>
      </c>
      <c r="C258" s="114">
        <v>3.0590606102079507E-2</v>
      </c>
    </row>
    <row r="259" spans="2:3" x14ac:dyDescent="0.3">
      <c r="B259" s="85" t="s">
        <v>100</v>
      </c>
      <c r="C259" s="114">
        <v>3.2187165535116136E-2</v>
      </c>
    </row>
    <row r="260" spans="2:3" x14ac:dyDescent="0.3">
      <c r="B260" s="85" t="s">
        <v>134</v>
      </c>
      <c r="C260" s="114">
        <v>3.4997272225109594E-2</v>
      </c>
    </row>
    <row r="261" spans="2:3" x14ac:dyDescent="0.3">
      <c r="B261" s="85" t="s">
        <v>132</v>
      </c>
      <c r="C261" s="114">
        <v>3.5971607753886282E-2</v>
      </c>
    </row>
    <row r="262" spans="2:3" x14ac:dyDescent="0.3">
      <c r="B262" s="85" t="s">
        <v>136</v>
      </c>
      <c r="C262" s="114">
        <v>3.9695877812531338E-2</v>
      </c>
    </row>
    <row r="263" spans="2:3" x14ac:dyDescent="0.3">
      <c r="B263" s="85" t="s">
        <v>127</v>
      </c>
      <c r="C263" s="114">
        <v>4.1010866177586112E-2</v>
      </c>
    </row>
    <row r="264" spans="2:3" x14ac:dyDescent="0.3">
      <c r="B264" s="85" t="s">
        <v>102</v>
      </c>
      <c r="C264" s="114">
        <v>4.3044761752731898E-2</v>
      </c>
    </row>
    <row r="265" spans="2:3" x14ac:dyDescent="0.3">
      <c r="B265" s="85" t="s">
        <v>133</v>
      </c>
      <c r="C265" s="114">
        <v>4.6697214946969087E-2</v>
      </c>
    </row>
    <row r="266" spans="2:3" x14ac:dyDescent="0.3">
      <c r="B266" s="85" t="s">
        <v>131</v>
      </c>
      <c r="C266" s="114">
        <v>4.8945785332418341E-2</v>
      </c>
    </row>
    <row r="267" spans="2:3" x14ac:dyDescent="0.3">
      <c r="B267" s="85" t="s">
        <v>128</v>
      </c>
      <c r="C267" s="114">
        <v>5.184723802374816E-2</v>
      </c>
    </row>
    <row r="268" spans="2:3" x14ac:dyDescent="0.3">
      <c r="B268" s="85" t="s">
        <v>139</v>
      </c>
      <c r="C268" s="114">
        <v>6.6677978808031377E-2</v>
      </c>
    </row>
    <row r="269" spans="2:3" x14ac:dyDescent="0.3">
      <c r="B269" s="85" t="s">
        <v>147</v>
      </c>
      <c r="C269" s="114">
        <v>7.4712375100053866E-2</v>
      </c>
    </row>
    <row r="270" spans="2:3" x14ac:dyDescent="0.3">
      <c r="B270" s="85" t="s">
        <v>108</v>
      </c>
      <c r="C270" s="114">
        <v>7.706530093595422E-2</v>
      </c>
    </row>
    <row r="271" spans="2:3" x14ac:dyDescent="0.3">
      <c r="B271" s="85" t="s">
        <v>149</v>
      </c>
      <c r="C271" s="114">
        <v>0.22787372480083337</v>
      </c>
    </row>
    <row r="273" spans="2:3" x14ac:dyDescent="0.3">
      <c r="B273" s="112" t="s">
        <v>213</v>
      </c>
    </row>
    <row r="274" spans="2:3" ht="15.75" x14ac:dyDescent="0.3">
      <c r="B274" s="46" t="s">
        <v>211</v>
      </c>
      <c r="C274" s="46"/>
    </row>
    <row r="275" spans="2:3" ht="15.75" x14ac:dyDescent="0.3">
      <c r="B275" s="46" t="s">
        <v>98</v>
      </c>
      <c r="C275" s="46" t="s">
        <v>212</v>
      </c>
    </row>
    <row r="276" spans="2:3" ht="15.75" x14ac:dyDescent="0.3">
      <c r="B276" s="46" t="s">
        <v>106</v>
      </c>
      <c r="C276" s="46">
        <v>0</v>
      </c>
    </row>
    <row r="277" spans="2:3" ht="15.75" x14ac:dyDescent="0.3">
      <c r="B277" s="46" t="s">
        <v>118</v>
      </c>
      <c r="C277" s="46">
        <v>0</v>
      </c>
    </row>
    <row r="278" spans="2:3" ht="15.75" x14ac:dyDescent="0.3">
      <c r="B278" s="46" t="s">
        <v>104</v>
      </c>
      <c r="C278" s="46">
        <v>0</v>
      </c>
    </row>
    <row r="279" spans="2:3" ht="15.75" x14ac:dyDescent="0.3">
      <c r="B279" s="46" t="s">
        <v>113</v>
      </c>
      <c r="C279" s="46">
        <v>0</v>
      </c>
    </row>
    <row r="280" spans="2:3" ht="15.75" x14ac:dyDescent="0.3">
      <c r="B280" s="46" t="s">
        <v>112</v>
      </c>
      <c r="C280" s="46">
        <v>0</v>
      </c>
    </row>
    <row r="281" spans="2:3" ht="15.75" x14ac:dyDescent="0.3">
      <c r="B281" s="46" t="s">
        <v>115</v>
      </c>
      <c r="C281" s="46">
        <v>0</v>
      </c>
    </row>
    <row r="282" spans="2:3" ht="15.75" x14ac:dyDescent="0.3">
      <c r="B282" s="46" t="s">
        <v>103</v>
      </c>
      <c r="C282" s="46">
        <v>0</v>
      </c>
    </row>
    <row r="283" spans="2:3" ht="15.75" x14ac:dyDescent="0.3">
      <c r="B283" s="46" t="s">
        <v>107</v>
      </c>
      <c r="C283" s="46">
        <v>0</v>
      </c>
    </row>
    <row r="284" spans="2:3" ht="15.75" x14ac:dyDescent="0.3">
      <c r="B284" s="46" t="s">
        <v>151</v>
      </c>
      <c r="C284" s="46">
        <v>0</v>
      </c>
    </row>
    <row r="285" spans="2:3" ht="15.75" x14ac:dyDescent="0.3">
      <c r="B285" s="46" t="s">
        <v>129</v>
      </c>
      <c r="C285" s="46">
        <v>0</v>
      </c>
    </row>
    <row r="286" spans="2:3" ht="15.75" x14ac:dyDescent="0.3">
      <c r="B286" s="46" t="s">
        <v>141</v>
      </c>
      <c r="C286" s="46">
        <v>0</v>
      </c>
    </row>
    <row r="287" spans="2:3" ht="15.75" x14ac:dyDescent="0.3">
      <c r="B287" s="46" t="s">
        <v>119</v>
      </c>
      <c r="C287" s="46">
        <v>0</v>
      </c>
    </row>
    <row r="288" spans="2:3" ht="15.75" x14ac:dyDescent="0.3">
      <c r="B288" s="46" t="s">
        <v>99</v>
      </c>
      <c r="C288" s="46">
        <v>0</v>
      </c>
    </row>
    <row r="289" spans="2:3" ht="15.75" x14ac:dyDescent="0.3">
      <c r="B289" s="46" t="s">
        <v>116</v>
      </c>
      <c r="C289" s="46">
        <v>0</v>
      </c>
    </row>
    <row r="290" spans="2:3" ht="15.75" x14ac:dyDescent="0.3">
      <c r="B290" s="46" t="s">
        <v>122</v>
      </c>
      <c r="C290" s="46">
        <v>0</v>
      </c>
    </row>
    <row r="291" spans="2:3" ht="15.75" x14ac:dyDescent="0.3">
      <c r="B291" s="46" t="s">
        <v>150</v>
      </c>
      <c r="C291" s="46">
        <v>0</v>
      </c>
    </row>
    <row r="292" spans="2:3" ht="15.75" x14ac:dyDescent="0.3">
      <c r="B292" s="46" t="s">
        <v>142</v>
      </c>
      <c r="C292" s="46">
        <v>0</v>
      </c>
    </row>
    <row r="293" spans="2:3" ht="15.75" x14ac:dyDescent="0.3">
      <c r="B293" s="46" t="s">
        <v>121</v>
      </c>
      <c r="C293" s="46">
        <v>0</v>
      </c>
    </row>
    <row r="294" spans="2:3" ht="15.75" x14ac:dyDescent="0.3">
      <c r="B294" s="46" t="s">
        <v>110</v>
      </c>
      <c r="C294" s="46">
        <v>0</v>
      </c>
    </row>
    <row r="295" spans="2:3" ht="15.75" x14ac:dyDescent="0.3">
      <c r="B295" s="46" t="s">
        <v>158</v>
      </c>
      <c r="C295" s="46">
        <v>7.3610599926389403E-3</v>
      </c>
    </row>
    <row r="296" spans="2:3" ht="15.75" x14ac:dyDescent="0.3">
      <c r="B296" s="46" t="s">
        <v>124</v>
      </c>
      <c r="C296" s="46">
        <v>1.6365471751293274E-2</v>
      </c>
    </row>
    <row r="297" spans="2:3" ht="15.75" x14ac:dyDescent="0.3">
      <c r="B297" s="46" t="s">
        <v>134</v>
      </c>
      <c r="C297" s="46">
        <v>1.7498636112554797E-2</v>
      </c>
    </row>
    <row r="298" spans="2:3" ht="15.75" x14ac:dyDescent="0.3">
      <c r="B298" s="46" t="s">
        <v>130</v>
      </c>
      <c r="C298" s="46">
        <v>2.0648297572230162E-2</v>
      </c>
    </row>
    <row r="299" spans="2:3" ht="15.75" x14ac:dyDescent="0.3">
      <c r="B299" s="46" t="s">
        <v>125</v>
      </c>
      <c r="C299" s="46">
        <v>2.287831641214921E-2</v>
      </c>
    </row>
    <row r="300" spans="2:3" ht="15.75" x14ac:dyDescent="0.3">
      <c r="B300" s="46" t="s">
        <v>105</v>
      </c>
      <c r="C300" s="46">
        <v>2.3727768652737059E-2</v>
      </c>
    </row>
    <row r="301" spans="2:3" ht="15.75" x14ac:dyDescent="0.3">
      <c r="B301" s="46" t="s">
        <v>101</v>
      </c>
      <c r="C301" s="46">
        <v>2.4068483210566215E-2</v>
      </c>
    </row>
    <row r="302" spans="2:3" ht="15.75" x14ac:dyDescent="0.3">
      <c r="B302" s="46" t="s">
        <v>138</v>
      </c>
      <c r="C302" s="46">
        <v>2.4242610837065231E-2</v>
      </c>
    </row>
    <row r="303" spans="2:3" ht="15.75" x14ac:dyDescent="0.3">
      <c r="B303" s="46" t="s">
        <v>143</v>
      </c>
      <c r="C303" s="46">
        <v>2.9006095268344453E-2</v>
      </c>
    </row>
    <row r="304" spans="2:3" ht="15.75" x14ac:dyDescent="0.3">
      <c r="B304" s="46" t="s">
        <v>140</v>
      </c>
      <c r="C304" s="46">
        <v>3.0590606102079507E-2</v>
      </c>
    </row>
    <row r="305" spans="2:3" ht="15.75" x14ac:dyDescent="0.3">
      <c r="B305" s="46" t="s">
        <v>114</v>
      </c>
      <c r="C305" s="46">
        <v>3.3261415500737641E-2</v>
      </c>
    </row>
    <row r="306" spans="2:3" ht="15.75" x14ac:dyDescent="0.3">
      <c r="B306" s="46" t="s">
        <v>127</v>
      </c>
      <c r="C306" s="46">
        <v>4.1010866177586112E-2</v>
      </c>
    </row>
    <row r="307" spans="2:3" ht="15.75" x14ac:dyDescent="0.3">
      <c r="B307" s="46" t="s">
        <v>144</v>
      </c>
      <c r="C307" s="46">
        <v>4.7641927465657728E-2</v>
      </c>
    </row>
    <row r="308" spans="2:3" ht="15.75" x14ac:dyDescent="0.3">
      <c r="B308" s="46" t="s">
        <v>131</v>
      </c>
      <c r="C308" s="46">
        <v>4.8945785332418341E-2</v>
      </c>
    </row>
    <row r="309" spans="2:3" ht="15.75" x14ac:dyDescent="0.3">
      <c r="B309" s="46" t="s">
        <v>123</v>
      </c>
      <c r="C309" s="46">
        <v>5.0501715606406296E-2</v>
      </c>
    </row>
    <row r="310" spans="2:3" ht="15.75" x14ac:dyDescent="0.3">
      <c r="B310" s="46" t="s">
        <v>135</v>
      </c>
      <c r="C310" s="46">
        <v>5.182261127932479E-2</v>
      </c>
    </row>
    <row r="311" spans="2:3" ht="15.75" x14ac:dyDescent="0.3">
      <c r="B311" s="46" t="s">
        <v>128</v>
      </c>
      <c r="C311" s="46">
        <v>5.184723802374816E-2</v>
      </c>
    </row>
    <row r="312" spans="2:3" ht="15.75" x14ac:dyDescent="0.3">
      <c r="B312" s="46" t="s">
        <v>117</v>
      </c>
      <c r="C312" s="46">
        <v>5.7684924022032867E-2</v>
      </c>
    </row>
    <row r="313" spans="2:3" ht="15.75" x14ac:dyDescent="0.3">
      <c r="B313" s="46" t="s">
        <v>132</v>
      </c>
      <c r="C313" s="46">
        <v>5.9952679589810473E-2</v>
      </c>
    </row>
    <row r="314" spans="2:3" ht="15.75" x14ac:dyDescent="0.3">
      <c r="B314" s="46" t="s">
        <v>146</v>
      </c>
      <c r="C314" s="46">
        <v>7.0489403345617402E-2</v>
      </c>
    </row>
    <row r="315" spans="2:3" ht="15.75" x14ac:dyDescent="0.3">
      <c r="B315" s="46" t="s">
        <v>133</v>
      </c>
      <c r="C315" s="46">
        <v>7.7828691578281817E-2</v>
      </c>
    </row>
    <row r="316" spans="2:3" ht="15.75" x14ac:dyDescent="0.3">
      <c r="B316" s="46" t="s">
        <v>139</v>
      </c>
      <c r="C316" s="46">
        <v>8.001357456963766E-2</v>
      </c>
    </row>
    <row r="317" spans="2:3" ht="15.75" x14ac:dyDescent="0.3">
      <c r="B317" s="46" t="s">
        <v>120</v>
      </c>
      <c r="C317" s="46">
        <v>8.3025716136238895E-2</v>
      </c>
    </row>
    <row r="318" spans="2:3" ht="15.75" x14ac:dyDescent="0.3">
      <c r="B318" s="46" t="s">
        <v>148</v>
      </c>
      <c r="C318" s="46">
        <v>8.4237365227059921E-2</v>
      </c>
    </row>
    <row r="319" spans="2:3" ht="15.75" x14ac:dyDescent="0.3">
      <c r="B319" s="46" t="s">
        <v>137</v>
      </c>
      <c r="C319" s="46">
        <v>8.478121121429906E-2</v>
      </c>
    </row>
    <row r="320" spans="2:3" ht="15.75" x14ac:dyDescent="0.3">
      <c r="B320" s="46" t="s">
        <v>100</v>
      </c>
      <c r="C320" s="46">
        <v>9.6561496605348407E-2</v>
      </c>
    </row>
    <row r="321" spans="2:3" ht="15.75" x14ac:dyDescent="0.3">
      <c r="B321" s="46" t="s">
        <v>145</v>
      </c>
      <c r="C321" s="46">
        <v>0.1018090863795121</v>
      </c>
    </row>
    <row r="322" spans="2:3" ht="15.75" x14ac:dyDescent="0.3">
      <c r="B322" s="46" t="s">
        <v>108</v>
      </c>
      <c r="C322" s="46">
        <v>0.10275373458127231</v>
      </c>
    </row>
    <row r="323" spans="2:3" ht="15.75" x14ac:dyDescent="0.3">
      <c r="B323" s="46" t="s">
        <v>111</v>
      </c>
      <c r="C323" s="46">
        <v>0.11686263556796118</v>
      </c>
    </row>
    <row r="324" spans="2:3" ht="15.75" x14ac:dyDescent="0.3">
      <c r="B324" s="46" t="s">
        <v>102</v>
      </c>
      <c r="C324" s="46">
        <v>0.1291342852581957</v>
      </c>
    </row>
    <row r="325" spans="2:3" ht="15.75" x14ac:dyDescent="0.3">
      <c r="B325" s="46" t="s">
        <v>126</v>
      </c>
      <c r="C325" s="46">
        <v>0.14181437416669651</v>
      </c>
    </row>
    <row r="326" spans="2:3" ht="15.75" x14ac:dyDescent="0.3">
      <c r="B326" s="46" t="s">
        <v>136</v>
      </c>
      <c r="C326" s="46">
        <v>0.1508443356876191</v>
      </c>
    </row>
    <row r="327" spans="2:3" ht="15.75" x14ac:dyDescent="0.3">
      <c r="B327" s="46" t="s">
        <v>109</v>
      </c>
      <c r="C327" s="46">
        <v>0.15549203705841719</v>
      </c>
    </row>
    <row r="328" spans="2:3" ht="15.75" x14ac:dyDescent="0.3">
      <c r="B328" s="46" t="s">
        <v>149</v>
      </c>
      <c r="C328" s="46">
        <v>0.17090529360062504</v>
      </c>
    </row>
    <row r="329" spans="2:3" ht="15.75" x14ac:dyDescent="0.3">
      <c r="B329" s="46" t="s">
        <v>147</v>
      </c>
      <c r="C329" s="46">
        <v>0.22413712530016164</v>
      </c>
    </row>
  </sheetData>
  <sheetProtection algorithmName="SHA-512" hashValue="Ndohf82g9U2Fsi7AgE0mNjZJ2G2DbLzNbUu/WC3cequutfrGO9iDIGEkzn5KbwRfeAaouc1LER1gJ11+2QVB5w==" saltValue="qTWBCz+ec20VQ1QFehyiH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48"/>
  <sheetViews>
    <sheetView workbookViewId="0"/>
  </sheetViews>
  <sheetFormatPr defaultRowHeight="15" x14ac:dyDescent="0.25"/>
  <cols>
    <col min="1" max="1" width="9.140625" style="3"/>
    <col min="2" max="2" width="77.7109375" style="3" bestFit="1" customWidth="1"/>
    <col min="3" max="3" width="14.42578125" style="3" bestFit="1" customWidth="1"/>
    <col min="4" max="4" width="23.42578125" style="3" bestFit="1" customWidth="1"/>
    <col min="5" max="5" width="27" style="3" bestFit="1" customWidth="1"/>
    <col min="6" max="6" width="28.42578125" style="3" bestFit="1" customWidth="1"/>
    <col min="7" max="7" width="25.85546875" style="3" bestFit="1" customWidth="1"/>
    <col min="8" max="8" width="22.28515625" style="3" bestFit="1" customWidth="1"/>
    <col min="9" max="9" width="18.5703125" style="3" bestFit="1" customWidth="1"/>
    <col min="10" max="10" width="9.140625" style="3"/>
    <col min="11" max="11" width="4.7109375" style="3" customWidth="1"/>
    <col min="12" max="12" width="11.5703125" style="3" bestFit="1" customWidth="1"/>
    <col min="13" max="14" width="9.140625" style="3"/>
    <col min="15" max="15" width="4.140625" style="3" customWidth="1"/>
    <col min="16" max="16" width="11.5703125" style="3" bestFit="1" customWidth="1"/>
    <col min="17" max="17" width="9.140625" style="3"/>
    <col min="18" max="35" width="2.7109375" style="8" customWidth="1"/>
    <col min="36" max="16384" width="9.140625" style="3"/>
  </cols>
  <sheetData>
    <row r="1" spans="1:35" x14ac:dyDescent="0.25">
      <c r="B1" s="26" t="s">
        <v>24</v>
      </c>
      <c r="C1" s="26" t="s">
        <v>25</v>
      </c>
      <c r="D1" s="26" t="s">
        <v>26</v>
      </c>
      <c r="E1" s="26" t="s">
        <v>27</v>
      </c>
      <c r="F1" s="26" t="s">
        <v>28</v>
      </c>
      <c r="G1" s="26" t="s">
        <v>29</v>
      </c>
      <c r="H1" s="26" t="s">
        <v>30</v>
      </c>
      <c r="I1" s="27" t="s">
        <v>31</v>
      </c>
      <c r="K1" s="127" t="s">
        <v>23</v>
      </c>
      <c r="L1" s="127"/>
      <c r="O1" s="127" t="s">
        <v>32</v>
      </c>
      <c r="P1" s="127"/>
    </row>
    <row r="2" spans="1:35" x14ac:dyDescent="0.25">
      <c r="A2" s="3">
        <v>1</v>
      </c>
      <c r="B2" s="4" t="s">
        <v>38</v>
      </c>
      <c r="C2" s="5">
        <v>0.182574185835055</v>
      </c>
      <c r="D2" s="4">
        <v>4</v>
      </c>
      <c r="E2" s="4">
        <v>6</v>
      </c>
      <c r="F2" s="4">
        <v>5</v>
      </c>
      <c r="G2" s="4">
        <v>5</v>
      </c>
      <c r="H2" s="6">
        <v>44548.101343753427</v>
      </c>
      <c r="I2" s="7">
        <f t="shared" ref="I2:I29" si="0">($K$11*$C2*10^$D2)+($K$12*$C2*10^$E2)+($K$13*$C2*10^$F2)+($K$14*$C2*10^$G2)</f>
        <v>44548.101343753427</v>
      </c>
      <c r="K2" s="28">
        <v>7</v>
      </c>
      <c r="L2" s="29">
        <v>31.6227766016838</v>
      </c>
      <c r="M2" s="3">
        <v>7</v>
      </c>
      <c r="O2" s="28">
        <v>7</v>
      </c>
      <c r="P2" s="30">
        <f>10^O2</f>
        <v>10000000</v>
      </c>
    </row>
    <row r="3" spans="1:35" x14ac:dyDescent="0.25">
      <c r="A3" s="3" t="s">
        <v>75</v>
      </c>
      <c r="B3" s="4" t="s">
        <v>73</v>
      </c>
      <c r="C3" s="5">
        <v>5.7735026918962602E-2</v>
      </c>
      <c r="D3" s="4">
        <v>4</v>
      </c>
      <c r="E3" s="4">
        <v>5</v>
      </c>
      <c r="F3" s="4">
        <v>4</v>
      </c>
      <c r="G3" s="4">
        <v>5</v>
      </c>
      <c r="H3" s="6">
        <v>2655.8112382722798</v>
      </c>
      <c r="I3" s="7">
        <f t="shared" si="0"/>
        <v>2655.8112382722798</v>
      </c>
      <c r="K3" s="28">
        <v>6</v>
      </c>
      <c r="L3" s="29">
        <v>3.16227766016838</v>
      </c>
      <c r="M3" s="3">
        <v>6</v>
      </c>
      <c r="O3" s="28">
        <v>6</v>
      </c>
      <c r="P3" s="30">
        <f t="shared" ref="P3:P8" si="1">10^O3</f>
        <v>1000000</v>
      </c>
    </row>
    <row r="4" spans="1:35" ht="18" x14ac:dyDescent="0.25">
      <c r="A4" s="3">
        <v>3</v>
      </c>
      <c r="B4" s="4" t="s">
        <v>39</v>
      </c>
      <c r="C4" s="5">
        <v>0.57735026918962595</v>
      </c>
      <c r="D4" s="4">
        <v>6</v>
      </c>
      <c r="E4" s="4">
        <v>4</v>
      </c>
      <c r="F4" s="4">
        <v>3</v>
      </c>
      <c r="G4" s="4">
        <v>4</v>
      </c>
      <c r="H4" s="6">
        <v>233364.97880644683</v>
      </c>
      <c r="I4" s="7">
        <f t="shared" si="0"/>
        <v>233364.97880644683</v>
      </c>
      <c r="K4" s="28">
        <v>5</v>
      </c>
      <c r="L4" s="29">
        <v>0.57735026918962595</v>
      </c>
      <c r="M4" s="3">
        <v>5</v>
      </c>
      <c r="O4" s="28">
        <v>5</v>
      </c>
      <c r="P4" s="30">
        <f t="shared" si="1"/>
        <v>100000</v>
      </c>
      <c r="T4" s="9" t="s">
        <v>36</v>
      </c>
      <c r="U4" s="31"/>
    </row>
    <row r="5" spans="1:35" x14ac:dyDescent="0.25">
      <c r="A5" s="3">
        <v>4</v>
      </c>
      <c r="B5" s="4" t="s">
        <v>41</v>
      </c>
      <c r="C5" s="5">
        <v>5.7735026918962602E-2</v>
      </c>
      <c r="D5" s="4">
        <v>5</v>
      </c>
      <c r="E5" s="4">
        <v>5</v>
      </c>
      <c r="F5" s="4">
        <v>5</v>
      </c>
      <c r="G5" s="4">
        <v>4</v>
      </c>
      <c r="H5" s="6">
        <v>4734.2722073549339</v>
      </c>
      <c r="I5" s="7">
        <f t="shared" si="0"/>
        <v>4734.2722073549339</v>
      </c>
      <c r="K5" s="28">
        <v>4</v>
      </c>
      <c r="L5" s="29">
        <v>0.182574185835055</v>
      </c>
      <c r="M5" s="3">
        <v>4</v>
      </c>
      <c r="O5" s="28">
        <v>4</v>
      </c>
      <c r="P5" s="30">
        <f t="shared" si="1"/>
        <v>10000</v>
      </c>
      <c r="T5" s="128" t="s">
        <v>17</v>
      </c>
      <c r="U5" s="128"/>
      <c r="V5" s="128"/>
      <c r="W5" s="128"/>
      <c r="X5" s="128"/>
      <c r="Y5" s="128"/>
      <c r="Z5" s="128"/>
      <c r="AC5" s="128" t="s">
        <v>19</v>
      </c>
      <c r="AD5" s="128"/>
      <c r="AE5" s="128"/>
      <c r="AF5" s="128"/>
      <c r="AG5" s="128"/>
      <c r="AH5" s="128"/>
      <c r="AI5" s="128"/>
    </row>
    <row r="6" spans="1:35" x14ac:dyDescent="0.25">
      <c r="A6" s="3">
        <v>5</v>
      </c>
      <c r="B6" s="4" t="s">
        <v>42</v>
      </c>
      <c r="C6" s="5">
        <v>0.57735026918962595</v>
      </c>
      <c r="D6" s="4">
        <v>4</v>
      </c>
      <c r="E6" s="4">
        <v>4</v>
      </c>
      <c r="F6" s="4">
        <v>4</v>
      </c>
      <c r="G6" s="4">
        <v>4</v>
      </c>
      <c r="H6" s="6">
        <v>5773.5026918962594</v>
      </c>
      <c r="I6" s="7">
        <f t="shared" si="0"/>
        <v>5773.5026918962594</v>
      </c>
      <c r="K6" s="28">
        <v>3</v>
      </c>
      <c r="L6" s="29">
        <v>5.7735026918962602E-2</v>
      </c>
      <c r="M6" s="3">
        <v>3</v>
      </c>
      <c r="O6" s="28">
        <v>3</v>
      </c>
      <c r="P6" s="30">
        <f t="shared" si="1"/>
        <v>1000</v>
      </c>
      <c r="R6" s="129" t="s">
        <v>1</v>
      </c>
      <c r="S6" s="32">
        <v>7</v>
      </c>
      <c r="T6" s="33" t="s">
        <v>83</v>
      </c>
      <c r="U6" s="33" t="s">
        <v>83</v>
      </c>
      <c r="V6" s="33" t="s">
        <v>83</v>
      </c>
      <c r="W6" s="33" t="s">
        <v>83</v>
      </c>
      <c r="X6" s="33" t="s">
        <v>83</v>
      </c>
      <c r="Y6" s="33" t="s">
        <v>83</v>
      </c>
      <c r="Z6" s="33" t="s">
        <v>83</v>
      </c>
      <c r="AB6" s="32">
        <v>7</v>
      </c>
      <c r="AC6" s="33" t="s">
        <v>83</v>
      </c>
      <c r="AD6" s="33" t="s">
        <v>83</v>
      </c>
      <c r="AE6" s="33" t="s">
        <v>83</v>
      </c>
      <c r="AF6" s="33" t="s">
        <v>83</v>
      </c>
      <c r="AG6" s="33" t="s">
        <v>83</v>
      </c>
      <c r="AH6" s="33" t="s">
        <v>83</v>
      </c>
      <c r="AI6" s="33" t="s">
        <v>83</v>
      </c>
    </row>
    <row r="7" spans="1:35" x14ac:dyDescent="0.25">
      <c r="A7" s="3">
        <v>6</v>
      </c>
      <c r="B7" s="4" t="s">
        <v>44</v>
      </c>
      <c r="C7" s="5">
        <v>5.7735026918962602E-2</v>
      </c>
      <c r="D7" s="4">
        <v>6</v>
      </c>
      <c r="E7" s="4">
        <v>1</v>
      </c>
      <c r="F7" s="4">
        <v>2</v>
      </c>
      <c r="G7" s="4">
        <v>3</v>
      </c>
      <c r="H7" s="6">
        <v>23106.827943561053</v>
      </c>
      <c r="I7" s="7">
        <f t="shared" si="0"/>
        <v>23106.827943561053</v>
      </c>
      <c r="K7" s="28">
        <v>2</v>
      </c>
      <c r="L7" s="29">
        <v>1.8257418583505498E-2</v>
      </c>
      <c r="M7" s="3">
        <v>2</v>
      </c>
      <c r="O7" s="28">
        <v>2</v>
      </c>
      <c r="P7" s="30">
        <f t="shared" si="1"/>
        <v>100</v>
      </c>
      <c r="R7" s="129"/>
      <c r="S7" s="32">
        <v>6</v>
      </c>
      <c r="T7" s="33" t="s">
        <v>83</v>
      </c>
      <c r="U7" s="33" t="s">
        <v>83</v>
      </c>
      <c r="V7" s="33" t="s">
        <v>83</v>
      </c>
      <c r="W7" s="33" t="s">
        <v>83</v>
      </c>
      <c r="X7" s="33" t="s">
        <v>83</v>
      </c>
      <c r="Y7" s="33" t="s">
        <v>83</v>
      </c>
      <c r="Z7" s="33" t="s">
        <v>83</v>
      </c>
      <c r="AB7" s="32">
        <v>6</v>
      </c>
      <c r="AC7" s="33" t="s">
        <v>83</v>
      </c>
      <c r="AD7" s="33" t="s">
        <v>83</v>
      </c>
      <c r="AE7" s="33" t="s">
        <v>83</v>
      </c>
      <c r="AF7" s="33" t="s">
        <v>83</v>
      </c>
      <c r="AG7" s="33" t="s">
        <v>83</v>
      </c>
      <c r="AH7" s="33" t="s">
        <v>83</v>
      </c>
      <c r="AI7" s="33" t="s">
        <v>83</v>
      </c>
    </row>
    <row r="8" spans="1:35" x14ac:dyDescent="0.25">
      <c r="A8" s="3">
        <v>7</v>
      </c>
      <c r="B8" s="4" t="s">
        <v>50</v>
      </c>
      <c r="C8" s="5">
        <v>0.182574185835055</v>
      </c>
      <c r="D8" s="4">
        <v>4</v>
      </c>
      <c r="E8" s="4">
        <v>6</v>
      </c>
      <c r="F8" s="4">
        <v>5</v>
      </c>
      <c r="G8" s="4">
        <v>5</v>
      </c>
      <c r="H8" s="6">
        <v>44548.101343753427</v>
      </c>
      <c r="I8" s="7">
        <f t="shared" si="0"/>
        <v>44548.101343753427</v>
      </c>
      <c r="K8" s="28">
        <v>1</v>
      </c>
      <c r="L8" s="29">
        <v>5.4772255750516604E-3</v>
      </c>
      <c r="M8" s="3">
        <v>1</v>
      </c>
      <c r="O8" s="28">
        <v>1</v>
      </c>
      <c r="P8" s="30">
        <f t="shared" si="1"/>
        <v>10</v>
      </c>
      <c r="R8" s="129"/>
      <c r="S8" s="32">
        <v>5</v>
      </c>
      <c r="T8" s="33" t="s">
        <v>83</v>
      </c>
      <c r="U8" s="33" t="s">
        <v>83</v>
      </c>
      <c r="V8" s="33" t="s">
        <v>83</v>
      </c>
      <c r="W8" s="33" t="s">
        <v>83</v>
      </c>
      <c r="X8" s="33" t="s">
        <v>83</v>
      </c>
      <c r="Y8" s="33" t="s">
        <v>83</v>
      </c>
      <c r="Z8" s="33" t="s">
        <v>83</v>
      </c>
      <c r="AB8" s="32">
        <v>5</v>
      </c>
      <c r="AC8" s="33" t="s">
        <v>83</v>
      </c>
      <c r="AD8" s="33" t="s">
        <v>83</v>
      </c>
      <c r="AE8" s="33" t="s">
        <v>83</v>
      </c>
      <c r="AF8" s="33" t="s">
        <v>83</v>
      </c>
      <c r="AG8" s="33" t="s">
        <v>83</v>
      </c>
      <c r="AH8" s="33" t="s">
        <v>83</v>
      </c>
      <c r="AI8" s="33" t="s">
        <v>83</v>
      </c>
    </row>
    <row r="9" spans="1:35" x14ac:dyDescent="0.25">
      <c r="A9" s="3">
        <v>9</v>
      </c>
      <c r="B9" s="4" t="s">
        <v>54</v>
      </c>
      <c r="C9" s="5">
        <v>0.182574185835055</v>
      </c>
      <c r="D9" s="4">
        <v>6</v>
      </c>
      <c r="E9" s="4">
        <v>4</v>
      </c>
      <c r="F9" s="4">
        <v>4</v>
      </c>
      <c r="G9" s="4">
        <v>3</v>
      </c>
      <c r="H9" s="6">
        <v>73796.485914529228</v>
      </c>
      <c r="I9" s="7">
        <f t="shared" si="0"/>
        <v>73796.485914529228</v>
      </c>
      <c r="R9" s="129"/>
      <c r="S9" s="32">
        <v>4</v>
      </c>
      <c r="T9" s="33" t="s">
        <v>83</v>
      </c>
      <c r="U9" s="33" t="s">
        <v>83</v>
      </c>
      <c r="V9" s="33" t="s">
        <v>83</v>
      </c>
      <c r="W9" s="33" t="s">
        <v>83</v>
      </c>
      <c r="X9" s="33" t="s">
        <v>83</v>
      </c>
      <c r="Y9" s="33" t="s">
        <v>83</v>
      </c>
      <c r="Z9" s="33" t="s">
        <v>83</v>
      </c>
      <c r="AB9" s="32">
        <v>4</v>
      </c>
      <c r="AC9" s="33" t="s">
        <v>83</v>
      </c>
      <c r="AD9" s="33" t="s">
        <v>83</v>
      </c>
      <c r="AE9" s="33" t="s">
        <v>83</v>
      </c>
      <c r="AF9" s="33" t="s">
        <v>83</v>
      </c>
      <c r="AG9" s="33" t="s">
        <v>83</v>
      </c>
      <c r="AH9" s="33" t="s">
        <v>83</v>
      </c>
      <c r="AI9" s="33" t="s">
        <v>83</v>
      </c>
    </row>
    <row r="10" spans="1:35" x14ac:dyDescent="0.25">
      <c r="A10" s="3">
        <v>10</v>
      </c>
      <c r="B10" s="4" t="s">
        <v>58</v>
      </c>
      <c r="C10" s="5">
        <v>5.7735026918962602E-2</v>
      </c>
      <c r="D10" s="4">
        <v>5</v>
      </c>
      <c r="E10" s="4">
        <v>5</v>
      </c>
      <c r="F10" s="4">
        <v>5</v>
      </c>
      <c r="G10" s="4">
        <v>4</v>
      </c>
      <c r="H10" s="6">
        <v>4734.2722073549339</v>
      </c>
      <c r="I10" s="7">
        <f t="shared" si="0"/>
        <v>4734.2722073549339</v>
      </c>
      <c r="K10" s="127" t="s">
        <v>43</v>
      </c>
      <c r="L10" s="127"/>
      <c r="R10" s="129"/>
      <c r="S10" s="32">
        <v>3</v>
      </c>
      <c r="T10" s="33" t="s">
        <v>83</v>
      </c>
      <c r="U10" s="33" t="s">
        <v>83</v>
      </c>
      <c r="V10" s="33" t="s">
        <v>83</v>
      </c>
      <c r="W10" s="33" t="s">
        <v>83</v>
      </c>
      <c r="X10" s="33">
        <v>1</v>
      </c>
      <c r="Y10" s="33" t="s">
        <v>83</v>
      </c>
      <c r="Z10" s="33" t="s">
        <v>83</v>
      </c>
      <c r="AB10" s="32">
        <v>3</v>
      </c>
      <c r="AC10" s="33" t="s">
        <v>83</v>
      </c>
      <c r="AD10" s="33" t="s">
        <v>83</v>
      </c>
      <c r="AE10" s="33">
        <v>1</v>
      </c>
      <c r="AF10" s="33" t="s">
        <v>83</v>
      </c>
      <c r="AG10" s="33" t="s">
        <v>83</v>
      </c>
      <c r="AH10" s="33" t="s">
        <v>83</v>
      </c>
      <c r="AI10" s="33" t="s">
        <v>83</v>
      </c>
    </row>
    <row r="11" spans="1:35" x14ac:dyDescent="0.25">
      <c r="A11" s="3">
        <v>11</v>
      </c>
      <c r="B11" s="4" t="s">
        <v>62</v>
      </c>
      <c r="C11" s="5">
        <v>5.7735026918962602E-2</v>
      </c>
      <c r="D11" s="4">
        <v>4</v>
      </c>
      <c r="E11" s="4">
        <v>3</v>
      </c>
      <c r="F11" s="4">
        <v>3</v>
      </c>
      <c r="G11" s="4">
        <v>2</v>
      </c>
      <c r="H11" s="6">
        <v>255.18881898181468</v>
      </c>
      <c r="I11" s="7">
        <f t="shared" si="0"/>
        <v>255.18881898181468</v>
      </c>
      <c r="K11" s="2">
        <v>0.4</v>
      </c>
      <c r="L11" s="1" t="s">
        <v>17</v>
      </c>
      <c r="R11" s="129"/>
      <c r="S11" s="32">
        <v>2</v>
      </c>
      <c r="T11" s="33" t="s">
        <v>83</v>
      </c>
      <c r="U11" s="33" t="s">
        <v>83</v>
      </c>
      <c r="V11" s="33" t="s">
        <v>83</v>
      </c>
      <c r="W11" s="33" t="s">
        <v>83</v>
      </c>
      <c r="X11" s="33" t="s">
        <v>83</v>
      </c>
      <c r="Y11" s="33" t="s">
        <v>83</v>
      </c>
      <c r="Z11" s="33" t="s">
        <v>83</v>
      </c>
      <c r="AB11" s="32">
        <v>2</v>
      </c>
      <c r="AC11" s="33" t="s">
        <v>83</v>
      </c>
      <c r="AD11" s="33" t="s">
        <v>83</v>
      </c>
      <c r="AE11" s="33" t="s">
        <v>83</v>
      </c>
      <c r="AF11" s="33" t="s">
        <v>83</v>
      </c>
      <c r="AG11" s="33" t="s">
        <v>83</v>
      </c>
      <c r="AH11" s="33" t="s">
        <v>83</v>
      </c>
      <c r="AI11" s="33" t="s">
        <v>83</v>
      </c>
    </row>
    <row r="12" spans="1:35" x14ac:dyDescent="0.25">
      <c r="A12" s="3">
        <v>12</v>
      </c>
      <c r="B12" s="4" t="s">
        <v>63</v>
      </c>
      <c r="C12" s="5">
        <v>5.7735026918962602E-2</v>
      </c>
      <c r="D12" s="4">
        <v>6</v>
      </c>
      <c r="E12" s="4">
        <v>1</v>
      </c>
      <c r="F12" s="4">
        <v>2</v>
      </c>
      <c r="G12" s="4">
        <v>3</v>
      </c>
      <c r="H12" s="6">
        <v>23106.827943561053</v>
      </c>
      <c r="I12" s="7">
        <f t="shared" si="0"/>
        <v>23106.827943561053</v>
      </c>
      <c r="K12" s="2">
        <v>0.2</v>
      </c>
      <c r="L12" s="1" t="s">
        <v>18</v>
      </c>
      <c r="R12" s="129"/>
      <c r="S12" s="32">
        <v>1</v>
      </c>
      <c r="T12" s="33" t="s">
        <v>83</v>
      </c>
      <c r="U12" s="33" t="s">
        <v>83</v>
      </c>
      <c r="V12" s="33" t="s">
        <v>83</v>
      </c>
      <c r="W12" s="33" t="s">
        <v>83</v>
      </c>
      <c r="X12" s="33" t="s">
        <v>83</v>
      </c>
      <c r="Y12" s="33" t="s">
        <v>83</v>
      </c>
      <c r="Z12" s="33" t="s">
        <v>83</v>
      </c>
      <c r="AB12" s="32">
        <v>1</v>
      </c>
      <c r="AC12" s="33" t="s">
        <v>83</v>
      </c>
      <c r="AD12" s="33" t="s">
        <v>83</v>
      </c>
      <c r="AE12" s="33" t="s">
        <v>83</v>
      </c>
      <c r="AF12" s="33" t="s">
        <v>83</v>
      </c>
      <c r="AG12" s="33" t="s">
        <v>83</v>
      </c>
      <c r="AH12" s="33" t="s">
        <v>83</v>
      </c>
      <c r="AI12" s="33" t="s">
        <v>83</v>
      </c>
    </row>
    <row r="13" spans="1:35" x14ac:dyDescent="0.25">
      <c r="A13" s="3">
        <v>13</v>
      </c>
      <c r="B13" s="4" t="s">
        <v>45</v>
      </c>
      <c r="C13" s="5">
        <v>5.7735026918962602E-2</v>
      </c>
      <c r="D13" s="4">
        <v>6</v>
      </c>
      <c r="E13" s="4">
        <v>2</v>
      </c>
      <c r="F13" s="4">
        <v>2</v>
      </c>
      <c r="G13" s="4">
        <v>3</v>
      </c>
      <c r="H13" s="6">
        <v>23107.867174045594</v>
      </c>
      <c r="I13" s="7">
        <f t="shared" si="0"/>
        <v>23107.867174045594</v>
      </c>
      <c r="K13" s="2">
        <v>0.2</v>
      </c>
      <c r="L13" s="1" t="s">
        <v>19</v>
      </c>
      <c r="T13" s="34">
        <v>1</v>
      </c>
      <c r="U13" s="34">
        <v>2</v>
      </c>
      <c r="V13" s="34">
        <v>3</v>
      </c>
      <c r="W13" s="34">
        <v>4</v>
      </c>
      <c r="X13" s="34">
        <v>5</v>
      </c>
      <c r="Y13" s="34">
        <v>6</v>
      </c>
      <c r="Z13" s="34">
        <v>7</v>
      </c>
      <c r="AC13" s="34">
        <v>1</v>
      </c>
      <c r="AD13" s="34">
        <v>2</v>
      </c>
      <c r="AE13" s="34">
        <v>3</v>
      </c>
      <c r="AF13" s="34">
        <v>4</v>
      </c>
      <c r="AG13" s="34">
        <v>5</v>
      </c>
      <c r="AH13" s="34">
        <v>6</v>
      </c>
      <c r="AI13" s="34">
        <v>7</v>
      </c>
    </row>
    <row r="14" spans="1:35" x14ac:dyDescent="0.25">
      <c r="A14" s="3">
        <v>14</v>
      </c>
      <c r="B14" s="4" t="s">
        <v>52</v>
      </c>
      <c r="C14" s="5">
        <v>0.182574185835055</v>
      </c>
      <c r="D14" s="4">
        <v>6</v>
      </c>
      <c r="E14" s="4">
        <v>3</v>
      </c>
      <c r="F14" s="4">
        <v>3</v>
      </c>
      <c r="G14" s="4">
        <v>3</v>
      </c>
      <c r="H14" s="6">
        <v>73139.218845523035</v>
      </c>
      <c r="I14" s="7">
        <f t="shared" si="0"/>
        <v>73139.218845523035</v>
      </c>
      <c r="K14" s="2">
        <v>0.2</v>
      </c>
      <c r="L14" s="1" t="s">
        <v>0</v>
      </c>
      <c r="T14" s="126" t="s">
        <v>48</v>
      </c>
      <c r="U14" s="126"/>
      <c r="V14" s="126"/>
      <c r="W14" s="126"/>
      <c r="X14" s="126"/>
      <c r="Y14" s="126"/>
      <c r="Z14" s="126"/>
      <c r="AC14" s="126" t="s">
        <v>48</v>
      </c>
      <c r="AD14" s="126"/>
      <c r="AE14" s="126"/>
      <c r="AF14" s="126"/>
      <c r="AG14" s="126"/>
      <c r="AH14" s="126"/>
      <c r="AI14" s="126"/>
    </row>
    <row r="15" spans="1:35" x14ac:dyDescent="0.25">
      <c r="A15" s="3">
        <v>15</v>
      </c>
      <c r="B15" s="4" t="s">
        <v>53</v>
      </c>
      <c r="C15" s="5">
        <v>0.182574185835055</v>
      </c>
      <c r="D15" s="4">
        <v>4</v>
      </c>
      <c r="E15" s="4">
        <v>4</v>
      </c>
      <c r="F15" s="4">
        <v>5</v>
      </c>
      <c r="G15" s="4">
        <v>4</v>
      </c>
      <c r="H15" s="6">
        <v>5112.077203381541</v>
      </c>
      <c r="I15" s="7">
        <f t="shared" si="0"/>
        <v>5112.077203381541</v>
      </c>
    </row>
    <row r="16" spans="1:35" x14ac:dyDescent="0.25">
      <c r="A16" s="3">
        <v>16</v>
      </c>
      <c r="B16" s="4" t="s">
        <v>55</v>
      </c>
      <c r="C16" s="5">
        <v>1.8257418583505498E-2</v>
      </c>
      <c r="D16" s="4">
        <v>6</v>
      </c>
      <c r="E16" s="4">
        <v>7</v>
      </c>
      <c r="F16" s="4">
        <v>5</v>
      </c>
      <c r="G16" s="4">
        <v>5</v>
      </c>
      <c r="H16" s="6">
        <v>44548.10134375342</v>
      </c>
      <c r="I16" s="7">
        <f t="shared" si="0"/>
        <v>44548.10134375342</v>
      </c>
      <c r="T16" s="128" t="s">
        <v>18</v>
      </c>
      <c r="U16" s="128"/>
      <c r="V16" s="128"/>
      <c r="W16" s="128"/>
      <c r="X16" s="128"/>
      <c r="Y16" s="128"/>
      <c r="Z16" s="128"/>
      <c r="AC16" s="128" t="s">
        <v>51</v>
      </c>
      <c r="AD16" s="128"/>
      <c r="AE16" s="128"/>
      <c r="AF16" s="128"/>
      <c r="AG16" s="128"/>
      <c r="AH16" s="128"/>
      <c r="AI16" s="128"/>
    </row>
    <row r="17" spans="1:35" x14ac:dyDescent="0.25">
      <c r="A17" s="3">
        <v>17</v>
      </c>
      <c r="B17" s="4" t="s">
        <v>56</v>
      </c>
      <c r="C17" s="5">
        <v>1.8257418583505498E-2</v>
      </c>
      <c r="D17" s="4">
        <v>6</v>
      </c>
      <c r="E17" s="4">
        <v>7</v>
      </c>
      <c r="F17" s="4">
        <v>5</v>
      </c>
      <c r="G17" s="4">
        <v>5</v>
      </c>
      <c r="H17" s="6">
        <v>44548.10134375342</v>
      </c>
      <c r="I17" s="7">
        <f t="shared" si="0"/>
        <v>44548.10134375342</v>
      </c>
      <c r="K17" s="24">
        <v>7</v>
      </c>
      <c r="R17" s="129" t="s">
        <v>1</v>
      </c>
      <c r="S17" s="32">
        <v>7</v>
      </c>
      <c r="T17" s="33" t="s">
        <v>83</v>
      </c>
      <c r="U17" s="33" t="s">
        <v>83</v>
      </c>
      <c r="V17" s="33" t="s">
        <v>83</v>
      </c>
      <c r="W17" s="33" t="s">
        <v>83</v>
      </c>
      <c r="X17" s="33" t="s">
        <v>83</v>
      </c>
      <c r="Y17" s="33" t="s">
        <v>83</v>
      </c>
      <c r="Z17" s="33" t="s">
        <v>83</v>
      </c>
      <c r="AB17" s="32">
        <v>7</v>
      </c>
      <c r="AC17" s="33" t="s">
        <v>83</v>
      </c>
      <c r="AD17" s="33" t="s">
        <v>83</v>
      </c>
      <c r="AE17" s="33" t="s">
        <v>83</v>
      </c>
      <c r="AF17" s="33" t="s">
        <v>83</v>
      </c>
      <c r="AG17" s="33" t="s">
        <v>83</v>
      </c>
      <c r="AH17" s="33" t="s">
        <v>83</v>
      </c>
      <c r="AI17" s="33" t="s">
        <v>83</v>
      </c>
    </row>
    <row r="18" spans="1:35" x14ac:dyDescent="0.25">
      <c r="A18" s="3">
        <v>18</v>
      </c>
      <c r="B18" s="4" t="s">
        <v>57</v>
      </c>
      <c r="C18" s="5">
        <v>5.7735026918962602E-2</v>
      </c>
      <c r="D18" s="4">
        <v>5</v>
      </c>
      <c r="E18" s="4">
        <v>3</v>
      </c>
      <c r="F18" s="4">
        <v>3</v>
      </c>
      <c r="G18" s="4">
        <v>3</v>
      </c>
      <c r="H18" s="6">
        <v>2344.0420929098818</v>
      </c>
      <c r="I18" s="7">
        <f t="shared" si="0"/>
        <v>2344.0420929098818</v>
      </c>
      <c r="K18" s="24">
        <v>6</v>
      </c>
      <c r="L18" s="3">
        <f>+L3/L6</f>
        <v>54.772255750516599</v>
      </c>
      <c r="R18" s="129"/>
      <c r="S18" s="32">
        <v>6</v>
      </c>
      <c r="T18" s="33" t="s">
        <v>83</v>
      </c>
      <c r="U18" s="33" t="s">
        <v>83</v>
      </c>
      <c r="V18" s="33" t="s">
        <v>83</v>
      </c>
      <c r="W18" s="33" t="s">
        <v>83</v>
      </c>
      <c r="X18" s="33" t="s">
        <v>83</v>
      </c>
      <c r="Y18" s="33" t="s">
        <v>83</v>
      </c>
      <c r="Z18" s="33" t="s">
        <v>83</v>
      </c>
      <c r="AB18" s="32">
        <v>6</v>
      </c>
      <c r="AC18" s="33" t="s">
        <v>83</v>
      </c>
      <c r="AD18" s="33" t="s">
        <v>83</v>
      </c>
      <c r="AE18" s="33" t="s">
        <v>83</v>
      </c>
      <c r="AF18" s="33" t="s">
        <v>83</v>
      </c>
      <c r="AG18" s="33" t="s">
        <v>83</v>
      </c>
      <c r="AH18" s="33" t="s">
        <v>83</v>
      </c>
      <c r="AI18" s="33" t="s">
        <v>83</v>
      </c>
    </row>
    <row r="19" spans="1:35" x14ac:dyDescent="0.25">
      <c r="A19" s="3">
        <v>19</v>
      </c>
      <c r="B19" s="4" t="s">
        <v>74</v>
      </c>
      <c r="C19" s="5">
        <v>1.8257418583505498E-2</v>
      </c>
      <c r="D19" s="4">
        <v>6</v>
      </c>
      <c r="E19" s="4">
        <v>4</v>
      </c>
      <c r="F19" s="4">
        <v>3</v>
      </c>
      <c r="G19" s="4">
        <v>4</v>
      </c>
      <c r="H19" s="6">
        <v>7379.6485914529239</v>
      </c>
      <c r="I19" s="7">
        <f t="shared" si="0"/>
        <v>7379.6485914529239</v>
      </c>
      <c r="K19" s="24">
        <v>5</v>
      </c>
      <c r="R19" s="129"/>
      <c r="S19" s="32">
        <v>5</v>
      </c>
      <c r="T19" s="33" t="s">
        <v>83</v>
      </c>
      <c r="U19" s="33" t="s">
        <v>83</v>
      </c>
      <c r="V19" s="33" t="s">
        <v>83</v>
      </c>
      <c r="W19" s="33" t="s">
        <v>83</v>
      </c>
      <c r="X19" s="33" t="s">
        <v>83</v>
      </c>
      <c r="Y19" s="33" t="s">
        <v>83</v>
      </c>
      <c r="Z19" s="33" t="s">
        <v>83</v>
      </c>
      <c r="AB19" s="32">
        <v>5</v>
      </c>
      <c r="AC19" s="33" t="s">
        <v>83</v>
      </c>
      <c r="AD19" s="33" t="s">
        <v>83</v>
      </c>
      <c r="AE19" s="33" t="s">
        <v>83</v>
      </c>
      <c r="AF19" s="33" t="s">
        <v>83</v>
      </c>
      <c r="AG19" s="33" t="s">
        <v>83</v>
      </c>
      <c r="AH19" s="33" t="s">
        <v>83</v>
      </c>
      <c r="AI19" s="33" t="s">
        <v>83</v>
      </c>
    </row>
    <row r="20" spans="1:35" x14ac:dyDescent="0.25">
      <c r="A20" s="3">
        <v>20</v>
      </c>
      <c r="B20" s="4" t="s">
        <v>60</v>
      </c>
      <c r="C20" s="5">
        <v>0.57735026918962595</v>
      </c>
      <c r="D20" s="4">
        <v>7</v>
      </c>
      <c r="E20" s="4">
        <v>6</v>
      </c>
      <c r="F20" s="4">
        <v>5</v>
      </c>
      <c r="G20" s="4">
        <v>6</v>
      </c>
      <c r="H20" s="6">
        <v>2551888.1898181466</v>
      </c>
      <c r="I20" s="7">
        <f t="shared" si="0"/>
        <v>2551888.1898181466</v>
      </c>
      <c r="R20" s="129"/>
      <c r="S20" s="32">
        <v>4</v>
      </c>
      <c r="T20" s="33" t="s">
        <v>83</v>
      </c>
      <c r="U20" s="33" t="s">
        <v>83</v>
      </c>
      <c r="V20" s="33" t="s">
        <v>83</v>
      </c>
      <c r="W20" s="33" t="s">
        <v>83</v>
      </c>
      <c r="X20" s="33" t="s">
        <v>83</v>
      </c>
      <c r="Y20" s="33" t="s">
        <v>83</v>
      </c>
      <c r="Z20" s="33" t="s">
        <v>83</v>
      </c>
      <c r="AB20" s="32">
        <v>4</v>
      </c>
      <c r="AC20" s="33" t="s">
        <v>83</v>
      </c>
      <c r="AD20" s="33" t="s">
        <v>83</v>
      </c>
      <c r="AE20" s="33" t="s">
        <v>83</v>
      </c>
      <c r="AF20" s="33" t="s">
        <v>83</v>
      </c>
      <c r="AG20" s="33" t="s">
        <v>83</v>
      </c>
      <c r="AH20" s="33" t="s">
        <v>83</v>
      </c>
      <c r="AI20" s="33" t="s">
        <v>83</v>
      </c>
    </row>
    <row r="21" spans="1:35" x14ac:dyDescent="0.25">
      <c r="A21" s="3">
        <v>21</v>
      </c>
      <c r="B21" s="4" t="s">
        <v>33</v>
      </c>
      <c r="C21" s="5">
        <v>0.57735026918962595</v>
      </c>
      <c r="D21" s="4">
        <v>6</v>
      </c>
      <c r="E21" s="4">
        <v>4</v>
      </c>
      <c r="F21" s="4">
        <v>3</v>
      </c>
      <c r="G21" s="4">
        <v>4</v>
      </c>
      <c r="H21" s="6">
        <v>233364.97880644683</v>
      </c>
      <c r="I21" s="7">
        <f t="shared" si="0"/>
        <v>233364.97880644683</v>
      </c>
      <c r="R21" s="129"/>
      <c r="S21" s="32">
        <v>3</v>
      </c>
      <c r="T21" s="33" t="s">
        <v>83</v>
      </c>
      <c r="U21" s="33" t="s">
        <v>83</v>
      </c>
      <c r="V21" s="33">
        <v>1</v>
      </c>
      <c r="W21" s="33" t="s">
        <v>83</v>
      </c>
      <c r="X21" s="33" t="s">
        <v>83</v>
      </c>
      <c r="Y21" s="33" t="s">
        <v>83</v>
      </c>
      <c r="Z21" s="33" t="s">
        <v>83</v>
      </c>
      <c r="AB21" s="32">
        <v>3</v>
      </c>
      <c r="AC21" s="33" t="s">
        <v>83</v>
      </c>
      <c r="AD21" s="33" t="s">
        <v>83</v>
      </c>
      <c r="AE21" s="33">
        <v>1</v>
      </c>
      <c r="AF21" s="33" t="s">
        <v>83</v>
      </c>
      <c r="AG21" s="33" t="s">
        <v>83</v>
      </c>
      <c r="AH21" s="33" t="s">
        <v>83</v>
      </c>
      <c r="AI21" s="33" t="s">
        <v>83</v>
      </c>
    </row>
    <row r="22" spans="1:35" x14ac:dyDescent="0.25">
      <c r="A22" s="3">
        <v>22</v>
      </c>
      <c r="B22" s="4" t="s">
        <v>34</v>
      </c>
      <c r="C22" s="5">
        <v>5.7735026918962602E-2</v>
      </c>
      <c r="D22" s="4">
        <v>6</v>
      </c>
      <c r="E22" s="4">
        <v>5</v>
      </c>
      <c r="F22" s="4">
        <v>5</v>
      </c>
      <c r="G22" s="4">
        <v>6</v>
      </c>
      <c r="H22" s="6">
        <v>36950.417228136066</v>
      </c>
      <c r="I22" s="7">
        <f t="shared" si="0"/>
        <v>36950.417228136066</v>
      </c>
      <c r="R22" s="129"/>
      <c r="S22" s="32">
        <v>2</v>
      </c>
      <c r="T22" s="33" t="s">
        <v>83</v>
      </c>
      <c r="U22" s="33" t="s">
        <v>83</v>
      </c>
      <c r="V22" s="33" t="s">
        <v>83</v>
      </c>
      <c r="W22" s="33" t="s">
        <v>83</v>
      </c>
      <c r="X22" s="33" t="s">
        <v>83</v>
      </c>
      <c r="Y22" s="33" t="s">
        <v>83</v>
      </c>
      <c r="Z22" s="33" t="s">
        <v>83</v>
      </c>
      <c r="AB22" s="32">
        <v>2</v>
      </c>
      <c r="AC22" s="33" t="s">
        <v>83</v>
      </c>
      <c r="AD22" s="33" t="s">
        <v>83</v>
      </c>
      <c r="AE22" s="33" t="s">
        <v>83</v>
      </c>
      <c r="AF22" s="33" t="s">
        <v>83</v>
      </c>
      <c r="AG22" s="33" t="s">
        <v>83</v>
      </c>
      <c r="AH22" s="33" t="s">
        <v>83</v>
      </c>
      <c r="AI22" s="33" t="s">
        <v>83</v>
      </c>
    </row>
    <row r="23" spans="1:35" x14ac:dyDescent="0.25">
      <c r="A23" s="3">
        <v>23</v>
      </c>
      <c r="B23" s="4" t="s">
        <v>35</v>
      </c>
      <c r="C23" s="5">
        <v>5.7735026918962602E-2</v>
      </c>
      <c r="D23" s="4">
        <v>5</v>
      </c>
      <c r="E23" s="4">
        <v>3</v>
      </c>
      <c r="F23" s="4">
        <v>3</v>
      </c>
      <c r="G23" s="4">
        <v>3</v>
      </c>
      <c r="H23" s="6">
        <v>2344.0420929098818</v>
      </c>
      <c r="I23" s="7">
        <f t="shared" si="0"/>
        <v>2344.0420929098818</v>
      </c>
      <c r="R23" s="129"/>
      <c r="S23" s="32">
        <v>1</v>
      </c>
      <c r="T23" s="33" t="s">
        <v>83</v>
      </c>
      <c r="U23" s="33" t="s">
        <v>83</v>
      </c>
      <c r="V23" s="33" t="s">
        <v>83</v>
      </c>
      <c r="W23" s="33" t="s">
        <v>83</v>
      </c>
      <c r="X23" s="33" t="s">
        <v>83</v>
      </c>
      <c r="Y23" s="33" t="s">
        <v>83</v>
      </c>
      <c r="Z23" s="33" t="s">
        <v>83</v>
      </c>
      <c r="AB23" s="32">
        <v>1</v>
      </c>
      <c r="AC23" s="33" t="s">
        <v>83</v>
      </c>
      <c r="AD23" s="33" t="s">
        <v>83</v>
      </c>
      <c r="AE23" s="33" t="s">
        <v>83</v>
      </c>
      <c r="AF23" s="33" t="s">
        <v>83</v>
      </c>
      <c r="AG23" s="33" t="s">
        <v>83</v>
      </c>
      <c r="AH23" s="33" t="s">
        <v>83</v>
      </c>
      <c r="AI23" s="33" t="s">
        <v>83</v>
      </c>
    </row>
    <row r="24" spans="1:35" x14ac:dyDescent="0.25">
      <c r="A24" s="3">
        <v>24</v>
      </c>
      <c r="B24" s="4" t="s">
        <v>37</v>
      </c>
      <c r="C24" s="5">
        <v>1.8257418583505498E-2</v>
      </c>
      <c r="D24" s="4">
        <v>5</v>
      </c>
      <c r="E24" s="4">
        <v>5</v>
      </c>
      <c r="F24" s="4">
        <v>5</v>
      </c>
      <c r="G24" s="4">
        <v>5</v>
      </c>
      <c r="H24" s="6">
        <v>1825.74185835055</v>
      </c>
      <c r="I24" s="7">
        <f t="shared" si="0"/>
        <v>1825.74185835055</v>
      </c>
      <c r="T24" s="34">
        <v>1</v>
      </c>
      <c r="U24" s="34">
        <v>2</v>
      </c>
      <c r="V24" s="34">
        <v>3</v>
      </c>
      <c r="W24" s="34">
        <v>4</v>
      </c>
      <c r="X24" s="34">
        <v>5</v>
      </c>
      <c r="Y24" s="34">
        <v>6</v>
      </c>
      <c r="Z24" s="34">
        <v>7</v>
      </c>
      <c r="AC24" s="34">
        <v>1</v>
      </c>
      <c r="AD24" s="34">
        <v>2</v>
      </c>
      <c r="AE24" s="34">
        <v>3</v>
      </c>
      <c r="AF24" s="34">
        <v>4</v>
      </c>
      <c r="AG24" s="34">
        <v>5</v>
      </c>
      <c r="AH24" s="34">
        <v>6</v>
      </c>
      <c r="AI24" s="34">
        <v>7</v>
      </c>
    </row>
    <row r="25" spans="1:35" x14ac:dyDescent="0.25">
      <c r="A25" s="3">
        <v>25</v>
      </c>
      <c r="B25" s="4" t="s">
        <v>40</v>
      </c>
      <c r="C25" s="5">
        <v>5.7735026918962602E-2</v>
      </c>
      <c r="D25" s="4">
        <v>5</v>
      </c>
      <c r="E25" s="4">
        <v>6</v>
      </c>
      <c r="F25" s="4">
        <v>4</v>
      </c>
      <c r="G25" s="4">
        <v>4</v>
      </c>
      <c r="H25" s="6">
        <v>14087.346568226876</v>
      </c>
      <c r="I25" s="7">
        <f t="shared" si="0"/>
        <v>14087.346568226876</v>
      </c>
      <c r="T25" s="126" t="s">
        <v>48</v>
      </c>
      <c r="U25" s="126"/>
      <c r="V25" s="126"/>
      <c r="W25" s="126"/>
      <c r="X25" s="126"/>
      <c r="Y25" s="126"/>
      <c r="Z25" s="126"/>
      <c r="AC25" s="126" t="s">
        <v>48</v>
      </c>
      <c r="AD25" s="126"/>
      <c r="AE25" s="126"/>
      <c r="AF25" s="126"/>
      <c r="AG25" s="126"/>
      <c r="AH25" s="126"/>
      <c r="AI25" s="126"/>
    </row>
    <row r="26" spans="1:35" x14ac:dyDescent="0.25">
      <c r="A26" s="3">
        <v>26</v>
      </c>
      <c r="B26" s="4" t="s">
        <v>46</v>
      </c>
      <c r="C26" s="5">
        <v>0.57735026918962595</v>
      </c>
      <c r="D26" s="4">
        <v>6</v>
      </c>
      <c r="E26" s="4">
        <v>4</v>
      </c>
      <c r="F26" s="4">
        <v>3</v>
      </c>
      <c r="G26" s="4">
        <v>4</v>
      </c>
      <c r="H26" s="6">
        <v>233364.97880644683</v>
      </c>
      <c r="I26" s="7">
        <f t="shared" si="0"/>
        <v>233364.97880644683</v>
      </c>
    </row>
    <row r="27" spans="1:35" ht="18" x14ac:dyDescent="0.25">
      <c r="A27" s="3">
        <v>27</v>
      </c>
      <c r="B27" s="4" t="s">
        <v>47</v>
      </c>
      <c r="C27" s="5">
        <v>1.8257418583505498E-2</v>
      </c>
      <c r="D27" s="4">
        <v>6</v>
      </c>
      <c r="E27" s="4">
        <v>4</v>
      </c>
      <c r="F27" s="4">
        <v>5</v>
      </c>
      <c r="G27" s="4">
        <v>6</v>
      </c>
      <c r="H27" s="6">
        <v>11356.11435894042</v>
      </c>
      <c r="I27" s="7">
        <f t="shared" si="0"/>
        <v>11356.11435894042</v>
      </c>
      <c r="T27" s="9" t="s">
        <v>61</v>
      </c>
    </row>
    <row r="28" spans="1:35" x14ac:dyDescent="0.25">
      <c r="A28" s="3">
        <v>28</v>
      </c>
      <c r="B28" s="4" t="s">
        <v>49</v>
      </c>
      <c r="C28" s="5">
        <v>5.7735026918962602E-2</v>
      </c>
      <c r="D28" s="4">
        <v>5</v>
      </c>
      <c r="E28" s="4">
        <v>3</v>
      </c>
      <c r="F28" s="4">
        <v>3</v>
      </c>
      <c r="G28" s="4">
        <v>3</v>
      </c>
      <c r="H28" s="6">
        <v>2344.04209290988</v>
      </c>
      <c r="I28" s="7">
        <f t="shared" si="0"/>
        <v>2344.0420929098818</v>
      </c>
      <c r="T28" s="128" t="s">
        <v>17</v>
      </c>
      <c r="U28" s="128"/>
      <c r="V28" s="128"/>
      <c r="W28" s="128"/>
      <c r="X28" s="128"/>
      <c r="Y28" s="128"/>
      <c r="Z28" s="128"/>
      <c r="AC28" s="128" t="s">
        <v>19</v>
      </c>
      <c r="AD28" s="128"/>
      <c r="AE28" s="128"/>
      <c r="AF28" s="128"/>
      <c r="AG28" s="128"/>
      <c r="AH28" s="128"/>
      <c r="AI28" s="128"/>
    </row>
    <row r="29" spans="1:35" x14ac:dyDescent="0.25">
      <c r="B29" s="4" t="s">
        <v>59</v>
      </c>
      <c r="C29" s="5">
        <v>5.7735026918962602E-2</v>
      </c>
      <c r="D29" s="4">
        <v>4</v>
      </c>
      <c r="E29" s="4">
        <v>1</v>
      </c>
      <c r="F29" s="4">
        <v>5</v>
      </c>
      <c r="G29" s="4">
        <v>4</v>
      </c>
      <c r="H29" s="6">
        <v>1501.2261699468656</v>
      </c>
      <c r="I29" s="7">
        <f t="shared" si="0"/>
        <v>1501.2261699468656</v>
      </c>
      <c r="R29" s="129" t="s">
        <v>1</v>
      </c>
      <c r="S29" s="32">
        <v>7</v>
      </c>
      <c r="T29" s="33" t="s">
        <v>83</v>
      </c>
      <c r="U29" s="33" t="s">
        <v>83</v>
      </c>
      <c r="V29" s="33" t="s">
        <v>83</v>
      </c>
      <c r="W29" s="33" t="s">
        <v>83</v>
      </c>
      <c r="X29" s="33" t="s">
        <v>83</v>
      </c>
      <c r="Y29" s="33" t="s">
        <v>83</v>
      </c>
      <c r="Z29" s="33" t="s">
        <v>83</v>
      </c>
      <c r="AB29" s="32">
        <v>7</v>
      </c>
      <c r="AC29" s="33" t="s">
        <v>83</v>
      </c>
      <c r="AD29" s="33" t="s">
        <v>83</v>
      </c>
      <c r="AE29" s="33" t="s">
        <v>83</v>
      </c>
      <c r="AF29" s="33" t="s">
        <v>83</v>
      </c>
      <c r="AG29" s="33" t="s">
        <v>83</v>
      </c>
      <c r="AH29" s="33" t="s">
        <v>83</v>
      </c>
      <c r="AI29" s="33" t="s">
        <v>83</v>
      </c>
    </row>
    <row r="30" spans="1:35" x14ac:dyDescent="0.25">
      <c r="R30" s="129"/>
      <c r="S30" s="32">
        <v>6</v>
      </c>
      <c r="T30" s="33" t="s">
        <v>83</v>
      </c>
      <c r="U30" s="33" t="s">
        <v>83</v>
      </c>
      <c r="V30" s="33" t="s">
        <v>83</v>
      </c>
      <c r="W30" s="33" t="s">
        <v>83</v>
      </c>
      <c r="X30" s="33" t="s">
        <v>83</v>
      </c>
      <c r="Y30" s="33" t="s">
        <v>83</v>
      </c>
      <c r="Z30" s="33" t="s">
        <v>83</v>
      </c>
      <c r="AB30" s="32">
        <v>6</v>
      </c>
      <c r="AC30" s="33" t="s">
        <v>83</v>
      </c>
      <c r="AD30" s="33" t="s">
        <v>83</v>
      </c>
      <c r="AE30" s="33" t="s">
        <v>83</v>
      </c>
      <c r="AF30" s="33" t="s">
        <v>83</v>
      </c>
      <c r="AG30" s="33" t="s">
        <v>83</v>
      </c>
      <c r="AH30" s="33" t="s">
        <v>83</v>
      </c>
      <c r="AI30" s="33" t="s">
        <v>83</v>
      </c>
    </row>
    <row r="31" spans="1:35" x14ac:dyDescent="0.25">
      <c r="R31" s="129"/>
      <c r="S31" s="32">
        <v>5</v>
      </c>
      <c r="T31" s="33" t="s">
        <v>83</v>
      </c>
      <c r="U31" s="33" t="s">
        <v>83</v>
      </c>
      <c r="V31" s="33" t="s">
        <v>83</v>
      </c>
      <c r="W31" s="33" t="s">
        <v>83</v>
      </c>
      <c r="X31" s="33" t="s">
        <v>83</v>
      </c>
      <c r="Y31" s="33" t="s">
        <v>83</v>
      </c>
      <c r="Z31" s="33" t="s">
        <v>83</v>
      </c>
      <c r="AB31" s="32">
        <v>5</v>
      </c>
      <c r="AC31" s="33" t="s">
        <v>83</v>
      </c>
      <c r="AD31" s="33" t="s">
        <v>83</v>
      </c>
      <c r="AE31" s="33" t="s">
        <v>83</v>
      </c>
      <c r="AF31" s="33" t="s">
        <v>83</v>
      </c>
      <c r="AG31" s="33" t="s">
        <v>83</v>
      </c>
      <c r="AH31" s="33" t="s">
        <v>83</v>
      </c>
      <c r="AI31" s="33" t="s">
        <v>83</v>
      </c>
    </row>
    <row r="32" spans="1:35" x14ac:dyDescent="0.25">
      <c r="R32" s="129"/>
      <c r="S32" s="32">
        <v>4</v>
      </c>
      <c r="T32" s="33" t="s">
        <v>83</v>
      </c>
      <c r="U32" s="33" t="s">
        <v>83</v>
      </c>
      <c r="V32" s="33" t="s">
        <v>83</v>
      </c>
      <c r="W32" s="33" t="s">
        <v>83</v>
      </c>
      <c r="X32" s="33" t="s">
        <v>83</v>
      </c>
      <c r="Y32" s="33" t="s">
        <v>83</v>
      </c>
      <c r="Z32" s="33" t="s">
        <v>83</v>
      </c>
      <c r="AB32" s="32">
        <v>4</v>
      </c>
      <c r="AC32" s="33" t="s">
        <v>83</v>
      </c>
      <c r="AD32" s="33" t="s">
        <v>83</v>
      </c>
      <c r="AE32" s="33" t="s">
        <v>83</v>
      </c>
      <c r="AF32" s="33" t="s">
        <v>83</v>
      </c>
      <c r="AG32" s="33" t="s">
        <v>83</v>
      </c>
      <c r="AH32" s="33" t="s">
        <v>83</v>
      </c>
      <c r="AI32" s="33" t="s">
        <v>83</v>
      </c>
    </row>
    <row r="33" spans="18:35" x14ac:dyDescent="0.25">
      <c r="R33" s="129"/>
      <c r="S33" s="32">
        <v>3</v>
      </c>
      <c r="T33" s="33" t="s">
        <v>83</v>
      </c>
      <c r="U33" s="33" t="s">
        <v>83</v>
      </c>
      <c r="V33" s="33" t="s">
        <v>83</v>
      </c>
      <c r="W33" s="33" t="s">
        <v>83</v>
      </c>
      <c r="X33" s="33">
        <v>1</v>
      </c>
      <c r="Y33" s="33" t="s">
        <v>83</v>
      </c>
      <c r="Z33" s="33" t="s">
        <v>83</v>
      </c>
      <c r="AB33" s="32">
        <v>3</v>
      </c>
      <c r="AC33" s="33" t="s">
        <v>83</v>
      </c>
      <c r="AD33" s="33" t="s">
        <v>83</v>
      </c>
      <c r="AE33" s="33">
        <v>1</v>
      </c>
      <c r="AF33" s="33" t="s">
        <v>83</v>
      </c>
      <c r="AG33" s="33" t="s">
        <v>83</v>
      </c>
      <c r="AH33" s="33" t="s">
        <v>83</v>
      </c>
      <c r="AI33" s="33" t="s">
        <v>83</v>
      </c>
    </row>
    <row r="34" spans="18:35" x14ac:dyDescent="0.25">
      <c r="R34" s="129"/>
      <c r="S34" s="32">
        <v>2</v>
      </c>
      <c r="T34" s="33" t="s">
        <v>83</v>
      </c>
      <c r="U34" s="33" t="s">
        <v>83</v>
      </c>
      <c r="V34" s="33" t="s">
        <v>83</v>
      </c>
      <c r="W34" s="33" t="s">
        <v>83</v>
      </c>
      <c r="X34" s="33" t="s">
        <v>83</v>
      </c>
      <c r="Y34" s="33" t="s">
        <v>83</v>
      </c>
      <c r="Z34" s="33" t="s">
        <v>83</v>
      </c>
      <c r="AB34" s="32">
        <v>2</v>
      </c>
      <c r="AC34" s="33" t="s">
        <v>83</v>
      </c>
      <c r="AD34" s="33" t="s">
        <v>83</v>
      </c>
      <c r="AE34" s="33" t="s">
        <v>83</v>
      </c>
      <c r="AF34" s="33" t="s">
        <v>83</v>
      </c>
      <c r="AG34" s="33" t="s">
        <v>83</v>
      </c>
      <c r="AH34" s="33" t="s">
        <v>83</v>
      </c>
      <c r="AI34" s="33" t="s">
        <v>83</v>
      </c>
    </row>
    <row r="35" spans="18:35" x14ac:dyDescent="0.25">
      <c r="R35" s="129"/>
      <c r="S35" s="32">
        <v>1</v>
      </c>
      <c r="T35" s="33" t="s">
        <v>83</v>
      </c>
      <c r="U35" s="33" t="s">
        <v>83</v>
      </c>
      <c r="V35" s="33" t="s">
        <v>83</v>
      </c>
      <c r="W35" s="33" t="s">
        <v>83</v>
      </c>
      <c r="X35" s="33" t="s">
        <v>83</v>
      </c>
      <c r="Y35" s="33" t="s">
        <v>83</v>
      </c>
      <c r="Z35" s="33" t="s">
        <v>83</v>
      </c>
      <c r="AB35" s="32">
        <v>1</v>
      </c>
      <c r="AC35" s="33" t="s">
        <v>83</v>
      </c>
      <c r="AD35" s="33" t="s">
        <v>83</v>
      </c>
      <c r="AE35" s="33" t="s">
        <v>83</v>
      </c>
      <c r="AF35" s="33" t="s">
        <v>83</v>
      </c>
      <c r="AG35" s="33" t="s">
        <v>83</v>
      </c>
      <c r="AH35" s="33" t="s">
        <v>83</v>
      </c>
      <c r="AI35" s="33" t="s">
        <v>83</v>
      </c>
    </row>
    <row r="36" spans="18:35" x14ac:dyDescent="0.25">
      <c r="T36" s="34">
        <v>1</v>
      </c>
      <c r="U36" s="34">
        <v>2</v>
      </c>
      <c r="V36" s="34">
        <v>3</v>
      </c>
      <c r="W36" s="34">
        <v>4</v>
      </c>
      <c r="X36" s="34">
        <v>5</v>
      </c>
      <c r="Y36" s="34">
        <v>6</v>
      </c>
      <c r="Z36" s="34">
        <v>7</v>
      </c>
      <c r="AC36" s="34">
        <v>1</v>
      </c>
      <c r="AD36" s="34">
        <v>2</v>
      </c>
      <c r="AE36" s="34">
        <v>3</v>
      </c>
      <c r="AF36" s="34">
        <v>4</v>
      </c>
      <c r="AG36" s="34">
        <v>5</v>
      </c>
      <c r="AH36" s="34">
        <v>6</v>
      </c>
      <c r="AI36" s="34">
        <v>7</v>
      </c>
    </row>
    <row r="37" spans="18:35" x14ac:dyDescent="0.25">
      <c r="T37" s="126" t="s">
        <v>48</v>
      </c>
      <c r="U37" s="126"/>
      <c r="V37" s="126"/>
      <c r="W37" s="126"/>
      <c r="X37" s="126"/>
      <c r="Y37" s="126"/>
      <c r="Z37" s="126"/>
      <c r="AC37" s="126" t="s">
        <v>48</v>
      </c>
      <c r="AD37" s="126"/>
      <c r="AE37" s="126"/>
      <c r="AF37" s="126"/>
      <c r="AG37" s="126"/>
      <c r="AH37" s="126"/>
      <c r="AI37" s="126"/>
    </row>
    <row r="39" spans="18:35" x14ac:dyDescent="0.25">
      <c r="T39" s="128" t="s">
        <v>18</v>
      </c>
      <c r="U39" s="128"/>
      <c r="V39" s="128"/>
      <c r="W39" s="128"/>
      <c r="X39" s="128"/>
      <c r="Y39" s="128"/>
      <c r="Z39" s="128"/>
      <c r="AC39" s="128" t="s">
        <v>51</v>
      </c>
      <c r="AD39" s="128"/>
      <c r="AE39" s="128"/>
      <c r="AF39" s="128"/>
      <c r="AG39" s="128"/>
      <c r="AH39" s="128"/>
      <c r="AI39" s="128"/>
    </row>
    <row r="40" spans="18:35" x14ac:dyDescent="0.25">
      <c r="R40" s="129" t="s">
        <v>1</v>
      </c>
      <c r="S40" s="32">
        <v>7</v>
      </c>
      <c r="T40" s="33" t="s">
        <v>83</v>
      </c>
      <c r="U40" s="33" t="s">
        <v>83</v>
      </c>
      <c r="V40" s="33" t="s">
        <v>83</v>
      </c>
      <c r="W40" s="33" t="s">
        <v>83</v>
      </c>
      <c r="X40" s="33" t="s">
        <v>83</v>
      </c>
      <c r="Y40" s="33" t="s">
        <v>83</v>
      </c>
      <c r="Z40" s="33" t="s">
        <v>83</v>
      </c>
      <c r="AB40" s="32">
        <v>7</v>
      </c>
      <c r="AC40" s="33" t="s">
        <v>83</v>
      </c>
      <c r="AD40" s="33" t="s">
        <v>83</v>
      </c>
      <c r="AE40" s="33" t="s">
        <v>83</v>
      </c>
      <c r="AF40" s="33" t="s">
        <v>83</v>
      </c>
      <c r="AG40" s="33" t="s">
        <v>83</v>
      </c>
      <c r="AH40" s="33" t="s">
        <v>83</v>
      </c>
      <c r="AI40" s="33" t="s">
        <v>83</v>
      </c>
    </row>
    <row r="41" spans="18:35" x14ac:dyDescent="0.25">
      <c r="R41" s="129"/>
      <c r="S41" s="32">
        <v>6</v>
      </c>
      <c r="T41" s="33" t="s">
        <v>83</v>
      </c>
      <c r="U41" s="33" t="s">
        <v>83</v>
      </c>
      <c r="V41" s="33" t="s">
        <v>83</v>
      </c>
      <c r="W41" s="33" t="s">
        <v>83</v>
      </c>
      <c r="X41" s="33" t="s">
        <v>83</v>
      </c>
      <c r="Y41" s="33" t="s">
        <v>83</v>
      </c>
      <c r="Z41" s="33" t="s">
        <v>83</v>
      </c>
      <c r="AB41" s="32">
        <v>6</v>
      </c>
      <c r="AC41" s="33" t="s">
        <v>83</v>
      </c>
      <c r="AD41" s="33" t="s">
        <v>83</v>
      </c>
      <c r="AE41" s="33" t="s">
        <v>83</v>
      </c>
      <c r="AF41" s="33" t="s">
        <v>83</v>
      </c>
      <c r="AG41" s="33" t="s">
        <v>83</v>
      </c>
      <c r="AH41" s="33" t="s">
        <v>83</v>
      </c>
      <c r="AI41" s="33" t="s">
        <v>83</v>
      </c>
    </row>
    <row r="42" spans="18:35" x14ac:dyDescent="0.25">
      <c r="R42" s="129"/>
      <c r="S42" s="32">
        <v>5</v>
      </c>
      <c r="T42" s="33" t="s">
        <v>83</v>
      </c>
      <c r="U42" s="33" t="s">
        <v>83</v>
      </c>
      <c r="V42" s="33" t="s">
        <v>83</v>
      </c>
      <c r="W42" s="33" t="s">
        <v>83</v>
      </c>
      <c r="X42" s="33" t="s">
        <v>83</v>
      </c>
      <c r="Y42" s="33" t="s">
        <v>83</v>
      </c>
      <c r="Z42" s="33" t="s">
        <v>83</v>
      </c>
      <c r="AB42" s="32">
        <v>5</v>
      </c>
      <c r="AC42" s="33" t="s">
        <v>83</v>
      </c>
      <c r="AD42" s="33" t="s">
        <v>83</v>
      </c>
      <c r="AE42" s="33" t="s">
        <v>83</v>
      </c>
      <c r="AF42" s="33" t="s">
        <v>83</v>
      </c>
      <c r="AG42" s="33" t="s">
        <v>83</v>
      </c>
      <c r="AH42" s="33" t="s">
        <v>83</v>
      </c>
      <c r="AI42" s="33" t="s">
        <v>83</v>
      </c>
    </row>
    <row r="43" spans="18:35" x14ac:dyDescent="0.25">
      <c r="R43" s="129"/>
      <c r="S43" s="32">
        <v>4</v>
      </c>
      <c r="T43" s="33" t="s">
        <v>83</v>
      </c>
      <c r="U43" s="33" t="s">
        <v>83</v>
      </c>
      <c r="V43" s="33" t="s">
        <v>83</v>
      </c>
      <c r="W43" s="33" t="s">
        <v>83</v>
      </c>
      <c r="X43" s="33" t="s">
        <v>83</v>
      </c>
      <c r="Y43" s="33" t="s">
        <v>83</v>
      </c>
      <c r="Z43" s="33" t="s">
        <v>83</v>
      </c>
      <c r="AB43" s="32">
        <v>4</v>
      </c>
      <c r="AC43" s="33" t="s">
        <v>83</v>
      </c>
      <c r="AD43" s="33" t="s">
        <v>83</v>
      </c>
      <c r="AE43" s="33" t="s">
        <v>83</v>
      </c>
      <c r="AF43" s="33" t="s">
        <v>83</v>
      </c>
      <c r="AG43" s="33" t="s">
        <v>83</v>
      </c>
      <c r="AH43" s="33" t="s">
        <v>83</v>
      </c>
      <c r="AI43" s="33" t="s">
        <v>83</v>
      </c>
    </row>
    <row r="44" spans="18:35" x14ac:dyDescent="0.25">
      <c r="R44" s="129"/>
      <c r="S44" s="32">
        <v>3</v>
      </c>
      <c r="T44" s="33" t="s">
        <v>83</v>
      </c>
      <c r="U44" s="33" t="s">
        <v>83</v>
      </c>
      <c r="V44" s="33">
        <v>1</v>
      </c>
      <c r="W44" s="33" t="s">
        <v>83</v>
      </c>
      <c r="X44" s="33" t="s">
        <v>83</v>
      </c>
      <c r="Y44" s="33" t="s">
        <v>83</v>
      </c>
      <c r="Z44" s="33" t="s">
        <v>83</v>
      </c>
      <c r="AB44" s="32">
        <v>3</v>
      </c>
      <c r="AC44" s="33" t="s">
        <v>83</v>
      </c>
      <c r="AD44" s="33" t="s">
        <v>83</v>
      </c>
      <c r="AE44" s="33">
        <v>1</v>
      </c>
      <c r="AF44" s="33" t="s">
        <v>83</v>
      </c>
      <c r="AG44" s="33" t="s">
        <v>83</v>
      </c>
      <c r="AH44" s="33" t="s">
        <v>83</v>
      </c>
      <c r="AI44" s="33" t="s">
        <v>83</v>
      </c>
    </row>
    <row r="45" spans="18:35" x14ac:dyDescent="0.25">
      <c r="R45" s="129"/>
      <c r="S45" s="32">
        <v>2</v>
      </c>
      <c r="T45" s="33" t="s">
        <v>83</v>
      </c>
      <c r="U45" s="33" t="s">
        <v>83</v>
      </c>
      <c r="V45" s="33" t="s">
        <v>83</v>
      </c>
      <c r="W45" s="33" t="s">
        <v>83</v>
      </c>
      <c r="X45" s="33" t="s">
        <v>83</v>
      </c>
      <c r="Y45" s="33" t="s">
        <v>83</v>
      </c>
      <c r="Z45" s="33" t="s">
        <v>83</v>
      </c>
      <c r="AB45" s="32">
        <v>2</v>
      </c>
      <c r="AC45" s="33" t="s">
        <v>83</v>
      </c>
      <c r="AD45" s="33" t="s">
        <v>83</v>
      </c>
      <c r="AE45" s="33" t="s">
        <v>83</v>
      </c>
      <c r="AF45" s="33" t="s">
        <v>83</v>
      </c>
      <c r="AG45" s="33" t="s">
        <v>83</v>
      </c>
      <c r="AH45" s="33" t="s">
        <v>83</v>
      </c>
      <c r="AI45" s="33" t="s">
        <v>83</v>
      </c>
    </row>
    <row r="46" spans="18:35" x14ac:dyDescent="0.25">
      <c r="R46" s="129"/>
      <c r="S46" s="32">
        <v>1</v>
      </c>
      <c r="T46" s="33" t="s">
        <v>83</v>
      </c>
      <c r="U46" s="33" t="s">
        <v>83</v>
      </c>
      <c r="V46" s="33" t="s">
        <v>83</v>
      </c>
      <c r="W46" s="33" t="s">
        <v>83</v>
      </c>
      <c r="X46" s="33" t="s">
        <v>83</v>
      </c>
      <c r="Y46" s="33" t="s">
        <v>83</v>
      </c>
      <c r="Z46" s="33" t="s">
        <v>83</v>
      </c>
      <c r="AB46" s="32">
        <v>1</v>
      </c>
      <c r="AC46" s="33" t="s">
        <v>83</v>
      </c>
      <c r="AD46" s="33" t="s">
        <v>83</v>
      </c>
      <c r="AE46" s="33" t="s">
        <v>83</v>
      </c>
      <c r="AF46" s="33" t="s">
        <v>83</v>
      </c>
      <c r="AG46" s="33" t="s">
        <v>83</v>
      </c>
      <c r="AH46" s="33" t="s">
        <v>83</v>
      </c>
      <c r="AI46" s="33" t="s">
        <v>83</v>
      </c>
    </row>
    <row r="47" spans="18:35" x14ac:dyDescent="0.25">
      <c r="T47" s="34">
        <v>1</v>
      </c>
      <c r="U47" s="34">
        <v>2</v>
      </c>
      <c r="V47" s="34">
        <v>3</v>
      </c>
      <c r="W47" s="34">
        <v>4</v>
      </c>
      <c r="X47" s="34">
        <v>5</v>
      </c>
      <c r="Y47" s="34">
        <v>6</v>
      </c>
      <c r="Z47" s="34">
        <v>7</v>
      </c>
      <c r="AC47" s="34">
        <v>1</v>
      </c>
      <c r="AD47" s="34">
        <v>2</v>
      </c>
      <c r="AE47" s="34">
        <v>3</v>
      </c>
      <c r="AF47" s="34">
        <v>4</v>
      </c>
      <c r="AG47" s="34">
        <v>5</v>
      </c>
      <c r="AH47" s="34">
        <v>6</v>
      </c>
      <c r="AI47" s="34">
        <v>7</v>
      </c>
    </row>
    <row r="48" spans="18:35" x14ac:dyDescent="0.25">
      <c r="T48" s="126" t="s">
        <v>48</v>
      </c>
      <c r="U48" s="126"/>
      <c r="V48" s="126"/>
      <c r="W48" s="126"/>
      <c r="X48" s="126"/>
      <c r="Y48" s="126"/>
      <c r="Z48" s="126"/>
      <c r="AC48" s="126" t="s">
        <v>48</v>
      </c>
      <c r="AD48" s="126"/>
      <c r="AE48" s="126"/>
      <c r="AF48" s="126"/>
      <c r="AG48" s="126"/>
      <c r="AH48" s="126"/>
      <c r="AI48" s="126"/>
    </row>
  </sheetData>
  <sheetProtection algorithmName="SHA-512" hashValue="xKtaq52qSQJw9vIxtXRFYxu7bK2WcBbxcgmwzzV6J2s6Gx67DM+9tn5PfbV8C3wc4+WfXJl2Cg4ME6RHE/tDBg==" saltValue="EduDiD4RxtV3vNiso8q6cw==" spinCount="100000" sheet="1" objects="1" scenarios="1"/>
  <sortState ref="A2:I28">
    <sortCondition ref="A2"/>
  </sortState>
  <mergeCells count="23">
    <mergeCell ref="R40:R46"/>
    <mergeCell ref="T48:Z48"/>
    <mergeCell ref="AC48:AI48"/>
    <mergeCell ref="T28:Z28"/>
    <mergeCell ref="AC28:AI28"/>
    <mergeCell ref="R29:R35"/>
    <mergeCell ref="T37:Z37"/>
    <mergeCell ref="AC37:AI37"/>
    <mergeCell ref="T39:Z39"/>
    <mergeCell ref="AC39:AI39"/>
    <mergeCell ref="T25:Z25"/>
    <mergeCell ref="AC25:AI25"/>
    <mergeCell ref="K1:L1"/>
    <mergeCell ref="O1:P1"/>
    <mergeCell ref="T5:Z5"/>
    <mergeCell ref="AC5:AI5"/>
    <mergeCell ref="R6:R12"/>
    <mergeCell ref="K10:L10"/>
    <mergeCell ref="T14:Z14"/>
    <mergeCell ref="AC14:AI14"/>
    <mergeCell ref="T16:Z16"/>
    <mergeCell ref="AC16:AI16"/>
    <mergeCell ref="R17:R23"/>
  </mergeCells>
  <conditionalFormatting sqref="T17:Z23">
    <cfRule type="iconSet" priority="7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6:AI12">
    <cfRule type="iconSet" priority="8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17:AI23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29:Z35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29:AI35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40:Z46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40:AI4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6:Z1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5F11FE97CC0B4B99B15CE895FECCD9" ma:contentTypeVersion="4" ma:contentTypeDescription="Create a new document." ma:contentTypeScope="" ma:versionID="7eaf3ad2d668de3d38106c004da69f2b">
  <xsd:schema xmlns:xsd="http://www.w3.org/2001/XMLSchema" xmlns:xs="http://www.w3.org/2001/XMLSchema" xmlns:p="http://schemas.microsoft.com/office/2006/metadata/properties" xmlns:ns2="c9707976-b9a4-4d64-b46b-225405a11850" targetNamespace="http://schemas.microsoft.com/office/2006/metadata/properties" ma:root="true" ma:fieldsID="86f2cd098e59bbfb00d67e1ebecfae36" ns2:_="">
    <xsd:import namespace="c9707976-b9a4-4d64-b46b-225405a1185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07976-b9a4-4d64-b46b-225405a118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7F1D1A-A7A5-464A-9B4F-D5FD37E4BC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707976-b9a4-4d64-b46b-225405a11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7946EE-955F-40E7-A068-CB7BBB638993}">
  <ds:schemaRefs>
    <ds:schemaRef ds:uri="http://purl.org/dc/elements/1.1/"/>
    <ds:schemaRef ds:uri="http://purl.org/dc/terms/"/>
    <ds:schemaRef ds:uri="c9707976-b9a4-4d64-b46b-225405a11850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B054BC3-CCA4-4586-9B37-87D3D0CF80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 Page</vt:lpstr>
      <vt:lpstr>Analysis</vt:lpstr>
      <vt:lpstr>Data</vt:lpstr>
      <vt:lpstr>Reference</vt:lpstr>
      <vt:lpstr>'Cover Page'!Print_Area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lastPrinted>2015-11-16T23:20:18Z</cp:lastPrinted>
  <dcterms:created xsi:type="dcterms:W3CDTF">2015-11-11T19:37:07Z</dcterms:created>
  <dcterms:modified xsi:type="dcterms:W3CDTF">2017-01-11T21:54:22Z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0x010100995F11FE97CC0B4B99B15CE895FECCD9</vt:lpwstr>
  </property>
</Properties>
</file>