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hidePivotFieldList="1"/>
  <bookViews>
    <workbookView xWindow="1500" yWindow="690" windowWidth="5070" windowHeight="5850" tabRatio="685"/>
  </bookViews>
  <sheets>
    <sheet name="Cover Page" sheetId="20" r:id="rId1"/>
    <sheet name="Analysis" sheetId="3" r:id="rId2"/>
    <sheet name="Summary" sheetId="19" r:id="rId3"/>
    <sheet name="Likelihood Before" sheetId="14" r:id="rId4"/>
    <sheet name="P1" sheetId="16" r:id="rId5"/>
    <sheet name="P2" sheetId="17" r:id="rId6"/>
    <sheet name="P3" sheetId="18" r:id="rId7"/>
    <sheet name="P of Neighbors out" sheetId="15" state="hidden" r:id="rId8"/>
    <sheet name="P1 FaultTree" sheetId="10" state="hidden" r:id="rId9"/>
    <sheet name="P2 FaultTree" sheetId="11" state="hidden" r:id="rId10"/>
    <sheet name="P3 FaultTree" sheetId="13" state="hidden" r:id="rId11"/>
    <sheet name="Reference" sheetId="7" r:id="rId12"/>
  </sheets>
  <externalReferences>
    <externalReference r:id="rId13"/>
    <externalReference r:id="rId14"/>
    <externalReference r:id="rId15"/>
  </externalReferences>
  <definedNames>
    <definedName name="ExpResult" localSheetId="0">#REF!</definedName>
    <definedName name="ExpResult" localSheetId="5">#REF!</definedName>
    <definedName name="ExpResult" localSheetId="6">#REF!</definedName>
    <definedName name="ExpResult" localSheetId="10">#REF!</definedName>
    <definedName name="ExpResult">#REF!</definedName>
    <definedName name="InputVal" localSheetId="5">#REF!</definedName>
    <definedName name="InputVal" localSheetId="6">#REF!</definedName>
    <definedName name="InputVal" localSheetId="10">#REF!</definedName>
    <definedName name="InputVal">#REF!</definedName>
    <definedName name="InputValDivMaxTimes10" localSheetId="5">#REF!</definedName>
    <definedName name="InputValDivMaxTimes10" localSheetId="6">#REF!</definedName>
    <definedName name="InputValDivMaxTimes10" localSheetId="10">#REF!</definedName>
    <definedName name="InputValDivMaxTimes10">#REF!</definedName>
    <definedName name="_xlnm.Print_Area" localSheetId="0">'Cover Page'!$A$1:$A$27</definedName>
    <definedName name="Rho" localSheetId="5">#REF!</definedName>
    <definedName name="Rho" localSheetId="6">#REF!</definedName>
    <definedName name="Rho" localSheetId="10">#REF!</definedName>
    <definedName name="Rho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3" i="3" l="1"/>
  <c r="E5" i="19" l="1"/>
  <c r="E6" i="19"/>
  <c r="E4" i="19"/>
  <c r="D6" i="19"/>
  <c r="D5" i="19"/>
  <c r="D4" i="19"/>
  <c r="D3" i="19"/>
  <c r="E3" i="19"/>
  <c r="E2" i="19"/>
  <c r="D2" i="19"/>
  <c r="D28" i="3" l="1"/>
  <c r="J15" i="3" l="1"/>
  <c r="J14" i="3"/>
  <c r="J17" i="3"/>
  <c r="J16" i="3"/>
  <c r="K14" i="3"/>
  <c r="N25" i="14" l="1"/>
  <c r="S53" i="16"/>
  <c r="X44" i="16"/>
  <c r="I57" i="16" l="1"/>
  <c r="I46" i="16" s="1"/>
  <c r="N48" i="16"/>
  <c r="N44" i="16" s="1"/>
  <c r="I33" i="16"/>
  <c r="I23" i="16"/>
  <c r="N21" i="14"/>
  <c r="I27" i="14"/>
  <c r="A7" i="16" l="1"/>
  <c r="N59" i="16" l="1"/>
  <c r="N55" i="16" s="1"/>
  <c r="S50" i="16"/>
  <c r="S46" i="16" s="1"/>
  <c r="N35" i="16"/>
  <c r="N31" i="16" s="1"/>
  <c r="K35" i="16" s="1"/>
  <c r="F30" i="16" s="1"/>
  <c r="H3" i="19"/>
  <c r="H2" i="19"/>
  <c r="H5" i="19"/>
  <c r="B22" i="15" l="1"/>
  <c r="D17" i="15"/>
  <c r="D20" i="15" s="1"/>
  <c r="D4" i="15"/>
  <c r="D6" i="15" s="1"/>
  <c r="B2" i="15"/>
  <c r="I23" i="14"/>
  <c r="I15" i="14"/>
  <c r="N11" i="14"/>
  <c r="N7" i="14" s="1"/>
  <c r="I9" i="14"/>
  <c r="N20" i="10"/>
  <c r="N16" i="10" l="1"/>
  <c r="N12" i="10" s="1"/>
  <c r="L18" i="11" l="1"/>
  <c r="S18" i="13"/>
  <c r="S15" i="13" s="1"/>
  <c r="N13" i="13"/>
  <c r="I11" i="13"/>
  <c r="I10" i="11" l="1"/>
  <c r="D8" i="11"/>
  <c r="G39" i="10" l="1"/>
  <c r="G42" i="10" s="1"/>
  <c r="G26" i="10"/>
  <c r="G28" i="10" s="1"/>
  <c r="E24" i="10" l="1"/>
  <c r="I22" i="10"/>
  <c r="I14" i="10"/>
  <c r="F20" i="10" l="1"/>
  <c r="D5" i="3" l="1"/>
  <c r="F35" i="14" l="1"/>
  <c r="B24" i="15"/>
  <c r="D13" i="14" s="1"/>
  <c r="P14" i="3"/>
  <c r="E46" i="10"/>
  <c r="B5" i="3"/>
  <c r="H6" i="19"/>
  <c r="H4" i="19"/>
  <c r="D28" i="16" l="1"/>
  <c r="F2" i="14"/>
  <c r="D25" i="14"/>
  <c r="E8" i="18"/>
  <c r="P17" i="3" s="1"/>
  <c r="Q17" i="3" s="1"/>
  <c r="D5" i="14"/>
  <c r="A15" i="10"/>
  <c r="A13" i="13"/>
  <c r="A11" i="11"/>
  <c r="F19" i="14" l="1"/>
  <c r="A32" i="14" s="1"/>
  <c r="D21" i="14"/>
  <c r="D48" i="16"/>
  <c r="D19" i="16"/>
  <c r="A25" i="16" s="1"/>
  <c r="F16" i="16"/>
  <c r="E7" i="16" s="1"/>
  <c r="E44" i="10"/>
  <c r="L16" i="3"/>
  <c r="L17" i="3"/>
  <c r="F42" i="16" l="1"/>
  <c r="D44" i="16"/>
  <c r="E6" i="17"/>
  <c r="P16" i="3" s="1"/>
  <c r="L14" i="3"/>
  <c r="E12" i="16" l="1"/>
  <c r="P15" i="3" s="1"/>
  <c r="E9" i="16"/>
  <c r="L15" i="3"/>
  <c r="D9" i="3"/>
  <c r="U11" i="3" s="1"/>
  <c r="Y16" i="3" l="1"/>
  <c r="Y17" i="3"/>
  <c r="Y14" i="3"/>
  <c r="Y15" i="3"/>
  <c r="D7" i="3"/>
  <c r="S11" i="3" s="1"/>
  <c r="D8" i="3"/>
  <c r="T11" i="3" s="1"/>
  <c r="D6" i="3"/>
  <c r="R11" i="3" s="1"/>
  <c r="AD14" i="3"/>
  <c r="Q16" i="3" l="1"/>
  <c r="Q14" i="3"/>
  <c r="X16" i="3"/>
  <c r="X17" i="3"/>
  <c r="W16" i="3"/>
  <c r="W17" i="3"/>
  <c r="V16" i="3"/>
  <c r="V17" i="3"/>
  <c r="V15" i="3"/>
  <c r="V14" i="3"/>
  <c r="W14" i="3"/>
  <c r="W15" i="3"/>
  <c r="X14" i="3"/>
  <c r="X15" i="3"/>
  <c r="E5" i="3"/>
  <c r="Z16" i="3" l="1"/>
  <c r="AA16" i="3" s="1"/>
  <c r="Z14" i="3"/>
  <c r="AA14" i="3" s="1"/>
  <c r="AC16" i="3" l="1"/>
  <c r="AC14" i="3"/>
  <c r="I12" i="7"/>
  <c r="I11" i="7"/>
  <c r="I29" i="7"/>
  <c r="I10" i="7"/>
  <c r="I18" i="7"/>
  <c r="I17" i="7"/>
  <c r="I16" i="7"/>
  <c r="I9" i="7"/>
  <c r="I19" i="7"/>
  <c r="I3" i="7"/>
  <c r="I15" i="7"/>
  <c r="I14" i="7"/>
  <c r="I8" i="7"/>
  <c r="I27" i="7"/>
  <c r="I26" i="7"/>
  <c r="I13" i="7"/>
  <c r="I7" i="7"/>
  <c r="I6" i="7"/>
  <c r="I5" i="7"/>
  <c r="P8" i="7"/>
  <c r="I25" i="7"/>
  <c r="P7" i="7"/>
  <c r="I4" i="7"/>
  <c r="P6" i="7"/>
  <c r="I2" i="7"/>
  <c r="P5" i="7"/>
  <c r="I24" i="7"/>
  <c r="P4" i="7"/>
  <c r="I23" i="7"/>
  <c r="P3" i="7"/>
  <c r="I22" i="7"/>
  <c r="P2" i="7"/>
  <c r="I21" i="7"/>
  <c r="AE14" i="3" l="1"/>
  <c r="I20" i="7"/>
  <c r="I28" i="7"/>
  <c r="I2" i="19" l="1"/>
  <c r="G2" i="19" s="1"/>
  <c r="I3" i="19"/>
  <c r="G3" i="19" s="1"/>
  <c r="D18" i="10"/>
  <c r="D8" i="10" l="1"/>
  <c r="Q31" i="10"/>
  <c r="Q15" i="3" s="1"/>
  <c r="Z15" i="3" s="1"/>
  <c r="AA15" i="3" s="1"/>
  <c r="AC15" i="3" s="1"/>
  <c r="D13" i="13"/>
  <c r="A24" i="10"/>
  <c r="I28" i="13" l="1"/>
  <c r="Z17" i="3" s="1"/>
  <c r="AA17" i="3" s="1"/>
  <c r="AC17" i="3" s="1"/>
  <c r="D9" i="13"/>
  <c r="K15" i="3" l="1"/>
  <c r="AD15" i="3" s="1"/>
  <c r="AE15" i="3" s="1"/>
  <c r="I4" i="19" l="1"/>
  <c r="G4" i="19" l="1"/>
  <c r="K16" i="3"/>
  <c r="AD16" i="3" s="1"/>
  <c r="AE16" i="3" s="1"/>
  <c r="I5" i="19" l="1"/>
  <c r="G5" i="19" l="1"/>
  <c r="K17" i="3"/>
  <c r="AD17" i="3" s="1"/>
  <c r="AE17" i="3" s="1"/>
  <c r="I6" i="19" l="1"/>
  <c r="AF14" i="3"/>
  <c r="AF17" i="3"/>
  <c r="AF16" i="3"/>
  <c r="AF15" i="3"/>
  <c r="AL14" i="3" l="1"/>
  <c r="AL15" i="3" s="1"/>
  <c r="AL16" i="3" s="1"/>
  <c r="AL17" i="3" s="1"/>
  <c r="AJ17" i="3"/>
  <c r="AJ14" i="3"/>
  <c r="AJ16" i="3"/>
  <c r="AK14" i="3"/>
  <c r="AK15" i="3" s="1"/>
  <c r="AK16" i="3" s="1"/>
  <c r="AK17" i="3" s="1"/>
  <c r="AJ15" i="3"/>
  <c r="J4" i="19"/>
  <c r="G6" i="19"/>
  <c r="J6" i="19"/>
  <c r="J2" i="19"/>
  <c r="J5" i="19"/>
  <c r="J3" i="19"/>
  <c r="AM15" i="3" l="1"/>
  <c r="AN15" i="3"/>
  <c r="AO15" i="3" s="1"/>
  <c r="AN17" i="3"/>
  <c r="AO17" i="3" s="1"/>
  <c r="AM17" i="3"/>
  <c r="AN16" i="3"/>
  <c r="AO16" i="3" s="1"/>
  <c r="AM16" i="3"/>
  <c r="AM14" i="3"/>
  <c r="AN14" i="3"/>
</calcChain>
</file>

<file path=xl/sharedStrings.xml><?xml version="1.0" encoding="utf-8"?>
<sst xmlns="http://schemas.openxmlformats.org/spreadsheetml/2006/main" count="763" uniqueCount="235">
  <si>
    <t>Financial</t>
  </si>
  <si>
    <t>Frequency</t>
  </si>
  <si>
    <t>Baseline Residual Risk</t>
  </si>
  <si>
    <t>Original Baseline</t>
  </si>
  <si>
    <t>Safety Consequence</t>
  </si>
  <si>
    <t>Reliability Consequence</t>
  </si>
  <si>
    <t>Compliance Consequence</t>
  </si>
  <si>
    <t>Financial Consequence</t>
  </si>
  <si>
    <t>(000s)</t>
  </si>
  <si>
    <t>Enable</t>
  </si>
  <si>
    <t>Project ID</t>
  </si>
  <si>
    <t>Name</t>
  </si>
  <si>
    <t>Capital Cost (Life of Project)</t>
  </si>
  <si>
    <t>OM Cost (Annual)</t>
  </si>
  <si>
    <t>Annuity</t>
  </si>
  <si>
    <t>New/Existing</t>
  </si>
  <si>
    <t>Life of the Project</t>
  </si>
  <si>
    <t>Frequency %</t>
  </si>
  <si>
    <t>Safety</t>
  </si>
  <si>
    <t>Reliability</t>
  </si>
  <si>
    <t>Compliance</t>
  </si>
  <si>
    <t>Existing</t>
  </si>
  <si>
    <t>Weights on Each Mitigation</t>
  </si>
  <si>
    <t>Annuity instead of Capital Cost</t>
  </si>
  <si>
    <t>Probability</t>
  </si>
  <si>
    <t>1 - Risk Starting Value Lookup Question</t>
  </si>
  <si>
    <t>AA1 Frequency</t>
  </si>
  <si>
    <t>AA2 Safety Consequence</t>
  </si>
  <si>
    <t>AA3 Reliability Consequence</t>
  </si>
  <si>
    <t>AA4 Compliance Consequence</t>
  </si>
  <si>
    <t>AA5 Financial Consequence</t>
  </si>
  <si>
    <t>AA6 Baseline Risk Score</t>
  </si>
  <si>
    <t>Calculated Baseline</t>
  </si>
  <si>
    <t>Consequence</t>
  </si>
  <si>
    <t>SCG - Catastrophic Damage involving Gas Infrastructure (Dig-Ins)</t>
  </si>
  <si>
    <t>SCG - Catastrophic Damage Involving Gas Transmission Pipeline Failure</t>
  </si>
  <si>
    <t>SCG - Catastrophic Damage involving Medium and Non-DOT Pipeline Failure</t>
  </si>
  <si>
    <t>Before</t>
  </si>
  <si>
    <t>SCG - Catastrophic Event related to Storage Well Integrity</t>
  </si>
  <si>
    <t>SCG - Cyber Security</t>
  </si>
  <si>
    <t>SCG - Employee, Contractor, Customer and Public  Safety</t>
  </si>
  <si>
    <t>SCG - Physical Security of Critical Infrastructure</t>
  </si>
  <si>
    <t>SCG - Records Management</t>
  </si>
  <si>
    <t>SCG - Workforce Planning</t>
  </si>
  <si>
    <t>Weights</t>
  </si>
  <si>
    <t>SCG - Workplace Violence</t>
  </si>
  <si>
    <t>SDGE - Aviation Incident</t>
  </si>
  <si>
    <t>SDGE - Catastrophic Damage involving Gas Infrastructure (Dig-Ins)</t>
  </si>
  <si>
    <t>SDGE - Catastrophic Damage Involving Gas Transmission Pipeline Failure</t>
  </si>
  <si>
    <t>Impact</t>
  </si>
  <si>
    <t>SDGE - Catastrophic Damage Involving Medium and non-DOT Pipeline Failure</t>
  </si>
  <si>
    <t>SDGE - Cyber Security</t>
  </si>
  <si>
    <t>Finance</t>
  </si>
  <si>
    <t>SDGE - Distributed Energy Resources (DERs) Safety and Operational Concerns</t>
  </si>
  <si>
    <t>SDGE - Electric Infrastructure Integrity</t>
  </si>
  <si>
    <t>SDGE - Employee, Contractor &amp; Public Safety</t>
  </si>
  <si>
    <t>SDGE - Fail to Black Start</t>
  </si>
  <si>
    <t>SDGE - Major Disturbance to Electrical Service (e.g. Blackout)</t>
  </si>
  <si>
    <t>SDGE - Public Safety Events - Electric</t>
  </si>
  <si>
    <t>SDGE - Records Management</t>
  </si>
  <si>
    <t>SDGE - Violation of Environmental Policies/Procedures</t>
  </si>
  <si>
    <t>SDGE - Wildfires caused by SDG&amp;E Equipment (including 3rd Party Pole Attachments)</t>
  </si>
  <si>
    <t>After</t>
  </si>
  <si>
    <t>SDGE - Workforce Planning</t>
  </si>
  <si>
    <t>SDGE - Workplace Violence</t>
  </si>
  <si>
    <t>Cost</t>
  </si>
  <si>
    <t>Ordered Cumulative Cost</t>
  </si>
  <si>
    <t>Baseline</t>
  </si>
  <si>
    <t>New Frequency</t>
  </si>
  <si>
    <t>New Score</t>
  </si>
  <si>
    <t>New Consequence Scores, weighted</t>
  </si>
  <si>
    <t>Rank</t>
  </si>
  <si>
    <t>Mitigation Weight</t>
  </si>
  <si>
    <t>SDGE - Climate Change Adaptation</t>
  </si>
  <si>
    <t>SDGE - Unmanned Aircraft System (UAS) Incident</t>
  </si>
  <si>
    <t>2, 8</t>
  </si>
  <si>
    <t>P1</t>
  </si>
  <si>
    <t>P2</t>
  </si>
  <si>
    <t>New</t>
  </si>
  <si>
    <t>Ordered Mitigations</t>
  </si>
  <si>
    <t>Annual or total?</t>
  </si>
  <si>
    <t>The South Grid Black-Start Project</t>
  </si>
  <si>
    <t>Transmission Energy Management System Modernization Project</t>
  </si>
  <si>
    <t>P3</t>
  </si>
  <si>
    <t>Substation Auxillary Power System (fuel cells)</t>
  </si>
  <si>
    <t>Scores</t>
  </si>
  <si>
    <t>Score Category</t>
  </si>
  <si>
    <t>Risk</t>
  </si>
  <si>
    <t>B1 &amp; B2</t>
  </si>
  <si>
    <t>• MEF I and II blackstart generators maintenance and testing programs
• Biannual certification of MEF I and II as blackstart units
• Maintenance of Orange Grove as a blackstart ressource through current Power Purchase Agreement (PPA)(SDG&amp;E does not incur any cost specific to this mitigation)
• Annual SDG&amp;E blackstart/system restoration training and drill
• Development and coordination of Blackstart plans with CAISO, Peak RC, and neighboring utilities through annual SDG&amp;E EOP5005 procedure update</t>
  </si>
  <si>
    <t xml:space="preserve">Add blackstart capabilities to the southern part of the SDG&amp;E electric system                   </t>
  </si>
  <si>
    <t xml:space="preserve">Upgrade antiquated EMS visualization tool and control room. </t>
  </si>
  <si>
    <t xml:space="preserve">Use fuel cells to provide backup power at major substations and substations on the Blackstart Cranking Paths. </t>
  </si>
  <si>
    <t/>
  </si>
  <si>
    <t>Value Measure</t>
  </si>
  <si>
    <t>U-Value</t>
  </si>
  <si>
    <t>PCP = Probability that cranking path is unavailable = ?????</t>
  </si>
  <si>
    <t>SDG&amp;E is in blackout</t>
  </si>
  <si>
    <t>At least one neighbor on interconnect is not blacked out</t>
  </si>
  <si>
    <t>All 4 critical neighboring interconnect utilities affected</t>
  </si>
  <si>
    <t>Successful Blackstart</t>
  </si>
  <si>
    <t>Palomar is not undergoing maintenance</t>
  </si>
  <si>
    <t>(Given)</t>
  </si>
  <si>
    <t>Option 1: 1/25 years = 0.04</t>
  </si>
  <si>
    <t xml:space="preserve">Option 2: </t>
  </si>
  <si>
    <t>US Population</t>
  </si>
  <si>
    <t># of publicly owned utilities</t>
  </si>
  <si>
    <t>Average size of utility</t>
  </si>
  <si>
    <t>Average size of utility x4</t>
  </si>
  <si>
    <t>(4 simultaneously blackout)</t>
  </si>
  <si>
    <t># of events per year effecting 640,000 or more customers</t>
  </si>
  <si>
    <t>Year</t>
  </si>
  <si>
    <t># of events</t>
  </si>
  <si>
    <t>Total</t>
  </si>
  <si>
    <t>Average</t>
  </si>
  <si>
    <t>http://www.oe.netl.doe.gov/OE417_annual_summary.aspx</t>
  </si>
  <si>
    <t>Average events/# utlities</t>
  </si>
  <si>
    <t>significant 4-utility wide blackout events per utility per year</t>
  </si>
  <si>
    <t>Option 3:</t>
  </si>
  <si>
    <t>Likelihood of SDG&amp;E and neighbors being out simultaneously = once in 30 to 100 years</t>
  </si>
  <si>
    <t>(1/25 years, from http://www.scientificamerican.com/article/2003-blackout-five-years-later/)</t>
  </si>
  <si>
    <t>Palomar is unavailable (2 months/year)</t>
  </si>
  <si>
    <t>Path 1 unavailable 89.92 minutes per year, or 0.00017</t>
  </si>
  <si>
    <t>Path 2 unavailable 462.65 minutes per year, or 0.00083</t>
  </si>
  <si>
    <t xml:space="preserve">P0 = probability of black out </t>
  </si>
  <si>
    <t xml:space="preserve">PP = Probability that Palomar is off-line </t>
  </si>
  <si>
    <t>P = P0 * (PP  + PCP)               (or P0 * PP * PCP?)</t>
  </si>
  <si>
    <t>Where:</t>
  </si>
  <si>
    <t>PE = Probability of making an error that fails black start</t>
  </si>
  <si>
    <t>P0 = Probability of black out (assumes this is the probability of a massive west coast blackout involving all four critical neighboring interconnect utilities)</t>
  </si>
  <si>
    <t>P = P0 * PE</t>
  </si>
  <si>
    <t>No error</t>
  </si>
  <si>
    <t>Making an error</t>
  </si>
  <si>
    <t>Failure to blackstart</t>
  </si>
  <si>
    <t>P0 = Probability of neighbors simultaneously blacked out, necessitating blackstart scenario = 0.018 (assumes this is the probability of a massive west coast blackout involving all four critical neighboring interconnect utilities)</t>
  </si>
  <si>
    <t xml:space="preserve">PBR = Probability of breaker not operating is the cause of a fail to restart = 0.5 </t>
  </si>
  <si>
    <t xml:space="preserve">PBAT = Probability that battery system is the reason for the failure = 0.25 </t>
  </si>
  <si>
    <t>PF = Percent of locations needing backups fuel cells that will have them installed = 1.0 (Note: The project include all breakers in the cranking path)</t>
  </si>
  <si>
    <t>P8 = Probability of black out lasting eight hours or more = 79.5%</t>
  </si>
  <si>
    <t>P = P0 * PBR * PBAT * PF * P8</t>
  </si>
  <si>
    <t>Breaker operating</t>
  </si>
  <si>
    <t>Breaker not operating</t>
  </si>
  <si>
    <t>Battery system not reason for failure</t>
  </si>
  <si>
    <t>Battery system reason for failure</t>
  </si>
  <si>
    <t>Blackout lasting less than 8 hours</t>
  </si>
  <si>
    <t>Blackout lasting longer than 8 hours</t>
  </si>
  <si>
    <t>Percent of locations needing backup fuel cells that will have them installed</t>
  </si>
  <si>
    <t>New likelihood (given SDG&amp;E is in a blackout)</t>
  </si>
  <si>
    <t>P8</t>
  </si>
  <si>
    <t>PBR</t>
  </si>
  <si>
    <t>PBAT</t>
  </si>
  <si>
    <t>At least 1 craking path available</t>
  </si>
  <si>
    <t>Both cranking paths unavailable</t>
  </si>
  <si>
    <t>failure to blackstart</t>
  </si>
  <si>
    <t>New path is unavailable</t>
  </si>
  <si>
    <t>New path availability</t>
  </si>
  <si>
    <t>Successful blackstart</t>
  </si>
  <si>
    <t>Option 4:</t>
  </si>
  <si>
    <t>The probability of the neighbors being out = 0.018/(palomar and cranking paths out)</t>
  </si>
  <si>
    <t>palomar and the cranking paths are out, and the neighbors being out = 0.0183, according to the blackout risk</t>
  </si>
  <si>
    <t>Blackout less than 8 hours:</t>
  </si>
  <si>
    <t>20.5% of the time</t>
  </si>
  <si>
    <t>79.5% of the time</t>
  </si>
  <si>
    <t>Palomar is available</t>
  </si>
  <si>
    <t>Palomar is unavailable (batteries expired after 8 hours)</t>
  </si>
  <si>
    <t>Less than 8 hours = likelihood before * Probability of new path unavailable</t>
  </si>
  <si>
    <t>Probability of New Path Unavailable</t>
  </si>
  <si>
    <t>New P1 Likelihood</t>
  </si>
  <si>
    <t>Redundant Path</t>
  </si>
  <si>
    <t>New Display</t>
  </si>
  <si>
    <t>New P2 Likelihood</t>
  </si>
  <si>
    <t>Effectiveness</t>
  </si>
  <si>
    <t>Fuel Cells</t>
  </si>
  <si>
    <t>Less or greater than 8 hours same</t>
  </si>
  <si>
    <t>New P3 Likelihood</t>
  </si>
  <si>
    <t>Blackout greater than 8 hours:</t>
  </si>
  <si>
    <t>SDG&amp;E is in blackout (given)</t>
  </si>
  <si>
    <t>Failure to Blackstart Likelihood (given SDG&amp;E is in a blackout)</t>
  </si>
  <si>
    <t>Less than 8 hours: 20.5% of the time</t>
  </si>
  <si>
    <t>Greater than 8 hours: 79.5% of the time</t>
  </si>
  <si>
    <t>B1</t>
  </si>
  <si>
    <t>• MEF I and II blackstart generators maintenance and testing programs
• Biannual certification of MEF I and II as blackstart units
• Maintenance of Orange Grove as a blackstart ressource through current Power Purchase Agreement (PPA)(SDG&amp;E does not incur any cost specific to this mitigation)</t>
  </si>
  <si>
    <t>• Annual SDG&amp;E blackstart/system restoration training and drill
• Development and coordination of Blackstart plans with CAISO, Peak RC, and neighboring utilities through annual SDG&amp;E EOP5005 procedure update</t>
  </si>
  <si>
    <t>Maintenance, Certification, and testing of existing  Blackstart Ressources</t>
  </si>
  <si>
    <t xml:space="preserve">Blackstart training and procedure development </t>
  </si>
  <si>
    <t>B2</t>
  </si>
  <si>
    <t>Over time, the likelihood of failure to blackstart, without maintenance and training, will increase to 100%.  After 3 years, the likelihood of failure will go to 30%.  (The likelihood of being able to blackstart, after 1 year of no training or maintenace, was assumed to be around 80-90%; after 2 years, 70-80%; after 3 years, 40-60%.  This is an average of 70% success over the 3 years.  The average likelihood of failing to blackstart, after 3 years, was therefore assumed to be 30%.)</t>
  </si>
  <si>
    <t>P=PN*[0.205*(PPU)+0.795*(PPU)]</t>
  </si>
  <si>
    <t>P=PN*[PPU]</t>
  </si>
  <si>
    <t>P=0.022*1/6</t>
  </si>
  <si>
    <t>This was given a score of 2</t>
  </si>
  <si>
    <t>Cranking paths are in parallel, rather than in sequence.</t>
  </si>
  <si>
    <t>Probability = SDGE in blackout (given) * neighbors in blackout * Palomar unavailable * 20.5%</t>
  </si>
  <si>
    <t>Likelihood of Failure to Blackstart Before Mitigations (given SDGE in blackout) = 0.0183</t>
  </si>
  <si>
    <t>Probability = SDGE in blackout (given) * neighbors in blackout * (Palomar unavailable or Palomar available but batteries fail) * 79.5%</t>
  </si>
  <si>
    <t>Total = SDGE in blackout (given) * neighbors in blackout * Palomar unavailable * 20.5% + SDGE in blackout (given) * neighbors in blackout * (Palomar unavailable or Palomar available but batteries fail) * 79.5%</t>
  </si>
  <si>
    <t>P=Failure to blackstart; PN=neighbors out; PPU=Palomar unavailable; PBF=batteries fail</t>
  </si>
  <si>
    <t>P=PN*[0.205*(PPU)+0.795*(PPU+(1-PPU)*PBF)]</t>
  </si>
  <si>
    <t>With this mitigation, events lasting longer than 8 hours can still be blackstarted 100% of the time, if Palomar is available.  New Probability = neighbors in blackout * 100% * Palomar unavailable</t>
  </si>
  <si>
    <t>0.0183=PN*[0.205*(1/6)+0.795*(1/6+5/6*0.25*0.25)]</t>
  </si>
  <si>
    <t>Batteries fail for both cranking paths</t>
  </si>
  <si>
    <t>Batteries work for both cranking paths</t>
  </si>
  <si>
    <t>Pio Pico is available</t>
  </si>
  <si>
    <t>Pio Pico is unavailable</t>
  </si>
  <si>
    <t>Batteries fail for both Palomar cranking paths</t>
  </si>
  <si>
    <t>Batteries work for either (or both) Palomar cranking paths</t>
  </si>
  <si>
    <t>Batteries work for Pio Pico's 1 cranking path</t>
  </si>
  <si>
    <t>Batteries fail for Pio Pico's 1 cranking path</t>
  </si>
  <si>
    <t>Palomar is unavailable</t>
  </si>
  <si>
    <t>Greater than 8 hours = (see below)</t>
  </si>
  <si>
    <t>The new visualization tool reduces the likelihood of failing to blackstart by 10%.  New probability = original probability of failure to blackstart * 90%</t>
  </si>
  <si>
    <t>Maintenance, certification, testing, and training</t>
  </si>
  <si>
    <t>Controls</t>
  </si>
  <si>
    <t>Adjusted Baseline</t>
  </si>
  <si>
    <t>Adjustment Factor</t>
  </si>
  <si>
    <t>The adjustment factor was used to account for this risk to be contingent on having a blackout.</t>
  </si>
  <si>
    <t>Description</t>
  </si>
  <si>
    <t>Capital Cost (2017-2019)</t>
  </si>
  <si>
    <t>OM Cost (2017-2019 average)</t>
  </si>
  <si>
    <t>Rationale</t>
  </si>
  <si>
    <t>New Score (for life of project)</t>
  </si>
  <si>
    <t>RSE</t>
  </si>
  <si>
    <t>Ordered Cumulative New Score</t>
  </si>
  <si>
    <t>Derived New Scores</t>
  </si>
  <si>
    <r>
      <t>↓</t>
    </r>
    <r>
      <rPr>
        <sz val="12.65"/>
        <rFont val="Calibri"/>
        <family val="2"/>
      </rPr>
      <t>Probability of a failure to blackstart</t>
    </r>
  </si>
  <si>
    <t>This mitigation provides a redundancy to Palomar.  New Probability = neighbors in blackout * [20.5% * Palomar unavailable * Redundant Path Unavailable + 79.5% * ((Palomar unavailable * Redundant Path unavailale or Redundant Path available but batteries fail) + Palomar available but batteries fail * Redundant Path unavailale or Redundant Path available but batteries fail)]</t>
  </si>
  <si>
    <t>*SME (8/18): For the availability of Pio Pico, it might be better to use the availability of Palomar (1/6 unavailable)</t>
  </si>
  <si>
    <t>P=PN*[0.205*(PPU)*[Redundant Path Unavailable]+0.795*(PPU*[Redundant Path Unavailable or available but batteries fail]+(1-PPU)*PBF*[Redundant Path Unavailable or available but batteries fail])]</t>
  </si>
  <si>
    <t xml:space="preserve">Maintenance, Certification, and testing of existing  Blackstart Resources &amp; Blackstart training and procedure development </t>
  </si>
  <si>
    <t>2016 Risk Assessment Mitigation Phase</t>
  </si>
  <si>
    <t>Investigation 16-10-015</t>
  </si>
  <si>
    <t>Risk Spend Efficiency Workpapers to</t>
  </si>
  <si>
    <t>January 2017</t>
  </si>
  <si>
    <t>Fail to Blackstart</t>
  </si>
  <si>
    <t>(Chapter SDG&amp;E-6-WP-RSE)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</si>
</sst>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0"/>
    <numFmt numFmtId="167" formatCode="_-* #,##0_-;\-* #,##0_-;_-* &quot;-&quot;??_-;_-@_-"/>
    <numFmt numFmtId="168" formatCode="_-&quot;$&quot;* #,##0.00_-;\-&quot;$&quot;* #,##0.00_-;_-&quot;$&quot;* &quot;-&quot;??_-;_-@_-"/>
    <numFmt numFmtId="169" formatCode="0.0%"/>
    <numFmt numFmtId="170" formatCode="0.00000"/>
    <numFmt numFmtId="171" formatCode="&quot;$&quot;#,##0.00"/>
    <numFmt numFmtId="172" formatCode="0.0000000"/>
    <numFmt numFmtId="173" formatCode="0.000000000"/>
    <numFmt numFmtId="174" formatCode="&quot;$&quot;#,##0"/>
    <numFmt numFmtId="175" formatCode="_(* #,##0.0000_);_(* \(#,##0.0000\);_(* &quot;-&quot;??_);_(@_)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sz val="12"/>
      <color theme="0"/>
      <name val="Arial"/>
      <family val="2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</font>
    <font>
      <sz val="12.65"/>
      <name val="Calibri"/>
      <family val="2"/>
    </font>
    <font>
      <sz val="11"/>
      <color rgb="FF006100"/>
      <name val="Calibri"/>
      <family val="2"/>
      <scheme val="minor"/>
    </font>
    <font>
      <b/>
      <sz val="28"/>
      <color rgb="FFFF0000"/>
      <name val="Times New Roman"/>
      <family val="1"/>
    </font>
    <font>
      <b/>
      <sz val="28"/>
      <name val="Times New Roman"/>
      <family val="1"/>
    </font>
    <font>
      <b/>
      <sz val="28"/>
      <color theme="1"/>
      <name val="Times New Roman"/>
      <family val="1"/>
    </font>
    <font>
      <sz val="11"/>
      <color rgb="FF5A5A5A"/>
      <name val="Times New Roman"/>
      <family val="1"/>
    </font>
    <font>
      <sz val="14"/>
      <color rgb="FF5A5A5A"/>
      <name val="Times New Roman"/>
      <family val="1"/>
    </font>
    <font>
      <sz val="11"/>
      <color indexed="9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</fonts>
  <fills count="5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2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5" fillId="10" borderId="0" applyNumberFormat="0" applyBorder="0" applyAlignment="0" applyProtection="0"/>
    <xf numFmtId="0" fontId="5" fillId="18" borderId="0" applyNumberFormat="0" applyBorder="0" applyAlignment="0" applyProtection="0"/>
    <xf numFmtId="0" fontId="24" fillId="11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5" fillId="22" borderId="0" applyNumberFormat="0" applyBorder="0" applyAlignment="0" applyProtection="0"/>
    <xf numFmtId="0" fontId="26" fillId="26" borderId="12" applyNumberFormat="0" applyAlignment="0" applyProtection="0"/>
    <xf numFmtId="0" fontId="27" fillId="19" borderId="13" applyNumberFormat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5" fillId="15" borderId="0" applyNumberFormat="0" applyBorder="0" applyAlignment="0" applyProtection="0"/>
    <xf numFmtId="0" fontId="18" fillId="4" borderId="0" applyNumberFormat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23" borderId="12" applyNumberFormat="0" applyAlignment="0" applyProtection="0"/>
    <xf numFmtId="0" fontId="33" fillId="0" borderId="17" applyNumberFormat="0" applyFill="0" applyAlignment="0" applyProtection="0"/>
    <xf numFmtId="0" fontId="33" fillId="23" borderId="0" applyNumberFormat="0" applyBorder="0" applyAlignment="0" applyProtection="0"/>
    <xf numFmtId="0" fontId="34" fillId="30" borderId="0"/>
    <xf numFmtId="0" fontId="35" fillId="0" borderId="0"/>
    <xf numFmtId="0" fontId="7" fillId="0" borderId="0"/>
    <xf numFmtId="0" fontId="5" fillId="0" borderId="0"/>
    <xf numFmtId="0" fontId="36" fillId="0" borderId="0"/>
    <xf numFmtId="0" fontId="34" fillId="30" borderId="0"/>
    <xf numFmtId="0" fontId="36" fillId="0" borderId="0"/>
    <xf numFmtId="0" fontId="7" fillId="0" borderId="0"/>
    <xf numFmtId="0" fontId="37" fillId="0" borderId="0"/>
    <xf numFmtId="0" fontId="7" fillId="0" borderId="0"/>
    <xf numFmtId="0" fontId="34" fillId="30" borderId="0"/>
    <xf numFmtId="0" fontId="34" fillId="30" borderId="0"/>
    <xf numFmtId="0" fontId="7" fillId="0" borderId="0"/>
    <xf numFmtId="0" fontId="34" fillId="30" borderId="0"/>
    <xf numFmtId="0" fontId="34" fillId="30" borderId="0"/>
    <xf numFmtId="0" fontId="34" fillId="30" borderId="0"/>
    <xf numFmtId="0" fontId="34" fillId="30" borderId="0"/>
    <xf numFmtId="0" fontId="34" fillId="22" borderId="12" applyNumberFormat="0" applyFont="0" applyAlignment="0" applyProtection="0"/>
    <xf numFmtId="0" fontId="1" fillId="5" borderId="11" applyNumberFormat="0" applyFont="0" applyAlignment="0" applyProtection="0"/>
    <xf numFmtId="0" fontId="38" fillId="26" borderId="18" applyNumberFormat="0" applyAlignment="0" applyProtection="0"/>
    <xf numFmtId="4" fontId="34" fillId="31" borderId="12" applyNumberFormat="0" applyProtection="0">
      <alignment vertical="center"/>
    </xf>
    <xf numFmtId="4" fontId="34" fillId="31" borderId="12" applyNumberFormat="0" applyProtection="0">
      <alignment vertical="center"/>
    </xf>
    <xf numFmtId="4" fontId="39" fillId="32" borderId="12" applyNumberFormat="0" applyProtection="0">
      <alignment vertical="center"/>
    </xf>
    <xf numFmtId="4" fontId="34" fillId="32" borderId="12" applyNumberFormat="0" applyProtection="0">
      <alignment horizontal="left" vertical="center" indent="1"/>
    </xf>
    <xf numFmtId="4" fontId="34" fillId="32" borderId="12" applyNumberFormat="0" applyProtection="0">
      <alignment horizontal="left" vertical="center" indent="1"/>
    </xf>
    <xf numFmtId="0" fontId="40" fillId="31" borderId="19" applyNumberFormat="0" applyProtection="0">
      <alignment horizontal="left" vertical="top" indent="1"/>
    </xf>
    <xf numFmtId="4" fontId="34" fillId="33" borderId="12" applyNumberFormat="0" applyProtection="0">
      <alignment horizontal="left" vertical="center" indent="1"/>
    </xf>
    <xf numFmtId="4" fontId="34" fillId="33" borderId="12" applyNumberFormat="0" applyProtection="0">
      <alignment horizontal="left" vertical="center" indent="1"/>
    </xf>
    <xf numFmtId="4" fontId="34" fillId="34" borderId="12" applyNumberFormat="0" applyProtection="0">
      <alignment horizontal="right" vertical="center"/>
    </xf>
    <xf numFmtId="4" fontId="34" fillId="34" borderId="12" applyNumberFormat="0" applyProtection="0">
      <alignment horizontal="right" vertical="center"/>
    </xf>
    <xf numFmtId="4" fontId="34" fillId="35" borderId="12" applyNumberFormat="0" applyProtection="0">
      <alignment horizontal="right" vertical="center"/>
    </xf>
    <xf numFmtId="4" fontId="34" fillId="35" borderId="12" applyNumberFormat="0" applyProtection="0">
      <alignment horizontal="right" vertical="center"/>
    </xf>
    <xf numFmtId="4" fontId="34" fillId="36" borderId="20" applyNumberFormat="0" applyProtection="0">
      <alignment horizontal="right" vertical="center"/>
    </xf>
    <xf numFmtId="4" fontId="34" fillId="36" borderId="20" applyNumberFormat="0" applyProtection="0">
      <alignment horizontal="right" vertical="center"/>
    </xf>
    <xf numFmtId="4" fontId="34" fillId="37" borderId="12" applyNumberFormat="0" applyProtection="0">
      <alignment horizontal="right" vertical="center"/>
    </xf>
    <xf numFmtId="4" fontId="34" fillId="37" borderId="12" applyNumberFormat="0" applyProtection="0">
      <alignment horizontal="right" vertical="center"/>
    </xf>
    <xf numFmtId="4" fontId="34" fillId="38" borderId="12" applyNumberFormat="0" applyProtection="0">
      <alignment horizontal="right" vertical="center"/>
    </xf>
    <xf numFmtId="4" fontId="34" fillId="38" borderId="12" applyNumberFormat="0" applyProtection="0">
      <alignment horizontal="right" vertical="center"/>
    </xf>
    <xf numFmtId="4" fontId="34" fillId="39" borderId="12" applyNumberFormat="0" applyProtection="0">
      <alignment horizontal="right" vertical="center"/>
    </xf>
    <xf numFmtId="4" fontId="34" fillId="39" borderId="12" applyNumberFormat="0" applyProtection="0">
      <alignment horizontal="right" vertical="center"/>
    </xf>
    <xf numFmtId="4" fontId="34" fillId="40" borderId="12" applyNumberFormat="0" applyProtection="0">
      <alignment horizontal="right" vertical="center"/>
    </xf>
    <xf numFmtId="4" fontId="34" fillId="40" borderId="12" applyNumberFormat="0" applyProtection="0">
      <alignment horizontal="right" vertical="center"/>
    </xf>
    <xf numFmtId="4" fontId="34" fillId="41" borderId="12" applyNumberFormat="0" applyProtection="0">
      <alignment horizontal="right" vertical="center"/>
    </xf>
    <xf numFmtId="4" fontId="34" fillId="41" borderId="12" applyNumberFormat="0" applyProtection="0">
      <alignment horizontal="right" vertical="center"/>
    </xf>
    <xf numFmtId="4" fontId="34" fillId="42" borderId="12" applyNumberFormat="0" applyProtection="0">
      <alignment horizontal="right" vertical="center"/>
    </xf>
    <xf numFmtId="4" fontId="34" fillId="42" borderId="12" applyNumberFormat="0" applyProtection="0">
      <alignment horizontal="right" vertical="center"/>
    </xf>
    <xf numFmtId="4" fontId="34" fillId="43" borderId="20" applyNumberFormat="0" applyProtection="0">
      <alignment horizontal="left" vertical="center" indent="1"/>
    </xf>
    <xf numFmtId="4" fontId="34" fillId="43" borderId="20" applyNumberFormat="0" applyProtection="0">
      <alignment horizontal="left" vertical="center" indent="1"/>
    </xf>
    <xf numFmtId="4" fontId="7" fillId="44" borderId="20" applyNumberFormat="0" applyProtection="0">
      <alignment horizontal="left" vertical="center" indent="1"/>
    </xf>
    <xf numFmtId="4" fontId="7" fillId="44" borderId="20" applyNumberFormat="0" applyProtection="0">
      <alignment horizontal="left" vertical="center" indent="1"/>
    </xf>
    <xf numFmtId="4" fontId="34" fillId="45" borderId="12" applyNumberFormat="0" applyProtection="0">
      <alignment horizontal="right" vertical="center"/>
    </xf>
    <xf numFmtId="4" fontId="34" fillId="45" borderId="12" applyNumberFormat="0" applyProtection="0">
      <alignment horizontal="right" vertical="center"/>
    </xf>
    <xf numFmtId="4" fontId="34" fillId="46" borderId="20" applyNumberFormat="0" applyProtection="0">
      <alignment horizontal="left" vertical="center" indent="1"/>
    </xf>
    <xf numFmtId="4" fontId="34" fillId="46" borderId="20" applyNumberFormat="0" applyProtection="0">
      <alignment horizontal="left" vertical="center" indent="1"/>
    </xf>
    <xf numFmtId="4" fontId="34" fillId="45" borderId="20" applyNumberFormat="0" applyProtection="0">
      <alignment horizontal="left" vertical="center" indent="1"/>
    </xf>
    <xf numFmtId="4" fontId="34" fillId="45" borderId="20" applyNumberFormat="0" applyProtection="0">
      <alignment horizontal="left" vertical="center" indent="1"/>
    </xf>
    <xf numFmtId="0" fontId="34" fillId="47" borderId="12" applyNumberFormat="0" applyProtection="0">
      <alignment horizontal="left" vertical="center" indent="1"/>
    </xf>
    <xf numFmtId="0" fontId="34" fillId="47" borderId="12" applyNumberFormat="0" applyProtection="0">
      <alignment horizontal="left" vertical="center" indent="1"/>
    </xf>
    <xf numFmtId="0" fontId="34" fillId="44" borderId="19" applyNumberFormat="0" applyProtection="0">
      <alignment horizontal="left" vertical="top" indent="1"/>
    </xf>
    <xf numFmtId="0" fontId="34" fillId="48" borderId="12" applyNumberFormat="0" applyProtection="0">
      <alignment horizontal="left" vertical="center" indent="1"/>
    </xf>
    <xf numFmtId="0" fontId="34" fillId="48" borderId="12" applyNumberFormat="0" applyProtection="0">
      <alignment horizontal="left" vertical="center" indent="1"/>
    </xf>
    <xf numFmtId="0" fontId="34" fillId="45" borderId="19" applyNumberFormat="0" applyProtection="0">
      <alignment horizontal="left" vertical="top" indent="1"/>
    </xf>
    <xf numFmtId="0" fontId="34" fillId="49" borderId="12" applyNumberFormat="0" applyProtection="0">
      <alignment horizontal="left" vertical="center" indent="1"/>
    </xf>
    <xf numFmtId="0" fontId="34" fillId="49" borderId="12" applyNumberFormat="0" applyProtection="0">
      <alignment horizontal="left" vertical="center" indent="1"/>
    </xf>
    <xf numFmtId="0" fontId="34" fillId="49" borderId="19" applyNumberFormat="0" applyProtection="0">
      <alignment horizontal="left" vertical="top" indent="1"/>
    </xf>
    <xf numFmtId="0" fontId="34" fillId="46" borderId="12" applyNumberFormat="0" applyProtection="0">
      <alignment horizontal="left" vertical="center" indent="1"/>
    </xf>
    <xf numFmtId="0" fontId="34" fillId="46" borderId="12" applyNumberFormat="0" applyProtection="0">
      <alignment horizontal="left" vertical="center" indent="1"/>
    </xf>
    <xf numFmtId="0" fontId="34" fillId="46" borderId="19" applyNumberFormat="0" applyProtection="0">
      <alignment horizontal="left" vertical="top" indent="1"/>
    </xf>
    <xf numFmtId="0" fontId="34" fillId="50" borderId="21" applyNumberFormat="0">
      <protection locked="0"/>
    </xf>
    <xf numFmtId="0" fontId="41" fillId="44" borderId="22" applyBorder="0"/>
    <xf numFmtId="4" fontId="42" fillId="51" borderId="19" applyNumberFormat="0" applyProtection="0">
      <alignment vertical="center"/>
    </xf>
    <xf numFmtId="4" fontId="39" fillId="52" borderId="1" applyNumberFormat="0" applyProtection="0">
      <alignment vertical="center"/>
    </xf>
    <xf numFmtId="4" fontId="42" fillId="47" borderId="19" applyNumberFormat="0" applyProtection="0">
      <alignment horizontal="left" vertical="center" indent="1"/>
    </xf>
    <xf numFmtId="0" fontId="42" fillId="51" borderId="19" applyNumberFormat="0" applyProtection="0">
      <alignment horizontal="left" vertical="top" indent="1"/>
    </xf>
    <xf numFmtId="4" fontId="34" fillId="0" borderId="12" applyNumberFormat="0" applyProtection="0">
      <alignment horizontal="right" vertical="center"/>
    </xf>
    <xf numFmtId="4" fontId="34" fillId="0" borderId="12" applyNumberFormat="0" applyProtection="0">
      <alignment horizontal="right" vertical="center"/>
    </xf>
    <xf numFmtId="4" fontId="39" fillId="53" borderId="12" applyNumberFormat="0" applyProtection="0">
      <alignment horizontal="right" vertical="center"/>
    </xf>
    <xf numFmtId="4" fontId="34" fillId="33" borderId="12" applyNumberFormat="0" applyProtection="0">
      <alignment horizontal="left" vertical="center" indent="1"/>
    </xf>
    <xf numFmtId="4" fontId="34" fillId="33" borderId="12" applyNumberFormat="0" applyProtection="0">
      <alignment horizontal="left" vertical="center" indent="1"/>
    </xf>
    <xf numFmtId="0" fontId="42" fillId="45" borderId="19" applyNumberFormat="0" applyProtection="0">
      <alignment horizontal="left" vertical="top" indent="1"/>
    </xf>
    <xf numFmtId="4" fontId="43" fillId="54" borderId="20" applyNumberFormat="0" applyProtection="0">
      <alignment horizontal="left" vertical="center" indent="1"/>
    </xf>
    <xf numFmtId="0" fontId="34" fillId="55" borderId="1"/>
    <xf numFmtId="0" fontId="34" fillId="55" borderId="1"/>
    <xf numFmtId="4" fontId="44" fillId="50" borderId="12" applyNumberFormat="0" applyProtection="0">
      <alignment horizontal="right" vertical="center"/>
    </xf>
    <xf numFmtId="0" fontId="45" fillId="0" borderId="0" applyNumberFormat="0" applyFill="0" applyBorder="0" applyAlignment="0" applyProtection="0"/>
    <xf numFmtId="0" fontId="1" fillId="56" borderId="23">
      <alignment horizontal="center" vertical="center" wrapText="1"/>
    </xf>
    <xf numFmtId="0" fontId="28" fillId="0" borderId="24" applyNumberFormat="0" applyFill="0" applyAlignment="0" applyProtection="0"/>
    <xf numFmtId="0" fontId="46" fillId="0" borderId="0" applyNumberForma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0" fontId="0" fillId="0" borderId="1" xfId="0" applyFill="1" applyBorder="1"/>
    <xf numFmtId="0" fontId="0" fillId="0" borderId="0" xfId="0" applyAlignment="1">
      <alignment wrapText="1"/>
    </xf>
    <xf numFmtId="9" fontId="4" fillId="0" borderId="1" xfId="2" applyFont="1" applyFill="1" applyBorder="1" applyAlignment="1">
      <alignment wrapText="1"/>
    </xf>
    <xf numFmtId="166" fontId="0" fillId="0" borderId="0" xfId="0" applyNumberFormat="1"/>
    <xf numFmtId="0" fontId="0" fillId="0" borderId="0" xfId="0" applyFill="1"/>
    <xf numFmtId="0" fontId="0" fillId="0" borderId="0" xfId="0" quotePrefix="1" applyNumberFormat="1" applyFill="1"/>
    <xf numFmtId="170" fontId="0" fillId="0" borderId="0" xfId="0" quotePrefix="1" applyNumberFormat="1" applyFill="1"/>
    <xf numFmtId="43" fontId="0" fillId="0" borderId="0" xfId="4" quotePrefix="1" applyFont="1" applyFill="1"/>
    <xf numFmtId="43" fontId="0" fillId="0" borderId="0" xfId="4" applyFont="1" applyFill="1"/>
    <xf numFmtId="0" fontId="0" fillId="0" borderId="0" xfId="0" applyFill="1" applyAlignment="1">
      <alignment wrapText="1"/>
    </xf>
    <xf numFmtId="0" fontId="6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12" fillId="0" borderId="0" xfId="0" applyFont="1" applyFill="1"/>
    <xf numFmtId="0" fontId="1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13" fillId="0" borderId="0" xfId="0" applyFont="1"/>
    <xf numFmtId="0" fontId="0" fillId="0" borderId="0" xfId="0" applyNumberFormat="1" applyFont="1"/>
    <xf numFmtId="0" fontId="0" fillId="0" borderId="0" xfId="0" applyFont="1"/>
    <xf numFmtId="0" fontId="0" fillId="2" borderId="0" xfId="0" applyNumberFormat="1" applyFont="1" applyFill="1"/>
    <xf numFmtId="3" fontId="3" fillId="0" borderId="0" xfId="0" applyNumberFormat="1" applyFont="1" applyAlignment="1">
      <alignment horizontal="left"/>
    </xf>
    <xf numFmtId="3" fontId="0" fillId="0" borderId="0" xfId="0" applyNumberForma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Fill="1"/>
    <xf numFmtId="0" fontId="0" fillId="0" borderId="0" xfId="0" applyAlignment="1">
      <alignment horizontal="center"/>
    </xf>
    <xf numFmtId="9" fontId="0" fillId="0" borderId="0" xfId="0" applyNumberFormat="1" applyFont="1"/>
    <xf numFmtId="9" fontId="0" fillId="2" borderId="0" xfId="0" applyNumberFormat="1" applyFill="1"/>
    <xf numFmtId="9" fontId="0" fillId="2" borderId="0" xfId="0" applyNumberFormat="1" applyFont="1" applyFill="1"/>
    <xf numFmtId="0" fontId="11" fillId="3" borderId="0" xfId="0" applyFont="1" applyFill="1"/>
    <xf numFmtId="0" fontId="0" fillId="0" borderId="0" xfId="0" applyNumberFormat="1" applyFont="1" applyFill="1"/>
    <xf numFmtId="173" fontId="0" fillId="0" borderId="0" xfId="0" applyNumberFormat="1" applyFont="1"/>
    <xf numFmtId="2" fontId="0" fillId="0" borderId="0" xfId="0" applyNumberFormat="1" applyFont="1"/>
    <xf numFmtId="2" fontId="0" fillId="0" borderId="0" xfId="0" applyNumberFormat="1"/>
    <xf numFmtId="2" fontId="0" fillId="2" borderId="0" xfId="0" applyNumberFormat="1" applyFont="1" applyFill="1"/>
    <xf numFmtId="0" fontId="0" fillId="0" borderId="0" xfId="0" applyAlignment="1"/>
    <xf numFmtId="0" fontId="3" fillId="0" borderId="0" xfId="0" applyFont="1" applyFill="1" applyAlignment="1">
      <alignment wrapText="1"/>
    </xf>
    <xf numFmtId="0" fontId="12" fillId="0" borderId="1" xfId="0" applyFont="1" applyFill="1" applyBorder="1" applyAlignment="1">
      <alignment wrapText="1"/>
    </xf>
    <xf numFmtId="0" fontId="2" fillId="0" borderId="0" xfId="0" quotePrefix="1" applyNumberFormat="1" applyFont="1" applyFill="1"/>
    <xf numFmtId="0" fontId="2" fillId="0" borderId="0" xfId="0" applyNumberFormat="1" applyFont="1" applyFill="1"/>
    <xf numFmtId="0" fontId="4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165" fontId="0" fillId="0" borderId="1" xfId="4" applyNumberFormat="1" applyFont="1" applyFill="1" applyBorder="1"/>
    <xf numFmtId="0" fontId="7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3" fillId="0" borderId="1" xfId="1" applyNumberFormat="1" applyFont="1" applyFill="1" applyBorder="1"/>
    <xf numFmtId="0" fontId="14" fillId="0" borderId="0" xfId="0" applyFont="1" applyFill="1"/>
    <xf numFmtId="0" fontId="12" fillId="0" borderId="10" xfId="0" applyFont="1" applyFill="1" applyBorder="1"/>
    <xf numFmtId="171" fontId="3" fillId="0" borderId="0" xfId="0" applyNumberFormat="1" applyFont="1" applyFill="1"/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/>
    <xf numFmtId="0" fontId="12" fillId="0" borderId="1" xfId="0" applyFont="1" applyFill="1" applyBorder="1"/>
    <xf numFmtId="0" fontId="3" fillId="0" borderId="1" xfId="0" applyFont="1" applyFill="1" applyBorder="1" applyAlignment="1">
      <alignment horizontal="left"/>
    </xf>
    <xf numFmtId="166" fontId="3" fillId="0" borderId="1" xfId="0" applyNumberFormat="1" applyFont="1" applyFill="1" applyBorder="1"/>
    <xf numFmtId="172" fontId="3" fillId="0" borderId="0" xfId="0" applyNumberFormat="1" applyFont="1" applyFill="1"/>
    <xf numFmtId="0" fontId="3" fillId="0" borderId="1" xfId="0" applyNumberFormat="1" applyFont="1" applyFill="1" applyBorder="1"/>
    <xf numFmtId="166" fontId="3" fillId="0" borderId="0" xfId="0" applyNumberFormat="1" applyFont="1" applyFill="1"/>
    <xf numFmtId="0" fontId="3" fillId="0" borderId="0" xfId="0" quotePrefix="1" applyFont="1" applyFill="1"/>
    <xf numFmtId="0" fontId="12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0" fontId="16" fillId="0" borderId="0" xfId="0" applyFont="1" applyFill="1" applyAlignment="1">
      <alignment wrapText="1"/>
    </xf>
    <xf numFmtId="9" fontId="12" fillId="0" borderId="1" xfId="2" applyFont="1" applyFill="1" applyBorder="1" applyAlignment="1">
      <alignment horizontal="center"/>
    </xf>
    <xf numFmtId="171" fontId="12" fillId="0" borderId="0" xfId="0" applyNumberFormat="1" applyFont="1" applyFill="1"/>
    <xf numFmtId="171" fontId="12" fillId="0" borderId="1" xfId="0" applyNumberFormat="1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14" fontId="3" fillId="0" borderId="0" xfId="0" applyNumberFormat="1" applyFont="1" applyFill="1"/>
    <xf numFmtId="2" fontId="3" fillId="0" borderId="1" xfId="0" applyNumberFormat="1" applyFont="1" applyFill="1" applyBorder="1"/>
    <xf numFmtId="165" fontId="3" fillId="0" borderId="1" xfId="3" applyNumberFormat="1" applyFont="1" applyFill="1" applyBorder="1"/>
    <xf numFmtId="165" fontId="3" fillId="0" borderId="1" xfId="0" applyNumberFormat="1" applyFont="1" applyFill="1" applyBorder="1"/>
    <xf numFmtId="169" fontId="3" fillId="0" borderId="1" xfId="2" applyNumberFormat="1" applyFont="1" applyFill="1" applyBorder="1"/>
    <xf numFmtId="167" fontId="3" fillId="0" borderId="1" xfId="0" applyNumberFormat="1" applyFont="1" applyFill="1" applyBorder="1"/>
    <xf numFmtId="171" fontId="3" fillId="0" borderId="1" xfId="0" applyNumberFormat="1" applyFont="1" applyFill="1" applyBorder="1"/>
    <xf numFmtId="175" fontId="3" fillId="0" borderId="1" xfId="3" applyNumberFormat="1" applyFont="1" applyFill="1" applyBorder="1"/>
    <xf numFmtId="0" fontId="3" fillId="0" borderId="1" xfId="3" applyNumberFormat="1" applyFont="1" applyFill="1" applyBorder="1"/>
    <xf numFmtId="44" fontId="3" fillId="0" borderId="1" xfId="1" applyFont="1" applyFill="1" applyBorder="1"/>
    <xf numFmtId="0" fontId="3" fillId="0" borderId="0" xfId="0" applyFont="1" applyFill="1" applyBorder="1"/>
    <xf numFmtId="43" fontId="3" fillId="0" borderId="0" xfId="0" applyNumberFormat="1" applyFont="1" applyFill="1"/>
    <xf numFmtId="170" fontId="3" fillId="0" borderId="1" xfId="0" applyNumberFormat="1" applyFont="1" applyFill="1" applyBorder="1"/>
    <xf numFmtId="43" fontId="3" fillId="0" borderId="1" xfId="3" applyFont="1" applyFill="1" applyBorder="1"/>
    <xf numFmtId="168" fontId="3" fillId="0" borderId="1" xfId="0" applyNumberFormat="1" applyFont="1" applyFill="1" applyBorder="1"/>
    <xf numFmtId="168" fontId="3" fillId="0" borderId="0" xfId="0" applyNumberFormat="1" applyFont="1" applyFill="1" applyBorder="1"/>
    <xf numFmtId="174" fontId="3" fillId="0" borderId="1" xfId="0" applyNumberFormat="1" applyFont="1" applyFill="1" applyBorder="1"/>
    <xf numFmtId="0" fontId="3" fillId="0" borderId="10" xfId="0" applyFont="1" applyFill="1" applyBorder="1"/>
    <xf numFmtId="9" fontId="3" fillId="0" borderId="0" xfId="0" applyNumberFormat="1" applyFont="1" applyFill="1"/>
    <xf numFmtId="9" fontId="3" fillId="0" borderId="10" xfId="0" applyNumberFormat="1" applyFont="1" applyFill="1" applyBorder="1"/>
    <xf numFmtId="0" fontId="3" fillId="0" borderId="0" xfId="0" applyNumberFormat="1" applyFont="1" applyFill="1"/>
    <xf numFmtId="0" fontId="3" fillId="0" borderId="0" xfId="0" applyFont="1" applyFill="1" applyAlignment="1">
      <alignment vertical="top" wrapText="1"/>
    </xf>
    <xf numFmtId="0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horizontal="center"/>
    </xf>
    <xf numFmtId="2" fontId="3" fillId="0" borderId="0" xfId="0" applyNumberFormat="1" applyFont="1" applyFill="1"/>
    <xf numFmtId="173" fontId="3" fillId="0" borderId="0" xfId="0" applyNumberFormat="1" applyFont="1" applyFill="1"/>
    <xf numFmtId="0" fontId="3" fillId="0" borderId="0" xfId="0" applyFont="1" applyFill="1" applyAlignment="1">
      <alignment horizontal="left"/>
    </xf>
    <xf numFmtId="9" fontId="12" fillId="0" borderId="1" xfId="2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left"/>
    </xf>
    <xf numFmtId="0" fontId="12" fillId="0" borderId="8" xfId="0" applyFont="1" applyFill="1" applyBorder="1" applyAlignment="1">
      <alignment horizontal="left"/>
    </xf>
    <xf numFmtId="0" fontId="12" fillId="0" borderId="9" xfId="0" applyFont="1" applyFill="1" applyBorder="1" applyAlignment="1">
      <alignment horizontal="left"/>
    </xf>
    <xf numFmtId="0" fontId="14" fillId="0" borderId="0" xfId="0" applyFont="1" applyFill="1" applyAlignment="1">
      <alignment horizontal="left"/>
    </xf>
    <xf numFmtId="0" fontId="12" fillId="0" borderId="2" xfId="0" applyFont="1" applyFill="1" applyBorder="1" applyAlignment="1">
      <alignment horizontal="center" vertical="center" textRotation="90" wrapText="1"/>
    </xf>
    <xf numFmtId="166" fontId="3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center" vertical="center"/>
    </xf>
    <xf numFmtId="165" fontId="3" fillId="0" borderId="6" xfId="3" applyNumberFormat="1" applyFont="1" applyFill="1" applyBorder="1" applyAlignment="1">
      <alignment horizontal="center" vertical="center"/>
    </xf>
    <xf numFmtId="165" fontId="3" fillId="0" borderId="5" xfId="3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vertical="center" textRotation="90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7" fontId="23" fillId="0" borderId="0" xfId="0" quotePrefix="1" applyNumberFormat="1" applyFont="1" applyAlignment="1">
      <alignment horizontal="center" vertical="center"/>
    </xf>
  </cellXfs>
  <cellStyles count="726">
    <cellStyle name="Accent1 - 20%" xfId="5"/>
    <cellStyle name="Accent1 - 40%" xfId="6"/>
    <cellStyle name="Accent1 - 60%" xfId="7"/>
    <cellStyle name="Accent1 10" xfId="8"/>
    <cellStyle name="Accent1 100" xfId="9"/>
    <cellStyle name="Accent1 101" xfId="10"/>
    <cellStyle name="Accent1 11" xfId="11"/>
    <cellStyle name="Accent1 12" xfId="12"/>
    <cellStyle name="Accent1 13" xfId="13"/>
    <cellStyle name="Accent1 14" xfId="14"/>
    <cellStyle name="Accent1 15" xfId="15"/>
    <cellStyle name="Accent1 16" xfId="16"/>
    <cellStyle name="Accent1 17" xfId="17"/>
    <cellStyle name="Accent1 18" xfId="18"/>
    <cellStyle name="Accent1 19" xfId="19"/>
    <cellStyle name="Accent1 2" xfId="20"/>
    <cellStyle name="Accent1 20" xfId="21"/>
    <cellStyle name="Accent1 21" xfId="22"/>
    <cellStyle name="Accent1 22" xfId="23"/>
    <cellStyle name="Accent1 23" xfId="24"/>
    <cellStyle name="Accent1 24" xfId="25"/>
    <cellStyle name="Accent1 25" xfId="26"/>
    <cellStyle name="Accent1 26" xfId="27"/>
    <cellStyle name="Accent1 27" xfId="28"/>
    <cellStyle name="Accent1 28" xfId="29"/>
    <cellStyle name="Accent1 29" xfId="30"/>
    <cellStyle name="Accent1 3" xfId="31"/>
    <cellStyle name="Accent1 30" xfId="32"/>
    <cellStyle name="Accent1 31" xfId="33"/>
    <cellStyle name="Accent1 32" xfId="34"/>
    <cellStyle name="Accent1 33" xfId="35"/>
    <cellStyle name="Accent1 34" xfId="36"/>
    <cellStyle name="Accent1 35" xfId="37"/>
    <cellStyle name="Accent1 36" xfId="38"/>
    <cellStyle name="Accent1 37" xfId="39"/>
    <cellStyle name="Accent1 38" xfId="40"/>
    <cellStyle name="Accent1 39" xfId="41"/>
    <cellStyle name="Accent1 4" xfId="42"/>
    <cellStyle name="Accent1 40" xfId="43"/>
    <cellStyle name="Accent1 41" xfId="44"/>
    <cellStyle name="Accent1 42" xfId="45"/>
    <cellStyle name="Accent1 43" xfId="46"/>
    <cellStyle name="Accent1 44" xfId="47"/>
    <cellStyle name="Accent1 45" xfId="48"/>
    <cellStyle name="Accent1 46" xfId="49"/>
    <cellStyle name="Accent1 47" xfId="50"/>
    <cellStyle name="Accent1 48" xfId="51"/>
    <cellStyle name="Accent1 49" xfId="52"/>
    <cellStyle name="Accent1 5" xfId="53"/>
    <cellStyle name="Accent1 50" xfId="54"/>
    <cellStyle name="Accent1 51" xfId="55"/>
    <cellStyle name="Accent1 52" xfId="56"/>
    <cellStyle name="Accent1 53" xfId="57"/>
    <cellStyle name="Accent1 54" xfId="58"/>
    <cellStyle name="Accent1 55" xfId="59"/>
    <cellStyle name="Accent1 56" xfId="60"/>
    <cellStyle name="Accent1 57" xfId="61"/>
    <cellStyle name="Accent1 58" xfId="62"/>
    <cellStyle name="Accent1 59" xfId="63"/>
    <cellStyle name="Accent1 6" xfId="64"/>
    <cellStyle name="Accent1 60" xfId="65"/>
    <cellStyle name="Accent1 61" xfId="66"/>
    <cellStyle name="Accent1 62" xfId="67"/>
    <cellStyle name="Accent1 63" xfId="68"/>
    <cellStyle name="Accent1 64" xfId="69"/>
    <cellStyle name="Accent1 65" xfId="70"/>
    <cellStyle name="Accent1 66" xfId="71"/>
    <cellStyle name="Accent1 67" xfId="72"/>
    <cellStyle name="Accent1 68" xfId="73"/>
    <cellStyle name="Accent1 69" xfId="74"/>
    <cellStyle name="Accent1 7" xfId="75"/>
    <cellStyle name="Accent1 70" xfId="76"/>
    <cellStyle name="Accent1 71" xfId="77"/>
    <cellStyle name="Accent1 72" xfId="78"/>
    <cellStyle name="Accent1 73" xfId="79"/>
    <cellStyle name="Accent1 74" xfId="80"/>
    <cellStyle name="Accent1 75" xfId="81"/>
    <cellStyle name="Accent1 76" xfId="82"/>
    <cellStyle name="Accent1 77" xfId="83"/>
    <cellStyle name="Accent1 78" xfId="84"/>
    <cellStyle name="Accent1 79" xfId="85"/>
    <cellStyle name="Accent1 8" xfId="86"/>
    <cellStyle name="Accent1 80" xfId="87"/>
    <cellStyle name="Accent1 81" xfId="88"/>
    <cellStyle name="Accent1 82" xfId="89"/>
    <cellStyle name="Accent1 83" xfId="90"/>
    <cellStyle name="Accent1 84" xfId="91"/>
    <cellStyle name="Accent1 85" xfId="92"/>
    <cellStyle name="Accent1 86" xfId="93"/>
    <cellStyle name="Accent1 87" xfId="94"/>
    <cellStyle name="Accent1 88" xfId="95"/>
    <cellStyle name="Accent1 89" xfId="96"/>
    <cellStyle name="Accent1 9" xfId="97"/>
    <cellStyle name="Accent1 90" xfId="98"/>
    <cellStyle name="Accent1 91" xfId="99"/>
    <cellStyle name="Accent1 92" xfId="100"/>
    <cellStyle name="Accent1 93" xfId="101"/>
    <cellStyle name="Accent1 94" xfId="102"/>
    <cellStyle name="Accent1 95" xfId="103"/>
    <cellStyle name="Accent1 96" xfId="104"/>
    <cellStyle name="Accent1 97" xfId="105"/>
    <cellStyle name="Accent1 98" xfId="106"/>
    <cellStyle name="Accent1 99" xfId="107"/>
    <cellStyle name="Accent2 - 20%" xfId="108"/>
    <cellStyle name="Accent2 - 40%" xfId="109"/>
    <cellStyle name="Accent2 - 60%" xfId="110"/>
    <cellStyle name="Accent2 10" xfId="111"/>
    <cellStyle name="Accent2 100" xfId="112"/>
    <cellStyle name="Accent2 101" xfId="113"/>
    <cellStyle name="Accent2 11" xfId="114"/>
    <cellStyle name="Accent2 12" xfId="115"/>
    <cellStyle name="Accent2 13" xfId="116"/>
    <cellStyle name="Accent2 14" xfId="117"/>
    <cellStyle name="Accent2 15" xfId="118"/>
    <cellStyle name="Accent2 16" xfId="119"/>
    <cellStyle name="Accent2 17" xfId="120"/>
    <cellStyle name="Accent2 18" xfId="121"/>
    <cellStyle name="Accent2 19" xfId="122"/>
    <cellStyle name="Accent2 2" xfId="123"/>
    <cellStyle name="Accent2 20" xfId="124"/>
    <cellStyle name="Accent2 21" xfId="125"/>
    <cellStyle name="Accent2 22" xfId="126"/>
    <cellStyle name="Accent2 23" xfId="127"/>
    <cellStyle name="Accent2 24" xfId="128"/>
    <cellStyle name="Accent2 25" xfId="129"/>
    <cellStyle name="Accent2 26" xfId="130"/>
    <cellStyle name="Accent2 27" xfId="131"/>
    <cellStyle name="Accent2 28" xfId="132"/>
    <cellStyle name="Accent2 29" xfId="133"/>
    <cellStyle name="Accent2 3" xfId="134"/>
    <cellStyle name="Accent2 30" xfId="135"/>
    <cellStyle name="Accent2 31" xfId="136"/>
    <cellStyle name="Accent2 32" xfId="137"/>
    <cellStyle name="Accent2 33" xfId="138"/>
    <cellStyle name="Accent2 34" xfId="139"/>
    <cellStyle name="Accent2 35" xfId="140"/>
    <cellStyle name="Accent2 36" xfId="141"/>
    <cellStyle name="Accent2 37" xfId="142"/>
    <cellStyle name="Accent2 38" xfId="143"/>
    <cellStyle name="Accent2 39" xfId="144"/>
    <cellStyle name="Accent2 4" xfId="145"/>
    <cellStyle name="Accent2 40" xfId="146"/>
    <cellStyle name="Accent2 41" xfId="147"/>
    <cellStyle name="Accent2 42" xfId="148"/>
    <cellStyle name="Accent2 43" xfId="149"/>
    <cellStyle name="Accent2 44" xfId="150"/>
    <cellStyle name="Accent2 45" xfId="151"/>
    <cellStyle name="Accent2 46" xfId="152"/>
    <cellStyle name="Accent2 47" xfId="153"/>
    <cellStyle name="Accent2 48" xfId="154"/>
    <cellStyle name="Accent2 49" xfId="155"/>
    <cellStyle name="Accent2 5" xfId="156"/>
    <cellStyle name="Accent2 50" xfId="157"/>
    <cellStyle name="Accent2 51" xfId="158"/>
    <cellStyle name="Accent2 52" xfId="159"/>
    <cellStyle name="Accent2 53" xfId="160"/>
    <cellStyle name="Accent2 54" xfId="161"/>
    <cellStyle name="Accent2 55" xfId="162"/>
    <cellStyle name="Accent2 56" xfId="163"/>
    <cellStyle name="Accent2 57" xfId="164"/>
    <cellStyle name="Accent2 58" xfId="165"/>
    <cellStyle name="Accent2 59" xfId="166"/>
    <cellStyle name="Accent2 6" xfId="167"/>
    <cellStyle name="Accent2 60" xfId="168"/>
    <cellStyle name="Accent2 61" xfId="169"/>
    <cellStyle name="Accent2 62" xfId="170"/>
    <cellStyle name="Accent2 63" xfId="171"/>
    <cellStyle name="Accent2 64" xfId="172"/>
    <cellStyle name="Accent2 65" xfId="173"/>
    <cellStyle name="Accent2 66" xfId="174"/>
    <cellStyle name="Accent2 67" xfId="175"/>
    <cellStyle name="Accent2 68" xfId="176"/>
    <cellStyle name="Accent2 69" xfId="177"/>
    <cellStyle name="Accent2 7" xfId="178"/>
    <cellStyle name="Accent2 70" xfId="179"/>
    <cellStyle name="Accent2 71" xfId="180"/>
    <cellStyle name="Accent2 72" xfId="181"/>
    <cellStyle name="Accent2 73" xfId="182"/>
    <cellStyle name="Accent2 74" xfId="183"/>
    <cellStyle name="Accent2 75" xfId="184"/>
    <cellStyle name="Accent2 76" xfId="185"/>
    <cellStyle name="Accent2 77" xfId="186"/>
    <cellStyle name="Accent2 78" xfId="187"/>
    <cellStyle name="Accent2 79" xfId="188"/>
    <cellStyle name="Accent2 8" xfId="189"/>
    <cellStyle name="Accent2 80" xfId="190"/>
    <cellStyle name="Accent2 81" xfId="191"/>
    <cellStyle name="Accent2 82" xfId="192"/>
    <cellStyle name="Accent2 83" xfId="193"/>
    <cellStyle name="Accent2 84" xfId="194"/>
    <cellStyle name="Accent2 85" xfId="195"/>
    <cellStyle name="Accent2 86" xfId="196"/>
    <cellStyle name="Accent2 87" xfId="197"/>
    <cellStyle name="Accent2 88" xfId="198"/>
    <cellStyle name="Accent2 89" xfId="199"/>
    <cellStyle name="Accent2 9" xfId="200"/>
    <cellStyle name="Accent2 90" xfId="201"/>
    <cellStyle name="Accent2 91" xfId="202"/>
    <cellStyle name="Accent2 92" xfId="203"/>
    <cellStyle name="Accent2 93" xfId="204"/>
    <cellStyle name="Accent2 94" xfId="205"/>
    <cellStyle name="Accent2 95" xfId="206"/>
    <cellStyle name="Accent2 96" xfId="207"/>
    <cellStyle name="Accent2 97" xfId="208"/>
    <cellStyle name="Accent2 98" xfId="209"/>
    <cellStyle name="Accent2 99" xfId="210"/>
    <cellStyle name="Accent3 - 20%" xfId="211"/>
    <cellStyle name="Accent3 - 40%" xfId="212"/>
    <cellStyle name="Accent3 - 60%" xfId="213"/>
    <cellStyle name="Accent3 10" xfId="214"/>
    <cellStyle name="Accent3 100" xfId="215"/>
    <cellStyle name="Accent3 101" xfId="216"/>
    <cellStyle name="Accent3 11" xfId="217"/>
    <cellStyle name="Accent3 12" xfId="218"/>
    <cellStyle name="Accent3 13" xfId="219"/>
    <cellStyle name="Accent3 14" xfId="220"/>
    <cellStyle name="Accent3 15" xfId="221"/>
    <cellStyle name="Accent3 16" xfId="222"/>
    <cellStyle name="Accent3 17" xfId="223"/>
    <cellStyle name="Accent3 18" xfId="224"/>
    <cellStyle name="Accent3 19" xfId="225"/>
    <cellStyle name="Accent3 2" xfId="226"/>
    <cellStyle name="Accent3 20" xfId="227"/>
    <cellStyle name="Accent3 21" xfId="228"/>
    <cellStyle name="Accent3 22" xfId="229"/>
    <cellStyle name="Accent3 23" xfId="230"/>
    <cellStyle name="Accent3 24" xfId="231"/>
    <cellStyle name="Accent3 25" xfId="232"/>
    <cellStyle name="Accent3 26" xfId="233"/>
    <cellStyle name="Accent3 27" xfId="234"/>
    <cellStyle name="Accent3 28" xfId="235"/>
    <cellStyle name="Accent3 29" xfId="236"/>
    <cellStyle name="Accent3 3" xfId="237"/>
    <cellStyle name="Accent3 30" xfId="238"/>
    <cellStyle name="Accent3 31" xfId="239"/>
    <cellStyle name="Accent3 32" xfId="240"/>
    <cellStyle name="Accent3 33" xfId="241"/>
    <cellStyle name="Accent3 34" xfId="242"/>
    <cellStyle name="Accent3 35" xfId="243"/>
    <cellStyle name="Accent3 36" xfId="244"/>
    <cellStyle name="Accent3 37" xfId="245"/>
    <cellStyle name="Accent3 38" xfId="246"/>
    <cellStyle name="Accent3 39" xfId="247"/>
    <cellStyle name="Accent3 4" xfId="248"/>
    <cellStyle name="Accent3 40" xfId="249"/>
    <cellStyle name="Accent3 41" xfId="250"/>
    <cellStyle name="Accent3 42" xfId="251"/>
    <cellStyle name="Accent3 43" xfId="252"/>
    <cellStyle name="Accent3 44" xfId="253"/>
    <cellStyle name="Accent3 45" xfId="254"/>
    <cellStyle name="Accent3 46" xfId="255"/>
    <cellStyle name="Accent3 47" xfId="256"/>
    <cellStyle name="Accent3 48" xfId="257"/>
    <cellStyle name="Accent3 49" xfId="258"/>
    <cellStyle name="Accent3 5" xfId="259"/>
    <cellStyle name="Accent3 50" xfId="260"/>
    <cellStyle name="Accent3 51" xfId="261"/>
    <cellStyle name="Accent3 52" xfId="262"/>
    <cellStyle name="Accent3 53" xfId="263"/>
    <cellStyle name="Accent3 54" xfId="264"/>
    <cellStyle name="Accent3 55" xfId="265"/>
    <cellStyle name="Accent3 56" xfId="266"/>
    <cellStyle name="Accent3 57" xfId="267"/>
    <cellStyle name="Accent3 58" xfId="268"/>
    <cellStyle name="Accent3 59" xfId="269"/>
    <cellStyle name="Accent3 6" xfId="270"/>
    <cellStyle name="Accent3 60" xfId="271"/>
    <cellStyle name="Accent3 61" xfId="272"/>
    <cellStyle name="Accent3 62" xfId="273"/>
    <cellStyle name="Accent3 63" xfId="274"/>
    <cellStyle name="Accent3 64" xfId="275"/>
    <cellStyle name="Accent3 65" xfId="276"/>
    <cellStyle name="Accent3 66" xfId="277"/>
    <cellStyle name="Accent3 67" xfId="278"/>
    <cellStyle name="Accent3 68" xfId="279"/>
    <cellStyle name="Accent3 69" xfId="280"/>
    <cellStyle name="Accent3 7" xfId="281"/>
    <cellStyle name="Accent3 70" xfId="282"/>
    <cellStyle name="Accent3 71" xfId="283"/>
    <cellStyle name="Accent3 72" xfId="284"/>
    <cellStyle name="Accent3 73" xfId="285"/>
    <cellStyle name="Accent3 74" xfId="286"/>
    <cellStyle name="Accent3 75" xfId="287"/>
    <cellStyle name="Accent3 76" xfId="288"/>
    <cellStyle name="Accent3 77" xfId="289"/>
    <cellStyle name="Accent3 78" xfId="290"/>
    <cellStyle name="Accent3 79" xfId="291"/>
    <cellStyle name="Accent3 8" xfId="292"/>
    <cellStyle name="Accent3 80" xfId="293"/>
    <cellStyle name="Accent3 81" xfId="294"/>
    <cellStyle name="Accent3 82" xfId="295"/>
    <cellStyle name="Accent3 83" xfId="296"/>
    <cellStyle name="Accent3 84" xfId="297"/>
    <cellStyle name="Accent3 85" xfId="298"/>
    <cellStyle name="Accent3 86" xfId="299"/>
    <cellStyle name="Accent3 87" xfId="300"/>
    <cellStyle name="Accent3 88" xfId="301"/>
    <cellStyle name="Accent3 89" xfId="302"/>
    <cellStyle name="Accent3 9" xfId="303"/>
    <cellStyle name="Accent3 90" xfId="304"/>
    <cellStyle name="Accent3 91" xfId="305"/>
    <cellStyle name="Accent3 92" xfId="306"/>
    <cellStyle name="Accent3 93" xfId="307"/>
    <cellStyle name="Accent3 94" xfId="308"/>
    <cellStyle name="Accent3 95" xfId="309"/>
    <cellStyle name="Accent3 96" xfId="310"/>
    <cellStyle name="Accent3 97" xfId="311"/>
    <cellStyle name="Accent3 98" xfId="312"/>
    <cellStyle name="Accent3 99" xfId="313"/>
    <cellStyle name="Accent4 - 20%" xfId="314"/>
    <cellStyle name="Accent4 - 40%" xfId="315"/>
    <cellStyle name="Accent4 - 60%" xfId="316"/>
    <cellStyle name="Accent4 10" xfId="317"/>
    <cellStyle name="Accent4 100" xfId="318"/>
    <cellStyle name="Accent4 101" xfId="319"/>
    <cellStyle name="Accent4 11" xfId="320"/>
    <cellStyle name="Accent4 12" xfId="321"/>
    <cellStyle name="Accent4 13" xfId="322"/>
    <cellStyle name="Accent4 14" xfId="323"/>
    <cellStyle name="Accent4 15" xfId="324"/>
    <cellStyle name="Accent4 16" xfId="325"/>
    <cellStyle name="Accent4 17" xfId="326"/>
    <cellStyle name="Accent4 18" xfId="327"/>
    <cellStyle name="Accent4 19" xfId="328"/>
    <cellStyle name="Accent4 2" xfId="329"/>
    <cellStyle name="Accent4 20" xfId="330"/>
    <cellStyle name="Accent4 21" xfId="331"/>
    <cellStyle name="Accent4 22" xfId="332"/>
    <cellStyle name="Accent4 23" xfId="333"/>
    <cellStyle name="Accent4 24" xfId="334"/>
    <cellStyle name="Accent4 25" xfId="335"/>
    <cellStyle name="Accent4 26" xfId="336"/>
    <cellStyle name="Accent4 27" xfId="337"/>
    <cellStyle name="Accent4 28" xfId="338"/>
    <cellStyle name="Accent4 29" xfId="339"/>
    <cellStyle name="Accent4 3" xfId="340"/>
    <cellStyle name="Accent4 30" xfId="341"/>
    <cellStyle name="Accent4 31" xfId="342"/>
    <cellStyle name="Accent4 32" xfId="343"/>
    <cellStyle name="Accent4 33" xfId="344"/>
    <cellStyle name="Accent4 34" xfId="345"/>
    <cellStyle name="Accent4 35" xfId="346"/>
    <cellStyle name="Accent4 36" xfId="347"/>
    <cellStyle name="Accent4 37" xfId="348"/>
    <cellStyle name="Accent4 38" xfId="349"/>
    <cellStyle name="Accent4 39" xfId="350"/>
    <cellStyle name="Accent4 4" xfId="351"/>
    <cellStyle name="Accent4 40" xfId="352"/>
    <cellStyle name="Accent4 41" xfId="353"/>
    <cellStyle name="Accent4 42" xfId="354"/>
    <cellStyle name="Accent4 43" xfId="355"/>
    <cellStyle name="Accent4 44" xfId="356"/>
    <cellStyle name="Accent4 45" xfId="357"/>
    <cellStyle name="Accent4 46" xfId="358"/>
    <cellStyle name="Accent4 47" xfId="359"/>
    <cellStyle name="Accent4 48" xfId="360"/>
    <cellStyle name="Accent4 49" xfId="361"/>
    <cellStyle name="Accent4 5" xfId="362"/>
    <cellStyle name="Accent4 50" xfId="363"/>
    <cellStyle name="Accent4 51" xfId="364"/>
    <cellStyle name="Accent4 52" xfId="365"/>
    <cellStyle name="Accent4 53" xfId="366"/>
    <cellStyle name="Accent4 54" xfId="367"/>
    <cellStyle name="Accent4 55" xfId="368"/>
    <cellStyle name="Accent4 56" xfId="369"/>
    <cellStyle name="Accent4 57" xfId="370"/>
    <cellStyle name="Accent4 58" xfId="371"/>
    <cellStyle name="Accent4 59" xfId="372"/>
    <cellStyle name="Accent4 6" xfId="373"/>
    <cellStyle name="Accent4 60" xfId="374"/>
    <cellStyle name="Accent4 61" xfId="375"/>
    <cellStyle name="Accent4 62" xfId="376"/>
    <cellStyle name="Accent4 63" xfId="377"/>
    <cellStyle name="Accent4 64" xfId="378"/>
    <cellStyle name="Accent4 65" xfId="379"/>
    <cellStyle name="Accent4 66" xfId="380"/>
    <cellStyle name="Accent4 67" xfId="381"/>
    <cellStyle name="Accent4 68" xfId="382"/>
    <cellStyle name="Accent4 69" xfId="383"/>
    <cellStyle name="Accent4 7" xfId="384"/>
    <cellStyle name="Accent4 70" xfId="385"/>
    <cellStyle name="Accent4 71" xfId="386"/>
    <cellStyle name="Accent4 72" xfId="387"/>
    <cellStyle name="Accent4 73" xfId="388"/>
    <cellStyle name="Accent4 74" xfId="389"/>
    <cellStyle name="Accent4 75" xfId="390"/>
    <cellStyle name="Accent4 76" xfId="391"/>
    <cellStyle name="Accent4 77" xfId="392"/>
    <cellStyle name="Accent4 78" xfId="393"/>
    <cellStyle name="Accent4 79" xfId="394"/>
    <cellStyle name="Accent4 8" xfId="395"/>
    <cellStyle name="Accent4 80" xfId="396"/>
    <cellStyle name="Accent4 81" xfId="397"/>
    <cellStyle name="Accent4 82" xfId="398"/>
    <cellStyle name="Accent4 83" xfId="399"/>
    <cellStyle name="Accent4 84" xfId="400"/>
    <cellStyle name="Accent4 85" xfId="401"/>
    <cellStyle name="Accent4 86" xfId="402"/>
    <cellStyle name="Accent4 87" xfId="403"/>
    <cellStyle name="Accent4 88" xfId="404"/>
    <cellStyle name="Accent4 89" xfId="405"/>
    <cellStyle name="Accent4 9" xfId="406"/>
    <cellStyle name="Accent4 90" xfId="407"/>
    <cellStyle name="Accent4 91" xfId="408"/>
    <cellStyle name="Accent4 92" xfId="409"/>
    <cellStyle name="Accent4 93" xfId="410"/>
    <cellStyle name="Accent4 94" xfId="411"/>
    <cellStyle name="Accent4 95" xfId="412"/>
    <cellStyle name="Accent4 96" xfId="413"/>
    <cellStyle name="Accent4 97" xfId="414"/>
    <cellStyle name="Accent4 98" xfId="415"/>
    <cellStyle name="Accent4 99" xfId="416"/>
    <cellStyle name="Accent5 - 20%" xfId="417"/>
    <cellStyle name="Accent5 - 40%" xfId="418"/>
    <cellStyle name="Accent5 - 60%" xfId="419"/>
    <cellStyle name="Accent5 10" xfId="420"/>
    <cellStyle name="Accent5 100" xfId="421"/>
    <cellStyle name="Accent5 101" xfId="422"/>
    <cellStyle name="Accent5 11" xfId="423"/>
    <cellStyle name="Accent5 12" xfId="424"/>
    <cellStyle name="Accent5 13" xfId="425"/>
    <cellStyle name="Accent5 14" xfId="426"/>
    <cellStyle name="Accent5 15" xfId="427"/>
    <cellStyle name="Accent5 16" xfId="428"/>
    <cellStyle name="Accent5 17" xfId="429"/>
    <cellStyle name="Accent5 18" xfId="430"/>
    <cellStyle name="Accent5 19" xfId="431"/>
    <cellStyle name="Accent5 2" xfId="432"/>
    <cellStyle name="Accent5 20" xfId="433"/>
    <cellStyle name="Accent5 21" xfId="434"/>
    <cellStyle name="Accent5 22" xfId="435"/>
    <cellStyle name="Accent5 23" xfId="436"/>
    <cellStyle name="Accent5 24" xfId="437"/>
    <cellStyle name="Accent5 25" xfId="438"/>
    <cellStyle name="Accent5 26" xfId="439"/>
    <cellStyle name="Accent5 27" xfId="440"/>
    <cellStyle name="Accent5 28" xfId="441"/>
    <cellStyle name="Accent5 29" xfId="442"/>
    <cellStyle name="Accent5 3" xfId="443"/>
    <cellStyle name="Accent5 30" xfId="444"/>
    <cellStyle name="Accent5 31" xfId="445"/>
    <cellStyle name="Accent5 32" xfId="446"/>
    <cellStyle name="Accent5 33" xfId="447"/>
    <cellStyle name="Accent5 34" xfId="448"/>
    <cellStyle name="Accent5 35" xfId="449"/>
    <cellStyle name="Accent5 36" xfId="450"/>
    <cellStyle name="Accent5 37" xfId="451"/>
    <cellStyle name="Accent5 38" xfId="452"/>
    <cellStyle name="Accent5 39" xfId="453"/>
    <cellStyle name="Accent5 4" xfId="454"/>
    <cellStyle name="Accent5 40" xfId="455"/>
    <cellStyle name="Accent5 41" xfId="456"/>
    <cellStyle name="Accent5 42" xfId="457"/>
    <cellStyle name="Accent5 43" xfId="458"/>
    <cellStyle name="Accent5 44" xfId="459"/>
    <cellStyle name="Accent5 45" xfId="460"/>
    <cellStyle name="Accent5 46" xfId="461"/>
    <cellStyle name="Accent5 47" xfId="462"/>
    <cellStyle name="Accent5 48" xfId="463"/>
    <cellStyle name="Accent5 49" xfId="464"/>
    <cellStyle name="Accent5 5" xfId="465"/>
    <cellStyle name="Accent5 50" xfId="466"/>
    <cellStyle name="Accent5 51" xfId="467"/>
    <cellStyle name="Accent5 52" xfId="468"/>
    <cellStyle name="Accent5 53" xfId="469"/>
    <cellStyle name="Accent5 54" xfId="470"/>
    <cellStyle name="Accent5 55" xfId="471"/>
    <cellStyle name="Accent5 56" xfId="472"/>
    <cellStyle name="Accent5 57" xfId="473"/>
    <cellStyle name="Accent5 58" xfId="474"/>
    <cellStyle name="Accent5 59" xfId="475"/>
    <cellStyle name="Accent5 6" xfId="476"/>
    <cellStyle name="Accent5 60" xfId="477"/>
    <cellStyle name="Accent5 61" xfId="478"/>
    <cellStyle name="Accent5 62" xfId="479"/>
    <cellStyle name="Accent5 63" xfId="480"/>
    <cellStyle name="Accent5 64" xfId="481"/>
    <cellStyle name="Accent5 65" xfId="482"/>
    <cellStyle name="Accent5 66" xfId="483"/>
    <cellStyle name="Accent5 67" xfId="484"/>
    <cellStyle name="Accent5 68" xfId="485"/>
    <cellStyle name="Accent5 69" xfId="486"/>
    <cellStyle name="Accent5 7" xfId="487"/>
    <cellStyle name="Accent5 70" xfId="488"/>
    <cellStyle name="Accent5 71" xfId="489"/>
    <cellStyle name="Accent5 72" xfId="490"/>
    <cellStyle name="Accent5 73" xfId="491"/>
    <cellStyle name="Accent5 74" xfId="492"/>
    <cellStyle name="Accent5 75" xfId="493"/>
    <cellStyle name="Accent5 76" xfId="494"/>
    <cellStyle name="Accent5 77" xfId="495"/>
    <cellStyle name="Accent5 78" xfId="496"/>
    <cellStyle name="Accent5 79" xfId="497"/>
    <cellStyle name="Accent5 8" xfId="498"/>
    <cellStyle name="Accent5 80" xfId="499"/>
    <cellStyle name="Accent5 81" xfId="500"/>
    <cellStyle name="Accent5 82" xfId="501"/>
    <cellStyle name="Accent5 83" xfId="502"/>
    <cellStyle name="Accent5 84" xfId="503"/>
    <cellStyle name="Accent5 85" xfId="504"/>
    <cellStyle name="Accent5 86" xfId="505"/>
    <cellStyle name="Accent5 87" xfId="506"/>
    <cellStyle name="Accent5 88" xfId="507"/>
    <cellStyle name="Accent5 89" xfId="508"/>
    <cellStyle name="Accent5 9" xfId="509"/>
    <cellStyle name="Accent5 90" xfId="510"/>
    <cellStyle name="Accent5 91" xfId="511"/>
    <cellStyle name="Accent5 92" xfId="512"/>
    <cellStyle name="Accent5 93" xfId="513"/>
    <cellStyle name="Accent5 94" xfId="514"/>
    <cellStyle name="Accent5 95" xfId="515"/>
    <cellStyle name="Accent5 96" xfId="516"/>
    <cellStyle name="Accent5 97" xfId="517"/>
    <cellStyle name="Accent5 98" xfId="518"/>
    <cellStyle name="Accent5 99" xfId="519"/>
    <cellStyle name="Accent6 - 20%" xfId="520"/>
    <cellStyle name="Accent6 - 40%" xfId="521"/>
    <cellStyle name="Accent6 - 60%" xfId="522"/>
    <cellStyle name="Accent6 10" xfId="523"/>
    <cellStyle name="Accent6 100" xfId="524"/>
    <cellStyle name="Accent6 101" xfId="525"/>
    <cellStyle name="Accent6 11" xfId="526"/>
    <cellStyle name="Accent6 12" xfId="527"/>
    <cellStyle name="Accent6 13" xfId="528"/>
    <cellStyle name="Accent6 14" xfId="529"/>
    <cellStyle name="Accent6 15" xfId="530"/>
    <cellStyle name="Accent6 16" xfId="531"/>
    <cellStyle name="Accent6 17" xfId="532"/>
    <cellStyle name="Accent6 18" xfId="533"/>
    <cellStyle name="Accent6 19" xfId="534"/>
    <cellStyle name="Accent6 2" xfId="535"/>
    <cellStyle name="Accent6 20" xfId="536"/>
    <cellStyle name="Accent6 21" xfId="537"/>
    <cellStyle name="Accent6 22" xfId="538"/>
    <cellStyle name="Accent6 23" xfId="539"/>
    <cellStyle name="Accent6 24" xfId="540"/>
    <cellStyle name="Accent6 25" xfId="541"/>
    <cellStyle name="Accent6 26" xfId="542"/>
    <cellStyle name="Accent6 27" xfId="543"/>
    <cellStyle name="Accent6 28" xfId="544"/>
    <cellStyle name="Accent6 29" xfId="545"/>
    <cellStyle name="Accent6 3" xfId="546"/>
    <cellStyle name="Accent6 30" xfId="547"/>
    <cellStyle name="Accent6 31" xfId="548"/>
    <cellStyle name="Accent6 32" xfId="549"/>
    <cellStyle name="Accent6 33" xfId="550"/>
    <cellStyle name="Accent6 34" xfId="551"/>
    <cellStyle name="Accent6 35" xfId="552"/>
    <cellStyle name="Accent6 36" xfId="553"/>
    <cellStyle name="Accent6 37" xfId="554"/>
    <cellStyle name="Accent6 38" xfId="555"/>
    <cellStyle name="Accent6 39" xfId="556"/>
    <cellStyle name="Accent6 4" xfId="557"/>
    <cellStyle name="Accent6 40" xfId="558"/>
    <cellStyle name="Accent6 41" xfId="559"/>
    <cellStyle name="Accent6 42" xfId="560"/>
    <cellStyle name="Accent6 43" xfId="561"/>
    <cellStyle name="Accent6 44" xfId="562"/>
    <cellStyle name="Accent6 45" xfId="563"/>
    <cellStyle name="Accent6 46" xfId="564"/>
    <cellStyle name="Accent6 47" xfId="565"/>
    <cellStyle name="Accent6 48" xfId="566"/>
    <cellStyle name="Accent6 49" xfId="567"/>
    <cellStyle name="Accent6 5" xfId="568"/>
    <cellStyle name="Accent6 50" xfId="569"/>
    <cellStyle name="Accent6 51" xfId="570"/>
    <cellStyle name="Accent6 52" xfId="571"/>
    <cellStyle name="Accent6 53" xfId="572"/>
    <cellStyle name="Accent6 54" xfId="573"/>
    <cellStyle name="Accent6 55" xfId="574"/>
    <cellStyle name="Accent6 56" xfId="575"/>
    <cellStyle name="Accent6 57" xfId="576"/>
    <cellStyle name="Accent6 58" xfId="577"/>
    <cellStyle name="Accent6 59" xfId="578"/>
    <cellStyle name="Accent6 6" xfId="579"/>
    <cellStyle name="Accent6 60" xfId="580"/>
    <cellStyle name="Accent6 61" xfId="581"/>
    <cellStyle name="Accent6 62" xfId="582"/>
    <cellStyle name="Accent6 63" xfId="583"/>
    <cellStyle name="Accent6 64" xfId="584"/>
    <cellStyle name="Accent6 65" xfId="585"/>
    <cellStyle name="Accent6 66" xfId="586"/>
    <cellStyle name="Accent6 67" xfId="587"/>
    <cellStyle name="Accent6 68" xfId="588"/>
    <cellStyle name="Accent6 69" xfId="589"/>
    <cellStyle name="Accent6 7" xfId="590"/>
    <cellStyle name="Accent6 70" xfId="591"/>
    <cellStyle name="Accent6 71" xfId="592"/>
    <cellStyle name="Accent6 72" xfId="593"/>
    <cellStyle name="Accent6 73" xfId="594"/>
    <cellStyle name="Accent6 74" xfId="595"/>
    <cellStyle name="Accent6 75" xfId="596"/>
    <cellStyle name="Accent6 76" xfId="597"/>
    <cellStyle name="Accent6 77" xfId="598"/>
    <cellStyle name="Accent6 78" xfId="599"/>
    <cellStyle name="Accent6 79" xfId="600"/>
    <cellStyle name="Accent6 8" xfId="601"/>
    <cellStyle name="Accent6 80" xfId="602"/>
    <cellStyle name="Accent6 81" xfId="603"/>
    <cellStyle name="Accent6 82" xfId="604"/>
    <cellStyle name="Accent6 83" xfId="605"/>
    <cellStyle name="Accent6 84" xfId="606"/>
    <cellStyle name="Accent6 85" xfId="607"/>
    <cellStyle name="Accent6 86" xfId="608"/>
    <cellStyle name="Accent6 87" xfId="609"/>
    <cellStyle name="Accent6 88" xfId="610"/>
    <cellStyle name="Accent6 89" xfId="611"/>
    <cellStyle name="Accent6 9" xfId="612"/>
    <cellStyle name="Accent6 90" xfId="613"/>
    <cellStyle name="Accent6 91" xfId="614"/>
    <cellStyle name="Accent6 92" xfId="615"/>
    <cellStyle name="Accent6 93" xfId="616"/>
    <cellStyle name="Accent6 94" xfId="617"/>
    <cellStyle name="Accent6 95" xfId="618"/>
    <cellStyle name="Accent6 96" xfId="619"/>
    <cellStyle name="Accent6 97" xfId="620"/>
    <cellStyle name="Accent6 98" xfId="621"/>
    <cellStyle name="Accent6 99" xfId="622"/>
    <cellStyle name="Bad 2" xfId="623"/>
    <cellStyle name="Calculation 2" xfId="624"/>
    <cellStyle name="Check Cell 2" xfId="625"/>
    <cellStyle name="Comma" xfId="3" builtinId="3"/>
    <cellStyle name="Comma 2" xfId="4"/>
    <cellStyle name="Currency" xfId="1" builtinId="4"/>
    <cellStyle name="Emphasis 1" xfId="626"/>
    <cellStyle name="Emphasis 2" xfId="627"/>
    <cellStyle name="Emphasis 3" xfId="628"/>
    <cellStyle name="Good 2" xfId="629"/>
    <cellStyle name="Good 2 2" xfId="630"/>
    <cellStyle name="Heading 1 2" xfId="631"/>
    <cellStyle name="Heading 2 2" xfId="632"/>
    <cellStyle name="Heading 3 2" xfId="633"/>
    <cellStyle name="Heading 4 2" xfId="634"/>
    <cellStyle name="Input 2" xfId="635"/>
    <cellStyle name="Linked Cell 2" xfId="636"/>
    <cellStyle name="Neutral 2" xfId="637"/>
    <cellStyle name="Normal" xfId="0" builtinId="0"/>
    <cellStyle name="Normal 2" xfId="638"/>
    <cellStyle name="Normal 2 2" xfId="639"/>
    <cellStyle name="Normal 2 2 2" xfId="640"/>
    <cellStyle name="Normal 2 2_O&amp;M" xfId="641"/>
    <cellStyle name="Normal 2 3" xfId="642"/>
    <cellStyle name="Normal 3" xfId="643"/>
    <cellStyle name="Normal 3 2" xfId="644"/>
    <cellStyle name="Normal 3 2 2" xfId="645"/>
    <cellStyle name="Normal 3 2_O&amp;M" xfId="646"/>
    <cellStyle name="Normal 3 3" xfId="647"/>
    <cellStyle name="Normal 3 4" xfId="648"/>
    <cellStyle name="Normal 4" xfId="649"/>
    <cellStyle name="Normal 4 2" xfId="650"/>
    <cellStyle name="Normal 4 2 2" xfId="651"/>
    <cellStyle name="Normal 4 3" xfId="652"/>
    <cellStyle name="Normal 5" xfId="653"/>
    <cellStyle name="Normal 5 2" xfId="654"/>
    <cellStyle name="Note 2" xfId="655"/>
    <cellStyle name="Note 2 2" xfId="656"/>
    <cellStyle name="Output 2" xfId="657"/>
    <cellStyle name="Percent" xfId="2" builtinId="5"/>
    <cellStyle name="SAPBEXaggData" xfId="658"/>
    <cellStyle name="SAPBEXaggData 2" xfId="659"/>
    <cellStyle name="SAPBEXaggDataEmph" xfId="660"/>
    <cellStyle name="SAPBEXaggItem" xfId="661"/>
    <cellStyle name="SAPBEXaggItem 2" xfId="662"/>
    <cellStyle name="SAPBEXaggItemX" xfId="663"/>
    <cellStyle name="SAPBEXchaText" xfId="664"/>
    <cellStyle name="SAPBEXchaText 2" xfId="665"/>
    <cellStyle name="SAPBEXexcBad7" xfId="666"/>
    <cellStyle name="SAPBEXexcBad7 2" xfId="667"/>
    <cellStyle name="SAPBEXexcBad8" xfId="668"/>
    <cellStyle name="SAPBEXexcBad8 2" xfId="669"/>
    <cellStyle name="SAPBEXexcBad9" xfId="670"/>
    <cellStyle name="SAPBEXexcBad9 2" xfId="671"/>
    <cellStyle name="SAPBEXexcCritical4" xfId="672"/>
    <cellStyle name="SAPBEXexcCritical4 2" xfId="673"/>
    <cellStyle name="SAPBEXexcCritical5" xfId="674"/>
    <cellStyle name="SAPBEXexcCritical5 2" xfId="675"/>
    <cellStyle name="SAPBEXexcCritical6" xfId="676"/>
    <cellStyle name="SAPBEXexcCritical6 2" xfId="677"/>
    <cellStyle name="SAPBEXexcGood1" xfId="678"/>
    <cellStyle name="SAPBEXexcGood1 2" xfId="679"/>
    <cellStyle name="SAPBEXexcGood2" xfId="680"/>
    <cellStyle name="SAPBEXexcGood2 2" xfId="681"/>
    <cellStyle name="SAPBEXexcGood3" xfId="682"/>
    <cellStyle name="SAPBEXexcGood3 2" xfId="683"/>
    <cellStyle name="SAPBEXfilterDrill" xfId="684"/>
    <cellStyle name="SAPBEXfilterDrill 2" xfId="685"/>
    <cellStyle name="SAPBEXfilterItem" xfId="686"/>
    <cellStyle name="SAPBEXfilterText" xfId="687"/>
    <cellStyle name="SAPBEXformats" xfId="688"/>
    <cellStyle name="SAPBEXformats 2" xfId="689"/>
    <cellStyle name="SAPBEXheaderItem" xfId="690"/>
    <cellStyle name="SAPBEXheaderItem 2" xfId="691"/>
    <cellStyle name="SAPBEXheaderText" xfId="692"/>
    <cellStyle name="SAPBEXheaderText 2" xfId="693"/>
    <cellStyle name="SAPBEXHLevel0" xfId="694"/>
    <cellStyle name="SAPBEXHLevel0 2" xfId="695"/>
    <cellStyle name="SAPBEXHLevel0X" xfId="696"/>
    <cellStyle name="SAPBEXHLevel1" xfId="697"/>
    <cellStyle name="SAPBEXHLevel1 2" xfId="698"/>
    <cellStyle name="SAPBEXHLevel1X" xfId="699"/>
    <cellStyle name="SAPBEXHLevel2" xfId="700"/>
    <cellStyle name="SAPBEXHLevel2 2" xfId="701"/>
    <cellStyle name="SAPBEXHLevel2X" xfId="702"/>
    <cellStyle name="SAPBEXHLevel3" xfId="703"/>
    <cellStyle name="SAPBEXHLevel3 2" xfId="704"/>
    <cellStyle name="SAPBEXHLevel3X" xfId="705"/>
    <cellStyle name="SAPBEXinputData" xfId="706"/>
    <cellStyle name="SAPBEXItemHeader" xfId="707"/>
    <cellStyle name="SAPBEXresData" xfId="708"/>
    <cellStyle name="SAPBEXresDataEmph" xfId="709"/>
    <cellStyle name="SAPBEXresItem" xfId="710"/>
    <cellStyle name="SAPBEXresItemX" xfId="711"/>
    <cellStyle name="SAPBEXstdData" xfId="712"/>
    <cellStyle name="SAPBEXstdData 2" xfId="713"/>
    <cellStyle name="SAPBEXstdDataEmph" xfId="714"/>
    <cellStyle name="SAPBEXstdItem" xfId="715"/>
    <cellStyle name="SAPBEXstdItem 2" xfId="716"/>
    <cellStyle name="SAPBEXstdItemX" xfId="717"/>
    <cellStyle name="SAPBEXtitle" xfId="718"/>
    <cellStyle name="SAPBEXunassignedItem" xfId="719"/>
    <cellStyle name="SAPBEXunassignedItem 2" xfId="720"/>
    <cellStyle name="SAPBEXundefined" xfId="721"/>
    <cellStyle name="Sheet Title" xfId="722"/>
    <cellStyle name="Style 1" xfId="723"/>
    <cellStyle name="Total 2" xfId="724"/>
    <cellStyle name="Warning Text 2" xfId="7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Fail to Blackstart Risk Spend Efficiencies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Analysis!$AN$14:$AO$17</c:f>
              <c:multiLvlStrCache>
                <c:ptCount val="4"/>
                <c:lvl>
                  <c:pt idx="0">
                    <c:v>Maintenance, certification, testing, and training</c:v>
                  </c:pt>
                  <c:pt idx="1">
                    <c:v>The South Grid Black-Start Project</c:v>
                  </c:pt>
                  <c:pt idx="2">
                    <c:v>Substation Auxillary Power System (fuel cells)</c:v>
                  </c:pt>
                  <c:pt idx="3">
                    <c:v>Transmission Energy Management System Modernization Project</c:v>
                  </c:pt>
                </c:lvl>
                <c:lvl>
                  <c:pt idx="0">
                    <c:v>B1 &amp; B2</c:v>
                  </c:pt>
                  <c:pt idx="1">
                    <c:v>P1</c:v>
                  </c:pt>
                  <c:pt idx="2">
                    <c:v>P3</c:v>
                  </c:pt>
                  <c:pt idx="3">
                    <c:v>P2</c:v>
                  </c:pt>
                </c:lvl>
              </c:multiLvlStrCache>
            </c:multiLvlStrRef>
          </c:cat>
          <c:val>
            <c:numRef>
              <c:f>Analysis!$AM$14:$AM$17</c:f>
              <c:numCache>
                <c:formatCode>General</c:formatCode>
                <c:ptCount val="4"/>
                <c:pt idx="0">
                  <c:v>157.68106070243843</c:v>
                </c:pt>
                <c:pt idx="1">
                  <c:v>8.6827050027174515</c:v>
                </c:pt>
                <c:pt idx="2">
                  <c:v>0.32644693599481661</c:v>
                </c:pt>
                <c:pt idx="3">
                  <c:v>0.16679216241681641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DF-4191-8B1D-F39C8E0C9EF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90313856"/>
        <c:axId val="90792320"/>
      </c:barChart>
      <c:catAx>
        <c:axId val="9031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92320"/>
        <c:crosses val="autoZero"/>
        <c:auto val="1"/>
        <c:lblAlgn val="ctr"/>
        <c:lblOffset val="100"/>
        <c:noMultiLvlLbl val="0"/>
      </c:catAx>
      <c:valAx>
        <c:axId val="9079232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0313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1809750</xdr:colOff>
      <xdr:row>14</xdr:row>
      <xdr:rowOff>123825</xdr:rowOff>
    </xdr:from>
    <xdr:to>
      <xdr:col>0</xdr:col>
      <xdr:colOff>4124325</xdr:colOff>
      <xdr:row>21</xdr:row>
      <xdr:rowOff>28575</xdr:rowOff>
    </xdr:to>
    <xdr:pic>
      <xdr:nvPicPr>
        <xdr:cNvPr id="2" name="Picture 1" descr="C:\Users\jyork\Documents\RAMP\Presentations\sdge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4762500"/>
          <a:ext cx="2314575" cy="1238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103532</xdr:colOff>
      <xdr:row>18</xdr:row>
      <xdr:rowOff>36444</xdr:rowOff>
    </xdr:from>
    <xdr:to>
      <xdr:col>41</xdr:col>
      <xdr:colOff>459684</xdr:colOff>
      <xdr:row>32</xdr:row>
      <xdr:rowOff>112644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520700</xdr:colOff>
      <xdr:row>8</xdr:row>
      <xdr:rowOff>95250</xdr:rowOff>
    </xdr:from>
    <xdr:to>
      <xdr:col>1</xdr:col>
      <xdr:colOff>0</xdr:colOff>
      <xdr:row>8</xdr:row>
      <xdr:rowOff>95250</xdr:rowOff>
    </xdr:to>
    <xdr:cxnSp macro="">
      <xdr:nvCxnSpPr>
        <xdr:cNvPr id="2" name="Root "/>
        <xdr:cNvCxnSpPr/>
      </xdr:nvCxnSpPr>
      <xdr:spPr>
        <a:xfrm flipH="1">
          <a:off x="520700" y="2571750"/>
          <a:ext cx="2984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8</xdr:row>
      <xdr:rowOff>0</xdr:rowOff>
    </xdr:from>
    <xdr:to>
      <xdr:col>2</xdr:col>
      <xdr:colOff>0</xdr:colOff>
      <xdr:row>8</xdr:row>
      <xdr:rowOff>161925</xdr:rowOff>
    </xdr:to>
    <xdr:sp macro="" textlink="">
      <xdr:nvSpPr>
        <xdr:cNvPr id="3" name="TrNd " descr="500e6076-a167-4d1b-835c-892a8cec4328"/>
        <xdr:cNvSpPr>
          <a:spLocks/>
        </xdr:cNvSpPr>
      </xdr:nvSpPr>
      <xdr:spPr>
        <a:xfrm>
          <a:off x="819150" y="24765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5</xdr:row>
      <xdr:rowOff>95250</xdr:rowOff>
    </xdr:from>
    <xdr:to>
      <xdr:col>6</xdr:col>
      <xdr:colOff>0</xdr:colOff>
      <xdr:row>5</xdr:row>
      <xdr:rowOff>95250</xdr:rowOff>
    </xdr:to>
    <xdr:cxnSp macro="">
      <xdr:nvCxnSpPr>
        <xdr:cNvPr id="4" name="Branch 1"/>
        <xdr:cNvCxnSpPr/>
      </xdr:nvCxnSpPr>
      <xdr:spPr>
        <a:xfrm>
          <a:off x="1228725" y="1619250"/>
          <a:ext cx="26384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5</xdr:row>
      <xdr:rowOff>23813</xdr:rowOff>
    </xdr:from>
    <xdr:to>
      <xdr:col>16</xdr:col>
      <xdr:colOff>0</xdr:colOff>
      <xdr:row>5</xdr:row>
      <xdr:rowOff>166688</xdr:rowOff>
    </xdr:to>
    <xdr:cxnSp macro="">
      <xdr:nvCxnSpPr>
        <xdr:cNvPr id="5" name="Leaf 1"/>
        <xdr:cNvCxnSpPr/>
      </xdr:nvCxnSpPr>
      <xdr:spPr>
        <a:xfrm>
          <a:off x="8829675" y="15478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13</xdr:row>
      <xdr:rowOff>95250</xdr:rowOff>
    </xdr:from>
    <xdr:to>
      <xdr:col>6</xdr:col>
      <xdr:colOff>0</xdr:colOff>
      <xdr:row>13</xdr:row>
      <xdr:rowOff>95250</xdr:rowOff>
    </xdr:to>
    <xdr:cxnSp macro="">
      <xdr:nvCxnSpPr>
        <xdr:cNvPr id="6" name="Branch 2"/>
        <xdr:cNvCxnSpPr/>
      </xdr:nvCxnSpPr>
      <xdr:spPr>
        <a:xfrm>
          <a:off x="1228725" y="3714750"/>
          <a:ext cx="26384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161925</xdr:colOff>
      <xdr:row>13</xdr:row>
      <xdr:rowOff>161925</xdr:rowOff>
    </xdr:to>
    <xdr:sp macro="" textlink="">
      <xdr:nvSpPr>
        <xdr:cNvPr id="7" name="TrNd 2" descr="70756e97-be7b-4930-b3dd-e190b467734d"/>
        <xdr:cNvSpPr>
          <a:spLocks/>
        </xdr:cNvSpPr>
      </xdr:nvSpPr>
      <xdr:spPr>
        <a:xfrm>
          <a:off x="3867150" y="36195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0</xdr:colOff>
      <xdr:row>9</xdr:row>
      <xdr:rowOff>95250</xdr:rowOff>
    </xdr:from>
    <xdr:to>
      <xdr:col>11</xdr:col>
      <xdr:colOff>0</xdr:colOff>
      <xdr:row>9</xdr:row>
      <xdr:rowOff>95250</xdr:rowOff>
    </xdr:to>
    <xdr:cxnSp macro="">
      <xdr:nvCxnSpPr>
        <xdr:cNvPr id="8" name="Branch 21"/>
        <xdr:cNvCxnSpPr/>
      </xdr:nvCxnSpPr>
      <xdr:spPr>
        <a:xfrm>
          <a:off x="5019675" y="2952750"/>
          <a:ext cx="1438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15</xdr:row>
      <xdr:rowOff>95250</xdr:rowOff>
    </xdr:from>
    <xdr:to>
      <xdr:col>11</xdr:col>
      <xdr:colOff>0</xdr:colOff>
      <xdr:row>15</xdr:row>
      <xdr:rowOff>95250</xdr:rowOff>
    </xdr:to>
    <xdr:cxnSp macro="">
      <xdr:nvCxnSpPr>
        <xdr:cNvPr id="9" name="Branch 22"/>
        <xdr:cNvCxnSpPr/>
      </xdr:nvCxnSpPr>
      <xdr:spPr>
        <a:xfrm>
          <a:off x="5019675" y="4476750"/>
          <a:ext cx="1438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</xdr:row>
      <xdr:rowOff>95250</xdr:rowOff>
    </xdr:from>
    <xdr:to>
      <xdr:col>16</xdr:col>
      <xdr:colOff>0</xdr:colOff>
      <xdr:row>5</xdr:row>
      <xdr:rowOff>95250</xdr:rowOff>
    </xdr:to>
    <xdr:cxnSp macro="">
      <xdr:nvCxnSpPr>
        <xdr:cNvPr id="10" name="XBranch 1"/>
        <xdr:cNvCxnSpPr/>
      </xdr:nvCxnSpPr>
      <xdr:spPr>
        <a:xfrm>
          <a:off x="3867150" y="1619250"/>
          <a:ext cx="4962525" cy="0"/>
        </a:xfrm>
        <a:prstGeom prst="line">
          <a:avLst/>
        </a:prstGeom>
        <a:ln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520700</xdr:colOff>
      <xdr:row>8</xdr:row>
      <xdr:rowOff>95250</xdr:rowOff>
    </xdr:from>
    <xdr:to>
      <xdr:col>1</xdr:col>
      <xdr:colOff>0</xdr:colOff>
      <xdr:row>8</xdr:row>
      <xdr:rowOff>95250</xdr:rowOff>
    </xdr:to>
    <xdr:cxnSp macro="">
      <xdr:nvCxnSpPr>
        <xdr:cNvPr id="11" name="Root "/>
        <xdr:cNvCxnSpPr/>
      </xdr:nvCxnSpPr>
      <xdr:spPr>
        <a:xfrm flipH="1">
          <a:off x="520700" y="2571750"/>
          <a:ext cx="2984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9</xdr:row>
      <xdr:rowOff>0</xdr:rowOff>
    </xdr:from>
    <xdr:to>
      <xdr:col>12</xdr:col>
      <xdr:colOff>0</xdr:colOff>
      <xdr:row>9</xdr:row>
      <xdr:rowOff>161925</xdr:rowOff>
    </xdr:to>
    <xdr:sp macro="" textlink="">
      <xdr:nvSpPr>
        <xdr:cNvPr id="12" name="TrNd 21" descr="58abfe57-ba61-4777-98ab-5395dc689cf7"/>
        <xdr:cNvSpPr>
          <a:spLocks/>
        </xdr:cNvSpPr>
      </xdr:nvSpPr>
      <xdr:spPr>
        <a:xfrm>
          <a:off x="6457950" y="28575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9</xdr:row>
      <xdr:rowOff>95250</xdr:rowOff>
    </xdr:from>
    <xdr:to>
      <xdr:col>8</xdr:col>
      <xdr:colOff>0</xdr:colOff>
      <xdr:row>13</xdr:row>
      <xdr:rowOff>80963</xdr:rowOff>
    </xdr:to>
    <xdr:cxnSp macro="">
      <xdr:nvCxnSpPr>
        <xdr:cNvPr id="13" name="FBranch 21"/>
        <xdr:cNvCxnSpPr/>
      </xdr:nvCxnSpPr>
      <xdr:spPr>
        <a:xfrm flipV="1">
          <a:off x="4772025" y="2952750"/>
          <a:ext cx="247650" cy="7477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13</xdr:row>
      <xdr:rowOff>80963</xdr:rowOff>
    </xdr:from>
    <xdr:to>
      <xdr:col>8</xdr:col>
      <xdr:colOff>0</xdr:colOff>
      <xdr:row>15</xdr:row>
      <xdr:rowOff>95250</xdr:rowOff>
    </xdr:to>
    <xdr:cxnSp macro="">
      <xdr:nvCxnSpPr>
        <xdr:cNvPr id="14" name="FBranch 22"/>
        <xdr:cNvCxnSpPr/>
      </xdr:nvCxnSpPr>
      <xdr:spPr>
        <a:xfrm>
          <a:off x="4772025" y="3319463"/>
          <a:ext cx="247650" cy="7762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5</xdr:row>
      <xdr:rowOff>95250</xdr:rowOff>
    </xdr:from>
    <xdr:to>
      <xdr:col>3</xdr:col>
      <xdr:colOff>0</xdr:colOff>
      <xdr:row>8</xdr:row>
      <xdr:rowOff>80963</xdr:rowOff>
    </xdr:to>
    <xdr:cxnSp macro="">
      <xdr:nvCxnSpPr>
        <xdr:cNvPr id="15" name="FBranch 1"/>
        <xdr:cNvCxnSpPr/>
      </xdr:nvCxnSpPr>
      <xdr:spPr>
        <a:xfrm flipV="1">
          <a:off x="981075" y="1619250"/>
          <a:ext cx="247650" cy="9382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8</xdr:row>
      <xdr:rowOff>80963</xdr:rowOff>
    </xdr:from>
    <xdr:to>
      <xdr:col>3</xdr:col>
      <xdr:colOff>0</xdr:colOff>
      <xdr:row>13</xdr:row>
      <xdr:rowOff>95250</xdr:rowOff>
    </xdr:to>
    <xdr:cxnSp macro="">
      <xdr:nvCxnSpPr>
        <xdr:cNvPr id="16" name="FBranch 2"/>
        <xdr:cNvCxnSpPr/>
      </xdr:nvCxnSpPr>
      <xdr:spPr>
        <a:xfrm>
          <a:off x="981075" y="2557463"/>
          <a:ext cx="247650" cy="11572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7</xdr:row>
      <xdr:rowOff>95250</xdr:rowOff>
    </xdr:from>
    <xdr:to>
      <xdr:col>13</xdr:col>
      <xdr:colOff>0</xdr:colOff>
      <xdr:row>9</xdr:row>
      <xdr:rowOff>95250</xdr:rowOff>
    </xdr:to>
    <xdr:cxnSp macro="">
      <xdr:nvCxnSpPr>
        <xdr:cNvPr id="17" name="FBranch 211"/>
        <xdr:cNvCxnSpPr/>
      </xdr:nvCxnSpPr>
      <xdr:spPr>
        <a:xfrm flipV="1">
          <a:off x="6619875" y="2381250"/>
          <a:ext cx="2476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7</xdr:row>
      <xdr:rowOff>95250</xdr:rowOff>
    </xdr:from>
    <xdr:to>
      <xdr:col>16</xdr:col>
      <xdr:colOff>0</xdr:colOff>
      <xdr:row>7</xdr:row>
      <xdr:rowOff>95250</xdr:rowOff>
    </xdr:to>
    <xdr:cxnSp macro="">
      <xdr:nvCxnSpPr>
        <xdr:cNvPr id="18" name="Branch 211"/>
        <xdr:cNvCxnSpPr/>
      </xdr:nvCxnSpPr>
      <xdr:spPr>
        <a:xfrm>
          <a:off x="6867525" y="2381250"/>
          <a:ext cx="19621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7</xdr:row>
      <xdr:rowOff>23813</xdr:rowOff>
    </xdr:from>
    <xdr:to>
      <xdr:col>16</xdr:col>
      <xdr:colOff>0</xdr:colOff>
      <xdr:row>7</xdr:row>
      <xdr:rowOff>166688</xdr:rowOff>
    </xdr:to>
    <xdr:cxnSp macro="">
      <xdr:nvCxnSpPr>
        <xdr:cNvPr id="19" name="Leaf 211"/>
        <xdr:cNvCxnSpPr/>
      </xdr:nvCxnSpPr>
      <xdr:spPr>
        <a:xfrm>
          <a:off x="8829675" y="23098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9</xdr:row>
      <xdr:rowOff>95250</xdr:rowOff>
    </xdr:from>
    <xdr:to>
      <xdr:col>13</xdr:col>
      <xdr:colOff>0</xdr:colOff>
      <xdr:row>11</xdr:row>
      <xdr:rowOff>95250</xdr:rowOff>
    </xdr:to>
    <xdr:cxnSp macro="">
      <xdr:nvCxnSpPr>
        <xdr:cNvPr id="20" name="FBranch 212"/>
        <xdr:cNvCxnSpPr/>
      </xdr:nvCxnSpPr>
      <xdr:spPr>
        <a:xfrm>
          <a:off x="6619875" y="2952750"/>
          <a:ext cx="2476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11</xdr:row>
      <xdr:rowOff>95250</xdr:rowOff>
    </xdr:from>
    <xdr:to>
      <xdr:col>16</xdr:col>
      <xdr:colOff>0</xdr:colOff>
      <xdr:row>11</xdr:row>
      <xdr:rowOff>95250</xdr:rowOff>
    </xdr:to>
    <xdr:cxnSp macro="">
      <xdr:nvCxnSpPr>
        <xdr:cNvPr id="21" name="Branch 212"/>
        <xdr:cNvCxnSpPr/>
      </xdr:nvCxnSpPr>
      <xdr:spPr>
        <a:xfrm>
          <a:off x="6867525" y="3333750"/>
          <a:ext cx="19621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11</xdr:row>
      <xdr:rowOff>23813</xdr:rowOff>
    </xdr:from>
    <xdr:to>
      <xdr:col>16</xdr:col>
      <xdr:colOff>0</xdr:colOff>
      <xdr:row>11</xdr:row>
      <xdr:rowOff>166688</xdr:rowOff>
    </xdr:to>
    <xdr:cxnSp macro="">
      <xdr:nvCxnSpPr>
        <xdr:cNvPr id="22" name="Leaf 212"/>
        <xdr:cNvCxnSpPr/>
      </xdr:nvCxnSpPr>
      <xdr:spPr>
        <a:xfrm>
          <a:off x="8829675" y="32623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520700</xdr:colOff>
      <xdr:row>22</xdr:row>
      <xdr:rowOff>95250</xdr:rowOff>
    </xdr:from>
    <xdr:to>
      <xdr:col>1</xdr:col>
      <xdr:colOff>0</xdr:colOff>
      <xdr:row>22</xdr:row>
      <xdr:rowOff>95250</xdr:rowOff>
    </xdr:to>
    <xdr:cxnSp macro="">
      <xdr:nvCxnSpPr>
        <xdr:cNvPr id="32" name="Root "/>
        <xdr:cNvCxnSpPr/>
      </xdr:nvCxnSpPr>
      <xdr:spPr>
        <a:xfrm flipH="1">
          <a:off x="520700" y="1619250"/>
          <a:ext cx="2984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22</xdr:row>
      <xdr:rowOff>0</xdr:rowOff>
    </xdr:from>
    <xdr:to>
      <xdr:col>2</xdr:col>
      <xdr:colOff>0</xdr:colOff>
      <xdr:row>22</xdr:row>
      <xdr:rowOff>161925</xdr:rowOff>
    </xdr:to>
    <xdr:sp macro="" textlink="">
      <xdr:nvSpPr>
        <xdr:cNvPr id="33" name="TrNd " descr="500e6076-a167-4d1b-835c-892a8cec4328"/>
        <xdr:cNvSpPr>
          <a:spLocks/>
        </xdr:cNvSpPr>
      </xdr:nvSpPr>
      <xdr:spPr>
        <a:xfrm>
          <a:off x="819150" y="15240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21</xdr:row>
      <xdr:rowOff>95250</xdr:rowOff>
    </xdr:from>
    <xdr:to>
      <xdr:col>6</xdr:col>
      <xdr:colOff>0</xdr:colOff>
      <xdr:row>21</xdr:row>
      <xdr:rowOff>95250</xdr:rowOff>
    </xdr:to>
    <xdr:cxnSp macro="">
      <xdr:nvCxnSpPr>
        <xdr:cNvPr id="34" name="Branch 1"/>
        <xdr:cNvCxnSpPr/>
      </xdr:nvCxnSpPr>
      <xdr:spPr>
        <a:xfrm>
          <a:off x="1228725" y="1047750"/>
          <a:ext cx="26384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25</xdr:row>
      <xdr:rowOff>95250</xdr:rowOff>
    </xdr:from>
    <xdr:to>
      <xdr:col>6</xdr:col>
      <xdr:colOff>0</xdr:colOff>
      <xdr:row>25</xdr:row>
      <xdr:rowOff>95250</xdr:rowOff>
    </xdr:to>
    <xdr:cxnSp macro="">
      <xdr:nvCxnSpPr>
        <xdr:cNvPr id="35" name="Branch 2"/>
        <xdr:cNvCxnSpPr/>
      </xdr:nvCxnSpPr>
      <xdr:spPr>
        <a:xfrm>
          <a:off x="1228725" y="2762250"/>
          <a:ext cx="26384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0</xdr:colOff>
      <xdr:row>25</xdr:row>
      <xdr:rowOff>0</xdr:rowOff>
    </xdr:from>
    <xdr:ext cx="161925" cy="161925"/>
    <xdr:sp macro="" textlink="">
      <xdr:nvSpPr>
        <xdr:cNvPr id="36" name="TrNd 2" descr="70756e97-be7b-4930-b3dd-e190b467734d"/>
        <xdr:cNvSpPr>
          <a:spLocks/>
        </xdr:cNvSpPr>
      </xdr:nvSpPr>
      <xdr:spPr>
        <a:xfrm>
          <a:off x="3867150" y="26670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oneCellAnchor>
  <xdr:twoCellAnchor>
    <xdr:from>
      <xdr:col>0</xdr:col>
      <xdr:colOff>520700</xdr:colOff>
      <xdr:row>22</xdr:row>
      <xdr:rowOff>95250</xdr:rowOff>
    </xdr:from>
    <xdr:to>
      <xdr:col>1</xdr:col>
      <xdr:colOff>0</xdr:colOff>
      <xdr:row>22</xdr:row>
      <xdr:rowOff>95250</xdr:rowOff>
    </xdr:to>
    <xdr:cxnSp macro="">
      <xdr:nvCxnSpPr>
        <xdr:cNvPr id="37" name="Root "/>
        <xdr:cNvCxnSpPr/>
      </xdr:nvCxnSpPr>
      <xdr:spPr>
        <a:xfrm flipH="1">
          <a:off x="520700" y="1619250"/>
          <a:ext cx="2984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23</xdr:row>
      <xdr:rowOff>95250</xdr:rowOff>
    </xdr:from>
    <xdr:to>
      <xdr:col>8</xdr:col>
      <xdr:colOff>0</xdr:colOff>
      <xdr:row>25</xdr:row>
      <xdr:rowOff>80963</xdr:rowOff>
    </xdr:to>
    <xdr:cxnSp macro="">
      <xdr:nvCxnSpPr>
        <xdr:cNvPr id="38" name="FBranch 21"/>
        <xdr:cNvCxnSpPr/>
      </xdr:nvCxnSpPr>
      <xdr:spPr>
        <a:xfrm flipV="1">
          <a:off x="4772025" y="2000250"/>
          <a:ext cx="247650" cy="7477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25</xdr:row>
      <xdr:rowOff>80963</xdr:rowOff>
    </xdr:from>
    <xdr:to>
      <xdr:col>8</xdr:col>
      <xdr:colOff>0</xdr:colOff>
      <xdr:row>27</xdr:row>
      <xdr:rowOff>95250</xdr:rowOff>
    </xdr:to>
    <xdr:cxnSp macro="">
      <xdr:nvCxnSpPr>
        <xdr:cNvPr id="39" name="FBranch 22"/>
        <xdr:cNvCxnSpPr/>
      </xdr:nvCxnSpPr>
      <xdr:spPr>
        <a:xfrm>
          <a:off x="4772025" y="2747963"/>
          <a:ext cx="247650" cy="7762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21</xdr:row>
      <xdr:rowOff>95250</xdr:rowOff>
    </xdr:from>
    <xdr:to>
      <xdr:col>3</xdr:col>
      <xdr:colOff>0</xdr:colOff>
      <xdr:row>22</xdr:row>
      <xdr:rowOff>80963</xdr:rowOff>
    </xdr:to>
    <xdr:cxnSp macro="">
      <xdr:nvCxnSpPr>
        <xdr:cNvPr id="40" name="FBranch 1"/>
        <xdr:cNvCxnSpPr/>
      </xdr:nvCxnSpPr>
      <xdr:spPr>
        <a:xfrm flipV="1">
          <a:off x="981075" y="1047750"/>
          <a:ext cx="247650" cy="5572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22</xdr:row>
      <xdr:rowOff>80963</xdr:rowOff>
    </xdr:from>
    <xdr:to>
      <xdr:col>3</xdr:col>
      <xdr:colOff>0</xdr:colOff>
      <xdr:row>25</xdr:row>
      <xdr:rowOff>95250</xdr:rowOff>
    </xdr:to>
    <xdr:cxnSp macro="">
      <xdr:nvCxnSpPr>
        <xdr:cNvPr id="41" name="FBranch 2"/>
        <xdr:cNvCxnSpPr/>
      </xdr:nvCxnSpPr>
      <xdr:spPr>
        <a:xfrm>
          <a:off x="981075" y="1604963"/>
          <a:ext cx="247650" cy="11572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23</xdr:row>
      <xdr:rowOff>95250</xdr:rowOff>
    </xdr:from>
    <xdr:to>
      <xdr:col>11</xdr:col>
      <xdr:colOff>0</xdr:colOff>
      <xdr:row>23</xdr:row>
      <xdr:rowOff>95250</xdr:rowOff>
    </xdr:to>
    <xdr:cxnSp macro="">
      <xdr:nvCxnSpPr>
        <xdr:cNvPr id="42" name="Branch 21"/>
        <xdr:cNvCxnSpPr/>
      </xdr:nvCxnSpPr>
      <xdr:spPr>
        <a:xfrm>
          <a:off x="5019675" y="2000250"/>
          <a:ext cx="1438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27</xdr:row>
      <xdr:rowOff>95250</xdr:rowOff>
    </xdr:from>
    <xdr:to>
      <xdr:col>11</xdr:col>
      <xdr:colOff>0</xdr:colOff>
      <xdr:row>27</xdr:row>
      <xdr:rowOff>95250</xdr:rowOff>
    </xdr:to>
    <xdr:cxnSp macro="">
      <xdr:nvCxnSpPr>
        <xdr:cNvPr id="43" name="Branch 22"/>
        <xdr:cNvCxnSpPr/>
      </xdr:nvCxnSpPr>
      <xdr:spPr>
        <a:xfrm>
          <a:off x="5019675" y="3524250"/>
          <a:ext cx="1438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180975</xdr:colOff>
      <xdr:row>11</xdr:row>
      <xdr:rowOff>9524</xdr:rowOff>
    </xdr:from>
    <xdr:to>
      <xdr:col>15</xdr:col>
      <xdr:colOff>104775</xdr:colOff>
      <xdr:row>12</xdr:row>
      <xdr:rowOff>133349</xdr:rowOff>
    </xdr:to>
    <xdr:sp macro="" textlink="">
      <xdr:nvSpPr>
        <xdr:cNvPr id="23" name="TextBox 22"/>
        <xdr:cNvSpPr txBox="1"/>
      </xdr:nvSpPr>
      <xdr:spPr>
        <a:xfrm>
          <a:off x="6705600" y="2314574"/>
          <a:ext cx="1371600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is basically 0</a:t>
          </a:r>
        </a:p>
      </xdr:txBody>
    </xdr:sp>
    <xdr:clientData/>
  </xdr:twoCellAnchor>
  <xdr:twoCellAnchor>
    <xdr:from>
      <xdr:col>11</xdr:col>
      <xdr:colOff>0</xdr:colOff>
      <xdr:row>23</xdr:row>
      <xdr:rowOff>0</xdr:rowOff>
    </xdr:from>
    <xdr:to>
      <xdr:col>12</xdr:col>
      <xdr:colOff>0</xdr:colOff>
      <xdr:row>23</xdr:row>
      <xdr:rowOff>161925</xdr:rowOff>
    </xdr:to>
    <xdr:sp macro="" textlink="">
      <xdr:nvSpPr>
        <xdr:cNvPr id="52" name="TrNd 21" descr="58abfe57-ba61-4777-98ab-5395dc689cf7"/>
        <xdr:cNvSpPr>
          <a:spLocks/>
        </xdr:cNvSpPr>
      </xdr:nvSpPr>
      <xdr:spPr>
        <a:xfrm>
          <a:off x="6115050" y="192405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0</xdr:colOff>
      <xdr:row>21</xdr:row>
      <xdr:rowOff>95250</xdr:rowOff>
    </xdr:from>
    <xdr:to>
      <xdr:col>13</xdr:col>
      <xdr:colOff>0</xdr:colOff>
      <xdr:row>23</xdr:row>
      <xdr:rowOff>95250</xdr:rowOff>
    </xdr:to>
    <xdr:cxnSp macro="">
      <xdr:nvCxnSpPr>
        <xdr:cNvPr id="53" name="FBranch 211"/>
        <xdr:cNvCxnSpPr/>
      </xdr:nvCxnSpPr>
      <xdr:spPr>
        <a:xfrm flipV="1">
          <a:off x="6276975" y="1447800"/>
          <a:ext cx="2476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21</xdr:row>
      <xdr:rowOff>95250</xdr:rowOff>
    </xdr:from>
    <xdr:to>
      <xdr:col>16</xdr:col>
      <xdr:colOff>0</xdr:colOff>
      <xdr:row>21</xdr:row>
      <xdr:rowOff>95250</xdr:rowOff>
    </xdr:to>
    <xdr:cxnSp macro="">
      <xdr:nvCxnSpPr>
        <xdr:cNvPr id="54" name="Branch 211"/>
        <xdr:cNvCxnSpPr/>
      </xdr:nvCxnSpPr>
      <xdr:spPr>
        <a:xfrm>
          <a:off x="6524625" y="1447800"/>
          <a:ext cx="19621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21</xdr:row>
      <xdr:rowOff>23813</xdr:rowOff>
    </xdr:from>
    <xdr:to>
      <xdr:col>16</xdr:col>
      <xdr:colOff>0</xdr:colOff>
      <xdr:row>21</xdr:row>
      <xdr:rowOff>166688</xdr:rowOff>
    </xdr:to>
    <xdr:cxnSp macro="">
      <xdr:nvCxnSpPr>
        <xdr:cNvPr id="55" name="Leaf 211"/>
        <xdr:cNvCxnSpPr/>
      </xdr:nvCxnSpPr>
      <xdr:spPr>
        <a:xfrm>
          <a:off x="8486775" y="137636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23</xdr:row>
      <xdr:rowOff>95250</xdr:rowOff>
    </xdr:from>
    <xdr:to>
      <xdr:col>13</xdr:col>
      <xdr:colOff>0</xdr:colOff>
      <xdr:row>25</xdr:row>
      <xdr:rowOff>95250</xdr:rowOff>
    </xdr:to>
    <xdr:cxnSp macro="">
      <xdr:nvCxnSpPr>
        <xdr:cNvPr id="56" name="FBranch 212"/>
        <xdr:cNvCxnSpPr/>
      </xdr:nvCxnSpPr>
      <xdr:spPr>
        <a:xfrm>
          <a:off x="6276975" y="2019300"/>
          <a:ext cx="2476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25</xdr:row>
      <xdr:rowOff>95250</xdr:rowOff>
    </xdr:from>
    <xdr:to>
      <xdr:col>16</xdr:col>
      <xdr:colOff>0</xdr:colOff>
      <xdr:row>25</xdr:row>
      <xdr:rowOff>95250</xdr:rowOff>
    </xdr:to>
    <xdr:cxnSp macro="">
      <xdr:nvCxnSpPr>
        <xdr:cNvPr id="57" name="Branch 212"/>
        <xdr:cNvCxnSpPr/>
      </xdr:nvCxnSpPr>
      <xdr:spPr>
        <a:xfrm>
          <a:off x="6524625" y="2400300"/>
          <a:ext cx="19621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25</xdr:row>
      <xdr:rowOff>23813</xdr:rowOff>
    </xdr:from>
    <xdr:to>
      <xdr:col>16</xdr:col>
      <xdr:colOff>0</xdr:colOff>
      <xdr:row>25</xdr:row>
      <xdr:rowOff>166688</xdr:rowOff>
    </xdr:to>
    <xdr:cxnSp macro="">
      <xdr:nvCxnSpPr>
        <xdr:cNvPr id="58" name="Leaf 212"/>
        <xdr:cNvCxnSpPr/>
      </xdr:nvCxnSpPr>
      <xdr:spPr>
        <a:xfrm>
          <a:off x="8486775" y="232886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520700</xdr:colOff>
      <xdr:row>23</xdr:row>
      <xdr:rowOff>95250</xdr:rowOff>
    </xdr:from>
    <xdr:to>
      <xdr:col>1</xdr:col>
      <xdr:colOff>0</xdr:colOff>
      <xdr:row>23</xdr:row>
      <xdr:rowOff>95250</xdr:rowOff>
    </xdr:to>
    <xdr:cxnSp macro="">
      <xdr:nvCxnSpPr>
        <xdr:cNvPr id="208" name="Root "/>
        <xdr:cNvCxnSpPr/>
      </xdr:nvCxnSpPr>
      <xdr:spPr>
        <a:xfrm flipH="1">
          <a:off x="520700" y="1638300"/>
          <a:ext cx="6889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23</xdr:row>
      <xdr:rowOff>0</xdr:rowOff>
    </xdr:from>
    <xdr:to>
      <xdr:col>2</xdr:col>
      <xdr:colOff>0</xdr:colOff>
      <xdr:row>23</xdr:row>
      <xdr:rowOff>161925</xdr:rowOff>
    </xdr:to>
    <xdr:sp macro="" textlink="">
      <xdr:nvSpPr>
        <xdr:cNvPr id="209" name="TrNd " descr="500e6076-a167-4d1b-835c-892a8cec4328"/>
        <xdr:cNvSpPr>
          <a:spLocks/>
        </xdr:cNvSpPr>
      </xdr:nvSpPr>
      <xdr:spPr>
        <a:xfrm>
          <a:off x="1209675" y="154305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19</xdr:row>
      <xdr:rowOff>95250</xdr:rowOff>
    </xdr:from>
    <xdr:to>
      <xdr:col>6</xdr:col>
      <xdr:colOff>0</xdr:colOff>
      <xdr:row>19</xdr:row>
      <xdr:rowOff>95250</xdr:rowOff>
    </xdr:to>
    <xdr:cxnSp macro="">
      <xdr:nvCxnSpPr>
        <xdr:cNvPr id="210" name="Branch 1"/>
        <xdr:cNvCxnSpPr/>
      </xdr:nvCxnSpPr>
      <xdr:spPr>
        <a:xfrm>
          <a:off x="1619250" y="1066800"/>
          <a:ext cx="26384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19</xdr:row>
      <xdr:rowOff>23813</xdr:rowOff>
    </xdr:from>
    <xdr:to>
      <xdr:col>21</xdr:col>
      <xdr:colOff>0</xdr:colOff>
      <xdr:row>19</xdr:row>
      <xdr:rowOff>166688</xdr:rowOff>
    </xdr:to>
    <xdr:cxnSp macro="">
      <xdr:nvCxnSpPr>
        <xdr:cNvPr id="211" name="Leaf 1"/>
        <xdr:cNvCxnSpPr/>
      </xdr:nvCxnSpPr>
      <xdr:spPr>
        <a:xfrm>
          <a:off x="9991725" y="370046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28</xdr:row>
      <xdr:rowOff>95250</xdr:rowOff>
    </xdr:from>
    <xdr:to>
      <xdr:col>6</xdr:col>
      <xdr:colOff>0</xdr:colOff>
      <xdr:row>28</xdr:row>
      <xdr:rowOff>95250</xdr:rowOff>
    </xdr:to>
    <xdr:cxnSp macro="">
      <xdr:nvCxnSpPr>
        <xdr:cNvPr id="212" name="Branch 2"/>
        <xdr:cNvCxnSpPr/>
      </xdr:nvCxnSpPr>
      <xdr:spPr>
        <a:xfrm>
          <a:off x="1619250" y="2781300"/>
          <a:ext cx="26384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0</xdr:colOff>
      <xdr:row>28</xdr:row>
      <xdr:rowOff>0</xdr:rowOff>
    </xdr:from>
    <xdr:to>
      <xdr:col>6</xdr:col>
      <xdr:colOff>161925</xdr:colOff>
      <xdr:row>28</xdr:row>
      <xdr:rowOff>161925</xdr:rowOff>
    </xdr:to>
    <xdr:sp macro="" textlink="">
      <xdr:nvSpPr>
        <xdr:cNvPr id="213" name="TrNd 2" descr="70756e97-be7b-4930-b3dd-e190b467734d"/>
        <xdr:cNvSpPr>
          <a:spLocks/>
        </xdr:cNvSpPr>
      </xdr:nvSpPr>
      <xdr:spPr>
        <a:xfrm>
          <a:off x="4257675" y="268605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0</xdr:colOff>
      <xdr:row>23</xdr:row>
      <xdr:rowOff>95250</xdr:rowOff>
    </xdr:from>
    <xdr:to>
      <xdr:col>11</xdr:col>
      <xdr:colOff>0</xdr:colOff>
      <xdr:row>23</xdr:row>
      <xdr:rowOff>95250</xdr:rowOff>
    </xdr:to>
    <xdr:cxnSp macro="">
      <xdr:nvCxnSpPr>
        <xdr:cNvPr id="214" name="Branch 21"/>
        <xdr:cNvCxnSpPr/>
      </xdr:nvCxnSpPr>
      <xdr:spPr>
        <a:xfrm>
          <a:off x="4676775" y="2019300"/>
          <a:ext cx="1438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33</xdr:row>
      <xdr:rowOff>95250</xdr:rowOff>
    </xdr:from>
    <xdr:to>
      <xdr:col>11</xdr:col>
      <xdr:colOff>0</xdr:colOff>
      <xdr:row>33</xdr:row>
      <xdr:rowOff>95250</xdr:rowOff>
    </xdr:to>
    <xdr:cxnSp macro="">
      <xdr:nvCxnSpPr>
        <xdr:cNvPr id="215" name="Branch 22"/>
        <xdr:cNvCxnSpPr/>
      </xdr:nvCxnSpPr>
      <xdr:spPr>
        <a:xfrm>
          <a:off x="4676775" y="3162300"/>
          <a:ext cx="1438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19</xdr:row>
      <xdr:rowOff>95250</xdr:rowOff>
    </xdr:from>
    <xdr:to>
      <xdr:col>21</xdr:col>
      <xdr:colOff>0</xdr:colOff>
      <xdr:row>19</xdr:row>
      <xdr:rowOff>95250</xdr:rowOff>
    </xdr:to>
    <xdr:cxnSp macro="">
      <xdr:nvCxnSpPr>
        <xdr:cNvPr id="216" name="XBranch 1"/>
        <xdr:cNvCxnSpPr/>
      </xdr:nvCxnSpPr>
      <xdr:spPr>
        <a:xfrm>
          <a:off x="3438525" y="3771900"/>
          <a:ext cx="6553200" cy="0"/>
        </a:xfrm>
        <a:prstGeom prst="line">
          <a:avLst/>
        </a:prstGeom>
        <a:ln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520700</xdr:colOff>
      <xdr:row>23</xdr:row>
      <xdr:rowOff>95250</xdr:rowOff>
    </xdr:from>
    <xdr:to>
      <xdr:col>1</xdr:col>
      <xdr:colOff>0</xdr:colOff>
      <xdr:row>23</xdr:row>
      <xdr:rowOff>95250</xdr:rowOff>
    </xdr:to>
    <xdr:cxnSp macro="">
      <xdr:nvCxnSpPr>
        <xdr:cNvPr id="217" name="Root "/>
        <xdr:cNvCxnSpPr/>
      </xdr:nvCxnSpPr>
      <xdr:spPr>
        <a:xfrm flipH="1">
          <a:off x="520700" y="1638300"/>
          <a:ext cx="6889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0</xdr:rowOff>
    </xdr:from>
    <xdr:to>
      <xdr:col>12</xdr:col>
      <xdr:colOff>0</xdr:colOff>
      <xdr:row>33</xdr:row>
      <xdr:rowOff>161925</xdr:rowOff>
    </xdr:to>
    <xdr:sp macro="" textlink="">
      <xdr:nvSpPr>
        <xdr:cNvPr id="231" name="TrNd 212" descr="5ed3a5df-631d-4c2d-9932-8e1b74ca083f"/>
        <xdr:cNvSpPr>
          <a:spLocks/>
        </xdr:cNvSpPr>
      </xdr:nvSpPr>
      <xdr:spPr>
        <a:xfrm>
          <a:off x="6486525" y="615315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23</xdr:row>
      <xdr:rowOff>95250</xdr:rowOff>
    </xdr:from>
    <xdr:to>
      <xdr:col>8</xdr:col>
      <xdr:colOff>0</xdr:colOff>
      <xdr:row>28</xdr:row>
      <xdr:rowOff>80963</xdr:rowOff>
    </xdr:to>
    <xdr:cxnSp macro="">
      <xdr:nvCxnSpPr>
        <xdr:cNvPr id="232" name="FBranch 21"/>
        <xdr:cNvCxnSpPr/>
      </xdr:nvCxnSpPr>
      <xdr:spPr>
        <a:xfrm flipV="1">
          <a:off x="4048125" y="5105400"/>
          <a:ext cx="609600" cy="9382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28</xdr:row>
      <xdr:rowOff>80963</xdr:rowOff>
    </xdr:from>
    <xdr:to>
      <xdr:col>8</xdr:col>
      <xdr:colOff>0</xdr:colOff>
      <xdr:row>33</xdr:row>
      <xdr:rowOff>95250</xdr:rowOff>
    </xdr:to>
    <xdr:cxnSp macro="">
      <xdr:nvCxnSpPr>
        <xdr:cNvPr id="233" name="FBranch 22"/>
        <xdr:cNvCxnSpPr/>
      </xdr:nvCxnSpPr>
      <xdr:spPr>
        <a:xfrm>
          <a:off x="4048125" y="6043613"/>
          <a:ext cx="609600" cy="9667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19</xdr:row>
      <xdr:rowOff>95250</xdr:rowOff>
    </xdr:from>
    <xdr:to>
      <xdr:col>3</xdr:col>
      <xdr:colOff>0</xdr:colOff>
      <xdr:row>23</xdr:row>
      <xdr:rowOff>80963</xdr:rowOff>
    </xdr:to>
    <xdr:cxnSp macro="">
      <xdr:nvCxnSpPr>
        <xdr:cNvPr id="234" name="FBranch 1"/>
        <xdr:cNvCxnSpPr/>
      </xdr:nvCxnSpPr>
      <xdr:spPr>
        <a:xfrm flipV="1">
          <a:off x="809625" y="3771900"/>
          <a:ext cx="609600" cy="7477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23</xdr:row>
      <xdr:rowOff>80963</xdr:rowOff>
    </xdr:from>
    <xdr:to>
      <xdr:col>3</xdr:col>
      <xdr:colOff>0</xdr:colOff>
      <xdr:row>28</xdr:row>
      <xdr:rowOff>95250</xdr:rowOff>
    </xdr:to>
    <xdr:cxnSp macro="">
      <xdr:nvCxnSpPr>
        <xdr:cNvPr id="235" name="FBranch 2"/>
        <xdr:cNvCxnSpPr/>
      </xdr:nvCxnSpPr>
      <xdr:spPr>
        <a:xfrm>
          <a:off x="809625" y="4519613"/>
          <a:ext cx="609600" cy="15382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31</xdr:row>
      <xdr:rowOff>95250</xdr:rowOff>
    </xdr:from>
    <xdr:to>
      <xdr:col>13</xdr:col>
      <xdr:colOff>0</xdr:colOff>
      <xdr:row>33</xdr:row>
      <xdr:rowOff>95250</xdr:rowOff>
    </xdr:to>
    <xdr:cxnSp macro="">
      <xdr:nvCxnSpPr>
        <xdr:cNvPr id="236" name="FBranch 2121"/>
        <xdr:cNvCxnSpPr/>
      </xdr:nvCxnSpPr>
      <xdr:spPr>
        <a:xfrm flipV="1">
          <a:off x="6648450" y="6248400"/>
          <a:ext cx="2476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31</xdr:row>
      <xdr:rowOff>95250</xdr:rowOff>
    </xdr:from>
    <xdr:to>
      <xdr:col>16</xdr:col>
      <xdr:colOff>0</xdr:colOff>
      <xdr:row>31</xdr:row>
      <xdr:rowOff>95250</xdr:rowOff>
    </xdr:to>
    <xdr:cxnSp macro="">
      <xdr:nvCxnSpPr>
        <xdr:cNvPr id="237" name="Branch 2121"/>
        <xdr:cNvCxnSpPr/>
      </xdr:nvCxnSpPr>
      <xdr:spPr>
        <a:xfrm>
          <a:off x="6896100" y="6248400"/>
          <a:ext cx="1343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31</xdr:row>
      <xdr:rowOff>23813</xdr:rowOff>
    </xdr:from>
    <xdr:to>
      <xdr:col>16</xdr:col>
      <xdr:colOff>0</xdr:colOff>
      <xdr:row>31</xdr:row>
      <xdr:rowOff>166688</xdr:rowOff>
    </xdr:to>
    <xdr:cxnSp macro="">
      <xdr:nvCxnSpPr>
        <xdr:cNvPr id="238" name="Leaf 2121"/>
        <xdr:cNvCxnSpPr/>
      </xdr:nvCxnSpPr>
      <xdr:spPr>
        <a:xfrm>
          <a:off x="8239125" y="617696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33</xdr:row>
      <xdr:rowOff>95250</xdr:rowOff>
    </xdr:from>
    <xdr:to>
      <xdr:col>13</xdr:col>
      <xdr:colOff>0</xdr:colOff>
      <xdr:row>35</xdr:row>
      <xdr:rowOff>95250</xdr:rowOff>
    </xdr:to>
    <xdr:cxnSp macro="">
      <xdr:nvCxnSpPr>
        <xdr:cNvPr id="239" name="FBranch 2122"/>
        <xdr:cNvCxnSpPr/>
      </xdr:nvCxnSpPr>
      <xdr:spPr>
        <a:xfrm>
          <a:off x="6648450" y="6629400"/>
          <a:ext cx="2476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35</xdr:row>
      <xdr:rowOff>95250</xdr:rowOff>
    </xdr:from>
    <xdr:to>
      <xdr:col>16</xdr:col>
      <xdr:colOff>0</xdr:colOff>
      <xdr:row>35</xdr:row>
      <xdr:rowOff>95250</xdr:rowOff>
    </xdr:to>
    <xdr:cxnSp macro="">
      <xdr:nvCxnSpPr>
        <xdr:cNvPr id="240" name="Branch 2122"/>
        <xdr:cNvCxnSpPr/>
      </xdr:nvCxnSpPr>
      <xdr:spPr>
        <a:xfrm>
          <a:off x="6896100" y="7010400"/>
          <a:ext cx="1343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35</xdr:row>
      <xdr:rowOff>23813</xdr:rowOff>
    </xdr:from>
    <xdr:to>
      <xdr:col>16</xdr:col>
      <xdr:colOff>0</xdr:colOff>
      <xdr:row>35</xdr:row>
      <xdr:rowOff>166688</xdr:rowOff>
    </xdr:to>
    <xdr:cxnSp macro="">
      <xdr:nvCxnSpPr>
        <xdr:cNvPr id="241" name="Leaf 2122"/>
        <xdr:cNvCxnSpPr/>
      </xdr:nvCxnSpPr>
      <xdr:spPr>
        <a:xfrm>
          <a:off x="8239125" y="693896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520700</xdr:colOff>
      <xdr:row>45</xdr:row>
      <xdr:rowOff>95250</xdr:rowOff>
    </xdr:from>
    <xdr:to>
      <xdr:col>1</xdr:col>
      <xdr:colOff>0</xdr:colOff>
      <xdr:row>45</xdr:row>
      <xdr:rowOff>95250</xdr:rowOff>
    </xdr:to>
    <xdr:cxnSp macro="">
      <xdr:nvCxnSpPr>
        <xdr:cNvPr id="244" name="Root "/>
        <xdr:cNvCxnSpPr/>
      </xdr:nvCxnSpPr>
      <xdr:spPr>
        <a:xfrm flipH="1">
          <a:off x="520700" y="4514850"/>
          <a:ext cx="6889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0</xdr:rowOff>
    </xdr:from>
    <xdr:to>
      <xdr:col>2</xdr:col>
      <xdr:colOff>0</xdr:colOff>
      <xdr:row>45</xdr:row>
      <xdr:rowOff>161925</xdr:rowOff>
    </xdr:to>
    <xdr:sp macro="" textlink="">
      <xdr:nvSpPr>
        <xdr:cNvPr id="245" name="TrNd " descr="500e6076-a167-4d1b-835c-892a8cec4328"/>
        <xdr:cNvSpPr>
          <a:spLocks/>
        </xdr:cNvSpPr>
      </xdr:nvSpPr>
      <xdr:spPr>
        <a:xfrm>
          <a:off x="1209675" y="44196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44</xdr:row>
      <xdr:rowOff>95250</xdr:rowOff>
    </xdr:from>
    <xdr:to>
      <xdr:col>6</xdr:col>
      <xdr:colOff>0</xdr:colOff>
      <xdr:row>44</xdr:row>
      <xdr:rowOff>95250</xdr:rowOff>
    </xdr:to>
    <xdr:cxnSp macro="">
      <xdr:nvCxnSpPr>
        <xdr:cNvPr id="246" name="Branch 1"/>
        <xdr:cNvCxnSpPr/>
      </xdr:nvCxnSpPr>
      <xdr:spPr>
        <a:xfrm>
          <a:off x="1619250" y="4324350"/>
          <a:ext cx="26384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48</xdr:row>
      <xdr:rowOff>95250</xdr:rowOff>
    </xdr:from>
    <xdr:to>
      <xdr:col>6</xdr:col>
      <xdr:colOff>0</xdr:colOff>
      <xdr:row>48</xdr:row>
      <xdr:rowOff>95250</xdr:rowOff>
    </xdr:to>
    <xdr:cxnSp macro="">
      <xdr:nvCxnSpPr>
        <xdr:cNvPr id="247" name="Branch 2"/>
        <xdr:cNvCxnSpPr/>
      </xdr:nvCxnSpPr>
      <xdr:spPr>
        <a:xfrm>
          <a:off x="1619250" y="5276850"/>
          <a:ext cx="26384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0</xdr:colOff>
      <xdr:row>48</xdr:row>
      <xdr:rowOff>0</xdr:rowOff>
    </xdr:from>
    <xdr:ext cx="161925" cy="161925"/>
    <xdr:sp macro="" textlink="">
      <xdr:nvSpPr>
        <xdr:cNvPr id="248" name="TrNd 2" descr="70756e97-be7b-4930-b3dd-e190b467734d"/>
        <xdr:cNvSpPr>
          <a:spLocks/>
        </xdr:cNvSpPr>
      </xdr:nvSpPr>
      <xdr:spPr>
        <a:xfrm>
          <a:off x="4257675" y="51816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oneCellAnchor>
  <xdr:twoCellAnchor>
    <xdr:from>
      <xdr:col>0</xdr:col>
      <xdr:colOff>520700</xdr:colOff>
      <xdr:row>45</xdr:row>
      <xdr:rowOff>95250</xdr:rowOff>
    </xdr:from>
    <xdr:to>
      <xdr:col>1</xdr:col>
      <xdr:colOff>0</xdr:colOff>
      <xdr:row>45</xdr:row>
      <xdr:rowOff>95250</xdr:rowOff>
    </xdr:to>
    <xdr:cxnSp macro="">
      <xdr:nvCxnSpPr>
        <xdr:cNvPr id="249" name="Root "/>
        <xdr:cNvCxnSpPr/>
      </xdr:nvCxnSpPr>
      <xdr:spPr>
        <a:xfrm flipH="1">
          <a:off x="520700" y="4514850"/>
          <a:ext cx="6889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46</xdr:row>
      <xdr:rowOff>95250</xdr:rowOff>
    </xdr:from>
    <xdr:to>
      <xdr:col>8</xdr:col>
      <xdr:colOff>0</xdr:colOff>
      <xdr:row>48</xdr:row>
      <xdr:rowOff>80963</xdr:rowOff>
    </xdr:to>
    <xdr:cxnSp macro="">
      <xdr:nvCxnSpPr>
        <xdr:cNvPr id="250" name="FBranch 21"/>
        <xdr:cNvCxnSpPr/>
      </xdr:nvCxnSpPr>
      <xdr:spPr>
        <a:xfrm flipV="1">
          <a:off x="4429125" y="4895850"/>
          <a:ext cx="247650" cy="3667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48</xdr:row>
      <xdr:rowOff>80963</xdr:rowOff>
    </xdr:from>
    <xdr:to>
      <xdr:col>8</xdr:col>
      <xdr:colOff>0</xdr:colOff>
      <xdr:row>57</xdr:row>
      <xdr:rowOff>95250</xdr:rowOff>
    </xdr:to>
    <xdr:cxnSp macro="">
      <xdr:nvCxnSpPr>
        <xdr:cNvPr id="251" name="FBranch 22"/>
        <xdr:cNvCxnSpPr/>
      </xdr:nvCxnSpPr>
      <xdr:spPr>
        <a:xfrm>
          <a:off x="4429125" y="5262563"/>
          <a:ext cx="247650" cy="3952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44</xdr:row>
      <xdr:rowOff>95250</xdr:rowOff>
    </xdr:from>
    <xdr:to>
      <xdr:col>3</xdr:col>
      <xdr:colOff>0</xdr:colOff>
      <xdr:row>45</xdr:row>
      <xdr:rowOff>80963</xdr:rowOff>
    </xdr:to>
    <xdr:cxnSp macro="">
      <xdr:nvCxnSpPr>
        <xdr:cNvPr id="252" name="FBranch 1"/>
        <xdr:cNvCxnSpPr/>
      </xdr:nvCxnSpPr>
      <xdr:spPr>
        <a:xfrm flipV="1">
          <a:off x="1371600" y="4324350"/>
          <a:ext cx="247650" cy="1762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80963</xdr:rowOff>
    </xdr:from>
    <xdr:to>
      <xdr:col>3</xdr:col>
      <xdr:colOff>0</xdr:colOff>
      <xdr:row>48</xdr:row>
      <xdr:rowOff>95250</xdr:rowOff>
    </xdr:to>
    <xdr:cxnSp macro="">
      <xdr:nvCxnSpPr>
        <xdr:cNvPr id="253" name="FBranch 2"/>
        <xdr:cNvCxnSpPr/>
      </xdr:nvCxnSpPr>
      <xdr:spPr>
        <a:xfrm>
          <a:off x="1371600" y="4500563"/>
          <a:ext cx="247650" cy="7762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46</xdr:row>
      <xdr:rowOff>95250</xdr:rowOff>
    </xdr:from>
    <xdr:to>
      <xdr:col>11</xdr:col>
      <xdr:colOff>0</xdr:colOff>
      <xdr:row>46</xdr:row>
      <xdr:rowOff>95250</xdr:rowOff>
    </xdr:to>
    <xdr:cxnSp macro="">
      <xdr:nvCxnSpPr>
        <xdr:cNvPr id="254" name="Branch 21"/>
        <xdr:cNvCxnSpPr/>
      </xdr:nvCxnSpPr>
      <xdr:spPr>
        <a:xfrm>
          <a:off x="4676775" y="4895850"/>
          <a:ext cx="1438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57</xdr:row>
      <xdr:rowOff>95250</xdr:rowOff>
    </xdr:from>
    <xdr:to>
      <xdr:col>11</xdr:col>
      <xdr:colOff>0</xdr:colOff>
      <xdr:row>57</xdr:row>
      <xdr:rowOff>95250</xdr:rowOff>
    </xdr:to>
    <xdr:cxnSp macro="">
      <xdr:nvCxnSpPr>
        <xdr:cNvPr id="255" name="Branch 22"/>
        <xdr:cNvCxnSpPr/>
      </xdr:nvCxnSpPr>
      <xdr:spPr>
        <a:xfrm>
          <a:off x="4676775" y="5657850"/>
          <a:ext cx="1438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46</xdr:row>
      <xdr:rowOff>0</xdr:rowOff>
    </xdr:from>
    <xdr:to>
      <xdr:col>12</xdr:col>
      <xdr:colOff>0</xdr:colOff>
      <xdr:row>46</xdr:row>
      <xdr:rowOff>161925</xdr:rowOff>
    </xdr:to>
    <xdr:sp macro="" textlink="">
      <xdr:nvSpPr>
        <xdr:cNvPr id="256" name="TrNd 21" descr="58abfe57-ba61-4777-98ab-5395dc689cf7"/>
        <xdr:cNvSpPr>
          <a:spLocks/>
        </xdr:cNvSpPr>
      </xdr:nvSpPr>
      <xdr:spPr>
        <a:xfrm>
          <a:off x="6115050" y="48006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0</xdr:colOff>
      <xdr:row>44</xdr:row>
      <xdr:rowOff>95250</xdr:rowOff>
    </xdr:from>
    <xdr:to>
      <xdr:col>13</xdr:col>
      <xdr:colOff>0</xdr:colOff>
      <xdr:row>46</xdr:row>
      <xdr:rowOff>95250</xdr:rowOff>
    </xdr:to>
    <xdr:cxnSp macro="">
      <xdr:nvCxnSpPr>
        <xdr:cNvPr id="257" name="FBranch 211"/>
        <xdr:cNvCxnSpPr/>
      </xdr:nvCxnSpPr>
      <xdr:spPr>
        <a:xfrm flipV="1">
          <a:off x="6276975" y="4324350"/>
          <a:ext cx="2476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44</xdr:row>
      <xdr:rowOff>95250</xdr:rowOff>
    </xdr:from>
    <xdr:to>
      <xdr:col>16</xdr:col>
      <xdr:colOff>0</xdr:colOff>
      <xdr:row>44</xdr:row>
      <xdr:rowOff>95250</xdr:rowOff>
    </xdr:to>
    <xdr:cxnSp macro="">
      <xdr:nvCxnSpPr>
        <xdr:cNvPr id="258" name="Branch 211"/>
        <xdr:cNvCxnSpPr/>
      </xdr:nvCxnSpPr>
      <xdr:spPr>
        <a:xfrm>
          <a:off x="6524625" y="4324350"/>
          <a:ext cx="19621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44</xdr:row>
      <xdr:rowOff>23813</xdr:rowOff>
    </xdr:from>
    <xdr:to>
      <xdr:col>16</xdr:col>
      <xdr:colOff>0</xdr:colOff>
      <xdr:row>44</xdr:row>
      <xdr:rowOff>166688</xdr:rowOff>
    </xdr:to>
    <xdr:cxnSp macro="">
      <xdr:nvCxnSpPr>
        <xdr:cNvPr id="259" name="Leaf 211"/>
        <xdr:cNvCxnSpPr/>
      </xdr:nvCxnSpPr>
      <xdr:spPr>
        <a:xfrm>
          <a:off x="8486775" y="42529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46</xdr:row>
      <xdr:rowOff>95250</xdr:rowOff>
    </xdr:from>
    <xdr:to>
      <xdr:col>13</xdr:col>
      <xdr:colOff>0</xdr:colOff>
      <xdr:row>48</xdr:row>
      <xdr:rowOff>95250</xdr:rowOff>
    </xdr:to>
    <xdr:cxnSp macro="">
      <xdr:nvCxnSpPr>
        <xdr:cNvPr id="260" name="FBranch 212"/>
        <xdr:cNvCxnSpPr/>
      </xdr:nvCxnSpPr>
      <xdr:spPr>
        <a:xfrm>
          <a:off x="6276975" y="4895850"/>
          <a:ext cx="2476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48</xdr:row>
      <xdr:rowOff>95250</xdr:rowOff>
    </xdr:from>
    <xdr:to>
      <xdr:col>16</xdr:col>
      <xdr:colOff>0</xdr:colOff>
      <xdr:row>48</xdr:row>
      <xdr:rowOff>95250</xdr:rowOff>
    </xdr:to>
    <xdr:cxnSp macro="">
      <xdr:nvCxnSpPr>
        <xdr:cNvPr id="261" name="Branch 212"/>
        <xdr:cNvCxnSpPr/>
      </xdr:nvCxnSpPr>
      <xdr:spPr>
        <a:xfrm>
          <a:off x="6524625" y="5276850"/>
          <a:ext cx="19621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48</xdr:row>
      <xdr:rowOff>23813</xdr:rowOff>
    </xdr:from>
    <xdr:to>
      <xdr:col>16</xdr:col>
      <xdr:colOff>0</xdr:colOff>
      <xdr:row>48</xdr:row>
      <xdr:rowOff>166688</xdr:rowOff>
    </xdr:to>
    <xdr:cxnSp macro="">
      <xdr:nvCxnSpPr>
        <xdr:cNvPr id="262" name="Leaf 212"/>
        <xdr:cNvCxnSpPr/>
      </xdr:nvCxnSpPr>
      <xdr:spPr>
        <a:xfrm>
          <a:off x="8486775" y="52054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57</xdr:row>
      <xdr:rowOff>0</xdr:rowOff>
    </xdr:from>
    <xdr:to>
      <xdr:col>11</xdr:col>
      <xdr:colOff>0</xdr:colOff>
      <xdr:row>57</xdr:row>
      <xdr:rowOff>142875</xdr:rowOff>
    </xdr:to>
    <xdr:cxnSp macro="">
      <xdr:nvCxnSpPr>
        <xdr:cNvPr id="263" name="Leaf 212"/>
        <xdr:cNvCxnSpPr/>
      </xdr:nvCxnSpPr>
      <xdr:spPr>
        <a:xfrm>
          <a:off x="6486525" y="10744200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48</xdr:row>
      <xdr:rowOff>0</xdr:rowOff>
    </xdr:from>
    <xdr:to>
      <xdr:col>17</xdr:col>
      <xdr:colOff>0</xdr:colOff>
      <xdr:row>48</xdr:row>
      <xdr:rowOff>161925</xdr:rowOff>
    </xdr:to>
    <xdr:sp macro="" textlink="">
      <xdr:nvSpPr>
        <xdr:cNvPr id="43" name="TrNd 21" descr="58abfe57-ba61-4777-98ab-5395dc689cf7"/>
        <xdr:cNvSpPr>
          <a:spLocks/>
        </xdr:cNvSpPr>
      </xdr:nvSpPr>
      <xdr:spPr>
        <a:xfrm>
          <a:off x="6486525" y="99822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0</xdr:colOff>
      <xdr:row>46</xdr:row>
      <xdr:rowOff>95250</xdr:rowOff>
    </xdr:from>
    <xdr:to>
      <xdr:col>18</xdr:col>
      <xdr:colOff>0</xdr:colOff>
      <xdr:row>48</xdr:row>
      <xdr:rowOff>95250</xdr:rowOff>
    </xdr:to>
    <xdr:cxnSp macro="">
      <xdr:nvCxnSpPr>
        <xdr:cNvPr id="44" name="FBranch 211"/>
        <xdr:cNvCxnSpPr/>
      </xdr:nvCxnSpPr>
      <xdr:spPr>
        <a:xfrm flipV="1">
          <a:off x="6648450" y="9124950"/>
          <a:ext cx="247650" cy="952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46</xdr:row>
      <xdr:rowOff>95250</xdr:rowOff>
    </xdr:from>
    <xdr:to>
      <xdr:col>21</xdr:col>
      <xdr:colOff>0</xdr:colOff>
      <xdr:row>46</xdr:row>
      <xdr:rowOff>95250</xdr:rowOff>
    </xdr:to>
    <xdr:cxnSp macro="">
      <xdr:nvCxnSpPr>
        <xdr:cNvPr id="45" name="Branch 211"/>
        <xdr:cNvCxnSpPr/>
      </xdr:nvCxnSpPr>
      <xdr:spPr>
        <a:xfrm>
          <a:off x="6896100" y="9124950"/>
          <a:ext cx="1343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46</xdr:row>
      <xdr:rowOff>23813</xdr:rowOff>
    </xdr:from>
    <xdr:to>
      <xdr:col>21</xdr:col>
      <xdr:colOff>0</xdr:colOff>
      <xdr:row>46</xdr:row>
      <xdr:rowOff>166688</xdr:rowOff>
    </xdr:to>
    <xdr:cxnSp macro="">
      <xdr:nvCxnSpPr>
        <xdr:cNvPr id="46" name="Leaf 211"/>
        <xdr:cNvCxnSpPr/>
      </xdr:nvCxnSpPr>
      <xdr:spPr>
        <a:xfrm>
          <a:off x="8239125" y="90535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48</xdr:row>
      <xdr:rowOff>95250</xdr:rowOff>
    </xdr:from>
    <xdr:to>
      <xdr:col>18</xdr:col>
      <xdr:colOff>0</xdr:colOff>
      <xdr:row>50</xdr:row>
      <xdr:rowOff>95250</xdr:rowOff>
    </xdr:to>
    <xdr:cxnSp macro="">
      <xdr:nvCxnSpPr>
        <xdr:cNvPr id="47" name="FBranch 212"/>
        <xdr:cNvCxnSpPr/>
      </xdr:nvCxnSpPr>
      <xdr:spPr>
        <a:xfrm>
          <a:off x="6648450" y="10077450"/>
          <a:ext cx="2476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50</xdr:row>
      <xdr:rowOff>95250</xdr:rowOff>
    </xdr:from>
    <xdr:to>
      <xdr:col>21</xdr:col>
      <xdr:colOff>0</xdr:colOff>
      <xdr:row>50</xdr:row>
      <xdr:rowOff>95250</xdr:rowOff>
    </xdr:to>
    <xdr:cxnSp macro="">
      <xdr:nvCxnSpPr>
        <xdr:cNvPr id="48" name="Branch 212"/>
        <xdr:cNvCxnSpPr/>
      </xdr:nvCxnSpPr>
      <xdr:spPr>
        <a:xfrm>
          <a:off x="6896100" y="10458450"/>
          <a:ext cx="1343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50</xdr:row>
      <xdr:rowOff>23813</xdr:rowOff>
    </xdr:from>
    <xdr:to>
      <xdr:col>21</xdr:col>
      <xdr:colOff>0</xdr:colOff>
      <xdr:row>50</xdr:row>
      <xdr:rowOff>166688</xdr:rowOff>
    </xdr:to>
    <xdr:cxnSp macro="">
      <xdr:nvCxnSpPr>
        <xdr:cNvPr id="49" name="Leaf 212"/>
        <xdr:cNvCxnSpPr/>
      </xdr:nvCxnSpPr>
      <xdr:spPr>
        <a:xfrm>
          <a:off x="8239125" y="103870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48</xdr:row>
      <xdr:rowOff>95250</xdr:rowOff>
    </xdr:from>
    <xdr:to>
      <xdr:col>26</xdr:col>
      <xdr:colOff>0</xdr:colOff>
      <xdr:row>48</xdr:row>
      <xdr:rowOff>95250</xdr:rowOff>
    </xdr:to>
    <xdr:cxnSp macro="">
      <xdr:nvCxnSpPr>
        <xdr:cNvPr id="59" name="Branch 211"/>
        <xdr:cNvCxnSpPr/>
      </xdr:nvCxnSpPr>
      <xdr:spPr>
        <a:xfrm>
          <a:off x="8648700" y="10077450"/>
          <a:ext cx="16478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0</xdr:colOff>
      <xdr:row>48</xdr:row>
      <xdr:rowOff>23813</xdr:rowOff>
    </xdr:from>
    <xdr:to>
      <xdr:col>26</xdr:col>
      <xdr:colOff>0</xdr:colOff>
      <xdr:row>48</xdr:row>
      <xdr:rowOff>166688</xdr:rowOff>
    </xdr:to>
    <xdr:cxnSp macro="">
      <xdr:nvCxnSpPr>
        <xdr:cNvPr id="60" name="Leaf 211"/>
        <xdr:cNvCxnSpPr/>
      </xdr:nvCxnSpPr>
      <xdr:spPr>
        <a:xfrm>
          <a:off x="10296525" y="100060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44</xdr:row>
      <xdr:rowOff>23813</xdr:rowOff>
    </xdr:from>
    <xdr:to>
      <xdr:col>6</xdr:col>
      <xdr:colOff>0</xdr:colOff>
      <xdr:row>44</xdr:row>
      <xdr:rowOff>166688</xdr:rowOff>
    </xdr:to>
    <xdr:cxnSp macro="">
      <xdr:nvCxnSpPr>
        <xdr:cNvPr id="64" name="Leaf 211"/>
        <xdr:cNvCxnSpPr/>
      </xdr:nvCxnSpPr>
      <xdr:spPr>
        <a:xfrm>
          <a:off x="8239125" y="90535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57</xdr:row>
      <xdr:rowOff>0</xdr:rowOff>
    </xdr:from>
    <xdr:to>
      <xdr:col>12</xdr:col>
      <xdr:colOff>0</xdr:colOff>
      <xdr:row>57</xdr:row>
      <xdr:rowOff>161925</xdr:rowOff>
    </xdr:to>
    <xdr:sp macro="" textlink="">
      <xdr:nvSpPr>
        <xdr:cNvPr id="93" name="TrNd 21" descr="58abfe57-ba61-4777-98ab-5395dc689cf7"/>
        <xdr:cNvSpPr>
          <a:spLocks/>
        </xdr:cNvSpPr>
      </xdr:nvSpPr>
      <xdr:spPr>
        <a:xfrm>
          <a:off x="8239125" y="103632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0</xdr:colOff>
      <xdr:row>55</xdr:row>
      <xdr:rowOff>95250</xdr:rowOff>
    </xdr:from>
    <xdr:to>
      <xdr:col>13</xdr:col>
      <xdr:colOff>0</xdr:colOff>
      <xdr:row>57</xdr:row>
      <xdr:rowOff>95250</xdr:rowOff>
    </xdr:to>
    <xdr:cxnSp macro="">
      <xdr:nvCxnSpPr>
        <xdr:cNvPr id="94" name="FBranch 211"/>
        <xdr:cNvCxnSpPr/>
      </xdr:nvCxnSpPr>
      <xdr:spPr>
        <a:xfrm flipV="1">
          <a:off x="8401050" y="10077450"/>
          <a:ext cx="2476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55</xdr:row>
      <xdr:rowOff>95250</xdr:rowOff>
    </xdr:from>
    <xdr:to>
      <xdr:col>16</xdr:col>
      <xdr:colOff>0</xdr:colOff>
      <xdr:row>55</xdr:row>
      <xdr:rowOff>95250</xdr:rowOff>
    </xdr:to>
    <xdr:cxnSp macro="">
      <xdr:nvCxnSpPr>
        <xdr:cNvPr id="95" name="Branch 211"/>
        <xdr:cNvCxnSpPr/>
      </xdr:nvCxnSpPr>
      <xdr:spPr>
        <a:xfrm>
          <a:off x="8648700" y="10077450"/>
          <a:ext cx="16478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55</xdr:row>
      <xdr:rowOff>23813</xdr:rowOff>
    </xdr:from>
    <xdr:to>
      <xdr:col>16</xdr:col>
      <xdr:colOff>0</xdr:colOff>
      <xdr:row>55</xdr:row>
      <xdr:rowOff>166688</xdr:rowOff>
    </xdr:to>
    <xdr:cxnSp macro="">
      <xdr:nvCxnSpPr>
        <xdr:cNvPr id="96" name="Leaf 211"/>
        <xdr:cNvCxnSpPr/>
      </xdr:nvCxnSpPr>
      <xdr:spPr>
        <a:xfrm>
          <a:off x="10296525" y="100060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57</xdr:row>
      <xdr:rowOff>95250</xdr:rowOff>
    </xdr:from>
    <xdr:to>
      <xdr:col>13</xdr:col>
      <xdr:colOff>0</xdr:colOff>
      <xdr:row>59</xdr:row>
      <xdr:rowOff>95250</xdr:rowOff>
    </xdr:to>
    <xdr:cxnSp macro="">
      <xdr:nvCxnSpPr>
        <xdr:cNvPr id="97" name="FBranch 212"/>
        <xdr:cNvCxnSpPr/>
      </xdr:nvCxnSpPr>
      <xdr:spPr>
        <a:xfrm>
          <a:off x="8401050" y="10458450"/>
          <a:ext cx="2476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59</xdr:row>
      <xdr:rowOff>95250</xdr:rowOff>
    </xdr:from>
    <xdr:to>
      <xdr:col>16</xdr:col>
      <xdr:colOff>0</xdr:colOff>
      <xdr:row>59</xdr:row>
      <xdr:rowOff>95250</xdr:rowOff>
    </xdr:to>
    <xdr:cxnSp macro="">
      <xdr:nvCxnSpPr>
        <xdr:cNvPr id="98" name="Branch 212"/>
        <xdr:cNvCxnSpPr/>
      </xdr:nvCxnSpPr>
      <xdr:spPr>
        <a:xfrm>
          <a:off x="8648700" y="10839450"/>
          <a:ext cx="16478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59</xdr:row>
      <xdr:rowOff>23813</xdr:rowOff>
    </xdr:from>
    <xdr:to>
      <xdr:col>16</xdr:col>
      <xdr:colOff>0</xdr:colOff>
      <xdr:row>59</xdr:row>
      <xdr:rowOff>166688</xdr:rowOff>
    </xdr:to>
    <xdr:cxnSp macro="">
      <xdr:nvCxnSpPr>
        <xdr:cNvPr id="99" name="Leaf 212"/>
        <xdr:cNvCxnSpPr/>
      </xdr:nvCxnSpPr>
      <xdr:spPr>
        <a:xfrm>
          <a:off x="10296525" y="107680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57</xdr:row>
      <xdr:rowOff>95250</xdr:rowOff>
    </xdr:from>
    <xdr:to>
      <xdr:col>21</xdr:col>
      <xdr:colOff>0</xdr:colOff>
      <xdr:row>57</xdr:row>
      <xdr:rowOff>95250</xdr:rowOff>
    </xdr:to>
    <xdr:cxnSp macro="">
      <xdr:nvCxnSpPr>
        <xdr:cNvPr id="102" name="Branch 211"/>
        <xdr:cNvCxnSpPr/>
      </xdr:nvCxnSpPr>
      <xdr:spPr>
        <a:xfrm>
          <a:off x="11115675" y="10458450"/>
          <a:ext cx="19907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57</xdr:row>
      <xdr:rowOff>23813</xdr:rowOff>
    </xdr:from>
    <xdr:to>
      <xdr:col>21</xdr:col>
      <xdr:colOff>0</xdr:colOff>
      <xdr:row>57</xdr:row>
      <xdr:rowOff>166688</xdr:rowOff>
    </xdr:to>
    <xdr:cxnSp macro="">
      <xdr:nvCxnSpPr>
        <xdr:cNvPr id="103" name="Leaf 211"/>
        <xdr:cNvCxnSpPr/>
      </xdr:nvCxnSpPr>
      <xdr:spPr>
        <a:xfrm>
          <a:off x="13106400" y="103870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46</xdr:row>
      <xdr:rowOff>0</xdr:rowOff>
    </xdr:from>
    <xdr:to>
      <xdr:col>22</xdr:col>
      <xdr:colOff>0</xdr:colOff>
      <xdr:row>46</xdr:row>
      <xdr:rowOff>161925</xdr:rowOff>
    </xdr:to>
    <xdr:sp macro="" textlink="">
      <xdr:nvSpPr>
        <xdr:cNvPr id="121" name="TrNd 21" descr="58abfe57-ba61-4777-98ab-5395dc689cf7"/>
        <xdr:cNvSpPr>
          <a:spLocks/>
        </xdr:cNvSpPr>
      </xdr:nvSpPr>
      <xdr:spPr>
        <a:xfrm>
          <a:off x="10296525" y="10744200"/>
          <a:ext cx="209550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22</xdr:col>
      <xdr:colOff>0</xdr:colOff>
      <xdr:row>44</xdr:row>
      <xdr:rowOff>95250</xdr:rowOff>
    </xdr:from>
    <xdr:to>
      <xdr:col>23</xdr:col>
      <xdr:colOff>0</xdr:colOff>
      <xdr:row>46</xdr:row>
      <xdr:rowOff>95250</xdr:rowOff>
    </xdr:to>
    <xdr:cxnSp macro="">
      <xdr:nvCxnSpPr>
        <xdr:cNvPr id="122" name="FBranch 211"/>
        <xdr:cNvCxnSpPr/>
      </xdr:nvCxnSpPr>
      <xdr:spPr>
        <a:xfrm flipV="1">
          <a:off x="10506075" y="10458450"/>
          <a:ext cx="60960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44</xdr:row>
      <xdr:rowOff>95250</xdr:rowOff>
    </xdr:from>
    <xdr:to>
      <xdr:col>26</xdr:col>
      <xdr:colOff>0</xdr:colOff>
      <xdr:row>44</xdr:row>
      <xdr:rowOff>95250</xdr:rowOff>
    </xdr:to>
    <xdr:cxnSp macro="">
      <xdr:nvCxnSpPr>
        <xdr:cNvPr id="123" name="Branch 211"/>
        <xdr:cNvCxnSpPr/>
      </xdr:nvCxnSpPr>
      <xdr:spPr>
        <a:xfrm>
          <a:off x="11115675" y="10458450"/>
          <a:ext cx="19907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0</xdr:colOff>
      <xdr:row>44</xdr:row>
      <xdr:rowOff>23813</xdr:rowOff>
    </xdr:from>
    <xdr:to>
      <xdr:col>26</xdr:col>
      <xdr:colOff>0</xdr:colOff>
      <xdr:row>44</xdr:row>
      <xdr:rowOff>166688</xdr:rowOff>
    </xdr:to>
    <xdr:cxnSp macro="">
      <xdr:nvCxnSpPr>
        <xdr:cNvPr id="124" name="Leaf 211"/>
        <xdr:cNvCxnSpPr/>
      </xdr:nvCxnSpPr>
      <xdr:spPr>
        <a:xfrm>
          <a:off x="13106400" y="103870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0</xdr:colOff>
      <xdr:row>46</xdr:row>
      <xdr:rowOff>95250</xdr:rowOff>
    </xdr:from>
    <xdr:to>
      <xdr:col>23</xdr:col>
      <xdr:colOff>0</xdr:colOff>
      <xdr:row>48</xdr:row>
      <xdr:rowOff>95250</xdr:rowOff>
    </xdr:to>
    <xdr:cxnSp macro="">
      <xdr:nvCxnSpPr>
        <xdr:cNvPr id="125" name="FBranch 212"/>
        <xdr:cNvCxnSpPr/>
      </xdr:nvCxnSpPr>
      <xdr:spPr>
        <a:xfrm>
          <a:off x="10506075" y="10839450"/>
          <a:ext cx="60960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55</xdr:row>
      <xdr:rowOff>0</xdr:rowOff>
    </xdr:from>
    <xdr:to>
      <xdr:col>17</xdr:col>
      <xdr:colOff>0</xdr:colOff>
      <xdr:row>55</xdr:row>
      <xdr:rowOff>161925</xdr:rowOff>
    </xdr:to>
    <xdr:sp macro="" textlink="">
      <xdr:nvSpPr>
        <xdr:cNvPr id="135" name="TrNd 21" descr="58abfe57-ba61-4777-98ab-5395dc689cf7"/>
        <xdr:cNvSpPr>
          <a:spLocks/>
        </xdr:cNvSpPr>
      </xdr:nvSpPr>
      <xdr:spPr>
        <a:xfrm>
          <a:off x="8239125" y="124587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0</xdr:colOff>
      <xdr:row>53</xdr:row>
      <xdr:rowOff>95250</xdr:rowOff>
    </xdr:from>
    <xdr:to>
      <xdr:col>18</xdr:col>
      <xdr:colOff>0</xdr:colOff>
      <xdr:row>55</xdr:row>
      <xdr:rowOff>95250</xdr:rowOff>
    </xdr:to>
    <xdr:cxnSp macro="">
      <xdr:nvCxnSpPr>
        <xdr:cNvPr id="136" name="FBranch 211"/>
        <xdr:cNvCxnSpPr/>
      </xdr:nvCxnSpPr>
      <xdr:spPr>
        <a:xfrm flipV="1">
          <a:off x="8401050" y="12172950"/>
          <a:ext cx="2476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53</xdr:row>
      <xdr:rowOff>95250</xdr:rowOff>
    </xdr:from>
    <xdr:to>
      <xdr:col>21</xdr:col>
      <xdr:colOff>0</xdr:colOff>
      <xdr:row>53</xdr:row>
      <xdr:rowOff>95250</xdr:rowOff>
    </xdr:to>
    <xdr:cxnSp macro="">
      <xdr:nvCxnSpPr>
        <xdr:cNvPr id="137" name="Branch 211"/>
        <xdr:cNvCxnSpPr/>
      </xdr:nvCxnSpPr>
      <xdr:spPr>
        <a:xfrm>
          <a:off x="8648700" y="12172950"/>
          <a:ext cx="16478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53</xdr:row>
      <xdr:rowOff>23813</xdr:rowOff>
    </xdr:from>
    <xdr:to>
      <xdr:col>21</xdr:col>
      <xdr:colOff>0</xdr:colOff>
      <xdr:row>53</xdr:row>
      <xdr:rowOff>166688</xdr:rowOff>
    </xdr:to>
    <xdr:cxnSp macro="">
      <xdr:nvCxnSpPr>
        <xdr:cNvPr id="138" name="Leaf 211"/>
        <xdr:cNvCxnSpPr/>
      </xdr:nvCxnSpPr>
      <xdr:spPr>
        <a:xfrm>
          <a:off x="10296525" y="121015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55</xdr:row>
      <xdr:rowOff>95250</xdr:rowOff>
    </xdr:from>
    <xdr:to>
      <xdr:col>18</xdr:col>
      <xdr:colOff>0</xdr:colOff>
      <xdr:row>57</xdr:row>
      <xdr:rowOff>95250</xdr:rowOff>
    </xdr:to>
    <xdr:cxnSp macro="">
      <xdr:nvCxnSpPr>
        <xdr:cNvPr id="139" name="FBranch 212"/>
        <xdr:cNvCxnSpPr/>
      </xdr:nvCxnSpPr>
      <xdr:spPr>
        <a:xfrm>
          <a:off x="8401050" y="12553950"/>
          <a:ext cx="2476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520700</xdr:colOff>
      <xdr:row>13</xdr:row>
      <xdr:rowOff>95250</xdr:rowOff>
    </xdr:from>
    <xdr:to>
      <xdr:col>1</xdr:col>
      <xdr:colOff>0</xdr:colOff>
      <xdr:row>13</xdr:row>
      <xdr:rowOff>95250</xdr:rowOff>
    </xdr:to>
    <xdr:cxnSp macro="">
      <xdr:nvCxnSpPr>
        <xdr:cNvPr id="2" name="Root "/>
        <xdr:cNvCxnSpPr/>
      </xdr:nvCxnSpPr>
      <xdr:spPr>
        <a:xfrm flipH="1">
          <a:off x="520700" y="1619250"/>
          <a:ext cx="889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13</xdr:row>
      <xdr:rowOff>0</xdr:rowOff>
    </xdr:from>
    <xdr:to>
      <xdr:col>2</xdr:col>
      <xdr:colOff>0</xdr:colOff>
      <xdr:row>13</xdr:row>
      <xdr:rowOff>161925</xdr:rowOff>
    </xdr:to>
    <xdr:sp macro="" textlink="">
      <xdr:nvSpPr>
        <xdr:cNvPr id="3" name="TrNd " descr="500e6076-a167-4d1b-835c-892a8cec4328"/>
        <xdr:cNvSpPr>
          <a:spLocks/>
        </xdr:cNvSpPr>
      </xdr:nvSpPr>
      <xdr:spPr>
        <a:xfrm>
          <a:off x="609600" y="15240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8</xdr:row>
      <xdr:rowOff>95250</xdr:rowOff>
    </xdr:from>
    <xdr:to>
      <xdr:col>6</xdr:col>
      <xdr:colOff>0</xdr:colOff>
      <xdr:row>8</xdr:row>
      <xdr:rowOff>95250</xdr:rowOff>
    </xdr:to>
    <xdr:cxnSp macro="">
      <xdr:nvCxnSpPr>
        <xdr:cNvPr id="5" name="Branch 1"/>
        <xdr:cNvCxnSpPr/>
      </xdr:nvCxnSpPr>
      <xdr:spPr>
        <a:xfrm>
          <a:off x="1019175" y="1619250"/>
          <a:ext cx="1343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8</xdr:row>
      <xdr:rowOff>23813</xdr:rowOff>
    </xdr:from>
    <xdr:to>
      <xdr:col>16</xdr:col>
      <xdr:colOff>0</xdr:colOff>
      <xdr:row>8</xdr:row>
      <xdr:rowOff>166688</xdr:rowOff>
    </xdr:to>
    <xdr:cxnSp macro="">
      <xdr:nvCxnSpPr>
        <xdr:cNvPr id="6" name="Leaf 1"/>
        <xdr:cNvCxnSpPr/>
      </xdr:nvCxnSpPr>
      <xdr:spPr>
        <a:xfrm>
          <a:off x="8210550" y="15478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18</xdr:row>
      <xdr:rowOff>95250</xdr:rowOff>
    </xdr:from>
    <xdr:to>
      <xdr:col>6</xdr:col>
      <xdr:colOff>0</xdr:colOff>
      <xdr:row>18</xdr:row>
      <xdr:rowOff>95250</xdr:rowOff>
    </xdr:to>
    <xdr:cxnSp macro="">
      <xdr:nvCxnSpPr>
        <xdr:cNvPr id="8" name="Branch 2"/>
        <xdr:cNvCxnSpPr/>
      </xdr:nvCxnSpPr>
      <xdr:spPr>
        <a:xfrm>
          <a:off x="1019175" y="2381250"/>
          <a:ext cx="1343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161925</xdr:colOff>
      <xdr:row>18</xdr:row>
      <xdr:rowOff>161925</xdr:rowOff>
    </xdr:to>
    <xdr:sp macro="" textlink="">
      <xdr:nvSpPr>
        <xdr:cNvPr id="10" name="TrNd 2" descr="70756e97-be7b-4930-b3dd-e190b467734d"/>
        <xdr:cNvSpPr>
          <a:spLocks/>
        </xdr:cNvSpPr>
      </xdr:nvSpPr>
      <xdr:spPr>
        <a:xfrm>
          <a:off x="2362200" y="22860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0</xdr:colOff>
      <xdr:row>14</xdr:row>
      <xdr:rowOff>95250</xdr:rowOff>
    </xdr:from>
    <xdr:to>
      <xdr:col>11</xdr:col>
      <xdr:colOff>0</xdr:colOff>
      <xdr:row>14</xdr:row>
      <xdr:rowOff>95250</xdr:rowOff>
    </xdr:to>
    <xdr:cxnSp macro="">
      <xdr:nvCxnSpPr>
        <xdr:cNvPr id="14" name="Branch 21"/>
        <xdr:cNvCxnSpPr/>
      </xdr:nvCxnSpPr>
      <xdr:spPr>
        <a:xfrm>
          <a:off x="2771775" y="2381250"/>
          <a:ext cx="1343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22</xdr:row>
      <xdr:rowOff>95250</xdr:rowOff>
    </xdr:from>
    <xdr:to>
      <xdr:col>11</xdr:col>
      <xdr:colOff>0</xdr:colOff>
      <xdr:row>22</xdr:row>
      <xdr:rowOff>95250</xdr:rowOff>
    </xdr:to>
    <xdr:cxnSp macro="">
      <xdr:nvCxnSpPr>
        <xdr:cNvPr id="17" name="Branch 22"/>
        <xdr:cNvCxnSpPr/>
      </xdr:nvCxnSpPr>
      <xdr:spPr>
        <a:xfrm>
          <a:off x="2771775" y="3143250"/>
          <a:ext cx="1343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8</xdr:row>
      <xdr:rowOff>95250</xdr:rowOff>
    </xdr:from>
    <xdr:to>
      <xdr:col>16</xdr:col>
      <xdr:colOff>0</xdr:colOff>
      <xdr:row>8</xdr:row>
      <xdr:rowOff>95250</xdr:rowOff>
    </xdr:to>
    <xdr:cxnSp macro="">
      <xdr:nvCxnSpPr>
        <xdr:cNvPr id="19" name="XBranch 1"/>
        <xdr:cNvCxnSpPr/>
      </xdr:nvCxnSpPr>
      <xdr:spPr>
        <a:xfrm>
          <a:off x="3867150" y="1619250"/>
          <a:ext cx="4343400" cy="0"/>
        </a:xfrm>
        <a:prstGeom prst="line">
          <a:avLst/>
        </a:prstGeom>
        <a:ln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520700</xdr:colOff>
      <xdr:row>13</xdr:row>
      <xdr:rowOff>95250</xdr:rowOff>
    </xdr:from>
    <xdr:to>
      <xdr:col>1</xdr:col>
      <xdr:colOff>0</xdr:colOff>
      <xdr:row>13</xdr:row>
      <xdr:rowOff>95250</xdr:rowOff>
    </xdr:to>
    <xdr:cxnSp macro="">
      <xdr:nvCxnSpPr>
        <xdr:cNvPr id="30" name="Root "/>
        <xdr:cNvCxnSpPr/>
      </xdr:nvCxnSpPr>
      <xdr:spPr>
        <a:xfrm flipH="1">
          <a:off x="520700" y="1619250"/>
          <a:ext cx="9080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14</xdr:row>
      <xdr:rowOff>0</xdr:rowOff>
    </xdr:from>
    <xdr:to>
      <xdr:col>12</xdr:col>
      <xdr:colOff>0</xdr:colOff>
      <xdr:row>14</xdr:row>
      <xdr:rowOff>161925</xdr:rowOff>
    </xdr:to>
    <xdr:sp macro="" textlink="">
      <xdr:nvSpPr>
        <xdr:cNvPr id="4" name="TrNd 21" descr="74bc8396-3ce7-449e-af50-0b71049d1762"/>
        <xdr:cNvSpPr>
          <a:spLocks/>
        </xdr:cNvSpPr>
      </xdr:nvSpPr>
      <xdr:spPr>
        <a:xfrm>
          <a:off x="6457950" y="24765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14</xdr:row>
      <xdr:rowOff>95250</xdr:rowOff>
    </xdr:from>
    <xdr:to>
      <xdr:col>8</xdr:col>
      <xdr:colOff>0</xdr:colOff>
      <xdr:row>18</xdr:row>
      <xdr:rowOff>80963</xdr:rowOff>
    </xdr:to>
    <xdr:cxnSp macro="">
      <xdr:nvCxnSpPr>
        <xdr:cNvPr id="7" name="FBranch 21"/>
        <xdr:cNvCxnSpPr/>
      </xdr:nvCxnSpPr>
      <xdr:spPr>
        <a:xfrm flipV="1">
          <a:off x="4772025" y="2952750"/>
          <a:ext cx="247650" cy="7477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18</xdr:row>
      <xdr:rowOff>80963</xdr:rowOff>
    </xdr:from>
    <xdr:to>
      <xdr:col>8</xdr:col>
      <xdr:colOff>0</xdr:colOff>
      <xdr:row>22</xdr:row>
      <xdr:rowOff>95250</xdr:rowOff>
    </xdr:to>
    <xdr:cxnSp macro="">
      <xdr:nvCxnSpPr>
        <xdr:cNvPr id="9" name="FBranch 22"/>
        <xdr:cNvCxnSpPr/>
      </xdr:nvCxnSpPr>
      <xdr:spPr>
        <a:xfrm>
          <a:off x="4772025" y="3700463"/>
          <a:ext cx="247650" cy="7762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8</xdr:row>
      <xdr:rowOff>95250</xdr:rowOff>
    </xdr:from>
    <xdr:to>
      <xdr:col>3</xdr:col>
      <xdr:colOff>0</xdr:colOff>
      <xdr:row>13</xdr:row>
      <xdr:rowOff>80963</xdr:rowOff>
    </xdr:to>
    <xdr:cxnSp macro="">
      <xdr:nvCxnSpPr>
        <xdr:cNvPr id="13" name="FBranch 1"/>
        <xdr:cNvCxnSpPr/>
      </xdr:nvCxnSpPr>
      <xdr:spPr>
        <a:xfrm flipV="1">
          <a:off x="981075" y="1619250"/>
          <a:ext cx="247650" cy="9382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13</xdr:row>
      <xdr:rowOff>80963</xdr:rowOff>
    </xdr:from>
    <xdr:to>
      <xdr:col>3</xdr:col>
      <xdr:colOff>0</xdr:colOff>
      <xdr:row>18</xdr:row>
      <xdr:rowOff>95250</xdr:rowOff>
    </xdr:to>
    <xdr:cxnSp macro="">
      <xdr:nvCxnSpPr>
        <xdr:cNvPr id="16" name="FBranch 2"/>
        <xdr:cNvCxnSpPr/>
      </xdr:nvCxnSpPr>
      <xdr:spPr>
        <a:xfrm>
          <a:off x="981075" y="2557463"/>
          <a:ext cx="247650" cy="11572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12</xdr:row>
      <xdr:rowOff>95250</xdr:rowOff>
    </xdr:from>
    <xdr:to>
      <xdr:col>13</xdr:col>
      <xdr:colOff>0</xdr:colOff>
      <xdr:row>14</xdr:row>
      <xdr:rowOff>95250</xdr:rowOff>
    </xdr:to>
    <xdr:cxnSp macro="">
      <xdr:nvCxnSpPr>
        <xdr:cNvPr id="18" name="FBranch 211"/>
        <xdr:cNvCxnSpPr/>
      </xdr:nvCxnSpPr>
      <xdr:spPr>
        <a:xfrm flipV="1">
          <a:off x="6619875" y="2381250"/>
          <a:ext cx="2476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12</xdr:row>
      <xdr:rowOff>95250</xdr:rowOff>
    </xdr:from>
    <xdr:to>
      <xdr:col>16</xdr:col>
      <xdr:colOff>0</xdr:colOff>
      <xdr:row>12</xdr:row>
      <xdr:rowOff>95250</xdr:rowOff>
    </xdr:to>
    <xdr:cxnSp macro="">
      <xdr:nvCxnSpPr>
        <xdr:cNvPr id="31" name="Branch 211"/>
        <xdr:cNvCxnSpPr/>
      </xdr:nvCxnSpPr>
      <xdr:spPr>
        <a:xfrm>
          <a:off x="6867525" y="2381250"/>
          <a:ext cx="1343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12</xdr:row>
      <xdr:rowOff>23813</xdr:rowOff>
    </xdr:from>
    <xdr:to>
      <xdr:col>16</xdr:col>
      <xdr:colOff>0</xdr:colOff>
      <xdr:row>12</xdr:row>
      <xdr:rowOff>166688</xdr:rowOff>
    </xdr:to>
    <xdr:cxnSp macro="">
      <xdr:nvCxnSpPr>
        <xdr:cNvPr id="32" name="Leaf 211"/>
        <xdr:cNvCxnSpPr/>
      </xdr:nvCxnSpPr>
      <xdr:spPr>
        <a:xfrm>
          <a:off x="8210550" y="23098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14</xdr:row>
      <xdr:rowOff>95250</xdr:rowOff>
    </xdr:from>
    <xdr:to>
      <xdr:col>13</xdr:col>
      <xdr:colOff>0</xdr:colOff>
      <xdr:row>16</xdr:row>
      <xdr:rowOff>95250</xdr:rowOff>
    </xdr:to>
    <xdr:cxnSp macro="">
      <xdr:nvCxnSpPr>
        <xdr:cNvPr id="33" name="FBranch 212"/>
        <xdr:cNvCxnSpPr/>
      </xdr:nvCxnSpPr>
      <xdr:spPr>
        <a:xfrm>
          <a:off x="6619875" y="2952750"/>
          <a:ext cx="2476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16</xdr:row>
      <xdr:rowOff>95250</xdr:rowOff>
    </xdr:from>
    <xdr:to>
      <xdr:col>16</xdr:col>
      <xdr:colOff>0</xdr:colOff>
      <xdr:row>16</xdr:row>
      <xdr:rowOff>95250</xdr:rowOff>
    </xdr:to>
    <xdr:cxnSp macro="">
      <xdr:nvCxnSpPr>
        <xdr:cNvPr id="34" name="Branch 212"/>
        <xdr:cNvCxnSpPr/>
      </xdr:nvCxnSpPr>
      <xdr:spPr>
        <a:xfrm>
          <a:off x="6867525" y="3333750"/>
          <a:ext cx="1343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16</xdr:row>
      <xdr:rowOff>23813</xdr:rowOff>
    </xdr:from>
    <xdr:to>
      <xdr:col>16</xdr:col>
      <xdr:colOff>0</xdr:colOff>
      <xdr:row>16</xdr:row>
      <xdr:rowOff>166688</xdr:rowOff>
    </xdr:to>
    <xdr:cxnSp macro="">
      <xdr:nvCxnSpPr>
        <xdr:cNvPr id="35" name="Leaf 212"/>
        <xdr:cNvCxnSpPr/>
      </xdr:nvCxnSpPr>
      <xdr:spPr>
        <a:xfrm>
          <a:off x="8210550" y="32623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22</xdr:row>
      <xdr:rowOff>0</xdr:rowOff>
    </xdr:from>
    <xdr:to>
      <xdr:col>12</xdr:col>
      <xdr:colOff>0</xdr:colOff>
      <xdr:row>22</xdr:row>
      <xdr:rowOff>161925</xdr:rowOff>
    </xdr:to>
    <xdr:sp macro="" textlink="">
      <xdr:nvSpPr>
        <xdr:cNvPr id="36" name="TrNd 21" descr="356615c5-998e-45ee-8199-eb9c999b7ff4"/>
        <xdr:cNvSpPr>
          <a:spLocks/>
        </xdr:cNvSpPr>
      </xdr:nvSpPr>
      <xdr:spPr>
        <a:xfrm>
          <a:off x="6457950" y="28575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0</xdr:colOff>
      <xdr:row>22</xdr:row>
      <xdr:rowOff>0</xdr:rowOff>
    </xdr:from>
    <xdr:to>
      <xdr:col>12</xdr:col>
      <xdr:colOff>0</xdr:colOff>
      <xdr:row>22</xdr:row>
      <xdr:rowOff>161925</xdr:rowOff>
    </xdr:to>
    <xdr:sp macro="" textlink="">
      <xdr:nvSpPr>
        <xdr:cNvPr id="37" name="TrNd 21" descr="556ef9ad-8988-48a6-abfd-93837ebf23c1"/>
        <xdr:cNvSpPr>
          <a:spLocks/>
        </xdr:cNvSpPr>
      </xdr:nvSpPr>
      <xdr:spPr>
        <a:xfrm>
          <a:off x="6457950" y="28575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0</xdr:colOff>
      <xdr:row>20</xdr:row>
      <xdr:rowOff>95250</xdr:rowOff>
    </xdr:from>
    <xdr:to>
      <xdr:col>13</xdr:col>
      <xdr:colOff>0</xdr:colOff>
      <xdr:row>22</xdr:row>
      <xdr:rowOff>95250</xdr:rowOff>
    </xdr:to>
    <xdr:cxnSp macro="">
      <xdr:nvCxnSpPr>
        <xdr:cNvPr id="38" name="FBranch 211"/>
        <xdr:cNvCxnSpPr/>
      </xdr:nvCxnSpPr>
      <xdr:spPr>
        <a:xfrm flipV="1">
          <a:off x="6619875" y="2381250"/>
          <a:ext cx="2476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20</xdr:row>
      <xdr:rowOff>95250</xdr:rowOff>
    </xdr:from>
    <xdr:to>
      <xdr:col>16</xdr:col>
      <xdr:colOff>0</xdr:colOff>
      <xdr:row>20</xdr:row>
      <xdr:rowOff>95250</xdr:rowOff>
    </xdr:to>
    <xdr:cxnSp macro="">
      <xdr:nvCxnSpPr>
        <xdr:cNvPr id="39" name="Branch 211"/>
        <xdr:cNvCxnSpPr/>
      </xdr:nvCxnSpPr>
      <xdr:spPr>
        <a:xfrm>
          <a:off x="6867525" y="2381250"/>
          <a:ext cx="19621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20</xdr:row>
      <xdr:rowOff>23813</xdr:rowOff>
    </xdr:from>
    <xdr:to>
      <xdr:col>16</xdr:col>
      <xdr:colOff>0</xdr:colOff>
      <xdr:row>20</xdr:row>
      <xdr:rowOff>166688</xdr:rowOff>
    </xdr:to>
    <xdr:cxnSp macro="">
      <xdr:nvCxnSpPr>
        <xdr:cNvPr id="40" name="Leaf 211"/>
        <xdr:cNvCxnSpPr/>
      </xdr:nvCxnSpPr>
      <xdr:spPr>
        <a:xfrm>
          <a:off x="8829675" y="23098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22</xdr:row>
      <xdr:rowOff>95250</xdr:rowOff>
    </xdr:from>
    <xdr:to>
      <xdr:col>13</xdr:col>
      <xdr:colOff>0</xdr:colOff>
      <xdr:row>24</xdr:row>
      <xdr:rowOff>95250</xdr:rowOff>
    </xdr:to>
    <xdr:cxnSp macro="">
      <xdr:nvCxnSpPr>
        <xdr:cNvPr id="41" name="FBranch 212"/>
        <xdr:cNvCxnSpPr/>
      </xdr:nvCxnSpPr>
      <xdr:spPr>
        <a:xfrm>
          <a:off x="6619875" y="2952750"/>
          <a:ext cx="2476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24</xdr:row>
      <xdr:rowOff>95250</xdr:rowOff>
    </xdr:from>
    <xdr:to>
      <xdr:col>16</xdr:col>
      <xdr:colOff>0</xdr:colOff>
      <xdr:row>24</xdr:row>
      <xdr:rowOff>95250</xdr:rowOff>
    </xdr:to>
    <xdr:cxnSp macro="">
      <xdr:nvCxnSpPr>
        <xdr:cNvPr id="42" name="Branch 212"/>
        <xdr:cNvCxnSpPr/>
      </xdr:nvCxnSpPr>
      <xdr:spPr>
        <a:xfrm>
          <a:off x="6867525" y="3333750"/>
          <a:ext cx="19621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24</xdr:row>
      <xdr:rowOff>23813</xdr:rowOff>
    </xdr:from>
    <xdr:to>
      <xdr:col>16</xdr:col>
      <xdr:colOff>0</xdr:colOff>
      <xdr:row>24</xdr:row>
      <xdr:rowOff>166688</xdr:rowOff>
    </xdr:to>
    <xdr:cxnSp macro="">
      <xdr:nvCxnSpPr>
        <xdr:cNvPr id="43" name="Leaf 212"/>
        <xdr:cNvCxnSpPr/>
      </xdr:nvCxnSpPr>
      <xdr:spPr>
        <a:xfrm>
          <a:off x="8829675" y="32623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520700</xdr:colOff>
      <xdr:row>9</xdr:row>
      <xdr:rowOff>95250</xdr:rowOff>
    </xdr:from>
    <xdr:to>
      <xdr:col>1</xdr:col>
      <xdr:colOff>0</xdr:colOff>
      <xdr:row>9</xdr:row>
      <xdr:rowOff>95250</xdr:rowOff>
    </xdr:to>
    <xdr:cxnSp macro="">
      <xdr:nvCxnSpPr>
        <xdr:cNvPr id="2" name="Root "/>
        <xdr:cNvCxnSpPr/>
      </xdr:nvCxnSpPr>
      <xdr:spPr>
        <a:xfrm flipH="1">
          <a:off x="520700" y="1619250"/>
          <a:ext cx="889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9</xdr:row>
      <xdr:rowOff>161925</xdr:rowOff>
    </xdr:to>
    <xdr:sp macro="" textlink="">
      <xdr:nvSpPr>
        <xdr:cNvPr id="3" name="TrNd " descr="20a2c48c-e28b-45e7-b863-7e47cb56a778"/>
        <xdr:cNvSpPr>
          <a:spLocks/>
        </xdr:cNvSpPr>
      </xdr:nvSpPr>
      <xdr:spPr>
        <a:xfrm>
          <a:off x="609600" y="15240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8</xdr:row>
      <xdr:rowOff>95250</xdr:rowOff>
    </xdr:from>
    <xdr:to>
      <xdr:col>6</xdr:col>
      <xdr:colOff>0</xdr:colOff>
      <xdr:row>8</xdr:row>
      <xdr:rowOff>95250</xdr:rowOff>
    </xdr:to>
    <xdr:cxnSp macro="">
      <xdr:nvCxnSpPr>
        <xdr:cNvPr id="5" name="Branch 1"/>
        <xdr:cNvCxnSpPr/>
      </xdr:nvCxnSpPr>
      <xdr:spPr>
        <a:xfrm>
          <a:off x="1019175" y="1619250"/>
          <a:ext cx="1343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8</xdr:row>
      <xdr:rowOff>23813</xdr:rowOff>
    </xdr:from>
    <xdr:to>
      <xdr:col>11</xdr:col>
      <xdr:colOff>0</xdr:colOff>
      <xdr:row>8</xdr:row>
      <xdr:rowOff>166688</xdr:rowOff>
    </xdr:to>
    <xdr:cxnSp macro="">
      <xdr:nvCxnSpPr>
        <xdr:cNvPr id="6" name="Leaf 1"/>
        <xdr:cNvCxnSpPr/>
      </xdr:nvCxnSpPr>
      <xdr:spPr>
        <a:xfrm>
          <a:off x="4514850" y="15478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12</xdr:row>
      <xdr:rowOff>95250</xdr:rowOff>
    </xdr:from>
    <xdr:to>
      <xdr:col>6</xdr:col>
      <xdr:colOff>0</xdr:colOff>
      <xdr:row>12</xdr:row>
      <xdr:rowOff>95250</xdr:rowOff>
    </xdr:to>
    <xdr:cxnSp macro="">
      <xdr:nvCxnSpPr>
        <xdr:cNvPr id="8" name="Branch 2"/>
        <xdr:cNvCxnSpPr/>
      </xdr:nvCxnSpPr>
      <xdr:spPr>
        <a:xfrm>
          <a:off x="1019175" y="2381250"/>
          <a:ext cx="1343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0</xdr:rowOff>
    </xdr:from>
    <xdr:to>
      <xdr:col>7</xdr:col>
      <xdr:colOff>0</xdr:colOff>
      <xdr:row>12</xdr:row>
      <xdr:rowOff>161925</xdr:rowOff>
    </xdr:to>
    <xdr:sp macro="" textlink="">
      <xdr:nvSpPr>
        <xdr:cNvPr id="10" name="TrNd 2" descr="c0da1ff3-be09-4a72-99c0-d8a0f614b2d6"/>
        <xdr:cNvSpPr>
          <a:spLocks/>
        </xdr:cNvSpPr>
      </xdr:nvSpPr>
      <xdr:spPr>
        <a:xfrm>
          <a:off x="2762250" y="22860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0</xdr:colOff>
      <xdr:row>8</xdr:row>
      <xdr:rowOff>95250</xdr:rowOff>
    </xdr:from>
    <xdr:to>
      <xdr:col>3</xdr:col>
      <xdr:colOff>0</xdr:colOff>
      <xdr:row>9</xdr:row>
      <xdr:rowOff>80963</xdr:rowOff>
    </xdr:to>
    <xdr:cxnSp macro="">
      <xdr:nvCxnSpPr>
        <xdr:cNvPr id="11" name="FBranch 1"/>
        <xdr:cNvCxnSpPr/>
      </xdr:nvCxnSpPr>
      <xdr:spPr>
        <a:xfrm flipV="1">
          <a:off x="771525" y="1619250"/>
          <a:ext cx="247650" cy="5572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9</xdr:row>
      <xdr:rowOff>80963</xdr:rowOff>
    </xdr:from>
    <xdr:to>
      <xdr:col>3</xdr:col>
      <xdr:colOff>0</xdr:colOff>
      <xdr:row>12</xdr:row>
      <xdr:rowOff>95250</xdr:rowOff>
    </xdr:to>
    <xdr:cxnSp macro="">
      <xdr:nvCxnSpPr>
        <xdr:cNvPr id="12" name="FBranch 2"/>
        <xdr:cNvCxnSpPr/>
      </xdr:nvCxnSpPr>
      <xdr:spPr>
        <a:xfrm>
          <a:off x="771525" y="2176463"/>
          <a:ext cx="247650" cy="5857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10</xdr:row>
      <xdr:rowOff>95250</xdr:rowOff>
    </xdr:from>
    <xdr:to>
      <xdr:col>8</xdr:col>
      <xdr:colOff>0</xdr:colOff>
      <xdr:row>12</xdr:row>
      <xdr:rowOff>95250</xdr:rowOff>
    </xdr:to>
    <xdr:cxnSp macro="">
      <xdr:nvCxnSpPr>
        <xdr:cNvPr id="13" name="FBranch 21"/>
        <xdr:cNvCxnSpPr/>
      </xdr:nvCxnSpPr>
      <xdr:spPr>
        <a:xfrm flipV="1">
          <a:off x="2924175" y="2381250"/>
          <a:ext cx="2476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10</xdr:row>
      <xdr:rowOff>95250</xdr:rowOff>
    </xdr:from>
    <xdr:to>
      <xdr:col>11</xdr:col>
      <xdr:colOff>0</xdr:colOff>
      <xdr:row>10</xdr:row>
      <xdr:rowOff>95250</xdr:rowOff>
    </xdr:to>
    <xdr:cxnSp macro="">
      <xdr:nvCxnSpPr>
        <xdr:cNvPr id="14" name="Branch 21"/>
        <xdr:cNvCxnSpPr/>
      </xdr:nvCxnSpPr>
      <xdr:spPr>
        <a:xfrm>
          <a:off x="3171825" y="2381250"/>
          <a:ext cx="1343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10</xdr:row>
      <xdr:rowOff>23813</xdr:rowOff>
    </xdr:from>
    <xdr:to>
      <xdr:col>11</xdr:col>
      <xdr:colOff>0</xdr:colOff>
      <xdr:row>10</xdr:row>
      <xdr:rowOff>166688</xdr:rowOff>
    </xdr:to>
    <xdr:cxnSp macro="">
      <xdr:nvCxnSpPr>
        <xdr:cNvPr id="15" name="Leaf 21"/>
        <xdr:cNvCxnSpPr/>
      </xdr:nvCxnSpPr>
      <xdr:spPr>
        <a:xfrm>
          <a:off x="4514850" y="23098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12</xdr:row>
      <xdr:rowOff>95250</xdr:rowOff>
    </xdr:from>
    <xdr:to>
      <xdr:col>8</xdr:col>
      <xdr:colOff>0</xdr:colOff>
      <xdr:row>14</xdr:row>
      <xdr:rowOff>95250</xdr:rowOff>
    </xdr:to>
    <xdr:cxnSp macro="">
      <xdr:nvCxnSpPr>
        <xdr:cNvPr id="16" name="FBranch 22"/>
        <xdr:cNvCxnSpPr/>
      </xdr:nvCxnSpPr>
      <xdr:spPr>
        <a:xfrm>
          <a:off x="2924175" y="2762250"/>
          <a:ext cx="2476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14</xdr:row>
      <xdr:rowOff>95250</xdr:rowOff>
    </xdr:from>
    <xdr:to>
      <xdr:col>11</xdr:col>
      <xdr:colOff>0</xdr:colOff>
      <xdr:row>14</xdr:row>
      <xdr:rowOff>95250</xdr:rowOff>
    </xdr:to>
    <xdr:cxnSp macro="">
      <xdr:nvCxnSpPr>
        <xdr:cNvPr id="17" name="Branch 22"/>
        <xdr:cNvCxnSpPr/>
      </xdr:nvCxnSpPr>
      <xdr:spPr>
        <a:xfrm>
          <a:off x="3171825" y="3143250"/>
          <a:ext cx="1343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14</xdr:row>
      <xdr:rowOff>23813</xdr:rowOff>
    </xdr:from>
    <xdr:to>
      <xdr:col>11</xdr:col>
      <xdr:colOff>0</xdr:colOff>
      <xdr:row>14</xdr:row>
      <xdr:rowOff>166688</xdr:rowOff>
    </xdr:to>
    <xdr:cxnSp macro="">
      <xdr:nvCxnSpPr>
        <xdr:cNvPr id="18" name="Leaf 22"/>
        <xdr:cNvCxnSpPr/>
      </xdr:nvCxnSpPr>
      <xdr:spPr>
        <a:xfrm>
          <a:off x="4514850" y="30718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8</xdr:row>
      <xdr:rowOff>95250</xdr:rowOff>
    </xdr:from>
    <xdr:to>
      <xdr:col>11</xdr:col>
      <xdr:colOff>0</xdr:colOff>
      <xdr:row>8</xdr:row>
      <xdr:rowOff>95250</xdr:rowOff>
    </xdr:to>
    <xdr:cxnSp macro="">
      <xdr:nvCxnSpPr>
        <xdr:cNvPr id="19" name="XBranch 1"/>
        <xdr:cNvCxnSpPr/>
      </xdr:nvCxnSpPr>
      <xdr:spPr>
        <a:xfrm>
          <a:off x="2762250" y="1619250"/>
          <a:ext cx="17526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520700</xdr:colOff>
      <xdr:row>11</xdr:row>
      <xdr:rowOff>95250</xdr:rowOff>
    </xdr:from>
    <xdr:to>
      <xdr:col>1</xdr:col>
      <xdr:colOff>0</xdr:colOff>
      <xdr:row>11</xdr:row>
      <xdr:rowOff>95250</xdr:rowOff>
    </xdr:to>
    <xdr:cxnSp macro="">
      <xdr:nvCxnSpPr>
        <xdr:cNvPr id="2" name="Root "/>
        <xdr:cNvCxnSpPr/>
      </xdr:nvCxnSpPr>
      <xdr:spPr>
        <a:xfrm flipH="1">
          <a:off x="520700" y="2190750"/>
          <a:ext cx="2984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11</xdr:row>
      <xdr:rowOff>0</xdr:rowOff>
    </xdr:from>
    <xdr:to>
      <xdr:col>2</xdr:col>
      <xdr:colOff>0</xdr:colOff>
      <xdr:row>11</xdr:row>
      <xdr:rowOff>161925</xdr:rowOff>
    </xdr:to>
    <xdr:sp macro="" textlink="">
      <xdr:nvSpPr>
        <xdr:cNvPr id="3" name="TrNd " descr="742deea7-a762-441f-9101-1a373f0797e8"/>
        <xdr:cNvSpPr>
          <a:spLocks/>
        </xdr:cNvSpPr>
      </xdr:nvSpPr>
      <xdr:spPr>
        <a:xfrm>
          <a:off x="819150" y="20955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9</xdr:row>
      <xdr:rowOff>95250</xdr:rowOff>
    </xdr:from>
    <xdr:to>
      <xdr:col>6</xdr:col>
      <xdr:colOff>0</xdr:colOff>
      <xdr:row>9</xdr:row>
      <xdr:rowOff>95250</xdr:rowOff>
    </xdr:to>
    <xdr:cxnSp macro="">
      <xdr:nvCxnSpPr>
        <xdr:cNvPr id="4" name="Branch 1"/>
        <xdr:cNvCxnSpPr/>
      </xdr:nvCxnSpPr>
      <xdr:spPr>
        <a:xfrm>
          <a:off x="1228725" y="1619250"/>
          <a:ext cx="26384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9</xdr:row>
      <xdr:rowOff>23813</xdr:rowOff>
    </xdr:from>
    <xdr:to>
      <xdr:col>21</xdr:col>
      <xdr:colOff>0</xdr:colOff>
      <xdr:row>9</xdr:row>
      <xdr:rowOff>166688</xdr:rowOff>
    </xdr:to>
    <xdr:cxnSp macro="">
      <xdr:nvCxnSpPr>
        <xdr:cNvPr id="5" name="Leaf 1"/>
        <xdr:cNvCxnSpPr/>
      </xdr:nvCxnSpPr>
      <xdr:spPr>
        <a:xfrm>
          <a:off x="10096500" y="17383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13</xdr:row>
      <xdr:rowOff>95250</xdr:rowOff>
    </xdr:from>
    <xdr:to>
      <xdr:col>6</xdr:col>
      <xdr:colOff>0</xdr:colOff>
      <xdr:row>13</xdr:row>
      <xdr:rowOff>95250</xdr:rowOff>
    </xdr:to>
    <xdr:cxnSp macro="">
      <xdr:nvCxnSpPr>
        <xdr:cNvPr id="6" name="Branch 2"/>
        <xdr:cNvCxnSpPr/>
      </xdr:nvCxnSpPr>
      <xdr:spPr>
        <a:xfrm>
          <a:off x="1228725" y="3143250"/>
          <a:ext cx="26384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161925</xdr:colOff>
      <xdr:row>13</xdr:row>
      <xdr:rowOff>161925</xdr:rowOff>
    </xdr:to>
    <xdr:sp macro="" textlink="">
      <xdr:nvSpPr>
        <xdr:cNvPr id="7" name="TrNd 2" descr="fdf42f7c-c34c-4b1c-96de-ac5f6d913881"/>
        <xdr:cNvSpPr>
          <a:spLocks/>
        </xdr:cNvSpPr>
      </xdr:nvSpPr>
      <xdr:spPr>
        <a:xfrm>
          <a:off x="3867150" y="30480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0</xdr:colOff>
      <xdr:row>11</xdr:row>
      <xdr:rowOff>95250</xdr:rowOff>
    </xdr:from>
    <xdr:to>
      <xdr:col>11</xdr:col>
      <xdr:colOff>0</xdr:colOff>
      <xdr:row>11</xdr:row>
      <xdr:rowOff>95250</xdr:rowOff>
    </xdr:to>
    <xdr:cxnSp macro="">
      <xdr:nvCxnSpPr>
        <xdr:cNvPr id="10" name="Branch 21"/>
        <xdr:cNvCxnSpPr/>
      </xdr:nvCxnSpPr>
      <xdr:spPr>
        <a:xfrm>
          <a:off x="5019675" y="2571750"/>
          <a:ext cx="1438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11</xdr:row>
      <xdr:rowOff>23813</xdr:rowOff>
    </xdr:from>
    <xdr:to>
      <xdr:col>21</xdr:col>
      <xdr:colOff>0</xdr:colOff>
      <xdr:row>11</xdr:row>
      <xdr:rowOff>166688</xdr:rowOff>
    </xdr:to>
    <xdr:cxnSp macro="">
      <xdr:nvCxnSpPr>
        <xdr:cNvPr id="11" name="Leaf 21"/>
        <xdr:cNvCxnSpPr/>
      </xdr:nvCxnSpPr>
      <xdr:spPr>
        <a:xfrm>
          <a:off x="10096500" y="21193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15</xdr:row>
      <xdr:rowOff>95250</xdr:rowOff>
    </xdr:from>
    <xdr:to>
      <xdr:col>11</xdr:col>
      <xdr:colOff>0</xdr:colOff>
      <xdr:row>15</xdr:row>
      <xdr:rowOff>95250</xdr:rowOff>
    </xdr:to>
    <xdr:cxnSp macro="">
      <xdr:nvCxnSpPr>
        <xdr:cNvPr id="12" name="Branch 22"/>
        <xdr:cNvCxnSpPr/>
      </xdr:nvCxnSpPr>
      <xdr:spPr>
        <a:xfrm>
          <a:off x="5019675" y="3714750"/>
          <a:ext cx="1438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9</xdr:row>
      <xdr:rowOff>95250</xdr:rowOff>
    </xdr:from>
    <xdr:to>
      <xdr:col>21</xdr:col>
      <xdr:colOff>0</xdr:colOff>
      <xdr:row>9</xdr:row>
      <xdr:rowOff>95250</xdr:rowOff>
    </xdr:to>
    <xdr:cxnSp macro="">
      <xdr:nvCxnSpPr>
        <xdr:cNvPr id="13" name="XBranch 1"/>
        <xdr:cNvCxnSpPr/>
      </xdr:nvCxnSpPr>
      <xdr:spPr>
        <a:xfrm>
          <a:off x="3867150" y="1809750"/>
          <a:ext cx="7981950" cy="0"/>
        </a:xfrm>
        <a:prstGeom prst="line">
          <a:avLst/>
        </a:prstGeom>
        <a:ln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15</xdr:row>
      <xdr:rowOff>0</xdr:rowOff>
    </xdr:from>
    <xdr:to>
      <xdr:col>12</xdr:col>
      <xdr:colOff>0</xdr:colOff>
      <xdr:row>15</xdr:row>
      <xdr:rowOff>161925</xdr:rowOff>
    </xdr:to>
    <xdr:sp macro="" textlink="">
      <xdr:nvSpPr>
        <xdr:cNvPr id="14" name="TrNd 22" descr="fe3bb2c4-34d8-49d2-aa1b-cb0e36fd19c9"/>
        <xdr:cNvSpPr>
          <a:spLocks/>
        </xdr:cNvSpPr>
      </xdr:nvSpPr>
      <xdr:spPr>
        <a:xfrm>
          <a:off x="6457950" y="36195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0</xdr:colOff>
      <xdr:row>13</xdr:row>
      <xdr:rowOff>95250</xdr:rowOff>
    </xdr:from>
    <xdr:to>
      <xdr:col>16</xdr:col>
      <xdr:colOff>0</xdr:colOff>
      <xdr:row>13</xdr:row>
      <xdr:rowOff>95250</xdr:rowOff>
    </xdr:to>
    <xdr:cxnSp macro="">
      <xdr:nvCxnSpPr>
        <xdr:cNvPr id="18" name="Branch 221"/>
        <xdr:cNvCxnSpPr/>
      </xdr:nvCxnSpPr>
      <xdr:spPr>
        <a:xfrm>
          <a:off x="6867525" y="3333750"/>
          <a:ext cx="1476375" cy="0"/>
        </a:xfrm>
        <a:prstGeom prst="line">
          <a:avLst/>
        </a:prstGeom>
        <a:ln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13</xdr:row>
      <xdr:rowOff>23813</xdr:rowOff>
    </xdr:from>
    <xdr:to>
      <xdr:col>21</xdr:col>
      <xdr:colOff>0</xdr:colOff>
      <xdr:row>13</xdr:row>
      <xdr:rowOff>166688</xdr:rowOff>
    </xdr:to>
    <xdr:cxnSp macro="">
      <xdr:nvCxnSpPr>
        <xdr:cNvPr id="19" name="Leaf 221"/>
        <xdr:cNvCxnSpPr/>
      </xdr:nvCxnSpPr>
      <xdr:spPr>
        <a:xfrm>
          <a:off x="10096500" y="26908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17</xdr:row>
      <xdr:rowOff>95250</xdr:rowOff>
    </xdr:from>
    <xdr:to>
      <xdr:col>16</xdr:col>
      <xdr:colOff>0</xdr:colOff>
      <xdr:row>17</xdr:row>
      <xdr:rowOff>95250</xdr:rowOff>
    </xdr:to>
    <xdr:cxnSp macro="">
      <xdr:nvCxnSpPr>
        <xdr:cNvPr id="21" name="Branch 222"/>
        <xdr:cNvCxnSpPr/>
      </xdr:nvCxnSpPr>
      <xdr:spPr>
        <a:xfrm>
          <a:off x="6867525" y="4857750"/>
          <a:ext cx="1476375" cy="0"/>
        </a:xfrm>
        <a:prstGeom prst="line">
          <a:avLst/>
        </a:prstGeom>
        <a:ln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11</xdr:row>
      <xdr:rowOff>95250</xdr:rowOff>
    </xdr:from>
    <xdr:to>
      <xdr:col>21</xdr:col>
      <xdr:colOff>0</xdr:colOff>
      <xdr:row>11</xdr:row>
      <xdr:rowOff>95250</xdr:rowOff>
    </xdr:to>
    <xdr:cxnSp macro="">
      <xdr:nvCxnSpPr>
        <xdr:cNvPr id="23" name="XBranch 21"/>
        <xdr:cNvCxnSpPr/>
      </xdr:nvCxnSpPr>
      <xdr:spPr>
        <a:xfrm>
          <a:off x="6457950" y="2190750"/>
          <a:ext cx="5391150" cy="0"/>
        </a:xfrm>
        <a:prstGeom prst="line">
          <a:avLst/>
        </a:prstGeom>
        <a:ln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520700</xdr:colOff>
      <xdr:row>11</xdr:row>
      <xdr:rowOff>95250</xdr:rowOff>
    </xdr:from>
    <xdr:to>
      <xdr:col>1</xdr:col>
      <xdr:colOff>0</xdr:colOff>
      <xdr:row>11</xdr:row>
      <xdr:rowOff>95250</xdr:rowOff>
    </xdr:to>
    <xdr:cxnSp macro="">
      <xdr:nvCxnSpPr>
        <xdr:cNvPr id="24" name="Root "/>
        <xdr:cNvCxnSpPr/>
      </xdr:nvCxnSpPr>
      <xdr:spPr>
        <a:xfrm flipH="1">
          <a:off x="520700" y="2190750"/>
          <a:ext cx="2984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17</xdr:row>
      <xdr:rowOff>0</xdr:rowOff>
    </xdr:from>
    <xdr:to>
      <xdr:col>17</xdr:col>
      <xdr:colOff>0</xdr:colOff>
      <xdr:row>17</xdr:row>
      <xdr:rowOff>161925</xdr:rowOff>
    </xdr:to>
    <xdr:sp macro="" textlink="">
      <xdr:nvSpPr>
        <xdr:cNvPr id="25" name="TrNd 222" descr="d52fc59f-383d-4d73-ab41-66125ba12062"/>
        <xdr:cNvSpPr>
          <a:spLocks/>
        </xdr:cNvSpPr>
      </xdr:nvSpPr>
      <xdr:spPr>
        <a:xfrm>
          <a:off x="8343900" y="4191000"/>
          <a:ext cx="161925" cy="161925"/>
        </a:xfrm>
        <a:prstGeom prst="ellipse">
          <a:avLst/>
        </a:prstGeom>
        <a:solidFill>
          <a:srgbClr val="008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0</xdr:colOff>
      <xdr:row>15</xdr:row>
      <xdr:rowOff>95250</xdr:rowOff>
    </xdr:from>
    <xdr:to>
      <xdr:col>21</xdr:col>
      <xdr:colOff>0</xdr:colOff>
      <xdr:row>15</xdr:row>
      <xdr:rowOff>95250</xdr:rowOff>
    </xdr:to>
    <xdr:cxnSp macro="">
      <xdr:nvCxnSpPr>
        <xdr:cNvPr id="33" name="Branch 2221"/>
        <xdr:cNvCxnSpPr/>
      </xdr:nvCxnSpPr>
      <xdr:spPr>
        <a:xfrm>
          <a:off x="8753475" y="4286250"/>
          <a:ext cx="1343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15</xdr:row>
      <xdr:rowOff>23813</xdr:rowOff>
    </xdr:from>
    <xdr:to>
      <xdr:col>21</xdr:col>
      <xdr:colOff>0</xdr:colOff>
      <xdr:row>15</xdr:row>
      <xdr:rowOff>166688</xdr:rowOff>
    </xdr:to>
    <xdr:cxnSp macro="">
      <xdr:nvCxnSpPr>
        <xdr:cNvPr id="34" name="Leaf 2221"/>
        <xdr:cNvCxnSpPr/>
      </xdr:nvCxnSpPr>
      <xdr:spPr>
        <a:xfrm>
          <a:off x="10096500" y="3071813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18</xdr:row>
      <xdr:rowOff>95250</xdr:rowOff>
    </xdr:from>
    <xdr:to>
      <xdr:col>21</xdr:col>
      <xdr:colOff>0</xdr:colOff>
      <xdr:row>18</xdr:row>
      <xdr:rowOff>95250</xdr:rowOff>
    </xdr:to>
    <xdr:cxnSp macro="">
      <xdr:nvCxnSpPr>
        <xdr:cNvPr id="36" name="Branch 2222"/>
        <xdr:cNvCxnSpPr/>
      </xdr:nvCxnSpPr>
      <xdr:spPr>
        <a:xfrm>
          <a:off x="8753475" y="5048250"/>
          <a:ext cx="13430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13</xdr:row>
      <xdr:rowOff>95250</xdr:rowOff>
    </xdr:from>
    <xdr:to>
      <xdr:col>21</xdr:col>
      <xdr:colOff>0</xdr:colOff>
      <xdr:row>13</xdr:row>
      <xdr:rowOff>95250</xdr:rowOff>
    </xdr:to>
    <xdr:cxnSp macro="">
      <xdr:nvCxnSpPr>
        <xdr:cNvPr id="38" name="XBranch 221"/>
        <xdr:cNvCxnSpPr/>
      </xdr:nvCxnSpPr>
      <xdr:spPr>
        <a:xfrm>
          <a:off x="8343900" y="2762250"/>
          <a:ext cx="35052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15</xdr:row>
      <xdr:rowOff>95250</xdr:rowOff>
    </xdr:from>
    <xdr:to>
      <xdr:col>18</xdr:col>
      <xdr:colOff>0</xdr:colOff>
      <xdr:row>17</xdr:row>
      <xdr:rowOff>80963</xdr:rowOff>
    </xdr:to>
    <xdr:cxnSp macro="">
      <xdr:nvCxnSpPr>
        <xdr:cNvPr id="52" name="FBranch 2221"/>
        <xdr:cNvCxnSpPr/>
      </xdr:nvCxnSpPr>
      <xdr:spPr>
        <a:xfrm flipV="1">
          <a:off x="8505825" y="3143250"/>
          <a:ext cx="247650" cy="3667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17</xdr:row>
      <xdr:rowOff>80963</xdr:rowOff>
    </xdr:from>
    <xdr:to>
      <xdr:col>18</xdr:col>
      <xdr:colOff>0</xdr:colOff>
      <xdr:row>18</xdr:row>
      <xdr:rowOff>95250</xdr:rowOff>
    </xdr:to>
    <xdr:cxnSp macro="">
      <xdr:nvCxnSpPr>
        <xdr:cNvPr id="53" name="FBranch 2222"/>
        <xdr:cNvCxnSpPr/>
      </xdr:nvCxnSpPr>
      <xdr:spPr>
        <a:xfrm>
          <a:off x="8505825" y="3509963"/>
          <a:ext cx="247650" cy="2047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13</xdr:row>
      <xdr:rowOff>95250</xdr:rowOff>
    </xdr:from>
    <xdr:to>
      <xdr:col>13</xdr:col>
      <xdr:colOff>0</xdr:colOff>
      <xdr:row>15</xdr:row>
      <xdr:rowOff>80963</xdr:rowOff>
    </xdr:to>
    <xdr:cxnSp macro="">
      <xdr:nvCxnSpPr>
        <xdr:cNvPr id="54" name="FBranch 221"/>
        <xdr:cNvCxnSpPr/>
      </xdr:nvCxnSpPr>
      <xdr:spPr>
        <a:xfrm flipV="1">
          <a:off x="6619875" y="2762250"/>
          <a:ext cx="247650" cy="3667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15</xdr:row>
      <xdr:rowOff>80963</xdr:rowOff>
    </xdr:from>
    <xdr:to>
      <xdr:col>13</xdr:col>
      <xdr:colOff>0</xdr:colOff>
      <xdr:row>17</xdr:row>
      <xdr:rowOff>95250</xdr:rowOff>
    </xdr:to>
    <xdr:cxnSp macro="">
      <xdr:nvCxnSpPr>
        <xdr:cNvPr id="55" name="FBranch 222"/>
        <xdr:cNvCxnSpPr/>
      </xdr:nvCxnSpPr>
      <xdr:spPr>
        <a:xfrm>
          <a:off x="6619875" y="3128963"/>
          <a:ext cx="247650" cy="3952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11</xdr:row>
      <xdr:rowOff>95250</xdr:rowOff>
    </xdr:from>
    <xdr:to>
      <xdr:col>8</xdr:col>
      <xdr:colOff>0</xdr:colOff>
      <xdr:row>13</xdr:row>
      <xdr:rowOff>80963</xdr:rowOff>
    </xdr:to>
    <xdr:cxnSp macro="">
      <xdr:nvCxnSpPr>
        <xdr:cNvPr id="56" name="FBranch 21"/>
        <xdr:cNvCxnSpPr/>
      </xdr:nvCxnSpPr>
      <xdr:spPr>
        <a:xfrm flipV="1">
          <a:off x="4772025" y="2190750"/>
          <a:ext cx="247650" cy="5572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13</xdr:row>
      <xdr:rowOff>80963</xdr:rowOff>
    </xdr:from>
    <xdr:to>
      <xdr:col>8</xdr:col>
      <xdr:colOff>0</xdr:colOff>
      <xdr:row>15</xdr:row>
      <xdr:rowOff>95250</xdr:rowOff>
    </xdr:to>
    <xdr:cxnSp macro="">
      <xdr:nvCxnSpPr>
        <xdr:cNvPr id="57" name="FBranch 22"/>
        <xdr:cNvCxnSpPr/>
      </xdr:nvCxnSpPr>
      <xdr:spPr>
        <a:xfrm>
          <a:off x="4772025" y="2747963"/>
          <a:ext cx="247650" cy="3952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9</xdr:row>
      <xdr:rowOff>95250</xdr:rowOff>
    </xdr:from>
    <xdr:to>
      <xdr:col>3</xdr:col>
      <xdr:colOff>0</xdr:colOff>
      <xdr:row>11</xdr:row>
      <xdr:rowOff>80963</xdr:rowOff>
    </xdr:to>
    <xdr:cxnSp macro="">
      <xdr:nvCxnSpPr>
        <xdr:cNvPr id="58" name="FBranch 1"/>
        <xdr:cNvCxnSpPr/>
      </xdr:nvCxnSpPr>
      <xdr:spPr>
        <a:xfrm flipV="1">
          <a:off x="981075" y="1809750"/>
          <a:ext cx="247650" cy="3667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11</xdr:row>
      <xdr:rowOff>80963</xdr:rowOff>
    </xdr:from>
    <xdr:to>
      <xdr:col>3</xdr:col>
      <xdr:colOff>0</xdr:colOff>
      <xdr:row>13</xdr:row>
      <xdr:rowOff>95250</xdr:rowOff>
    </xdr:to>
    <xdr:cxnSp macro="">
      <xdr:nvCxnSpPr>
        <xdr:cNvPr id="59" name="FBranch 2"/>
        <xdr:cNvCxnSpPr/>
      </xdr:nvCxnSpPr>
      <xdr:spPr>
        <a:xfrm>
          <a:off x="981075" y="2176463"/>
          <a:ext cx="247650" cy="5857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18</xdr:row>
      <xdr:rowOff>9525</xdr:rowOff>
    </xdr:from>
    <xdr:to>
      <xdr:col>21</xdr:col>
      <xdr:colOff>0</xdr:colOff>
      <xdr:row>18</xdr:row>
      <xdr:rowOff>152400</xdr:rowOff>
    </xdr:to>
    <xdr:cxnSp macro="">
      <xdr:nvCxnSpPr>
        <xdr:cNvPr id="60" name="Leaf 2222"/>
        <xdr:cNvCxnSpPr/>
      </xdr:nvCxnSpPr>
      <xdr:spPr>
        <a:xfrm>
          <a:off x="10096500" y="3629025"/>
          <a:ext cx="0" cy="142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133352</xdr:colOff>
      <xdr:row>20</xdr:row>
      <xdr:rowOff>38099</xdr:rowOff>
    </xdr:from>
    <xdr:to>
      <xdr:col>22</xdr:col>
      <xdr:colOff>209550</xdr:colOff>
      <xdr:row>22</xdr:row>
      <xdr:rowOff>157162</xdr:rowOff>
    </xdr:to>
    <xdr:sp macro="" textlink="">
      <xdr:nvSpPr>
        <xdr:cNvPr id="61" name="Left Brace 60" descr="a408d40b-4b67-4b82-9a80-ce5e796ec2b1"/>
        <xdr:cNvSpPr/>
      </xdr:nvSpPr>
      <xdr:spPr>
        <a:xfrm rot="16200000">
          <a:off x="5922169" y="-931068"/>
          <a:ext cx="500063" cy="10439398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cartwright-smith/SharePoint/33-11%20-%20Documents/05%20Draft%20Project%20Deliverables/Final%20Costs/33-11%20AIS%20Risk%20Mitigations%20-%20Cost%20Ranges%20Update%20v1%20jy%202016-10-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33-11%20-%20Documents\04%20Draft%20Project%20Analysis\Electric\16E%20SDGE%20-%20Fail%20to%20Black%20Start\4%20simultaneous%20blackout%20estimat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york/Documents/RAMP/Workpaper/RSE/Gas/SDGE-2-WP-RSE%20Catastrophic%20Damage%20Involving%20Third%20Party%20Dig-I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ed cost ranges"/>
    </sheetNames>
    <sheetDataSet>
      <sheetData sheetId="0">
        <row r="3">
          <cell r="F3">
            <v>106948.58217200005</v>
          </cell>
        </row>
        <row r="38">
          <cell r="F38">
            <v>0</v>
          </cell>
          <cell r="I38">
            <v>79.597999999999999</v>
          </cell>
        </row>
        <row r="39">
          <cell r="F39">
            <v>1235</v>
          </cell>
          <cell r="I39">
            <v>0</v>
          </cell>
        </row>
        <row r="40">
          <cell r="F40">
            <v>14629</v>
          </cell>
          <cell r="I40">
            <v>0</v>
          </cell>
        </row>
        <row r="41">
          <cell r="F41">
            <v>4958</v>
          </cell>
          <cell r="I4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2">
          <cell r="B22">
            <v>8.9418777943368107E-4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Analysis"/>
      <sheetName val="Baseline Mitigation"/>
      <sheetName val="2015Costs"/>
      <sheetName val="Data"/>
      <sheetName val="Refer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3"/>
  <sheetViews>
    <sheetView tabSelected="1" zoomScaleNormal="100" workbookViewId="0"/>
  </sheetViews>
  <sheetFormatPr defaultRowHeight="15" x14ac:dyDescent="0.25"/>
  <cols>
    <col min="1" max="1" width="90.42578125" style="27" customWidth="1"/>
  </cols>
  <sheetData>
    <row r="1" spans="1:1" ht="34.5" x14ac:dyDescent="0.25">
      <c r="A1" s="113"/>
    </row>
    <row r="2" spans="1:1" ht="34.5" x14ac:dyDescent="0.25">
      <c r="A2" s="113"/>
    </row>
    <row r="3" spans="1:1" ht="34.5" x14ac:dyDescent="0.25">
      <c r="A3" s="114" t="s">
        <v>229</v>
      </c>
    </row>
    <row r="4" spans="1:1" ht="6" customHeight="1" x14ac:dyDescent="0.25">
      <c r="A4" s="114"/>
    </row>
    <row r="5" spans="1:1" ht="34.5" x14ac:dyDescent="0.25">
      <c r="A5" s="115" t="s">
        <v>230</v>
      </c>
    </row>
    <row r="6" spans="1:1" ht="6" customHeight="1" x14ac:dyDescent="0.25">
      <c r="A6" s="114"/>
    </row>
    <row r="7" spans="1:1" ht="34.5" x14ac:dyDescent="0.25">
      <c r="A7" s="114" t="s">
        <v>231</v>
      </c>
    </row>
    <row r="8" spans="1:1" ht="6" customHeight="1" x14ac:dyDescent="0.25">
      <c r="A8" s="114"/>
    </row>
    <row r="9" spans="1:1" ht="34.5" x14ac:dyDescent="0.25">
      <c r="A9" s="116" t="s">
        <v>233</v>
      </c>
    </row>
    <row r="10" spans="1:1" ht="6" customHeight="1" x14ac:dyDescent="0.25">
      <c r="A10" s="114"/>
    </row>
    <row r="11" spans="1:1" ht="34.5" x14ac:dyDescent="0.25">
      <c r="A11" s="114" t="s">
        <v>234</v>
      </c>
    </row>
    <row r="12" spans="1:1" ht="31.5" customHeight="1" x14ac:dyDescent="0.25">
      <c r="A12" s="117"/>
    </row>
    <row r="13" spans="1:1" ht="18.75" x14ac:dyDescent="0.25">
      <c r="A13" s="118" t="s">
        <v>232</v>
      </c>
    </row>
  </sheetData>
  <printOptions horizontalCentered="1" verticalCentered="1"/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18"/>
  <sheetViews>
    <sheetView topLeftCell="A6" workbookViewId="0">
      <selection activeCell="E44" sqref="E44"/>
    </sheetView>
  </sheetViews>
  <sheetFormatPr defaultRowHeight="15" x14ac:dyDescent="0.25"/>
  <cols>
    <col min="2" max="2" width="2.42578125" customWidth="1"/>
    <col min="3" max="3" width="3.7109375" customWidth="1"/>
    <col min="4" max="4" width="10.7109375" customWidth="1"/>
    <col min="5" max="6" width="7.7109375" customWidth="1"/>
    <col min="7" max="7" width="2.42578125" customWidth="1"/>
    <col min="8" max="8" width="3.7109375" customWidth="1"/>
    <col min="9" max="9" width="4.7109375" customWidth="1"/>
    <col min="10" max="11" width="7.7109375" customWidth="1"/>
    <col min="12" max="12" width="14.7109375" customWidth="1"/>
    <col min="13" max="13" width="10.7109375" customWidth="1"/>
  </cols>
  <sheetData>
    <row r="1" spans="1:13" x14ac:dyDescent="0.25">
      <c r="A1" t="s">
        <v>130</v>
      </c>
    </row>
    <row r="2" spans="1:13" x14ac:dyDescent="0.25">
      <c r="A2" t="s">
        <v>129</v>
      </c>
    </row>
    <row r="3" spans="1:13" x14ac:dyDescent="0.25">
      <c r="A3" t="s">
        <v>128</v>
      </c>
    </row>
    <row r="5" spans="1:13" x14ac:dyDescent="0.25">
      <c r="L5" s="19" t="s">
        <v>94</v>
      </c>
      <c r="M5" s="19" t="s">
        <v>95</v>
      </c>
    </row>
    <row r="8" spans="1:13" x14ac:dyDescent="0.25">
      <c r="D8" s="21">
        <f>1-D12</f>
        <v>0.98170000000000002</v>
      </c>
      <c r="E8" s="1" t="s">
        <v>98</v>
      </c>
    </row>
    <row r="9" spans="1:13" x14ac:dyDescent="0.25">
      <c r="L9" s="20" t="s">
        <v>100</v>
      </c>
    </row>
    <row r="10" spans="1:13" x14ac:dyDescent="0.25">
      <c r="A10" t="s">
        <v>97</v>
      </c>
      <c r="I10" s="28">
        <f>1-I14</f>
        <v>0.8</v>
      </c>
      <c r="J10" s="1" t="s">
        <v>131</v>
      </c>
    </row>
    <row r="11" spans="1:13" x14ac:dyDescent="0.25">
      <c r="A11" s="5">
        <f>Analysis!B5</f>
        <v>1.8257418583505498E-2</v>
      </c>
      <c r="L11" s="20" t="s">
        <v>100</v>
      </c>
    </row>
    <row r="12" spans="1:13" x14ac:dyDescent="0.25">
      <c r="A12" t="s">
        <v>102</v>
      </c>
      <c r="D12" s="22">
        <v>1.83E-2</v>
      </c>
      <c r="E12" s="1" t="s">
        <v>99</v>
      </c>
    </row>
    <row r="13" spans="1:13" x14ac:dyDescent="0.25">
      <c r="L13" s="20"/>
    </row>
    <row r="14" spans="1:13" x14ac:dyDescent="0.25">
      <c r="I14" s="30">
        <v>0.2</v>
      </c>
      <c r="J14" s="1" t="s">
        <v>132</v>
      </c>
    </row>
    <row r="15" spans="1:13" x14ac:dyDescent="0.25">
      <c r="L15" s="20" t="s">
        <v>133</v>
      </c>
    </row>
    <row r="17" spans="12:12" x14ac:dyDescent="0.25">
      <c r="L17" t="s">
        <v>147</v>
      </c>
    </row>
    <row r="18" spans="12:12" x14ac:dyDescent="0.25">
      <c r="L18" s="31">
        <f>I14*D12</f>
        <v>3.6600000000000001E-3</v>
      </c>
    </row>
  </sheetData>
  <sheetProtection algorithmName="SHA-512" hashValue="WxDBfiBqkl7hgKM8L+GKT9CcvRJGUyNpXiDGuA7AUPsGdA+dgZ7ZNr06WQw4aHKxPVnzQF124shszS+WbhtVFA==" saltValue="FRDFPzHCyW+zgZQCXXpzbw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B38"/>
  <sheetViews>
    <sheetView topLeftCell="A13" workbookViewId="0">
      <selection activeCell="E44" sqref="E44"/>
    </sheetView>
  </sheetViews>
  <sheetFormatPr defaultRowHeight="15" x14ac:dyDescent="0.25"/>
  <cols>
    <col min="1" max="1" width="12.28515625" customWidth="1"/>
    <col min="2" max="2" width="2.42578125" customWidth="1"/>
    <col min="3" max="3" width="3.7109375" customWidth="1"/>
    <col min="4" max="4" width="8.7109375" customWidth="1"/>
    <col min="5" max="5" width="7.7109375" customWidth="1"/>
    <col min="6" max="6" width="23.140625" customWidth="1"/>
    <col min="7" max="7" width="13.5703125" customWidth="1"/>
    <col min="8" max="8" width="3.7109375" customWidth="1"/>
    <col min="9" max="9" width="11.7109375" customWidth="1"/>
    <col min="10" max="11" width="7.7109375" customWidth="1"/>
    <col min="12" max="12" width="2.42578125" customWidth="1"/>
    <col min="13" max="13" width="3.7109375" customWidth="1"/>
    <col min="14" max="14" width="6.7109375" customWidth="1"/>
    <col min="15" max="16" width="7.7109375" customWidth="1"/>
    <col min="17" max="17" width="2.42578125" customWidth="1"/>
    <col min="18" max="18" width="3.7109375" customWidth="1"/>
    <col min="19" max="19" width="6.28515625" customWidth="1"/>
    <col min="20" max="21" width="7.7109375" customWidth="1"/>
    <col min="22" max="22" width="14.7109375" customWidth="1"/>
    <col min="23" max="23" width="10.7109375" customWidth="1"/>
    <col min="24" max="24" width="4.7109375" customWidth="1"/>
    <col min="25" max="26" width="7.7109375" customWidth="1"/>
    <col min="27" max="27" width="14.7109375" customWidth="1"/>
    <col min="28" max="28" width="10.7109375" customWidth="1"/>
  </cols>
  <sheetData>
    <row r="1" spans="1:28" x14ac:dyDescent="0.25">
      <c r="A1" t="s">
        <v>139</v>
      </c>
    </row>
    <row r="2" spans="1:28" x14ac:dyDescent="0.25">
      <c r="A2" t="s">
        <v>127</v>
      </c>
    </row>
    <row r="3" spans="1:28" x14ac:dyDescent="0.25">
      <c r="A3" t="s">
        <v>134</v>
      </c>
    </row>
    <row r="4" spans="1:28" x14ac:dyDescent="0.25">
      <c r="A4" t="s">
        <v>135</v>
      </c>
    </row>
    <row r="5" spans="1:28" x14ac:dyDescent="0.25">
      <c r="A5" t="s">
        <v>136</v>
      </c>
      <c r="AA5" s="19" t="s">
        <v>94</v>
      </c>
      <c r="AB5" s="19" t="s">
        <v>95</v>
      </c>
    </row>
    <row r="6" spans="1:28" x14ac:dyDescent="0.25">
      <c r="A6" t="s">
        <v>137</v>
      </c>
      <c r="V6" s="21"/>
      <c r="W6" s="21"/>
    </row>
    <row r="7" spans="1:28" x14ac:dyDescent="0.25">
      <c r="A7" t="s">
        <v>138</v>
      </c>
    </row>
    <row r="9" spans="1:28" x14ac:dyDescent="0.25">
      <c r="D9" s="21">
        <f>1-D13</f>
        <v>0.97798100335347127</v>
      </c>
      <c r="E9" s="1" t="s">
        <v>98</v>
      </c>
    </row>
    <row r="10" spans="1:28" x14ac:dyDescent="0.25">
      <c r="V10" s="20" t="s">
        <v>100</v>
      </c>
    </row>
    <row r="11" spans="1:28" x14ac:dyDescent="0.25">
      <c r="I11" s="20">
        <f>1-I15</f>
        <v>0.5</v>
      </c>
      <c r="J11" s="1" t="s">
        <v>140</v>
      </c>
    </row>
    <row r="12" spans="1:28" ht="30" x14ac:dyDescent="0.25">
      <c r="A12" s="3" t="s">
        <v>97</v>
      </c>
      <c r="V12" s="20" t="s">
        <v>100</v>
      </c>
    </row>
    <row r="13" spans="1:28" x14ac:dyDescent="0.25">
      <c r="A13" s="5">
        <f>Analysis!B5</f>
        <v>1.8257418583505498E-2</v>
      </c>
      <c r="D13" s="22">
        <f>'P1 FaultTree'!D18</f>
        <v>2.2018996646528753E-2</v>
      </c>
      <c r="E13" s="1" t="s">
        <v>99</v>
      </c>
      <c r="N13" s="20">
        <f>1-N17</f>
        <v>0.75</v>
      </c>
      <c r="O13" s="1" t="s">
        <v>142</v>
      </c>
      <c r="AA13" s="20"/>
    </row>
    <row r="14" spans="1:28" x14ac:dyDescent="0.25">
      <c r="A14" t="s">
        <v>102</v>
      </c>
      <c r="G14" s="27"/>
      <c r="V14" s="20" t="s">
        <v>100</v>
      </c>
    </row>
    <row r="15" spans="1:28" x14ac:dyDescent="0.25">
      <c r="F15" t="s">
        <v>149</v>
      </c>
      <c r="I15" s="22">
        <v>0.5</v>
      </c>
      <c r="J15" s="1" t="s">
        <v>141</v>
      </c>
      <c r="S15" s="20">
        <f>1-S18</f>
        <v>0.20499999999999996</v>
      </c>
      <c r="T15" s="1" t="s">
        <v>144</v>
      </c>
      <c r="AA15" s="20"/>
    </row>
    <row r="16" spans="1:28" x14ac:dyDescent="0.25">
      <c r="V16" s="20" t="s">
        <v>100</v>
      </c>
    </row>
    <row r="17" spans="6:27" x14ac:dyDescent="0.25">
      <c r="F17" s="3"/>
      <c r="K17" t="s">
        <v>150</v>
      </c>
      <c r="N17" s="22">
        <v>0.25</v>
      </c>
      <c r="O17" s="1" t="s">
        <v>143</v>
      </c>
      <c r="AA17" s="20"/>
    </row>
    <row r="18" spans="6:27" x14ac:dyDescent="0.25">
      <c r="G18" s="23"/>
      <c r="S18" s="22">
        <f>0.795</f>
        <v>0.79500000000000004</v>
      </c>
      <c r="T18" s="1" t="s">
        <v>145</v>
      </c>
      <c r="X18" s="20"/>
      <c r="Y18" s="1"/>
    </row>
    <row r="19" spans="6:27" x14ac:dyDescent="0.25">
      <c r="G19" s="24"/>
      <c r="P19" t="s">
        <v>148</v>
      </c>
      <c r="V19" t="s">
        <v>133</v>
      </c>
      <c r="AA19" s="20"/>
    </row>
    <row r="20" spans="6:27" x14ac:dyDescent="0.25">
      <c r="F20" s="1"/>
      <c r="G20" s="1"/>
    </row>
    <row r="22" spans="6:27" x14ac:dyDescent="0.25">
      <c r="F22" s="1"/>
      <c r="G22" s="1"/>
    </row>
    <row r="25" spans="6:27" x14ac:dyDescent="0.25">
      <c r="F25" s="1"/>
      <c r="J25" s="29">
        <v>1</v>
      </c>
      <c r="K25" t="s">
        <v>146</v>
      </c>
    </row>
    <row r="27" spans="6:27" x14ac:dyDescent="0.25">
      <c r="F27" s="25"/>
      <c r="I27" t="s">
        <v>147</v>
      </c>
    </row>
    <row r="28" spans="6:27" x14ac:dyDescent="0.25">
      <c r="F28" s="25"/>
      <c r="I28" s="31">
        <f>J25*S18*N17*I15*D13</f>
        <v>2.1881377917487952E-3</v>
      </c>
    </row>
    <row r="29" spans="6:27" x14ac:dyDescent="0.25">
      <c r="F29" s="25"/>
    </row>
    <row r="30" spans="6:27" x14ac:dyDescent="0.25">
      <c r="F30" s="25"/>
    </row>
    <row r="31" spans="6:27" x14ac:dyDescent="0.25">
      <c r="F31" s="25"/>
    </row>
    <row r="32" spans="6:27" x14ac:dyDescent="0.25">
      <c r="F32" s="1"/>
      <c r="G32" s="1"/>
    </row>
    <row r="33" spans="5:8" x14ac:dyDescent="0.25">
      <c r="F33" s="1"/>
      <c r="G33" s="1"/>
    </row>
    <row r="36" spans="5:8" x14ac:dyDescent="0.25">
      <c r="F36" s="1"/>
      <c r="G36" s="26"/>
      <c r="H36" s="6"/>
    </row>
    <row r="38" spans="5:8" x14ac:dyDescent="0.25">
      <c r="E38" s="5"/>
    </row>
  </sheetData>
  <sheetProtection algorithmName="SHA-512" hashValue="yD/zEfXpLv0udXOTqHZSezsM8dHQPePeb0HFFjGyl9QHlv8ZAKS9LjPNYM17EqE1UqkFR/gC9uF1ajcdss18wA==" saltValue="uhPII3JzCGC9kgu5jO3XrQ==" spinCount="100000" sheet="1" objects="1" scenarios="1"/>
  <pageMargins left="0.7" right="0.7" top="0.75" bottom="0.75" header="0.3" footer="0.3"/>
  <pageSetup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48"/>
  <sheetViews>
    <sheetView workbookViewId="0"/>
  </sheetViews>
  <sheetFormatPr defaultRowHeight="15" x14ac:dyDescent="0.25"/>
  <cols>
    <col min="1" max="1" width="9.140625" style="6"/>
    <col min="2" max="2" width="77.7109375" style="6" bestFit="1" customWidth="1"/>
    <col min="3" max="3" width="14.42578125" style="6" bestFit="1" customWidth="1"/>
    <col min="4" max="4" width="23.42578125" style="6" bestFit="1" customWidth="1"/>
    <col min="5" max="5" width="27" style="6" bestFit="1" customWidth="1"/>
    <col min="6" max="6" width="28.42578125" style="6" bestFit="1" customWidth="1"/>
    <col min="7" max="7" width="25.85546875" style="6" bestFit="1" customWidth="1"/>
    <col min="8" max="8" width="22.28515625" style="6" bestFit="1" customWidth="1"/>
    <col min="9" max="9" width="18.5703125" style="6" bestFit="1" customWidth="1"/>
    <col min="10" max="10" width="9.140625" style="6"/>
    <col min="11" max="11" width="4.7109375" style="6" customWidth="1"/>
    <col min="12" max="12" width="11.5703125" style="6" bestFit="1" customWidth="1"/>
    <col min="13" max="14" width="9.140625" style="6"/>
    <col min="15" max="15" width="4.140625" style="6" customWidth="1"/>
    <col min="16" max="16" width="11.5703125" style="6" bestFit="1" customWidth="1"/>
    <col min="17" max="17" width="9.140625" style="6"/>
    <col min="18" max="35" width="2.7109375" style="11" customWidth="1"/>
    <col min="36" max="16384" width="9.140625" style="6"/>
  </cols>
  <sheetData>
    <row r="1" spans="1:35" x14ac:dyDescent="0.25">
      <c r="B1" s="40" t="s">
        <v>25</v>
      </c>
      <c r="C1" s="40" t="s">
        <v>26</v>
      </c>
      <c r="D1" s="40" t="s">
        <v>27</v>
      </c>
      <c r="E1" s="40" t="s">
        <v>28</v>
      </c>
      <c r="F1" s="40" t="s">
        <v>29</v>
      </c>
      <c r="G1" s="40" t="s">
        <v>30</v>
      </c>
      <c r="H1" s="40" t="s">
        <v>31</v>
      </c>
      <c r="I1" s="41" t="s">
        <v>32</v>
      </c>
      <c r="K1" s="110" t="s">
        <v>24</v>
      </c>
      <c r="L1" s="110"/>
      <c r="O1" s="110" t="s">
        <v>33</v>
      </c>
      <c r="P1" s="110"/>
    </row>
    <row r="2" spans="1:35" x14ac:dyDescent="0.25">
      <c r="A2" s="6">
        <v>1</v>
      </c>
      <c r="B2" s="7" t="s">
        <v>39</v>
      </c>
      <c r="C2" s="8">
        <v>0.182574185835055</v>
      </c>
      <c r="D2" s="7">
        <v>4</v>
      </c>
      <c r="E2" s="7">
        <v>6</v>
      </c>
      <c r="F2" s="7">
        <v>5</v>
      </c>
      <c r="G2" s="7">
        <v>5</v>
      </c>
      <c r="H2" s="9">
        <v>44548.101343753427</v>
      </c>
      <c r="I2" s="10">
        <f t="shared" ref="I2:I29" si="0">($K$11*$C2*10^$D2)+($K$12*$C2*10^$E2)+($K$13*$C2*10^$F2)+($K$14*$C2*10^$G2)</f>
        <v>44548.101343753427</v>
      </c>
      <c r="K2" s="42">
        <v>7</v>
      </c>
      <c r="L2" s="43">
        <v>31.6227766016838</v>
      </c>
      <c r="M2" s="6">
        <v>7</v>
      </c>
      <c r="O2" s="42">
        <v>7</v>
      </c>
      <c r="P2" s="44">
        <f>10^O2</f>
        <v>10000000</v>
      </c>
    </row>
    <row r="3" spans="1:35" x14ac:dyDescent="0.25">
      <c r="A3" s="6" t="s">
        <v>75</v>
      </c>
      <c r="B3" s="7" t="s">
        <v>73</v>
      </c>
      <c r="C3" s="8">
        <v>5.7735026918962602E-2</v>
      </c>
      <c r="D3" s="7">
        <v>4</v>
      </c>
      <c r="E3" s="7">
        <v>5</v>
      </c>
      <c r="F3" s="7">
        <v>4</v>
      </c>
      <c r="G3" s="7">
        <v>5</v>
      </c>
      <c r="H3" s="9">
        <v>2655.8112382722798</v>
      </c>
      <c r="I3" s="10">
        <f t="shared" si="0"/>
        <v>2655.8112382722798</v>
      </c>
      <c r="K3" s="42">
        <v>6</v>
      </c>
      <c r="L3" s="43">
        <v>3.16227766016838</v>
      </c>
      <c r="M3" s="6">
        <v>6</v>
      </c>
      <c r="O3" s="42">
        <v>6</v>
      </c>
      <c r="P3" s="44">
        <f t="shared" ref="P3:P8" si="1">10^O3</f>
        <v>1000000</v>
      </c>
    </row>
    <row r="4" spans="1:35" ht="18" x14ac:dyDescent="0.25">
      <c r="A4" s="6">
        <v>3</v>
      </c>
      <c r="B4" s="7" t="s">
        <v>40</v>
      </c>
      <c r="C4" s="8">
        <v>0.57735026918962595</v>
      </c>
      <c r="D4" s="7">
        <v>6</v>
      </c>
      <c r="E4" s="7">
        <v>4</v>
      </c>
      <c r="F4" s="7">
        <v>3</v>
      </c>
      <c r="G4" s="7">
        <v>4</v>
      </c>
      <c r="H4" s="9">
        <v>233364.97880644683</v>
      </c>
      <c r="I4" s="10">
        <f t="shared" si="0"/>
        <v>233364.97880644683</v>
      </c>
      <c r="K4" s="42">
        <v>5</v>
      </c>
      <c r="L4" s="43">
        <v>0.57735026918962595</v>
      </c>
      <c r="M4" s="6">
        <v>5</v>
      </c>
      <c r="O4" s="42">
        <v>5</v>
      </c>
      <c r="P4" s="44">
        <f t="shared" si="1"/>
        <v>100000</v>
      </c>
      <c r="T4" s="12" t="s">
        <v>37</v>
      </c>
      <c r="U4" s="45"/>
    </row>
    <row r="5" spans="1:35" x14ac:dyDescent="0.25">
      <c r="A5" s="6">
        <v>4</v>
      </c>
      <c r="B5" s="7" t="s">
        <v>42</v>
      </c>
      <c r="C5" s="8">
        <v>5.7735026918962602E-2</v>
      </c>
      <c r="D5" s="7">
        <v>5</v>
      </c>
      <c r="E5" s="7">
        <v>5</v>
      </c>
      <c r="F5" s="7">
        <v>5</v>
      </c>
      <c r="G5" s="7">
        <v>4</v>
      </c>
      <c r="H5" s="9">
        <v>4734.2722073549339</v>
      </c>
      <c r="I5" s="10">
        <f t="shared" si="0"/>
        <v>4734.2722073549339</v>
      </c>
      <c r="K5" s="42">
        <v>4</v>
      </c>
      <c r="L5" s="43">
        <v>0.182574185835055</v>
      </c>
      <c r="M5" s="6">
        <v>4</v>
      </c>
      <c r="O5" s="42">
        <v>4</v>
      </c>
      <c r="P5" s="44">
        <f t="shared" si="1"/>
        <v>10000</v>
      </c>
      <c r="T5" s="111" t="s">
        <v>18</v>
      </c>
      <c r="U5" s="111"/>
      <c r="V5" s="111"/>
      <c r="W5" s="111"/>
      <c r="X5" s="111"/>
      <c r="Y5" s="111"/>
      <c r="Z5" s="111"/>
      <c r="AC5" s="111" t="s">
        <v>20</v>
      </c>
      <c r="AD5" s="111"/>
      <c r="AE5" s="111"/>
      <c r="AF5" s="111"/>
      <c r="AG5" s="111"/>
      <c r="AH5" s="111"/>
      <c r="AI5" s="111"/>
    </row>
    <row r="6" spans="1:35" x14ac:dyDescent="0.25">
      <c r="A6" s="6">
        <v>5</v>
      </c>
      <c r="B6" s="7" t="s">
        <v>43</v>
      </c>
      <c r="C6" s="8">
        <v>0.57735026918962595</v>
      </c>
      <c r="D6" s="7">
        <v>4</v>
      </c>
      <c r="E6" s="7">
        <v>4</v>
      </c>
      <c r="F6" s="7">
        <v>4</v>
      </c>
      <c r="G6" s="7">
        <v>4</v>
      </c>
      <c r="H6" s="9">
        <v>5773.5026918962594</v>
      </c>
      <c r="I6" s="10">
        <f t="shared" si="0"/>
        <v>5773.5026918962594</v>
      </c>
      <c r="K6" s="42">
        <v>3</v>
      </c>
      <c r="L6" s="43">
        <v>5.7735026918962602E-2</v>
      </c>
      <c r="M6" s="6">
        <v>3</v>
      </c>
      <c r="O6" s="42">
        <v>3</v>
      </c>
      <c r="P6" s="44">
        <f t="shared" si="1"/>
        <v>1000</v>
      </c>
      <c r="R6" s="112" t="s">
        <v>1</v>
      </c>
      <c r="S6" s="46">
        <v>7</v>
      </c>
      <c r="T6" s="47" t="s">
        <v>93</v>
      </c>
      <c r="U6" s="47" t="s">
        <v>93</v>
      </c>
      <c r="V6" s="47" t="s">
        <v>93</v>
      </c>
      <c r="W6" s="47" t="s">
        <v>93</v>
      </c>
      <c r="X6" s="47" t="s">
        <v>93</v>
      </c>
      <c r="Y6" s="47" t="s">
        <v>93</v>
      </c>
      <c r="Z6" s="47" t="s">
        <v>93</v>
      </c>
      <c r="AB6" s="46">
        <v>7</v>
      </c>
      <c r="AC6" s="47" t="s">
        <v>93</v>
      </c>
      <c r="AD6" s="47" t="s">
        <v>93</v>
      </c>
      <c r="AE6" s="47" t="s">
        <v>93</v>
      </c>
      <c r="AF6" s="47" t="s">
        <v>93</v>
      </c>
      <c r="AG6" s="47" t="s">
        <v>93</v>
      </c>
      <c r="AH6" s="47" t="s">
        <v>93</v>
      </c>
      <c r="AI6" s="47" t="s">
        <v>93</v>
      </c>
    </row>
    <row r="7" spans="1:35" x14ac:dyDescent="0.25">
      <c r="A7" s="6">
        <v>6</v>
      </c>
      <c r="B7" s="7" t="s">
        <v>45</v>
      </c>
      <c r="C7" s="8">
        <v>5.7735026918962602E-2</v>
      </c>
      <c r="D7" s="7">
        <v>6</v>
      </c>
      <c r="E7" s="7">
        <v>1</v>
      </c>
      <c r="F7" s="7">
        <v>2</v>
      </c>
      <c r="G7" s="7">
        <v>3</v>
      </c>
      <c r="H7" s="9">
        <v>23106.827943561053</v>
      </c>
      <c r="I7" s="10">
        <f t="shared" si="0"/>
        <v>23106.827943561053</v>
      </c>
      <c r="K7" s="42">
        <v>2</v>
      </c>
      <c r="L7" s="43">
        <v>1.8257418583505498E-2</v>
      </c>
      <c r="M7" s="6">
        <v>2</v>
      </c>
      <c r="O7" s="42">
        <v>2</v>
      </c>
      <c r="P7" s="44">
        <f t="shared" si="1"/>
        <v>100</v>
      </c>
      <c r="R7" s="112"/>
      <c r="S7" s="46">
        <v>6</v>
      </c>
      <c r="T7" s="47" t="s">
        <v>93</v>
      </c>
      <c r="U7" s="47" t="s">
        <v>93</v>
      </c>
      <c r="V7" s="47" t="s">
        <v>93</v>
      </c>
      <c r="W7" s="47" t="s">
        <v>93</v>
      </c>
      <c r="X7" s="47" t="s">
        <v>93</v>
      </c>
      <c r="Y7" s="47" t="s">
        <v>93</v>
      </c>
      <c r="Z7" s="47" t="s">
        <v>93</v>
      </c>
      <c r="AB7" s="46">
        <v>6</v>
      </c>
      <c r="AC7" s="47" t="s">
        <v>93</v>
      </c>
      <c r="AD7" s="47" t="s">
        <v>93</v>
      </c>
      <c r="AE7" s="47" t="s">
        <v>93</v>
      </c>
      <c r="AF7" s="47" t="s">
        <v>93</v>
      </c>
      <c r="AG7" s="47" t="s">
        <v>93</v>
      </c>
      <c r="AH7" s="47" t="s">
        <v>93</v>
      </c>
      <c r="AI7" s="47" t="s">
        <v>93</v>
      </c>
    </row>
    <row r="8" spans="1:35" x14ac:dyDescent="0.25">
      <c r="A8" s="6">
        <v>7</v>
      </c>
      <c r="B8" s="7" t="s">
        <v>51</v>
      </c>
      <c r="C8" s="8">
        <v>0.182574185835055</v>
      </c>
      <c r="D8" s="7">
        <v>4</v>
      </c>
      <c r="E8" s="7">
        <v>6</v>
      </c>
      <c r="F8" s="7">
        <v>5</v>
      </c>
      <c r="G8" s="7">
        <v>5</v>
      </c>
      <c r="H8" s="9">
        <v>44548.101343753427</v>
      </c>
      <c r="I8" s="10">
        <f t="shared" si="0"/>
        <v>44548.101343753427</v>
      </c>
      <c r="K8" s="42">
        <v>1</v>
      </c>
      <c r="L8" s="43">
        <v>5.4772255750516604E-3</v>
      </c>
      <c r="M8" s="6">
        <v>1</v>
      </c>
      <c r="O8" s="42">
        <v>1</v>
      </c>
      <c r="P8" s="44">
        <f t="shared" si="1"/>
        <v>10</v>
      </c>
      <c r="R8" s="112"/>
      <c r="S8" s="46">
        <v>5</v>
      </c>
      <c r="T8" s="47" t="s">
        <v>93</v>
      </c>
      <c r="U8" s="47" t="s">
        <v>93</v>
      </c>
      <c r="V8" s="47" t="s">
        <v>93</v>
      </c>
      <c r="W8" s="47" t="s">
        <v>93</v>
      </c>
      <c r="X8" s="47" t="s">
        <v>93</v>
      </c>
      <c r="Y8" s="47" t="s">
        <v>93</v>
      </c>
      <c r="Z8" s="47" t="s">
        <v>93</v>
      </c>
      <c r="AB8" s="46">
        <v>5</v>
      </c>
      <c r="AC8" s="47" t="s">
        <v>93</v>
      </c>
      <c r="AD8" s="47" t="s">
        <v>93</v>
      </c>
      <c r="AE8" s="47" t="s">
        <v>93</v>
      </c>
      <c r="AF8" s="47" t="s">
        <v>93</v>
      </c>
      <c r="AG8" s="47" t="s">
        <v>93</v>
      </c>
      <c r="AH8" s="47" t="s">
        <v>93</v>
      </c>
      <c r="AI8" s="47" t="s">
        <v>93</v>
      </c>
    </row>
    <row r="9" spans="1:35" x14ac:dyDescent="0.25">
      <c r="A9" s="6">
        <v>9</v>
      </c>
      <c r="B9" s="7" t="s">
        <v>55</v>
      </c>
      <c r="C9" s="8">
        <v>0.182574185835055</v>
      </c>
      <c r="D9" s="7">
        <v>6</v>
      </c>
      <c r="E9" s="7">
        <v>4</v>
      </c>
      <c r="F9" s="7">
        <v>4</v>
      </c>
      <c r="G9" s="7">
        <v>3</v>
      </c>
      <c r="H9" s="9">
        <v>73796.485914529228</v>
      </c>
      <c r="I9" s="10">
        <f t="shared" si="0"/>
        <v>73796.485914529228</v>
      </c>
      <c r="R9" s="112"/>
      <c r="S9" s="46">
        <v>4</v>
      </c>
      <c r="T9" s="47" t="s">
        <v>93</v>
      </c>
      <c r="U9" s="47" t="s">
        <v>93</v>
      </c>
      <c r="V9" s="47" t="s">
        <v>93</v>
      </c>
      <c r="W9" s="47" t="s">
        <v>93</v>
      </c>
      <c r="X9" s="47" t="s">
        <v>93</v>
      </c>
      <c r="Y9" s="47" t="s">
        <v>93</v>
      </c>
      <c r="Z9" s="47" t="s">
        <v>93</v>
      </c>
      <c r="AB9" s="46">
        <v>4</v>
      </c>
      <c r="AC9" s="47" t="s">
        <v>93</v>
      </c>
      <c r="AD9" s="47" t="s">
        <v>93</v>
      </c>
      <c r="AE9" s="47" t="s">
        <v>93</v>
      </c>
      <c r="AF9" s="47" t="s">
        <v>93</v>
      </c>
      <c r="AG9" s="47" t="s">
        <v>93</v>
      </c>
      <c r="AH9" s="47" t="s">
        <v>93</v>
      </c>
      <c r="AI9" s="47" t="s">
        <v>93</v>
      </c>
    </row>
    <row r="10" spans="1:35" x14ac:dyDescent="0.25">
      <c r="A10" s="6">
        <v>10</v>
      </c>
      <c r="B10" s="7" t="s">
        <v>59</v>
      </c>
      <c r="C10" s="8">
        <v>5.7735026918962602E-2</v>
      </c>
      <c r="D10" s="7">
        <v>5</v>
      </c>
      <c r="E10" s="7">
        <v>5</v>
      </c>
      <c r="F10" s="7">
        <v>5</v>
      </c>
      <c r="G10" s="7">
        <v>4</v>
      </c>
      <c r="H10" s="9">
        <v>4734.2722073549339</v>
      </c>
      <c r="I10" s="10">
        <f t="shared" si="0"/>
        <v>4734.2722073549339</v>
      </c>
      <c r="K10" s="110" t="s">
        <v>44</v>
      </c>
      <c r="L10" s="110"/>
      <c r="R10" s="112"/>
      <c r="S10" s="46">
        <v>3</v>
      </c>
      <c r="T10" s="47" t="s">
        <v>93</v>
      </c>
      <c r="U10" s="47" t="s">
        <v>93</v>
      </c>
      <c r="V10" s="47" t="s">
        <v>93</v>
      </c>
      <c r="W10" s="47" t="s">
        <v>93</v>
      </c>
      <c r="X10" s="47">
        <v>1</v>
      </c>
      <c r="Y10" s="47" t="s">
        <v>93</v>
      </c>
      <c r="Z10" s="47" t="s">
        <v>93</v>
      </c>
      <c r="AB10" s="46">
        <v>3</v>
      </c>
      <c r="AC10" s="47" t="s">
        <v>93</v>
      </c>
      <c r="AD10" s="47" t="s">
        <v>93</v>
      </c>
      <c r="AE10" s="47">
        <v>1</v>
      </c>
      <c r="AF10" s="47" t="s">
        <v>93</v>
      </c>
      <c r="AG10" s="47" t="s">
        <v>93</v>
      </c>
      <c r="AH10" s="47" t="s">
        <v>93</v>
      </c>
      <c r="AI10" s="47" t="s">
        <v>93</v>
      </c>
    </row>
    <row r="11" spans="1:35" x14ac:dyDescent="0.25">
      <c r="A11" s="6">
        <v>11</v>
      </c>
      <c r="B11" s="7" t="s">
        <v>63</v>
      </c>
      <c r="C11" s="8">
        <v>5.7735026918962602E-2</v>
      </c>
      <c r="D11" s="7">
        <v>4</v>
      </c>
      <c r="E11" s="7">
        <v>3</v>
      </c>
      <c r="F11" s="7">
        <v>3</v>
      </c>
      <c r="G11" s="7">
        <v>2</v>
      </c>
      <c r="H11" s="9">
        <v>255.18881898181468</v>
      </c>
      <c r="I11" s="10">
        <f t="shared" si="0"/>
        <v>255.18881898181468</v>
      </c>
      <c r="K11" s="4">
        <v>0.4</v>
      </c>
      <c r="L11" s="2" t="s">
        <v>18</v>
      </c>
      <c r="R11" s="112"/>
      <c r="S11" s="46">
        <v>2</v>
      </c>
      <c r="T11" s="47" t="s">
        <v>93</v>
      </c>
      <c r="U11" s="47" t="s">
        <v>93</v>
      </c>
      <c r="V11" s="47" t="s">
        <v>93</v>
      </c>
      <c r="W11" s="47" t="s">
        <v>93</v>
      </c>
      <c r="X11" s="47" t="s">
        <v>93</v>
      </c>
      <c r="Y11" s="47" t="s">
        <v>93</v>
      </c>
      <c r="Z11" s="47" t="s">
        <v>93</v>
      </c>
      <c r="AB11" s="46">
        <v>2</v>
      </c>
      <c r="AC11" s="47" t="s">
        <v>93</v>
      </c>
      <c r="AD11" s="47" t="s">
        <v>93</v>
      </c>
      <c r="AE11" s="47" t="s">
        <v>93</v>
      </c>
      <c r="AF11" s="47" t="s">
        <v>93</v>
      </c>
      <c r="AG11" s="47" t="s">
        <v>93</v>
      </c>
      <c r="AH11" s="47" t="s">
        <v>93</v>
      </c>
      <c r="AI11" s="47" t="s">
        <v>93</v>
      </c>
    </row>
    <row r="12" spans="1:35" x14ac:dyDescent="0.25">
      <c r="A12" s="6">
        <v>12</v>
      </c>
      <c r="B12" s="7" t="s">
        <v>64</v>
      </c>
      <c r="C12" s="8">
        <v>5.7735026918962602E-2</v>
      </c>
      <c r="D12" s="7">
        <v>6</v>
      </c>
      <c r="E12" s="7">
        <v>1</v>
      </c>
      <c r="F12" s="7">
        <v>2</v>
      </c>
      <c r="G12" s="7">
        <v>3</v>
      </c>
      <c r="H12" s="9">
        <v>23106.827943561053</v>
      </c>
      <c r="I12" s="10">
        <f t="shared" si="0"/>
        <v>23106.827943561053</v>
      </c>
      <c r="K12" s="4">
        <v>0.2</v>
      </c>
      <c r="L12" s="2" t="s">
        <v>19</v>
      </c>
      <c r="R12" s="112"/>
      <c r="S12" s="46">
        <v>1</v>
      </c>
      <c r="T12" s="47" t="s">
        <v>93</v>
      </c>
      <c r="U12" s="47" t="s">
        <v>93</v>
      </c>
      <c r="V12" s="47" t="s">
        <v>93</v>
      </c>
      <c r="W12" s="47" t="s">
        <v>93</v>
      </c>
      <c r="X12" s="47" t="s">
        <v>93</v>
      </c>
      <c r="Y12" s="47" t="s">
        <v>93</v>
      </c>
      <c r="Z12" s="47" t="s">
        <v>93</v>
      </c>
      <c r="AB12" s="46">
        <v>1</v>
      </c>
      <c r="AC12" s="47" t="s">
        <v>93</v>
      </c>
      <c r="AD12" s="47" t="s">
        <v>93</v>
      </c>
      <c r="AE12" s="47" t="s">
        <v>93</v>
      </c>
      <c r="AF12" s="47" t="s">
        <v>93</v>
      </c>
      <c r="AG12" s="47" t="s">
        <v>93</v>
      </c>
      <c r="AH12" s="47" t="s">
        <v>93</v>
      </c>
      <c r="AI12" s="47" t="s">
        <v>93</v>
      </c>
    </row>
    <row r="13" spans="1:35" x14ac:dyDescent="0.25">
      <c r="A13" s="6">
        <v>13</v>
      </c>
      <c r="B13" s="7" t="s">
        <v>46</v>
      </c>
      <c r="C13" s="8">
        <v>5.7735026918962602E-2</v>
      </c>
      <c r="D13" s="7">
        <v>6</v>
      </c>
      <c r="E13" s="7">
        <v>2</v>
      </c>
      <c r="F13" s="7">
        <v>2</v>
      </c>
      <c r="G13" s="7">
        <v>3</v>
      </c>
      <c r="H13" s="9">
        <v>23107.867174045594</v>
      </c>
      <c r="I13" s="10">
        <f t="shared" si="0"/>
        <v>23107.867174045594</v>
      </c>
      <c r="K13" s="4">
        <v>0.2</v>
      </c>
      <c r="L13" s="2" t="s">
        <v>20</v>
      </c>
      <c r="T13" s="48">
        <v>1</v>
      </c>
      <c r="U13" s="48">
        <v>2</v>
      </c>
      <c r="V13" s="48">
        <v>3</v>
      </c>
      <c r="W13" s="48">
        <v>4</v>
      </c>
      <c r="X13" s="48">
        <v>5</v>
      </c>
      <c r="Y13" s="48">
        <v>6</v>
      </c>
      <c r="Z13" s="48">
        <v>7</v>
      </c>
      <c r="AC13" s="48">
        <v>1</v>
      </c>
      <c r="AD13" s="48">
        <v>2</v>
      </c>
      <c r="AE13" s="48">
        <v>3</v>
      </c>
      <c r="AF13" s="48">
        <v>4</v>
      </c>
      <c r="AG13" s="48">
        <v>5</v>
      </c>
      <c r="AH13" s="48">
        <v>6</v>
      </c>
      <c r="AI13" s="48">
        <v>7</v>
      </c>
    </row>
    <row r="14" spans="1:35" x14ac:dyDescent="0.25">
      <c r="A14" s="6">
        <v>14</v>
      </c>
      <c r="B14" s="7" t="s">
        <v>53</v>
      </c>
      <c r="C14" s="8">
        <v>0.182574185835055</v>
      </c>
      <c r="D14" s="7">
        <v>6</v>
      </c>
      <c r="E14" s="7">
        <v>3</v>
      </c>
      <c r="F14" s="7">
        <v>3</v>
      </c>
      <c r="G14" s="7">
        <v>3</v>
      </c>
      <c r="H14" s="9">
        <v>73139.218845523035</v>
      </c>
      <c r="I14" s="10">
        <f t="shared" si="0"/>
        <v>73139.218845523035</v>
      </c>
      <c r="K14" s="4">
        <v>0.2</v>
      </c>
      <c r="L14" s="2" t="s">
        <v>0</v>
      </c>
      <c r="T14" s="109" t="s">
        <v>49</v>
      </c>
      <c r="U14" s="109"/>
      <c r="V14" s="109"/>
      <c r="W14" s="109"/>
      <c r="X14" s="109"/>
      <c r="Y14" s="109"/>
      <c r="Z14" s="109"/>
      <c r="AC14" s="109" t="s">
        <v>49</v>
      </c>
      <c r="AD14" s="109"/>
      <c r="AE14" s="109"/>
      <c r="AF14" s="109"/>
      <c r="AG14" s="109"/>
      <c r="AH14" s="109"/>
      <c r="AI14" s="109"/>
    </row>
    <row r="15" spans="1:35" x14ac:dyDescent="0.25">
      <c r="A15" s="6">
        <v>15</v>
      </c>
      <c r="B15" s="7" t="s">
        <v>54</v>
      </c>
      <c r="C15" s="8">
        <v>0.182574185835055</v>
      </c>
      <c r="D15" s="7">
        <v>4</v>
      </c>
      <c r="E15" s="7">
        <v>4</v>
      </c>
      <c r="F15" s="7">
        <v>5</v>
      </c>
      <c r="G15" s="7">
        <v>4</v>
      </c>
      <c r="H15" s="9">
        <v>5112.077203381541</v>
      </c>
      <c r="I15" s="10">
        <f t="shared" si="0"/>
        <v>5112.077203381541</v>
      </c>
    </row>
    <row r="16" spans="1:35" x14ac:dyDescent="0.25">
      <c r="A16" s="6">
        <v>16</v>
      </c>
      <c r="B16" s="7" t="s">
        <v>56</v>
      </c>
      <c r="C16" s="8">
        <v>1.8257418583505498E-2</v>
      </c>
      <c r="D16" s="7">
        <v>6</v>
      </c>
      <c r="E16" s="7">
        <v>7</v>
      </c>
      <c r="F16" s="7">
        <v>5</v>
      </c>
      <c r="G16" s="7">
        <v>5</v>
      </c>
      <c r="H16" s="9">
        <v>44548.10134375342</v>
      </c>
      <c r="I16" s="10">
        <f t="shared" si="0"/>
        <v>44548.10134375342</v>
      </c>
      <c r="T16" s="111" t="s">
        <v>19</v>
      </c>
      <c r="U16" s="111"/>
      <c r="V16" s="111"/>
      <c r="W16" s="111"/>
      <c r="X16" s="111"/>
      <c r="Y16" s="111"/>
      <c r="Z16" s="111"/>
      <c r="AC16" s="111" t="s">
        <v>52</v>
      </c>
      <c r="AD16" s="111"/>
      <c r="AE16" s="111"/>
      <c r="AF16" s="111"/>
      <c r="AG16" s="111"/>
      <c r="AH16" s="111"/>
      <c r="AI16" s="111"/>
    </row>
    <row r="17" spans="1:35" x14ac:dyDescent="0.25">
      <c r="A17" s="6">
        <v>17</v>
      </c>
      <c r="B17" s="7" t="s">
        <v>57</v>
      </c>
      <c r="C17" s="8">
        <v>1.8257418583505498E-2</v>
      </c>
      <c r="D17" s="7">
        <v>6</v>
      </c>
      <c r="E17" s="7">
        <v>7</v>
      </c>
      <c r="F17" s="7">
        <v>5</v>
      </c>
      <c r="G17" s="7">
        <v>5</v>
      </c>
      <c r="H17" s="9">
        <v>44548.10134375342</v>
      </c>
      <c r="I17" s="10">
        <f t="shared" si="0"/>
        <v>44548.10134375342</v>
      </c>
      <c r="R17" s="112" t="s">
        <v>1</v>
      </c>
      <c r="S17" s="46">
        <v>7</v>
      </c>
      <c r="T17" s="47" t="s">
        <v>93</v>
      </c>
      <c r="U17" s="47" t="s">
        <v>93</v>
      </c>
      <c r="V17" s="47" t="s">
        <v>93</v>
      </c>
      <c r="W17" s="47" t="s">
        <v>93</v>
      </c>
      <c r="X17" s="47" t="s">
        <v>93</v>
      </c>
      <c r="Y17" s="47" t="s">
        <v>93</v>
      </c>
      <c r="Z17" s="47" t="s">
        <v>93</v>
      </c>
      <c r="AB17" s="46">
        <v>7</v>
      </c>
      <c r="AC17" s="47" t="s">
        <v>93</v>
      </c>
      <c r="AD17" s="47" t="s">
        <v>93</v>
      </c>
      <c r="AE17" s="47" t="s">
        <v>93</v>
      </c>
      <c r="AF17" s="47" t="s">
        <v>93</v>
      </c>
      <c r="AG17" s="47" t="s">
        <v>93</v>
      </c>
      <c r="AH17" s="47" t="s">
        <v>93</v>
      </c>
      <c r="AI17" s="47" t="s">
        <v>93</v>
      </c>
    </row>
    <row r="18" spans="1:35" x14ac:dyDescent="0.25">
      <c r="A18" s="6">
        <v>18</v>
      </c>
      <c r="B18" s="7" t="s">
        <v>58</v>
      </c>
      <c r="C18" s="8">
        <v>5.7735026918962602E-2</v>
      </c>
      <c r="D18" s="7">
        <v>5</v>
      </c>
      <c r="E18" s="7">
        <v>3</v>
      </c>
      <c r="F18" s="7">
        <v>3</v>
      </c>
      <c r="G18" s="7">
        <v>3</v>
      </c>
      <c r="H18" s="9">
        <v>2344.0420929098818</v>
      </c>
      <c r="I18" s="10">
        <f t="shared" si="0"/>
        <v>2344.0420929098818</v>
      </c>
      <c r="R18" s="112"/>
      <c r="S18" s="46">
        <v>6</v>
      </c>
      <c r="T18" s="47" t="s">
        <v>93</v>
      </c>
      <c r="U18" s="47" t="s">
        <v>93</v>
      </c>
      <c r="V18" s="47" t="s">
        <v>93</v>
      </c>
      <c r="W18" s="47" t="s">
        <v>93</v>
      </c>
      <c r="X18" s="47" t="s">
        <v>93</v>
      </c>
      <c r="Y18" s="47" t="s">
        <v>93</v>
      </c>
      <c r="Z18" s="47" t="s">
        <v>93</v>
      </c>
      <c r="AB18" s="46">
        <v>6</v>
      </c>
      <c r="AC18" s="47" t="s">
        <v>93</v>
      </c>
      <c r="AD18" s="47" t="s">
        <v>93</v>
      </c>
      <c r="AE18" s="47" t="s">
        <v>93</v>
      </c>
      <c r="AF18" s="47" t="s">
        <v>93</v>
      </c>
      <c r="AG18" s="47" t="s">
        <v>93</v>
      </c>
      <c r="AH18" s="47" t="s">
        <v>93</v>
      </c>
      <c r="AI18" s="47" t="s">
        <v>93</v>
      </c>
    </row>
    <row r="19" spans="1:35" x14ac:dyDescent="0.25">
      <c r="A19" s="6">
        <v>19</v>
      </c>
      <c r="B19" s="7" t="s">
        <v>74</v>
      </c>
      <c r="C19" s="8">
        <v>1.8257418583505498E-2</v>
      </c>
      <c r="D19" s="7">
        <v>6</v>
      </c>
      <c r="E19" s="7">
        <v>4</v>
      </c>
      <c r="F19" s="7">
        <v>3</v>
      </c>
      <c r="G19" s="7">
        <v>4</v>
      </c>
      <c r="H19" s="9">
        <v>7379.6485914529239</v>
      </c>
      <c r="I19" s="10">
        <f t="shared" si="0"/>
        <v>7379.6485914529239</v>
      </c>
      <c r="R19" s="112"/>
      <c r="S19" s="46">
        <v>5</v>
      </c>
      <c r="T19" s="47" t="s">
        <v>93</v>
      </c>
      <c r="U19" s="47" t="s">
        <v>93</v>
      </c>
      <c r="V19" s="47" t="s">
        <v>93</v>
      </c>
      <c r="W19" s="47" t="s">
        <v>93</v>
      </c>
      <c r="X19" s="47" t="s">
        <v>93</v>
      </c>
      <c r="Y19" s="47" t="s">
        <v>93</v>
      </c>
      <c r="Z19" s="47" t="s">
        <v>93</v>
      </c>
      <c r="AB19" s="46">
        <v>5</v>
      </c>
      <c r="AC19" s="47" t="s">
        <v>93</v>
      </c>
      <c r="AD19" s="47" t="s">
        <v>93</v>
      </c>
      <c r="AE19" s="47" t="s">
        <v>93</v>
      </c>
      <c r="AF19" s="47" t="s">
        <v>93</v>
      </c>
      <c r="AG19" s="47" t="s">
        <v>93</v>
      </c>
      <c r="AH19" s="47" t="s">
        <v>93</v>
      </c>
      <c r="AI19" s="47" t="s">
        <v>93</v>
      </c>
    </row>
    <row r="20" spans="1:35" x14ac:dyDescent="0.25">
      <c r="A20" s="6">
        <v>20</v>
      </c>
      <c r="B20" s="7" t="s">
        <v>61</v>
      </c>
      <c r="C20" s="8">
        <v>0.57735026918962595</v>
      </c>
      <c r="D20" s="7">
        <v>7</v>
      </c>
      <c r="E20" s="7">
        <v>6</v>
      </c>
      <c r="F20" s="7">
        <v>5</v>
      </c>
      <c r="G20" s="7">
        <v>6</v>
      </c>
      <c r="H20" s="9">
        <v>2551888.1898181466</v>
      </c>
      <c r="I20" s="10">
        <f t="shared" si="0"/>
        <v>2551888.1898181466</v>
      </c>
      <c r="R20" s="112"/>
      <c r="S20" s="46">
        <v>4</v>
      </c>
      <c r="T20" s="47" t="s">
        <v>93</v>
      </c>
      <c r="U20" s="47" t="s">
        <v>93</v>
      </c>
      <c r="V20" s="47" t="s">
        <v>93</v>
      </c>
      <c r="W20" s="47" t="s">
        <v>93</v>
      </c>
      <c r="X20" s="47" t="s">
        <v>93</v>
      </c>
      <c r="Y20" s="47" t="s">
        <v>93</v>
      </c>
      <c r="Z20" s="47" t="s">
        <v>93</v>
      </c>
      <c r="AB20" s="46">
        <v>4</v>
      </c>
      <c r="AC20" s="47" t="s">
        <v>93</v>
      </c>
      <c r="AD20" s="47" t="s">
        <v>93</v>
      </c>
      <c r="AE20" s="47" t="s">
        <v>93</v>
      </c>
      <c r="AF20" s="47" t="s">
        <v>93</v>
      </c>
      <c r="AG20" s="47" t="s">
        <v>93</v>
      </c>
      <c r="AH20" s="47" t="s">
        <v>93</v>
      </c>
      <c r="AI20" s="47" t="s">
        <v>93</v>
      </c>
    </row>
    <row r="21" spans="1:35" x14ac:dyDescent="0.25">
      <c r="A21" s="6">
        <v>21</v>
      </c>
      <c r="B21" s="7" t="s">
        <v>34</v>
      </c>
      <c r="C21" s="8">
        <v>0.57735026918962595</v>
      </c>
      <c r="D21" s="7">
        <v>6</v>
      </c>
      <c r="E21" s="7">
        <v>4</v>
      </c>
      <c r="F21" s="7">
        <v>3</v>
      </c>
      <c r="G21" s="7">
        <v>4</v>
      </c>
      <c r="H21" s="9">
        <v>233364.97880644683</v>
      </c>
      <c r="I21" s="10">
        <f t="shared" si="0"/>
        <v>233364.97880644683</v>
      </c>
      <c r="R21" s="112"/>
      <c r="S21" s="46">
        <v>3</v>
      </c>
      <c r="T21" s="47" t="s">
        <v>93</v>
      </c>
      <c r="U21" s="47" t="s">
        <v>93</v>
      </c>
      <c r="V21" s="47">
        <v>1</v>
      </c>
      <c r="W21" s="47" t="s">
        <v>93</v>
      </c>
      <c r="X21" s="47" t="s">
        <v>93</v>
      </c>
      <c r="Y21" s="47" t="s">
        <v>93</v>
      </c>
      <c r="Z21" s="47" t="s">
        <v>93</v>
      </c>
      <c r="AB21" s="46">
        <v>3</v>
      </c>
      <c r="AC21" s="47" t="s">
        <v>93</v>
      </c>
      <c r="AD21" s="47" t="s">
        <v>93</v>
      </c>
      <c r="AE21" s="47">
        <v>1</v>
      </c>
      <c r="AF21" s="47" t="s">
        <v>93</v>
      </c>
      <c r="AG21" s="47" t="s">
        <v>93</v>
      </c>
      <c r="AH21" s="47" t="s">
        <v>93</v>
      </c>
      <c r="AI21" s="47" t="s">
        <v>93</v>
      </c>
    </row>
    <row r="22" spans="1:35" x14ac:dyDescent="0.25">
      <c r="A22" s="6">
        <v>22</v>
      </c>
      <c r="B22" s="7" t="s">
        <v>35</v>
      </c>
      <c r="C22" s="8">
        <v>5.7735026918962602E-2</v>
      </c>
      <c r="D22" s="7">
        <v>6</v>
      </c>
      <c r="E22" s="7">
        <v>5</v>
      </c>
      <c r="F22" s="7">
        <v>5</v>
      </c>
      <c r="G22" s="7">
        <v>6</v>
      </c>
      <c r="H22" s="9">
        <v>36950.417228136066</v>
      </c>
      <c r="I22" s="10">
        <f t="shared" si="0"/>
        <v>36950.417228136066</v>
      </c>
      <c r="R22" s="112"/>
      <c r="S22" s="46">
        <v>2</v>
      </c>
      <c r="T22" s="47" t="s">
        <v>93</v>
      </c>
      <c r="U22" s="47" t="s">
        <v>93</v>
      </c>
      <c r="V22" s="47" t="s">
        <v>93</v>
      </c>
      <c r="W22" s="47" t="s">
        <v>93</v>
      </c>
      <c r="X22" s="47" t="s">
        <v>93</v>
      </c>
      <c r="Y22" s="47" t="s">
        <v>93</v>
      </c>
      <c r="Z22" s="47" t="s">
        <v>93</v>
      </c>
      <c r="AB22" s="46">
        <v>2</v>
      </c>
      <c r="AC22" s="47" t="s">
        <v>93</v>
      </c>
      <c r="AD22" s="47" t="s">
        <v>93</v>
      </c>
      <c r="AE22" s="47" t="s">
        <v>93</v>
      </c>
      <c r="AF22" s="47" t="s">
        <v>93</v>
      </c>
      <c r="AG22" s="47" t="s">
        <v>93</v>
      </c>
      <c r="AH22" s="47" t="s">
        <v>93</v>
      </c>
      <c r="AI22" s="47" t="s">
        <v>93</v>
      </c>
    </row>
    <row r="23" spans="1:35" x14ac:dyDescent="0.25">
      <c r="A23" s="6">
        <v>23</v>
      </c>
      <c r="B23" s="7" t="s">
        <v>36</v>
      </c>
      <c r="C23" s="8">
        <v>5.7735026918962602E-2</v>
      </c>
      <c r="D23" s="7">
        <v>5</v>
      </c>
      <c r="E23" s="7">
        <v>3</v>
      </c>
      <c r="F23" s="7">
        <v>3</v>
      </c>
      <c r="G23" s="7">
        <v>3</v>
      </c>
      <c r="H23" s="9">
        <v>2344.0420929098818</v>
      </c>
      <c r="I23" s="10">
        <f t="shared" si="0"/>
        <v>2344.0420929098818</v>
      </c>
      <c r="R23" s="112"/>
      <c r="S23" s="46">
        <v>1</v>
      </c>
      <c r="T23" s="47" t="s">
        <v>93</v>
      </c>
      <c r="U23" s="47" t="s">
        <v>93</v>
      </c>
      <c r="V23" s="47" t="s">
        <v>93</v>
      </c>
      <c r="W23" s="47" t="s">
        <v>93</v>
      </c>
      <c r="X23" s="47" t="s">
        <v>93</v>
      </c>
      <c r="Y23" s="47" t="s">
        <v>93</v>
      </c>
      <c r="Z23" s="47" t="s">
        <v>93</v>
      </c>
      <c r="AB23" s="46">
        <v>1</v>
      </c>
      <c r="AC23" s="47" t="s">
        <v>93</v>
      </c>
      <c r="AD23" s="47" t="s">
        <v>93</v>
      </c>
      <c r="AE23" s="47" t="s">
        <v>93</v>
      </c>
      <c r="AF23" s="47" t="s">
        <v>93</v>
      </c>
      <c r="AG23" s="47" t="s">
        <v>93</v>
      </c>
      <c r="AH23" s="47" t="s">
        <v>93</v>
      </c>
      <c r="AI23" s="47" t="s">
        <v>93</v>
      </c>
    </row>
    <row r="24" spans="1:35" x14ac:dyDescent="0.25">
      <c r="A24" s="6">
        <v>24</v>
      </c>
      <c r="B24" s="7" t="s">
        <v>38</v>
      </c>
      <c r="C24" s="8">
        <v>1.8257418583505498E-2</v>
      </c>
      <c r="D24" s="7">
        <v>5</v>
      </c>
      <c r="E24" s="7">
        <v>5</v>
      </c>
      <c r="F24" s="7">
        <v>5</v>
      </c>
      <c r="G24" s="7">
        <v>5</v>
      </c>
      <c r="H24" s="9">
        <v>1825.74185835055</v>
      </c>
      <c r="I24" s="10">
        <f t="shared" si="0"/>
        <v>1825.74185835055</v>
      </c>
      <c r="T24" s="48">
        <v>1</v>
      </c>
      <c r="U24" s="48">
        <v>2</v>
      </c>
      <c r="V24" s="48">
        <v>3</v>
      </c>
      <c r="W24" s="48">
        <v>4</v>
      </c>
      <c r="X24" s="48">
        <v>5</v>
      </c>
      <c r="Y24" s="48">
        <v>6</v>
      </c>
      <c r="Z24" s="48">
        <v>7</v>
      </c>
      <c r="AC24" s="48">
        <v>1</v>
      </c>
      <c r="AD24" s="48">
        <v>2</v>
      </c>
      <c r="AE24" s="48">
        <v>3</v>
      </c>
      <c r="AF24" s="48">
        <v>4</v>
      </c>
      <c r="AG24" s="48">
        <v>5</v>
      </c>
      <c r="AH24" s="48">
        <v>6</v>
      </c>
      <c r="AI24" s="48">
        <v>7</v>
      </c>
    </row>
    <row r="25" spans="1:35" x14ac:dyDescent="0.25">
      <c r="A25" s="6">
        <v>25</v>
      </c>
      <c r="B25" s="7" t="s">
        <v>41</v>
      </c>
      <c r="C25" s="8">
        <v>5.7735026918962602E-2</v>
      </c>
      <c r="D25" s="7">
        <v>5</v>
      </c>
      <c r="E25" s="7">
        <v>6</v>
      </c>
      <c r="F25" s="7">
        <v>4</v>
      </c>
      <c r="G25" s="7">
        <v>4</v>
      </c>
      <c r="H25" s="9">
        <v>14087.346568226876</v>
      </c>
      <c r="I25" s="10">
        <f t="shared" si="0"/>
        <v>14087.346568226876</v>
      </c>
      <c r="T25" s="109" t="s">
        <v>49</v>
      </c>
      <c r="U25" s="109"/>
      <c r="V25" s="109"/>
      <c r="W25" s="109"/>
      <c r="X25" s="109"/>
      <c r="Y25" s="109"/>
      <c r="Z25" s="109"/>
      <c r="AC25" s="109" t="s">
        <v>49</v>
      </c>
      <c r="AD25" s="109"/>
      <c r="AE25" s="109"/>
      <c r="AF25" s="109"/>
      <c r="AG25" s="109"/>
      <c r="AH25" s="109"/>
      <c r="AI25" s="109"/>
    </row>
    <row r="26" spans="1:35" x14ac:dyDescent="0.25">
      <c r="A26" s="6">
        <v>26</v>
      </c>
      <c r="B26" s="7" t="s">
        <v>47</v>
      </c>
      <c r="C26" s="8">
        <v>0.57735026918962595</v>
      </c>
      <c r="D26" s="7">
        <v>6</v>
      </c>
      <c r="E26" s="7">
        <v>4</v>
      </c>
      <c r="F26" s="7">
        <v>3</v>
      </c>
      <c r="G26" s="7">
        <v>4</v>
      </c>
      <c r="H26" s="9">
        <v>233364.97880644683</v>
      </c>
      <c r="I26" s="10">
        <f t="shared" si="0"/>
        <v>233364.97880644683</v>
      </c>
    </row>
    <row r="27" spans="1:35" ht="18" x14ac:dyDescent="0.25">
      <c r="A27" s="6">
        <v>27</v>
      </c>
      <c r="B27" s="7" t="s">
        <v>48</v>
      </c>
      <c r="C27" s="8">
        <v>1.8257418583505498E-2</v>
      </c>
      <c r="D27" s="7">
        <v>6</v>
      </c>
      <c r="E27" s="7">
        <v>4</v>
      </c>
      <c r="F27" s="7">
        <v>5</v>
      </c>
      <c r="G27" s="7">
        <v>6</v>
      </c>
      <c r="H27" s="9">
        <v>11356.11435894042</v>
      </c>
      <c r="I27" s="10">
        <f t="shared" si="0"/>
        <v>11356.11435894042</v>
      </c>
      <c r="T27" s="12" t="s">
        <v>62</v>
      </c>
    </row>
    <row r="28" spans="1:35" x14ac:dyDescent="0.25">
      <c r="A28" s="6">
        <v>28</v>
      </c>
      <c r="B28" s="7" t="s">
        <v>50</v>
      </c>
      <c r="C28" s="8">
        <v>5.7735026918962602E-2</v>
      </c>
      <c r="D28" s="7">
        <v>5</v>
      </c>
      <c r="E28" s="7">
        <v>3</v>
      </c>
      <c r="F28" s="7">
        <v>3</v>
      </c>
      <c r="G28" s="7">
        <v>3</v>
      </c>
      <c r="H28" s="9">
        <v>2344.04209290988</v>
      </c>
      <c r="I28" s="10">
        <f t="shared" si="0"/>
        <v>2344.0420929098818</v>
      </c>
      <c r="T28" s="111" t="s">
        <v>18</v>
      </c>
      <c r="U28" s="111"/>
      <c r="V28" s="111"/>
      <c r="W28" s="111"/>
      <c r="X28" s="111"/>
      <c r="Y28" s="111"/>
      <c r="Z28" s="111"/>
      <c r="AC28" s="111" t="s">
        <v>20</v>
      </c>
      <c r="AD28" s="111"/>
      <c r="AE28" s="111"/>
      <c r="AF28" s="111"/>
      <c r="AG28" s="111"/>
      <c r="AH28" s="111"/>
      <c r="AI28" s="111"/>
    </row>
    <row r="29" spans="1:35" x14ac:dyDescent="0.25">
      <c r="B29" s="7" t="s">
        <v>60</v>
      </c>
      <c r="C29" s="8">
        <v>5.7735026918962602E-2</v>
      </c>
      <c r="D29" s="7">
        <v>4</v>
      </c>
      <c r="E29" s="7">
        <v>1</v>
      </c>
      <c r="F29" s="7">
        <v>5</v>
      </c>
      <c r="G29" s="7">
        <v>4</v>
      </c>
      <c r="H29" s="9">
        <v>1501.2261699468656</v>
      </c>
      <c r="I29" s="10">
        <f t="shared" si="0"/>
        <v>1501.2261699468656</v>
      </c>
      <c r="R29" s="112" t="s">
        <v>1</v>
      </c>
      <c r="S29" s="46">
        <v>7</v>
      </c>
      <c r="T29" s="47" t="s">
        <v>93</v>
      </c>
      <c r="U29" s="47" t="s">
        <v>93</v>
      </c>
      <c r="V29" s="47" t="s">
        <v>93</v>
      </c>
      <c r="W29" s="47" t="s">
        <v>93</v>
      </c>
      <c r="X29" s="47" t="s">
        <v>93</v>
      </c>
      <c r="Y29" s="47" t="s">
        <v>93</v>
      </c>
      <c r="Z29" s="47" t="s">
        <v>93</v>
      </c>
      <c r="AB29" s="46">
        <v>7</v>
      </c>
      <c r="AC29" s="47" t="s">
        <v>93</v>
      </c>
      <c r="AD29" s="47" t="s">
        <v>93</v>
      </c>
      <c r="AE29" s="47" t="s">
        <v>93</v>
      </c>
      <c r="AF29" s="47" t="s">
        <v>93</v>
      </c>
      <c r="AG29" s="47" t="s">
        <v>93</v>
      </c>
      <c r="AH29" s="47" t="s">
        <v>93</v>
      </c>
      <c r="AI29" s="47" t="s">
        <v>93</v>
      </c>
    </row>
    <row r="30" spans="1:35" x14ac:dyDescent="0.25">
      <c r="R30" s="112"/>
      <c r="S30" s="46">
        <v>6</v>
      </c>
      <c r="T30" s="47" t="s">
        <v>93</v>
      </c>
      <c r="U30" s="47" t="s">
        <v>93</v>
      </c>
      <c r="V30" s="47" t="s">
        <v>93</v>
      </c>
      <c r="W30" s="47" t="s">
        <v>93</v>
      </c>
      <c r="X30" s="47" t="s">
        <v>93</v>
      </c>
      <c r="Y30" s="47" t="s">
        <v>93</v>
      </c>
      <c r="Z30" s="47" t="s">
        <v>93</v>
      </c>
      <c r="AB30" s="46">
        <v>6</v>
      </c>
      <c r="AC30" s="47" t="s">
        <v>93</v>
      </c>
      <c r="AD30" s="47" t="s">
        <v>93</v>
      </c>
      <c r="AE30" s="47" t="s">
        <v>93</v>
      </c>
      <c r="AF30" s="47" t="s">
        <v>93</v>
      </c>
      <c r="AG30" s="47" t="s">
        <v>93</v>
      </c>
      <c r="AH30" s="47" t="s">
        <v>93</v>
      </c>
      <c r="AI30" s="47" t="s">
        <v>93</v>
      </c>
    </row>
    <row r="31" spans="1:35" x14ac:dyDescent="0.25">
      <c r="R31" s="112"/>
      <c r="S31" s="46">
        <v>5</v>
      </c>
      <c r="T31" s="47" t="s">
        <v>93</v>
      </c>
      <c r="U31" s="47" t="s">
        <v>93</v>
      </c>
      <c r="V31" s="47" t="s">
        <v>93</v>
      </c>
      <c r="W31" s="47" t="s">
        <v>93</v>
      </c>
      <c r="X31" s="47" t="s">
        <v>93</v>
      </c>
      <c r="Y31" s="47" t="s">
        <v>93</v>
      </c>
      <c r="Z31" s="47" t="s">
        <v>93</v>
      </c>
      <c r="AB31" s="46">
        <v>5</v>
      </c>
      <c r="AC31" s="47" t="s">
        <v>93</v>
      </c>
      <c r="AD31" s="47" t="s">
        <v>93</v>
      </c>
      <c r="AE31" s="47" t="s">
        <v>93</v>
      </c>
      <c r="AF31" s="47" t="s">
        <v>93</v>
      </c>
      <c r="AG31" s="47" t="s">
        <v>93</v>
      </c>
      <c r="AH31" s="47" t="s">
        <v>93</v>
      </c>
      <c r="AI31" s="47" t="s">
        <v>93</v>
      </c>
    </row>
    <row r="32" spans="1:35" x14ac:dyDescent="0.25">
      <c r="R32" s="112"/>
      <c r="S32" s="46">
        <v>4</v>
      </c>
      <c r="T32" s="47" t="s">
        <v>93</v>
      </c>
      <c r="U32" s="47" t="s">
        <v>93</v>
      </c>
      <c r="V32" s="47" t="s">
        <v>93</v>
      </c>
      <c r="W32" s="47" t="s">
        <v>93</v>
      </c>
      <c r="X32" s="47" t="s">
        <v>93</v>
      </c>
      <c r="Y32" s="47" t="s">
        <v>93</v>
      </c>
      <c r="Z32" s="47" t="s">
        <v>93</v>
      </c>
      <c r="AB32" s="46">
        <v>4</v>
      </c>
      <c r="AC32" s="47" t="s">
        <v>93</v>
      </c>
      <c r="AD32" s="47" t="s">
        <v>93</v>
      </c>
      <c r="AE32" s="47" t="s">
        <v>93</v>
      </c>
      <c r="AF32" s="47" t="s">
        <v>93</v>
      </c>
      <c r="AG32" s="47" t="s">
        <v>93</v>
      </c>
      <c r="AH32" s="47" t="s">
        <v>93</v>
      </c>
      <c r="AI32" s="47" t="s">
        <v>93</v>
      </c>
    </row>
    <row r="33" spans="18:35" x14ac:dyDescent="0.25">
      <c r="R33" s="112"/>
      <c r="S33" s="46">
        <v>3</v>
      </c>
      <c r="T33" s="47" t="s">
        <v>93</v>
      </c>
      <c r="U33" s="47" t="s">
        <v>93</v>
      </c>
      <c r="V33" s="47" t="s">
        <v>93</v>
      </c>
      <c r="W33" s="47" t="s">
        <v>93</v>
      </c>
      <c r="X33" s="47">
        <v>1</v>
      </c>
      <c r="Y33" s="47" t="s">
        <v>93</v>
      </c>
      <c r="Z33" s="47" t="s">
        <v>93</v>
      </c>
      <c r="AB33" s="46">
        <v>3</v>
      </c>
      <c r="AC33" s="47" t="s">
        <v>93</v>
      </c>
      <c r="AD33" s="47" t="s">
        <v>93</v>
      </c>
      <c r="AE33" s="47">
        <v>1</v>
      </c>
      <c r="AF33" s="47" t="s">
        <v>93</v>
      </c>
      <c r="AG33" s="47" t="s">
        <v>93</v>
      </c>
      <c r="AH33" s="47" t="s">
        <v>93</v>
      </c>
      <c r="AI33" s="47" t="s">
        <v>93</v>
      </c>
    </row>
    <row r="34" spans="18:35" x14ac:dyDescent="0.25">
      <c r="R34" s="112"/>
      <c r="S34" s="46">
        <v>2</v>
      </c>
      <c r="T34" s="47" t="s">
        <v>93</v>
      </c>
      <c r="U34" s="47" t="s">
        <v>93</v>
      </c>
      <c r="V34" s="47" t="s">
        <v>93</v>
      </c>
      <c r="W34" s="47" t="s">
        <v>93</v>
      </c>
      <c r="X34" s="47" t="s">
        <v>93</v>
      </c>
      <c r="Y34" s="47" t="s">
        <v>93</v>
      </c>
      <c r="Z34" s="47" t="s">
        <v>93</v>
      </c>
      <c r="AB34" s="46">
        <v>2</v>
      </c>
      <c r="AC34" s="47" t="s">
        <v>93</v>
      </c>
      <c r="AD34" s="47" t="s">
        <v>93</v>
      </c>
      <c r="AE34" s="47" t="s">
        <v>93</v>
      </c>
      <c r="AF34" s="47" t="s">
        <v>93</v>
      </c>
      <c r="AG34" s="47" t="s">
        <v>93</v>
      </c>
      <c r="AH34" s="47" t="s">
        <v>93</v>
      </c>
      <c r="AI34" s="47" t="s">
        <v>93</v>
      </c>
    </row>
    <row r="35" spans="18:35" x14ac:dyDescent="0.25">
      <c r="R35" s="112"/>
      <c r="S35" s="46">
        <v>1</v>
      </c>
      <c r="T35" s="47" t="s">
        <v>93</v>
      </c>
      <c r="U35" s="47" t="s">
        <v>93</v>
      </c>
      <c r="V35" s="47" t="s">
        <v>93</v>
      </c>
      <c r="W35" s="47" t="s">
        <v>93</v>
      </c>
      <c r="X35" s="47" t="s">
        <v>93</v>
      </c>
      <c r="Y35" s="47" t="s">
        <v>93</v>
      </c>
      <c r="Z35" s="47" t="s">
        <v>93</v>
      </c>
      <c r="AB35" s="46">
        <v>1</v>
      </c>
      <c r="AC35" s="47" t="s">
        <v>93</v>
      </c>
      <c r="AD35" s="47" t="s">
        <v>93</v>
      </c>
      <c r="AE35" s="47" t="s">
        <v>93</v>
      </c>
      <c r="AF35" s="47" t="s">
        <v>93</v>
      </c>
      <c r="AG35" s="47" t="s">
        <v>93</v>
      </c>
      <c r="AH35" s="47" t="s">
        <v>93</v>
      </c>
      <c r="AI35" s="47" t="s">
        <v>93</v>
      </c>
    </row>
    <row r="36" spans="18:35" x14ac:dyDescent="0.25">
      <c r="T36" s="48">
        <v>1</v>
      </c>
      <c r="U36" s="48">
        <v>2</v>
      </c>
      <c r="V36" s="48">
        <v>3</v>
      </c>
      <c r="W36" s="48">
        <v>4</v>
      </c>
      <c r="X36" s="48">
        <v>5</v>
      </c>
      <c r="Y36" s="48">
        <v>6</v>
      </c>
      <c r="Z36" s="48">
        <v>7</v>
      </c>
      <c r="AC36" s="48">
        <v>1</v>
      </c>
      <c r="AD36" s="48">
        <v>2</v>
      </c>
      <c r="AE36" s="48">
        <v>3</v>
      </c>
      <c r="AF36" s="48">
        <v>4</v>
      </c>
      <c r="AG36" s="48">
        <v>5</v>
      </c>
      <c r="AH36" s="48">
        <v>6</v>
      </c>
      <c r="AI36" s="48">
        <v>7</v>
      </c>
    </row>
    <row r="37" spans="18:35" x14ac:dyDescent="0.25">
      <c r="T37" s="109" t="s">
        <v>49</v>
      </c>
      <c r="U37" s="109"/>
      <c r="V37" s="109"/>
      <c r="W37" s="109"/>
      <c r="X37" s="109"/>
      <c r="Y37" s="109"/>
      <c r="Z37" s="109"/>
      <c r="AC37" s="109" t="s">
        <v>49</v>
      </c>
      <c r="AD37" s="109"/>
      <c r="AE37" s="109"/>
      <c r="AF37" s="109"/>
      <c r="AG37" s="109"/>
      <c r="AH37" s="109"/>
      <c r="AI37" s="109"/>
    </row>
    <row r="39" spans="18:35" x14ac:dyDescent="0.25">
      <c r="T39" s="111" t="s">
        <v>19</v>
      </c>
      <c r="U39" s="111"/>
      <c r="V39" s="111"/>
      <c r="W39" s="111"/>
      <c r="X39" s="111"/>
      <c r="Y39" s="111"/>
      <c r="Z39" s="111"/>
      <c r="AC39" s="111" t="s">
        <v>52</v>
      </c>
      <c r="AD39" s="111"/>
      <c r="AE39" s="111"/>
      <c r="AF39" s="111"/>
      <c r="AG39" s="111"/>
      <c r="AH39" s="111"/>
      <c r="AI39" s="111"/>
    </row>
    <row r="40" spans="18:35" x14ac:dyDescent="0.25">
      <c r="R40" s="112" t="s">
        <v>1</v>
      </c>
      <c r="S40" s="46">
        <v>7</v>
      </c>
      <c r="T40" s="47" t="s">
        <v>93</v>
      </c>
      <c r="U40" s="47" t="s">
        <v>93</v>
      </c>
      <c r="V40" s="47" t="s">
        <v>93</v>
      </c>
      <c r="W40" s="47" t="s">
        <v>93</v>
      </c>
      <c r="X40" s="47" t="s">
        <v>93</v>
      </c>
      <c r="Y40" s="47" t="s">
        <v>93</v>
      </c>
      <c r="Z40" s="47" t="s">
        <v>93</v>
      </c>
      <c r="AB40" s="46">
        <v>7</v>
      </c>
      <c r="AC40" s="47" t="s">
        <v>93</v>
      </c>
      <c r="AD40" s="47" t="s">
        <v>93</v>
      </c>
      <c r="AE40" s="47" t="s">
        <v>93</v>
      </c>
      <c r="AF40" s="47" t="s">
        <v>93</v>
      </c>
      <c r="AG40" s="47" t="s">
        <v>93</v>
      </c>
      <c r="AH40" s="47" t="s">
        <v>93</v>
      </c>
      <c r="AI40" s="47" t="s">
        <v>93</v>
      </c>
    </row>
    <row r="41" spans="18:35" x14ac:dyDescent="0.25">
      <c r="R41" s="112"/>
      <c r="S41" s="46">
        <v>6</v>
      </c>
      <c r="T41" s="47" t="s">
        <v>93</v>
      </c>
      <c r="U41" s="47" t="s">
        <v>93</v>
      </c>
      <c r="V41" s="47" t="s">
        <v>93</v>
      </c>
      <c r="W41" s="47" t="s">
        <v>93</v>
      </c>
      <c r="X41" s="47" t="s">
        <v>93</v>
      </c>
      <c r="Y41" s="47" t="s">
        <v>93</v>
      </c>
      <c r="Z41" s="47" t="s">
        <v>93</v>
      </c>
      <c r="AB41" s="46">
        <v>6</v>
      </c>
      <c r="AC41" s="47" t="s">
        <v>93</v>
      </c>
      <c r="AD41" s="47" t="s">
        <v>93</v>
      </c>
      <c r="AE41" s="47" t="s">
        <v>93</v>
      </c>
      <c r="AF41" s="47" t="s">
        <v>93</v>
      </c>
      <c r="AG41" s="47" t="s">
        <v>93</v>
      </c>
      <c r="AH41" s="47" t="s">
        <v>93</v>
      </c>
      <c r="AI41" s="47" t="s">
        <v>93</v>
      </c>
    </row>
    <row r="42" spans="18:35" x14ac:dyDescent="0.25">
      <c r="R42" s="112"/>
      <c r="S42" s="46">
        <v>5</v>
      </c>
      <c r="T42" s="47" t="s">
        <v>93</v>
      </c>
      <c r="U42" s="47" t="s">
        <v>93</v>
      </c>
      <c r="V42" s="47" t="s">
        <v>93</v>
      </c>
      <c r="W42" s="47" t="s">
        <v>93</v>
      </c>
      <c r="X42" s="47" t="s">
        <v>93</v>
      </c>
      <c r="Y42" s="47" t="s">
        <v>93</v>
      </c>
      <c r="Z42" s="47" t="s">
        <v>93</v>
      </c>
      <c r="AB42" s="46">
        <v>5</v>
      </c>
      <c r="AC42" s="47" t="s">
        <v>93</v>
      </c>
      <c r="AD42" s="47" t="s">
        <v>93</v>
      </c>
      <c r="AE42" s="47" t="s">
        <v>93</v>
      </c>
      <c r="AF42" s="47" t="s">
        <v>93</v>
      </c>
      <c r="AG42" s="47" t="s">
        <v>93</v>
      </c>
      <c r="AH42" s="47" t="s">
        <v>93</v>
      </c>
      <c r="AI42" s="47" t="s">
        <v>93</v>
      </c>
    </row>
    <row r="43" spans="18:35" x14ac:dyDescent="0.25">
      <c r="R43" s="112"/>
      <c r="S43" s="46">
        <v>4</v>
      </c>
      <c r="T43" s="47" t="s">
        <v>93</v>
      </c>
      <c r="U43" s="47" t="s">
        <v>93</v>
      </c>
      <c r="V43" s="47" t="s">
        <v>93</v>
      </c>
      <c r="W43" s="47" t="s">
        <v>93</v>
      </c>
      <c r="X43" s="47" t="s">
        <v>93</v>
      </c>
      <c r="Y43" s="47" t="s">
        <v>93</v>
      </c>
      <c r="Z43" s="47" t="s">
        <v>93</v>
      </c>
      <c r="AB43" s="46">
        <v>4</v>
      </c>
      <c r="AC43" s="47" t="s">
        <v>93</v>
      </c>
      <c r="AD43" s="47" t="s">
        <v>93</v>
      </c>
      <c r="AE43" s="47" t="s">
        <v>93</v>
      </c>
      <c r="AF43" s="47" t="s">
        <v>93</v>
      </c>
      <c r="AG43" s="47" t="s">
        <v>93</v>
      </c>
      <c r="AH43" s="47" t="s">
        <v>93</v>
      </c>
      <c r="AI43" s="47" t="s">
        <v>93</v>
      </c>
    </row>
    <row r="44" spans="18:35" x14ac:dyDescent="0.25">
      <c r="R44" s="112"/>
      <c r="S44" s="46">
        <v>3</v>
      </c>
      <c r="T44" s="47" t="s">
        <v>93</v>
      </c>
      <c r="U44" s="47" t="s">
        <v>93</v>
      </c>
      <c r="V44" s="47">
        <v>1</v>
      </c>
      <c r="W44" s="47" t="s">
        <v>93</v>
      </c>
      <c r="X44" s="47" t="s">
        <v>93</v>
      </c>
      <c r="Y44" s="47" t="s">
        <v>93</v>
      </c>
      <c r="Z44" s="47" t="s">
        <v>93</v>
      </c>
      <c r="AB44" s="46">
        <v>3</v>
      </c>
      <c r="AC44" s="47" t="s">
        <v>93</v>
      </c>
      <c r="AD44" s="47" t="s">
        <v>93</v>
      </c>
      <c r="AE44" s="47">
        <v>1</v>
      </c>
      <c r="AF44" s="47" t="s">
        <v>93</v>
      </c>
      <c r="AG44" s="47" t="s">
        <v>93</v>
      </c>
      <c r="AH44" s="47" t="s">
        <v>93</v>
      </c>
      <c r="AI44" s="47" t="s">
        <v>93</v>
      </c>
    </row>
    <row r="45" spans="18:35" x14ac:dyDescent="0.25">
      <c r="R45" s="112"/>
      <c r="S45" s="46">
        <v>2</v>
      </c>
      <c r="T45" s="47" t="s">
        <v>93</v>
      </c>
      <c r="U45" s="47" t="s">
        <v>93</v>
      </c>
      <c r="V45" s="47" t="s">
        <v>93</v>
      </c>
      <c r="W45" s="47" t="s">
        <v>93</v>
      </c>
      <c r="X45" s="47" t="s">
        <v>93</v>
      </c>
      <c r="Y45" s="47" t="s">
        <v>93</v>
      </c>
      <c r="Z45" s="47" t="s">
        <v>93</v>
      </c>
      <c r="AB45" s="46">
        <v>2</v>
      </c>
      <c r="AC45" s="47" t="s">
        <v>93</v>
      </c>
      <c r="AD45" s="47" t="s">
        <v>93</v>
      </c>
      <c r="AE45" s="47" t="s">
        <v>93</v>
      </c>
      <c r="AF45" s="47" t="s">
        <v>93</v>
      </c>
      <c r="AG45" s="47" t="s">
        <v>93</v>
      </c>
      <c r="AH45" s="47" t="s">
        <v>93</v>
      </c>
      <c r="AI45" s="47" t="s">
        <v>93</v>
      </c>
    </row>
    <row r="46" spans="18:35" x14ac:dyDescent="0.25">
      <c r="R46" s="112"/>
      <c r="S46" s="46">
        <v>1</v>
      </c>
      <c r="T46" s="47" t="s">
        <v>93</v>
      </c>
      <c r="U46" s="47" t="s">
        <v>93</v>
      </c>
      <c r="V46" s="47" t="s">
        <v>93</v>
      </c>
      <c r="W46" s="47" t="s">
        <v>93</v>
      </c>
      <c r="X46" s="47" t="s">
        <v>93</v>
      </c>
      <c r="Y46" s="47" t="s">
        <v>93</v>
      </c>
      <c r="Z46" s="47" t="s">
        <v>93</v>
      </c>
      <c r="AB46" s="46">
        <v>1</v>
      </c>
      <c r="AC46" s="47" t="s">
        <v>93</v>
      </c>
      <c r="AD46" s="47" t="s">
        <v>93</v>
      </c>
      <c r="AE46" s="47" t="s">
        <v>93</v>
      </c>
      <c r="AF46" s="47" t="s">
        <v>93</v>
      </c>
      <c r="AG46" s="47" t="s">
        <v>93</v>
      </c>
      <c r="AH46" s="47" t="s">
        <v>93</v>
      </c>
      <c r="AI46" s="47" t="s">
        <v>93</v>
      </c>
    </row>
    <row r="47" spans="18:35" x14ac:dyDescent="0.25">
      <c r="T47" s="48">
        <v>1</v>
      </c>
      <c r="U47" s="48">
        <v>2</v>
      </c>
      <c r="V47" s="48">
        <v>3</v>
      </c>
      <c r="W47" s="48">
        <v>4</v>
      </c>
      <c r="X47" s="48">
        <v>5</v>
      </c>
      <c r="Y47" s="48">
        <v>6</v>
      </c>
      <c r="Z47" s="48">
        <v>7</v>
      </c>
      <c r="AC47" s="48">
        <v>1</v>
      </c>
      <c r="AD47" s="48">
        <v>2</v>
      </c>
      <c r="AE47" s="48">
        <v>3</v>
      </c>
      <c r="AF47" s="48">
        <v>4</v>
      </c>
      <c r="AG47" s="48">
        <v>5</v>
      </c>
      <c r="AH47" s="48">
        <v>6</v>
      </c>
      <c r="AI47" s="48">
        <v>7</v>
      </c>
    </row>
    <row r="48" spans="18:35" x14ac:dyDescent="0.25">
      <c r="T48" s="109" t="s">
        <v>49</v>
      </c>
      <c r="U48" s="109"/>
      <c r="V48" s="109"/>
      <c r="W48" s="109"/>
      <c r="X48" s="109"/>
      <c r="Y48" s="109"/>
      <c r="Z48" s="109"/>
      <c r="AC48" s="109" t="s">
        <v>49</v>
      </c>
      <c r="AD48" s="109"/>
      <c r="AE48" s="109"/>
      <c r="AF48" s="109"/>
      <c r="AG48" s="109"/>
      <c r="AH48" s="109"/>
      <c r="AI48" s="109"/>
    </row>
  </sheetData>
  <sheetProtection algorithmName="SHA-512" hashValue="LW0IxajFM+joMkwPkqGkDM2AgkFtbwWDejgp/catxv685Q5O+Z8Mr+zLbQI7ZqN0n6FBeXTSGQkMY/u9hHmt3w==" saltValue="L/wGrfBl/v+hdu6riK9+ow==" spinCount="100000" sheet="1" objects="1" scenarios="1"/>
  <sortState ref="A2:I28">
    <sortCondition ref="A2"/>
  </sortState>
  <mergeCells count="23">
    <mergeCell ref="R40:R46"/>
    <mergeCell ref="T48:Z48"/>
    <mergeCell ref="AC48:AI48"/>
    <mergeCell ref="T28:Z28"/>
    <mergeCell ref="AC28:AI28"/>
    <mergeCell ref="R29:R35"/>
    <mergeCell ref="T37:Z37"/>
    <mergeCell ref="AC37:AI37"/>
    <mergeCell ref="T39:Z39"/>
    <mergeCell ref="AC39:AI39"/>
    <mergeCell ref="T25:Z25"/>
    <mergeCell ref="AC25:AI25"/>
    <mergeCell ref="K1:L1"/>
    <mergeCell ref="O1:P1"/>
    <mergeCell ref="T5:Z5"/>
    <mergeCell ref="AC5:AI5"/>
    <mergeCell ref="R6:R12"/>
    <mergeCell ref="K10:L10"/>
    <mergeCell ref="T14:Z14"/>
    <mergeCell ref="AC14:AI14"/>
    <mergeCell ref="T16:Z16"/>
    <mergeCell ref="AC16:AI16"/>
    <mergeCell ref="R17:R23"/>
  </mergeCells>
  <conditionalFormatting sqref="T17:Z23">
    <cfRule type="iconSet" priority="7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6:AI12">
    <cfRule type="iconSet" priority="8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17:AI23">
    <cfRule type="iconSet" priority="6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29:Z35">
    <cfRule type="iconSet" priority="5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29:AI35">
    <cfRule type="iconSet" priority="4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40:Z46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40:AI46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6:Z12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O29"/>
  <sheetViews>
    <sheetView zoomScaleNormal="100" workbookViewId="0"/>
  </sheetViews>
  <sheetFormatPr defaultRowHeight="15" x14ac:dyDescent="0.25"/>
  <cols>
    <col min="1" max="1" width="5.7109375" style="14" customWidth="1"/>
    <col min="2" max="2" width="13.85546875" style="14" bestFit="1" customWidth="1"/>
    <col min="3" max="3" width="28.28515625" style="14" customWidth="1"/>
    <col min="4" max="4" width="11.7109375" style="14" bestFit="1" customWidth="1"/>
    <col min="5" max="5" width="9.140625" style="14"/>
    <col min="6" max="6" width="10.7109375" style="14" bestFit="1" customWidth="1"/>
    <col min="7" max="7" width="8.5703125" style="14" bestFit="1" customWidth="1"/>
    <col min="8" max="8" width="23.5703125" style="38" customWidth="1"/>
    <col min="9" max="9" width="70.85546875" style="14" customWidth="1"/>
    <col min="10" max="10" width="11.7109375" style="14" customWidth="1"/>
    <col min="11" max="11" width="8.7109375" style="14" bestFit="1" customWidth="1"/>
    <col min="12" max="12" width="11.5703125" style="14" hidden="1" customWidth="1"/>
    <col min="13" max="13" width="8.140625" style="14" customWidth="1"/>
    <col min="14" max="14" width="9.7109375" style="14" customWidth="1"/>
    <col min="15" max="15" width="82.140625" style="14" customWidth="1"/>
    <col min="16" max="16" width="11.7109375" style="14" hidden="1" customWidth="1"/>
    <col min="17" max="17" width="14.28515625" style="14" customWidth="1"/>
    <col min="18" max="18" width="9.7109375" style="14" hidden="1" customWidth="1"/>
    <col min="19" max="19" width="6.5703125" style="14" hidden="1" customWidth="1"/>
    <col min="20" max="21" width="11.42578125" style="14" hidden="1" customWidth="1"/>
    <col min="22" max="22" width="9.5703125" style="14" hidden="1" customWidth="1"/>
    <col min="23" max="23" width="11.28515625" style="14" hidden="1" customWidth="1"/>
    <col min="24" max="24" width="13.7109375" style="14" hidden="1" customWidth="1"/>
    <col min="25" max="25" width="11.42578125" style="14" hidden="1" customWidth="1"/>
    <col min="26" max="26" width="11.140625" style="14" hidden="1" customWidth="1"/>
    <col min="27" max="27" width="11.85546875" style="14" hidden="1" customWidth="1"/>
    <col min="28" max="28" width="11.28515625" style="14" hidden="1" customWidth="1"/>
    <col min="29" max="29" width="10.28515625" style="14" customWidth="1"/>
    <col min="30" max="30" width="10.140625" style="14" bestFit="1" customWidth="1"/>
    <col min="31" max="31" width="10" style="52" bestFit="1" customWidth="1"/>
    <col min="32" max="32" width="5.28515625" style="14" bestFit="1" customWidth="1"/>
    <col min="33" max="33" width="6" style="14" bestFit="1" customWidth="1"/>
    <col min="34" max="35" width="4.7109375" style="14" customWidth="1"/>
    <col min="36" max="36" width="19.28515625" style="14" bestFit="1" customWidth="1"/>
    <col min="37" max="37" width="26.5703125" style="14" bestFit="1" customWidth="1"/>
    <col min="38" max="38" width="15.140625" style="14" customWidth="1"/>
    <col min="39" max="39" width="15.5703125" style="14" customWidth="1"/>
    <col min="40" max="40" width="14.42578125" style="14" customWidth="1"/>
    <col min="41" max="41" width="33.28515625" style="14" bestFit="1" customWidth="1"/>
    <col min="42" max="42" width="17.7109375" style="14" bestFit="1" customWidth="1"/>
    <col min="43" max="43" width="42.28515625" style="14" bestFit="1" customWidth="1"/>
    <col min="44" max="44" width="23.42578125" style="14" bestFit="1" customWidth="1"/>
    <col min="45" max="45" width="31.140625" style="14" bestFit="1" customWidth="1"/>
    <col min="46" max="46" width="47.140625" style="14" bestFit="1" customWidth="1"/>
    <col min="47" max="47" width="12" style="14" bestFit="1" customWidth="1"/>
    <col min="48" max="16384" width="9.140625" style="14"/>
  </cols>
  <sheetData>
    <row r="1" spans="1:41" ht="21.75" thickBot="1" x14ac:dyDescent="0.4">
      <c r="B1" s="50" t="s">
        <v>87</v>
      </c>
      <c r="C1" s="98" t="s">
        <v>56</v>
      </c>
      <c r="D1" s="99"/>
      <c r="E1" s="99"/>
      <c r="F1" s="99"/>
      <c r="G1" s="99"/>
      <c r="H1" s="100"/>
      <c r="O1" s="51" t="s">
        <v>193</v>
      </c>
    </row>
    <row r="2" spans="1:41" x14ac:dyDescent="0.25">
      <c r="O2" s="38" t="s">
        <v>178</v>
      </c>
    </row>
    <row r="3" spans="1:41" ht="15.75" customHeight="1" x14ac:dyDescent="0.35">
      <c r="B3" s="101" t="s">
        <v>2</v>
      </c>
      <c r="C3" s="101"/>
      <c r="D3" s="101"/>
      <c r="E3" s="101"/>
      <c r="O3" s="38" t="s">
        <v>192</v>
      </c>
    </row>
    <row r="4" spans="1:41" ht="18.75" customHeight="1" x14ac:dyDescent="0.3">
      <c r="B4" s="53" t="s">
        <v>214</v>
      </c>
      <c r="C4" s="54" t="s">
        <v>86</v>
      </c>
      <c r="D4" s="55" t="s">
        <v>85</v>
      </c>
      <c r="E4" s="39" t="s">
        <v>3</v>
      </c>
      <c r="O4" s="38"/>
    </row>
    <row r="5" spans="1:41" x14ac:dyDescent="0.25">
      <c r="A5" s="102"/>
      <c r="B5" s="103">
        <f>D5</f>
        <v>1.8257418583505498E-2</v>
      </c>
      <c r="C5" s="56" t="s">
        <v>1</v>
      </c>
      <c r="D5" s="57">
        <f>INDEX(Reference!$C:$G,MATCH($C$1,Reference!$B:$B,0),ROW()-ROW($B$4))</f>
        <v>1.8257418583505498E-2</v>
      </c>
      <c r="E5" s="106">
        <f>D5*(0.4*10^D6+0.2*10^D7+0.2*10^D8+0.2*10^D9)</f>
        <v>44548.101343753413</v>
      </c>
      <c r="J5" s="58"/>
      <c r="O5" s="38" t="s">
        <v>179</v>
      </c>
    </row>
    <row r="6" spans="1:41" ht="30" x14ac:dyDescent="0.25">
      <c r="A6" s="102"/>
      <c r="B6" s="104"/>
      <c r="C6" s="56" t="s">
        <v>4</v>
      </c>
      <c r="D6" s="59">
        <f>INDEX(Reference!$C:$G,MATCH($C$1,Reference!$B:$B,0),ROW()-ROW($B$4))</f>
        <v>6</v>
      </c>
      <c r="E6" s="107"/>
      <c r="O6" s="38" t="s">
        <v>194</v>
      </c>
    </row>
    <row r="7" spans="1:41" x14ac:dyDescent="0.25">
      <c r="A7" s="102"/>
      <c r="B7" s="104"/>
      <c r="C7" s="56" t="s">
        <v>5</v>
      </c>
      <c r="D7" s="59">
        <f>INDEX(Reference!$C:$G,MATCH($C$1,Reference!$B:$B,0),ROW()-ROW($B$4))</f>
        <v>7</v>
      </c>
      <c r="E7" s="107"/>
      <c r="O7" s="38"/>
    </row>
    <row r="8" spans="1:41" ht="45" x14ac:dyDescent="0.25">
      <c r="A8" s="102"/>
      <c r="B8" s="104"/>
      <c r="C8" s="56" t="s">
        <v>6</v>
      </c>
      <c r="D8" s="59">
        <f>INDEX(Reference!$C:$G,MATCH($C$1,Reference!$B:$B,0),ROW()-ROW($B$4))</f>
        <v>5</v>
      </c>
      <c r="E8" s="107"/>
      <c r="O8" s="39" t="s">
        <v>195</v>
      </c>
    </row>
    <row r="9" spans="1:41" x14ac:dyDescent="0.25">
      <c r="A9" s="102"/>
      <c r="B9" s="105"/>
      <c r="C9" s="56" t="s">
        <v>7</v>
      </c>
      <c r="D9" s="59">
        <f>INDEX(Reference!$C:$G,MATCH($C$1,Reference!$B:$B,0),ROW()-ROW($B$4))</f>
        <v>5</v>
      </c>
      <c r="E9" s="108"/>
    </row>
    <row r="10" spans="1:41" x14ac:dyDescent="0.25">
      <c r="B10" s="14" t="s">
        <v>215</v>
      </c>
      <c r="AD10" s="52"/>
      <c r="AE10" s="14"/>
    </row>
    <row r="11" spans="1:41" x14ac:dyDescent="0.25">
      <c r="P11" s="14" t="s">
        <v>67</v>
      </c>
      <c r="Q11" s="60"/>
      <c r="R11" s="14">
        <f>D6</f>
        <v>6</v>
      </c>
      <c r="S11" s="14">
        <f>D7</f>
        <v>7</v>
      </c>
      <c r="T11" s="14">
        <f>D8</f>
        <v>5</v>
      </c>
      <c r="U11" s="14">
        <f>D9</f>
        <v>5</v>
      </c>
      <c r="V11" s="61"/>
      <c r="AD11" s="52"/>
      <c r="AE11" s="14"/>
    </row>
    <row r="12" spans="1:41" ht="51.75" x14ac:dyDescent="0.3">
      <c r="G12" s="15"/>
      <c r="H12" s="62"/>
      <c r="I12" s="15"/>
      <c r="J12" s="97" t="s">
        <v>8</v>
      </c>
      <c r="K12" s="97"/>
      <c r="L12" s="63"/>
      <c r="M12" s="15"/>
      <c r="N12" s="15"/>
      <c r="O12" s="15"/>
      <c r="P12" s="15"/>
      <c r="Q12" s="64" t="s">
        <v>224</v>
      </c>
      <c r="R12" s="65">
        <v>0.4</v>
      </c>
      <c r="S12" s="65">
        <v>0.2</v>
      </c>
      <c r="T12" s="65">
        <v>0.2</v>
      </c>
      <c r="U12" s="65">
        <v>0.2</v>
      </c>
      <c r="V12" s="96" t="s">
        <v>70</v>
      </c>
      <c r="W12" s="96"/>
      <c r="X12" s="96"/>
      <c r="Y12" s="96"/>
      <c r="Z12" s="15"/>
      <c r="AA12" s="15"/>
      <c r="AB12" s="15"/>
      <c r="AC12" s="15"/>
      <c r="AD12" s="66"/>
      <c r="AE12" s="15"/>
      <c r="AF12" s="15"/>
      <c r="AG12" s="15"/>
      <c r="AH12" s="15"/>
      <c r="AI12" s="15"/>
      <c r="AJ12" s="15" t="s">
        <v>79</v>
      </c>
      <c r="AK12" s="14" t="s">
        <v>222</v>
      </c>
      <c r="AL12" s="14" t="s">
        <v>66</v>
      </c>
      <c r="AM12" s="15" t="s">
        <v>221</v>
      </c>
    </row>
    <row r="13" spans="1:41" s="38" customFormat="1" ht="60" x14ac:dyDescent="0.25">
      <c r="C13" s="39" t="s">
        <v>212</v>
      </c>
      <c r="D13" s="16" t="s">
        <v>9</v>
      </c>
      <c r="G13" s="39" t="s">
        <v>10</v>
      </c>
      <c r="H13" s="39" t="s">
        <v>11</v>
      </c>
      <c r="I13" s="39" t="s">
        <v>216</v>
      </c>
      <c r="J13" s="16" t="s">
        <v>217</v>
      </c>
      <c r="K13" s="16" t="s">
        <v>218</v>
      </c>
      <c r="L13" s="16" t="s">
        <v>14</v>
      </c>
      <c r="M13" s="39" t="s">
        <v>15</v>
      </c>
      <c r="N13" s="16" t="s">
        <v>16</v>
      </c>
      <c r="O13" s="16" t="s">
        <v>219</v>
      </c>
      <c r="P13" s="39" t="s">
        <v>17</v>
      </c>
      <c r="Q13" s="39" t="s">
        <v>68</v>
      </c>
      <c r="R13" s="39" t="s">
        <v>18</v>
      </c>
      <c r="S13" s="39" t="s">
        <v>19</v>
      </c>
      <c r="T13" s="39" t="s">
        <v>20</v>
      </c>
      <c r="U13" s="39" t="s">
        <v>0</v>
      </c>
      <c r="V13" s="39" t="s">
        <v>18</v>
      </c>
      <c r="W13" s="39" t="s">
        <v>19</v>
      </c>
      <c r="X13" s="39" t="s">
        <v>20</v>
      </c>
      <c r="Y13" s="39" t="s">
        <v>0</v>
      </c>
      <c r="Z13" s="39" t="s">
        <v>69</v>
      </c>
      <c r="AA13" s="39" t="s">
        <v>220</v>
      </c>
      <c r="AB13" s="39" t="s">
        <v>72</v>
      </c>
      <c r="AC13" s="39" t="str">
        <f>IF(D17=1,"Adjusted, ","")&amp;"Weighted New Score"</f>
        <v>Adjusted, Weighted New Score</v>
      </c>
      <c r="AD13" s="67" t="s">
        <v>65</v>
      </c>
      <c r="AE13" s="39" t="s">
        <v>221</v>
      </c>
      <c r="AF13" s="39" t="s">
        <v>71</v>
      </c>
      <c r="AG13" s="39"/>
      <c r="AH13" s="39"/>
      <c r="AI13" s="39"/>
      <c r="AJ13" s="68"/>
      <c r="AK13" s="38">
        <v>0</v>
      </c>
      <c r="AL13" s="38">
        <v>0</v>
      </c>
    </row>
    <row r="14" spans="1:41" ht="120" x14ac:dyDescent="0.25">
      <c r="C14" s="18" t="s">
        <v>213</v>
      </c>
      <c r="D14" s="18">
        <v>0</v>
      </c>
      <c r="F14" s="69">
        <v>42662</v>
      </c>
      <c r="G14" s="18" t="s">
        <v>88</v>
      </c>
      <c r="H14" s="17" t="s">
        <v>228</v>
      </c>
      <c r="I14" s="17" t="s">
        <v>89</v>
      </c>
      <c r="J14" s="49">
        <f>Summary!D2-Summary!D3</f>
        <v>0</v>
      </c>
      <c r="K14" s="49">
        <f>-Summary!E2-Summary!E3</f>
        <v>-79.597999999999999</v>
      </c>
      <c r="L14" s="49">
        <f>(0.08*J14)/(1-(1+0.08)^-N14)</f>
        <v>0</v>
      </c>
      <c r="M14" s="18" t="s">
        <v>21</v>
      </c>
      <c r="N14" s="18">
        <v>1</v>
      </c>
      <c r="O14" s="17" t="s">
        <v>186</v>
      </c>
      <c r="P14" s="70">
        <f>100*(1-(0.3/$D$5))</f>
        <v>-1543.1676725155019</v>
      </c>
      <c r="Q14" s="70">
        <f>$D$5*(1-($P14/100))</f>
        <v>0.3</v>
      </c>
      <c r="R14" s="18">
        <v>0</v>
      </c>
      <c r="S14" s="59">
        <v>0</v>
      </c>
      <c r="T14" s="59">
        <v>0</v>
      </c>
      <c r="U14" s="59">
        <v>0</v>
      </c>
      <c r="V14" s="71">
        <f t="shared" ref="V14:Y17" si="0">(R$12)* ((10^R$11)*(1-(R14/100)))</f>
        <v>400000</v>
      </c>
      <c r="W14" s="71">
        <f t="shared" si="0"/>
        <v>2000000</v>
      </c>
      <c r="X14" s="71">
        <f t="shared" si="0"/>
        <v>20000</v>
      </c>
      <c r="Y14" s="71">
        <f t="shared" si="0"/>
        <v>20000</v>
      </c>
      <c r="Z14" s="72">
        <f>Q14*SUM(V14:Y14)</f>
        <v>732000</v>
      </c>
      <c r="AA14" s="72">
        <f>($E$5-Z14)*N14</f>
        <v>-687451.8986562466</v>
      </c>
      <c r="AB14" s="73"/>
      <c r="AC14" s="74">
        <f>IF($D$15=1,AA14*AB14*IF($D$17=1,$B$5,1),AA14*IF($D$17=1,$B$5,1))</f>
        <v>-12551.097069792695</v>
      </c>
      <c r="AD14" s="75">
        <f>J14+K14*N14</f>
        <v>-79.597999999999999</v>
      </c>
      <c r="AE14" s="76">
        <f>AC14/AD14</f>
        <v>157.68106070243843</v>
      </c>
      <c r="AF14" s="77">
        <f>RANK(AE14,$AE$14:$AE$18)</f>
        <v>1</v>
      </c>
      <c r="AG14" s="78"/>
      <c r="AH14" s="18"/>
      <c r="AI14" s="18"/>
      <c r="AJ14" s="79" t="str">
        <f>INDEX($G$14:$G$17,MATCH(ROW()-ROW($AK$13),$AF$14:$AF$17,0))</f>
        <v>B1 &amp; B2</v>
      </c>
      <c r="AK14" s="80">
        <f t="shared" ref="AK14:AL17" si="1">IF(INDEX($M$14:$M$17,MATCH(ROW()-ROW($AK$13),$AF$14:$AF$17,0))="new",1,-1)*INDEX(AC$14:AC$17,MATCH(ROW()-ROW($AK$13),$AF$14:$AF$17,0))+AK13</f>
        <v>12551.097069792695</v>
      </c>
      <c r="AL14" s="80">
        <f t="shared" si="1"/>
        <v>79.597999999999999</v>
      </c>
      <c r="AM14" s="14">
        <f>INDEX(AC:AC,MATCH(AJ14,G:G,0))/INDEX(AD:AD,MATCH(AJ14,G:G,0))</f>
        <v>157.68106070243843</v>
      </c>
      <c r="AN14" s="14" t="str">
        <f>AJ14</f>
        <v>B1 &amp; B2</v>
      </c>
      <c r="AO14" s="14" t="s">
        <v>211</v>
      </c>
    </row>
    <row r="15" spans="1:41" ht="75" x14ac:dyDescent="0.25">
      <c r="C15" s="18" t="s">
        <v>22</v>
      </c>
      <c r="D15" s="18">
        <v>0</v>
      </c>
      <c r="F15" s="69">
        <v>42662</v>
      </c>
      <c r="G15" s="18" t="s">
        <v>76</v>
      </c>
      <c r="H15" s="17" t="s">
        <v>81</v>
      </c>
      <c r="I15" s="17" t="s">
        <v>90</v>
      </c>
      <c r="J15" s="49">
        <f>Summary!D4</f>
        <v>1235</v>
      </c>
      <c r="K15" s="49">
        <f>Summary!E4</f>
        <v>0</v>
      </c>
      <c r="L15" s="49">
        <f>(0.08*J15)/(1-(1+0.08)^-N15)</f>
        <v>125.78747789659097</v>
      </c>
      <c r="M15" s="18" t="s">
        <v>78</v>
      </c>
      <c r="N15" s="18">
        <v>20</v>
      </c>
      <c r="O15" s="17" t="s">
        <v>225</v>
      </c>
      <c r="P15" s="70">
        <f>100*(1-('P1'!E12/$D$5))</f>
        <v>65.920946793172746</v>
      </c>
      <c r="Q15" s="81">
        <f>$D$5*(1-($P15/100))</f>
        <v>6.2219553932660061E-3</v>
      </c>
      <c r="R15" s="59">
        <v>0</v>
      </c>
      <c r="S15" s="59">
        <v>0</v>
      </c>
      <c r="T15" s="59">
        <v>0</v>
      </c>
      <c r="U15" s="59">
        <v>0</v>
      </c>
      <c r="V15" s="71">
        <f t="shared" si="0"/>
        <v>400000</v>
      </c>
      <c r="W15" s="71">
        <f t="shared" si="0"/>
        <v>2000000</v>
      </c>
      <c r="X15" s="71">
        <f t="shared" si="0"/>
        <v>20000</v>
      </c>
      <c r="Y15" s="71">
        <f t="shared" si="0"/>
        <v>20000</v>
      </c>
      <c r="Z15" s="72">
        <f>Q15*SUM(V15:Y15)</f>
        <v>15181.571159569055</v>
      </c>
      <c r="AA15" s="72">
        <f>($E$5-Z15)*N15</f>
        <v>587330.60368368716</v>
      </c>
      <c r="AB15" s="73"/>
      <c r="AC15" s="74">
        <f>IF($D$15=1,AA15*AB15*IF($D$17=1,$B$5,1),AA15*IF($D$17=1,$B$5,1))</f>
        <v>10723.140678356052</v>
      </c>
      <c r="AD15" s="75">
        <f>J15+K15*N15</f>
        <v>1235</v>
      </c>
      <c r="AE15" s="76">
        <f>AC15/AD15</f>
        <v>8.6827050027174515</v>
      </c>
      <c r="AF15" s="77">
        <f>RANK(AE15,$AE$14:$AE$18)</f>
        <v>2</v>
      </c>
      <c r="AG15" s="78"/>
      <c r="AH15" s="82"/>
      <c r="AI15" s="83"/>
      <c r="AJ15" s="79" t="str">
        <f>INDEX($G$14:$G$17,MATCH(ROW()-ROW($AK$13),$AF$14:$AF$17,0))</f>
        <v>P1</v>
      </c>
      <c r="AK15" s="80">
        <f t="shared" si="1"/>
        <v>23274.237748148749</v>
      </c>
      <c r="AL15" s="80">
        <f t="shared" si="1"/>
        <v>1314.598</v>
      </c>
      <c r="AM15" s="14">
        <f t="shared" ref="AM15:AM17" si="2">INDEX(AC:AC,MATCH(AJ15,G:G,0))/INDEX(AD:AD,MATCH(AJ15,G:G,0))</f>
        <v>8.6827050027174515</v>
      </c>
      <c r="AN15" s="14" t="str">
        <f>AJ15</f>
        <v>P1</v>
      </c>
      <c r="AO15" s="14" t="str">
        <f t="shared" ref="AO15:AO17" si="3">INDEX(H:H,MATCH(AN15,G:G,0))</f>
        <v>The South Grid Black-Start Project</v>
      </c>
    </row>
    <row r="16" spans="1:41" ht="45" x14ac:dyDescent="0.25">
      <c r="C16" s="18" t="s">
        <v>23</v>
      </c>
      <c r="D16" s="18">
        <v>0</v>
      </c>
      <c r="F16" s="69">
        <v>42662</v>
      </c>
      <c r="G16" s="18" t="s">
        <v>77</v>
      </c>
      <c r="H16" s="17" t="s">
        <v>82</v>
      </c>
      <c r="I16" s="17" t="s">
        <v>91</v>
      </c>
      <c r="J16" s="49">
        <f>Summary!D5</f>
        <v>14629</v>
      </c>
      <c r="K16" s="49">
        <f>Summary!E5</f>
        <v>0</v>
      </c>
      <c r="L16" s="49">
        <f>(0.08*J16)/(1-(1+0.08)^-N16)</f>
        <v>1299.4565230224059</v>
      </c>
      <c r="M16" s="18" t="s">
        <v>78</v>
      </c>
      <c r="N16" s="18">
        <v>30</v>
      </c>
      <c r="O16" s="17" t="s">
        <v>210</v>
      </c>
      <c r="P16" s="70">
        <f>100*(1-('P2'!E6/$D$5))</f>
        <v>10.000010426211547</v>
      </c>
      <c r="Q16" s="81">
        <f>$D$5*(1-($P16/100))</f>
        <v>1.6431674821597863E-2</v>
      </c>
      <c r="R16" s="59">
        <v>0</v>
      </c>
      <c r="S16" s="59">
        <v>0</v>
      </c>
      <c r="T16" s="59">
        <v>0</v>
      </c>
      <c r="U16" s="59">
        <v>0</v>
      </c>
      <c r="V16" s="71">
        <f t="shared" si="0"/>
        <v>400000</v>
      </c>
      <c r="W16" s="71">
        <f t="shared" si="0"/>
        <v>2000000</v>
      </c>
      <c r="X16" s="71">
        <f t="shared" si="0"/>
        <v>20000</v>
      </c>
      <c r="Y16" s="71">
        <f t="shared" si="0"/>
        <v>20000</v>
      </c>
      <c r="Z16" s="72">
        <f>Q16*SUM(V16:Y16)</f>
        <v>40093.286564698785</v>
      </c>
      <c r="AA16" s="72">
        <f>($E$5-Z16)*N16</f>
        <v>133644.44337163883</v>
      </c>
      <c r="AB16" s="73"/>
      <c r="AC16" s="74">
        <f>IF($D$15=1,AA16*AB16*IF($D$17=1,$B$5,1),AA16*IF($D$17=1,$B$5,1))</f>
        <v>2440.0025439956071</v>
      </c>
      <c r="AD16" s="75">
        <f>J16+K16*N16</f>
        <v>14629</v>
      </c>
      <c r="AE16" s="76">
        <f>AC16/AD16</f>
        <v>0.16679216241681641</v>
      </c>
      <c r="AF16" s="77">
        <f>RANK(AE16,$AE$14:$AE$18)</f>
        <v>4</v>
      </c>
      <c r="AG16" s="78"/>
      <c r="AH16" s="82"/>
      <c r="AI16" s="83"/>
      <c r="AJ16" s="79" t="str">
        <f>INDEX($G$14:$G$17,MATCH(ROW()-ROW($AK$13),$AF$14:$AF$17,0))</f>
        <v>P3</v>
      </c>
      <c r="AK16" s="80">
        <f t="shared" si="1"/>
        <v>24892.76165681105</v>
      </c>
      <c r="AL16" s="80">
        <f t="shared" si="1"/>
        <v>6272.598</v>
      </c>
      <c r="AM16" s="14">
        <f t="shared" si="2"/>
        <v>0.32644693599481661</v>
      </c>
      <c r="AN16" s="14" t="str">
        <f>AJ16</f>
        <v>P3</v>
      </c>
      <c r="AO16" s="14" t="str">
        <f t="shared" si="3"/>
        <v>Substation Auxillary Power System (fuel cells)</v>
      </c>
    </row>
    <row r="17" spans="3:41" ht="45" x14ac:dyDescent="0.25">
      <c r="C17" s="18" t="s">
        <v>214</v>
      </c>
      <c r="D17" s="18">
        <v>1</v>
      </c>
      <c r="F17" s="69">
        <v>42662</v>
      </c>
      <c r="G17" s="18" t="s">
        <v>83</v>
      </c>
      <c r="H17" s="17" t="s">
        <v>84</v>
      </c>
      <c r="I17" s="17" t="s">
        <v>92</v>
      </c>
      <c r="J17" s="49">
        <f>Summary!D6</f>
        <v>4958</v>
      </c>
      <c r="K17" s="49">
        <f>Summary!E6</f>
        <v>0</v>
      </c>
      <c r="L17" s="49">
        <f>(0.08*J17)/(1-(1+0.08)^-N17)</f>
        <v>738.88820496009953</v>
      </c>
      <c r="M17" s="18" t="s">
        <v>78</v>
      </c>
      <c r="N17" s="18">
        <v>10</v>
      </c>
      <c r="O17" s="17" t="s">
        <v>198</v>
      </c>
      <c r="P17" s="70">
        <f>100*(1-('P3'!E8/$D$5))</f>
        <v>19.899884122897237</v>
      </c>
      <c r="Q17" s="81">
        <f>$D$5*(1-($P17/100))</f>
        <v>1.4624213441555598E-2</v>
      </c>
      <c r="R17" s="59">
        <v>0</v>
      </c>
      <c r="S17" s="59">
        <v>0</v>
      </c>
      <c r="T17" s="59">
        <v>0</v>
      </c>
      <c r="U17" s="59">
        <v>0</v>
      </c>
      <c r="V17" s="71">
        <f t="shared" si="0"/>
        <v>400000</v>
      </c>
      <c r="W17" s="71">
        <f t="shared" si="0"/>
        <v>2000000</v>
      </c>
      <c r="X17" s="71">
        <f t="shared" si="0"/>
        <v>20000</v>
      </c>
      <c r="Y17" s="71">
        <f t="shared" si="0"/>
        <v>20000</v>
      </c>
      <c r="Z17" s="72">
        <f>Q17*SUM(V17:Y17)</f>
        <v>35683.080797395662</v>
      </c>
      <c r="AA17" s="72">
        <f>($E$5-Z17)*N17</f>
        <v>88650.205463577513</v>
      </c>
      <c r="AB17" s="73"/>
      <c r="AC17" s="74">
        <f>IF($D$15=1,AA17*AB17*IF($D$17=1,$B$5,1),AA17*IF($D$17=1,$B$5,1))</f>
        <v>1618.5239086623008</v>
      </c>
      <c r="AD17" s="75">
        <f>J17+K17*N17</f>
        <v>4958</v>
      </c>
      <c r="AE17" s="76">
        <f>AC17/AD17</f>
        <v>0.32644693599481661</v>
      </c>
      <c r="AF17" s="77">
        <f>RANK(AE17,$AE$14:$AE$18)</f>
        <v>3</v>
      </c>
      <c r="AG17" s="78"/>
      <c r="AH17" s="82"/>
      <c r="AI17" s="83"/>
      <c r="AJ17" s="79" t="str">
        <f>INDEX($G$14:$G$17,MATCH(ROW()-ROW($AK$13),$AF$14:$AF$17,0))</f>
        <v>P2</v>
      </c>
      <c r="AK17" s="80">
        <f t="shared" si="1"/>
        <v>27332.764200806658</v>
      </c>
      <c r="AL17" s="80">
        <f t="shared" si="1"/>
        <v>20901.597999999998</v>
      </c>
      <c r="AM17" s="14">
        <f t="shared" si="2"/>
        <v>0.16679216241681641</v>
      </c>
      <c r="AN17" s="14" t="str">
        <f>AJ17</f>
        <v>P2</v>
      </c>
      <c r="AO17" s="14" t="str">
        <f t="shared" si="3"/>
        <v>Transmission Energy Management System Modernization Project</v>
      </c>
    </row>
    <row r="18" spans="3:41" x14ac:dyDescent="0.25">
      <c r="C18" s="79"/>
      <c r="D18" s="79"/>
      <c r="G18" s="18"/>
      <c r="H18" s="17"/>
      <c r="I18" s="18"/>
      <c r="J18" s="49"/>
      <c r="K18" s="49"/>
      <c r="L18" s="49"/>
      <c r="M18" s="18"/>
      <c r="N18" s="18"/>
      <c r="O18" s="18"/>
      <c r="P18" s="70"/>
      <c r="Q18" s="70"/>
      <c r="R18" s="59"/>
      <c r="S18" s="59"/>
      <c r="T18" s="59"/>
      <c r="U18" s="59"/>
      <c r="V18" s="71"/>
      <c r="W18" s="71"/>
      <c r="X18" s="71"/>
      <c r="Y18" s="71"/>
      <c r="Z18" s="72"/>
      <c r="AA18" s="72"/>
      <c r="AB18" s="73"/>
      <c r="AC18" s="74"/>
      <c r="AD18" s="75"/>
      <c r="AE18" s="82"/>
      <c r="AF18" s="77"/>
      <c r="AG18" s="78"/>
      <c r="AH18" s="82"/>
      <c r="AI18" s="83"/>
      <c r="AJ18" s="79"/>
      <c r="AK18" s="80"/>
      <c r="AL18" s="80"/>
    </row>
    <row r="19" spans="3:41" x14ac:dyDescent="0.25">
      <c r="G19" s="18"/>
      <c r="H19" s="17"/>
      <c r="I19" s="18"/>
      <c r="J19" s="49"/>
      <c r="K19" s="49"/>
      <c r="L19" s="49"/>
      <c r="M19" s="18"/>
      <c r="N19" s="18"/>
      <c r="O19" s="18"/>
      <c r="P19" s="70"/>
      <c r="Q19" s="70"/>
      <c r="R19" s="59"/>
      <c r="S19" s="59"/>
      <c r="T19" s="59"/>
      <c r="U19" s="59"/>
      <c r="V19" s="71"/>
      <c r="W19" s="71"/>
      <c r="X19" s="71"/>
      <c r="Y19" s="71"/>
      <c r="Z19" s="72"/>
      <c r="AA19" s="72"/>
      <c r="AB19" s="73"/>
      <c r="AC19" s="74"/>
      <c r="AD19" s="75"/>
      <c r="AE19" s="82"/>
      <c r="AF19" s="82"/>
      <c r="AG19" s="78"/>
      <c r="AH19" s="82"/>
      <c r="AI19" s="83"/>
      <c r="AJ19" s="84"/>
      <c r="AK19" s="84"/>
    </row>
    <row r="20" spans="3:41" x14ac:dyDescent="0.25">
      <c r="G20" s="18"/>
      <c r="H20" s="17"/>
      <c r="I20" s="18"/>
      <c r="J20" s="49"/>
      <c r="K20" s="49"/>
      <c r="L20" s="49"/>
      <c r="M20" s="18"/>
      <c r="N20" s="18"/>
      <c r="O20" s="18"/>
      <c r="P20" s="70"/>
      <c r="Q20" s="70"/>
      <c r="R20" s="59"/>
      <c r="S20" s="59"/>
      <c r="T20" s="59"/>
      <c r="U20" s="59"/>
      <c r="V20" s="71"/>
      <c r="W20" s="71"/>
      <c r="X20" s="71"/>
      <c r="Y20" s="71"/>
      <c r="Z20" s="72"/>
      <c r="AA20" s="72"/>
      <c r="AB20" s="73"/>
      <c r="AC20" s="74"/>
      <c r="AD20" s="75"/>
      <c r="AE20" s="82"/>
      <c r="AF20" s="77"/>
      <c r="AG20" s="78"/>
      <c r="AH20" s="82"/>
      <c r="AI20" s="83"/>
      <c r="AJ20" s="79"/>
      <c r="AK20" s="80"/>
      <c r="AL20" s="80"/>
    </row>
    <row r="21" spans="3:41" x14ac:dyDescent="0.25">
      <c r="C21" s="97" t="s">
        <v>24</v>
      </c>
      <c r="D21" s="97"/>
      <c r="G21" s="18"/>
      <c r="H21" s="17"/>
      <c r="I21" s="18"/>
      <c r="J21" s="49"/>
      <c r="K21" s="49"/>
      <c r="L21" s="49"/>
      <c r="M21" s="18"/>
      <c r="N21" s="18"/>
      <c r="O21" s="18"/>
      <c r="P21" s="70"/>
      <c r="Q21" s="70"/>
      <c r="R21" s="59"/>
      <c r="S21" s="59"/>
      <c r="T21" s="59"/>
      <c r="U21" s="59"/>
      <c r="V21" s="71"/>
      <c r="W21" s="71"/>
      <c r="X21" s="71"/>
      <c r="Y21" s="71"/>
      <c r="Z21" s="72"/>
      <c r="AA21" s="72"/>
      <c r="AB21" s="73"/>
      <c r="AC21" s="74"/>
      <c r="AD21" s="75"/>
      <c r="AE21" s="82"/>
      <c r="AF21" s="77"/>
      <c r="AG21" s="78"/>
      <c r="AH21" s="82"/>
      <c r="AI21" s="83"/>
      <c r="AJ21" s="79"/>
      <c r="AK21" s="80"/>
      <c r="AL21" s="80"/>
    </row>
    <row r="22" spans="3:41" x14ac:dyDescent="0.25">
      <c r="C22" s="42">
        <v>7</v>
      </c>
      <c r="D22" s="17">
        <v>31.6227766016838</v>
      </c>
      <c r="G22" s="18"/>
      <c r="H22" s="17"/>
      <c r="I22" s="18"/>
      <c r="J22" s="49"/>
      <c r="K22" s="49"/>
      <c r="L22" s="49"/>
      <c r="M22" s="18"/>
      <c r="N22" s="18"/>
      <c r="O22" s="18"/>
      <c r="P22" s="70"/>
      <c r="Q22" s="70"/>
      <c r="R22" s="59"/>
      <c r="S22" s="59"/>
      <c r="T22" s="59"/>
      <c r="U22" s="59"/>
      <c r="V22" s="71"/>
      <c r="W22" s="71"/>
      <c r="X22" s="71"/>
      <c r="Y22" s="71"/>
      <c r="Z22" s="72"/>
      <c r="AA22" s="72"/>
      <c r="AB22" s="73"/>
      <c r="AC22" s="74"/>
      <c r="AD22" s="75"/>
      <c r="AE22" s="82"/>
      <c r="AF22" s="77"/>
      <c r="AG22" s="78"/>
      <c r="AH22" s="82"/>
      <c r="AI22" s="83"/>
      <c r="AJ22" s="79"/>
      <c r="AK22" s="80"/>
      <c r="AL22" s="80"/>
    </row>
    <row r="23" spans="3:41" x14ac:dyDescent="0.25">
      <c r="C23" s="42">
        <v>6</v>
      </c>
      <c r="D23" s="17">
        <v>3.16227766016838</v>
      </c>
      <c r="G23" s="18"/>
      <c r="H23" s="17"/>
      <c r="I23" s="18"/>
      <c r="J23" s="49"/>
      <c r="K23" s="49"/>
      <c r="L23" s="49"/>
      <c r="M23" s="18"/>
      <c r="N23" s="18"/>
      <c r="O23" s="18"/>
      <c r="P23" s="70"/>
      <c r="Q23" s="70"/>
      <c r="R23" s="59"/>
      <c r="S23" s="59"/>
      <c r="T23" s="59"/>
      <c r="U23" s="59"/>
      <c r="V23" s="71"/>
      <c r="W23" s="71"/>
      <c r="X23" s="71"/>
      <c r="Y23" s="71"/>
      <c r="Z23" s="72"/>
      <c r="AA23" s="72"/>
      <c r="AB23" s="73"/>
      <c r="AC23" s="74"/>
      <c r="AD23" s="75"/>
      <c r="AE23" s="82"/>
      <c r="AF23" s="77"/>
      <c r="AG23" s="78"/>
      <c r="AH23" s="82"/>
      <c r="AI23" s="83"/>
      <c r="AJ23" s="79"/>
      <c r="AK23" s="80"/>
      <c r="AL23" s="80"/>
    </row>
    <row r="24" spans="3:41" x14ac:dyDescent="0.25">
      <c r="C24" s="42">
        <v>5</v>
      </c>
      <c r="D24" s="17">
        <v>0.57735026918962595</v>
      </c>
      <c r="G24" s="18"/>
      <c r="H24" s="17"/>
      <c r="I24" s="18"/>
      <c r="J24" s="49"/>
      <c r="K24" s="49"/>
      <c r="L24" s="49"/>
      <c r="M24" s="18"/>
      <c r="N24" s="18"/>
      <c r="O24" s="18"/>
      <c r="P24" s="70"/>
      <c r="Q24" s="70"/>
      <c r="R24" s="59"/>
      <c r="S24" s="59"/>
      <c r="T24" s="59"/>
      <c r="U24" s="59"/>
      <c r="V24" s="71"/>
      <c r="W24" s="71"/>
      <c r="X24" s="71"/>
      <c r="Y24" s="71"/>
      <c r="Z24" s="72"/>
      <c r="AA24" s="72"/>
      <c r="AB24" s="73"/>
      <c r="AC24" s="74"/>
      <c r="AD24" s="75"/>
      <c r="AE24" s="82"/>
      <c r="AF24" s="77"/>
      <c r="AG24" s="78"/>
      <c r="AH24" s="82"/>
      <c r="AI24" s="83"/>
      <c r="AJ24" s="79"/>
      <c r="AK24" s="80"/>
      <c r="AL24" s="80"/>
    </row>
    <row r="25" spans="3:41" x14ac:dyDescent="0.25">
      <c r="C25" s="42">
        <v>4</v>
      </c>
      <c r="D25" s="17">
        <v>0.182574185835055</v>
      </c>
      <c r="AD25" s="52"/>
      <c r="AE25" s="14"/>
    </row>
    <row r="26" spans="3:41" x14ac:dyDescent="0.25">
      <c r="C26" s="42">
        <v>3</v>
      </c>
      <c r="D26" s="17">
        <v>5.7735026918962602E-2</v>
      </c>
      <c r="AD26" s="52"/>
      <c r="AE26" s="14"/>
    </row>
    <row r="27" spans="3:41" x14ac:dyDescent="0.25">
      <c r="C27" s="42">
        <v>2</v>
      </c>
      <c r="D27" s="17">
        <v>1.8257418583505498E-2</v>
      </c>
      <c r="AD27" s="52"/>
      <c r="AE27" s="14"/>
    </row>
    <row r="28" spans="3:41" x14ac:dyDescent="0.25">
      <c r="C28" s="42">
        <v>1</v>
      </c>
      <c r="D28" s="17">
        <f>D26/10</f>
        <v>5.7735026918962606E-3</v>
      </c>
      <c r="AD28" s="52"/>
      <c r="AE28" s="14"/>
    </row>
    <row r="29" spans="3:41" x14ac:dyDescent="0.25">
      <c r="J29" s="14" t="s">
        <v>80</v>
      </c>
      <c r="AD29" s="52"/>
      <c r="AE29" s="14"/>
    </row>
  </sheetData>
  <sheetProtection algorithmName="SHA-512" hashValue="en/jQjSORCnGjdWZwiwbOKdVf1HFKSrdmnL2Yv0lefCWmYClxJ2oYR06/t7EJI9x7RWdXCIMmbXyxw2pW6bh/A==" saltValue="V3IOXYKffuhCwnf0yazrGA==" spinCount="100000" sheet="1" objects="1" scenarios="1"/>
  <mergeCells count="8">
    <mergeCell ref="A5:A9"/>
    <mergeCell ref="B5:B9"/>
    <mergeCell ref="E5:E9"/>
    <mergeCell ref="V12:Y12"/>
    <mergeCell ref="C21:D21"/>
    <mergeCell ref="J12:K12"/>
    <mergeCell ref="C1:H1"/>
    <mergeCell ref="B3:E3"/>
  </mergeCells>
  <dataValidations count="1">
    <dataValidation type="list" allowBlank="1" showInputMessage="1" showErrorMessage="1" sqref="M14:M24">
      <formula1>"New, Existing"</formula1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Reference!$B$2:$B$29</xm:f>
          </x14:formula1>
          <xm:sqref>C1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6"/>
  <sheetViews>
    <sheetView workbookViewId="0">
      <selection activeCell="B5" sqref="B5"/>
    </sheetView>
  </sheetViews>
  <sheetFormatPr defaultRowHeight="15" x14ac:dyDescent="0.25"/>
  <cols>
    <col min="1" max="1" width="9.5703125" style="14" bestFit="1" customWidth="1"/>
    <col min="2" max="2" width="40.140625" style="14" bestFit="1" customWidth="1"/>
    <col min="3" max="3" width="40.7109375" style="14" bestFit="1" customWidth="1"/>
    <col min="4" max="4" width="26.140625" style="14" bestFit="1" customWidth="1"/>
    <col min="5" max="5" width="16.85546875" style="14" bestFit="1" customWidth="1"/>
    <col min="6" max="6" width="10" style="14" bestFit="1" customWidth="1"/>
    <col min="7" max="7" width="9.5703125" style="14" customWidth="1"/>
    <col min="8" max="8" width="7.5703125" style="14" bestFit="1" customWidth="1"/>
    <col min="9" max="9" width="8.28515625" style="14" bestFit="1" customWidth="1"/>
    <col min="10" max="10" width="5.85546875" style="14" bestFit="1" customWidth="1"/>
    <col min="11" max="16384" width="9.140625" style="14"/>
  </cols>
  <sheetData>
    <row r="1" spans="1:10" ht="45" x14ac:dyDescent="0.25">
      <c r="A1" s="39" t="s">
        <v>10</v>
      </c>
      <c r="B1" s="39" t="s">
        <v>11</v>
      </c>
      <c r="C1" s="39"/>
      <c r="D1" s="16" t="s">
        <v>12</v>
      </c>
      <c r="E1" s="16" t="s">
        <v>13</v>
      </c>
      <c r="F1" s="16" t="s">
        <v>16</v>
      </c>
      <c r="G1" s="39" t="s">
        <v>223</v>
      </c>
      <c r="H1" s="67" t="s">
        <v>65</v>
      </c>
      <c r="I1" s="39" t="s">
        <v>221</v>
      </c>
      <c r="J1" s="39" t="s">
        <v>71</v>
      </c>
    </row>
    <row r="2" spans="1:10" ht="120" x14ac:dyDescent="0.25">
      <c r="A2" s="18" t="s">
        <v>180</v>
      </c>
      <c r="B2" s="17" t="s">
        <v>183</v>
      </c>
      <c r="C2" s="17" t="s">
        <v>181</v>
      </c>
      <c r="D2" s="49">
        <f>'[1]Revised cost ranges'!F38</f>
        <v>0</v>
      </c>
      <c r="E2" s="49">
        <f>'[1]Revised cost ranges'!I38/2</f>
        <v>39.798999999999999</v>
      </c>
      <c r="F2" s="18">
        <v>1</v>
      </c>
      <c r="G2" s="74">
        <f>I2*H2</f>
        <v>6275.5485348963466</v>
      </c>
      <c r="H2" s="85">
        <f>E2</f>
        <v>39.798999999999999</v>
      </c>
      <c r="I2" s="82">
        <f>Analysis!AE14</f>
        <v>157.68106070243843</v>
      </c>
      <c r="J2" s="77">
        <f>RANK(I2,$I$2:$I$6)</f>
        <v>1</v>
      </c>
    </row>
    <row r="3" spans="1:10" ht="90" x14ac:dyDescent="0.25">
      <c r="A3" s="18" t="s">
        <v>185</v>
      </c>
      <c r="B3" s="17" t="s">
        <v>184</v>
      </c>
      <c r="C3" s="17" t="s">
        <v>182</v>
      </c>
      <c r="D3" s="49">
        <f>'[1]Revised cost ranges'!F38</f>
        <v>0</v>
      </c>
      <c r="E3" s="49">
        <f>'[1]Revised cost ranges'!I38/2</f>
        <v>39.798999999999999</v>
      </c>
      <c r="F3" s="18">
        <v>1</v>
      </c>
      <c r="G3" s="74">
        <f t="shared" ref="G3:G6" si="0">I3*H3</f>
        <v>6275.5485348963466</v>
      </c>
      <c r="H3" s="85">
        <f>E3</f>
        <v>39.798999999999999</v>
      </c>
      <c r="I3" s="82">
        <f>Analysis!AE14</f>
        <v>157.68106070243843</v>
      </c>
      <c r="J3" s="77">
        <f t="shared" ref="J3:J6" si="1">RANK(I3,$I$2:$I$6)</f>
        <v>1</v>
      </c>
    </row>
    <row r="4" spans="1:10" ht="30" x14ac:dyDescent="0.25">
      <c r="A4" s="18" t="s">
        <v>76</v>
      </c>
      <c r="B4" s="17" t="s">
        <v>81</v>
      </c>
      <c r="C4" s="17" t="s">
        <v>90</v>
      </c>
      <c r="D4" s="49">
        <f>'[1]Revised cost ranges'!F39</f>
        <v>1235</v>
      </c>
      <c r="E4" s="49">
        <f>'[1]Revised cost ranges'!I39</f>
        <v>0</v>
      </c>
      <c r="F4" s="18">
        <v>20</v>
      </c>
      <c r="G4" s="74">
        <f t="shared" si="0"/>
        <v>10723.140678356052</v>
      </c>
      <c r="H4" s="85">
        <f>D4</f>
        <v>1235</v>
      </c>
      <c r="I4" s="82">
        <f>Analysis!AE15</f>
        <v>8.6827050027174515</v>
      </c>
      <c r="J4" s="77">
        <f t="shared" si="1"/>
        <v>3</v>
      </c>
    </row>
    <row r="5" spans="1:10" ht="30" x14ac:dyDescent="0.25">
      <c r="A5" s="18" t="s">
        <v>77</v>
      </c>
      <c r="B5" s="17" t="s">
        <v>82</v>
      </c>
      <c r="C5" s="17" t="s">
        <v>91</v>
      </c>
      <c r="D5" s="49">
        <f>'[1]Revised cost ranges'!F40</f>
        <v>14629</v>
      </c>
      <c r="E5" s="49">
        <f>'[1]Revised cost ranges'!I40</f>
        <v>0</v>
      </c>
      <c r="F5" s="18">
        <v>10</v>
      </c>
      <c r="G5" s="74">
        <f t="shared" si="0"/>
        <v>2440.0025439956071</v>
      </c>
      <c r="H5" s="85">
        <f>D5</f>
        <v>14629</v>
      </c>
      <c r="I5" s="82">
        <f>Analysis!AE16</f>
        <v>0.16679216241681641</v>
      </c>
      <c r="J5" s="77">
        <f t="shared" si="1"/>
        <v>5</v>
      </c>
    </row>
    <row r="6" spans="1:10" ht="45" x14ac:dyDescent="0.25">
      <c r="A6" s="18" t="s">
        <v>83</v>
      </c>
      <c r="B6" s="17" t="s">
        <v>84</v>
      </c>
      <c r="C6" s="17" t="s">
        <v>92</v>
      </c>
      <c r="D6" s="49">
        <f>'[1]Revised cost ranges'!F41</f>
        <v>4958</v>
      </c>
      <c r="E6" s="49">
        <f>'[1]Revised cost ranges'!I41</f>
        <v>0</v>
      </c>
      <c r="F6" s="18">
        <v>10</v>
      </c>
      <c r="G6" s="74">
        <f t="shared" si="0"/>
        <v>1618.5239086623008</v>
      </c>
      <c r="H6" s="85">
        <f>D6</f>
        <v>4958</v>
      </c>
      <c r="I6" s="82">
        <f>Analysis!AE17</f>
        <v>0.32644693599481661</v>
      </c>
      <c r="J6" s="77">
        <f t="shared" si="1"/>
        <v>4</v>
      </c>
    </row>
  </sheetData>
  <sheetProtection algorithmName="SHA-512" hashValue="5TWenyr/9++LBcq6AEXPH/478XWHC57ucMiCOljAMMVph5et9qw2ZbEpYe7NBmB6PXSmSNfGnoJXE7xR9UancQ==" saltValue="7yAT+Lf4dxGYafmEbPC9fA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47"/>
  <sheetViews>
    <sheetView workbookViewId="0">
      <selection activeCell="A33" sqref="A33"/>
    </sheetView>
  </sheetViews>
  <sheetFormatPr defaultRowHeight="15" x14ac:dyDescent="0.25"/>
  <cols>
    <col min="1" max="1" width="18.140625" style="14" customWidth="1"/>
    <col min="2" max="2" width="2.42578125" style="14" customWidth="1"/>
    <col min="3" max="3" width="3.7109375" style="14" customWidth="1"/>
    <col min="4" max="4" width="8.7109375" style="14" customWidth="1"/>
    <col min="5" max="5" width="7.7109375" style="14" customWidth="1"/>
    <col min="6" max="6" width="23.140625" style="14" customWidth="1"/>
    <col min="7" max="7" width="2.5703125" style="14" customWidth="1"/>
    <col min="8" max="8" width="3.7109375" style="14" customWidth="1"/>
    <col min="9" max="9" width="6.140625" style="14" customWidth="1"/>
    <col min="10" max="11" width="7.7109375" style="14" customWidth="1"/>
    <col min="12" max="12" width="2.42578125" style="14" customWidth="1"/>
    <col min="13" max="13" width="3.7109375" style="14" customWidth="1"/>
    <col min="14" max="14" width="14" style="14" customWidth="1"/>
    <col min="15" max="16" width="7.7109375" style="14" customWidth="1"/>
    <col min="17" max="17" width="14.7109375" style="14" customWidth="1"/>
    <col min="18" max="18" width="10.7109375" style="14" customWidth="1"/>
    <col min="19" max="16384" width="9.140625" style="14"/>
  </cols>
  <sheetData>
    <row r="1" spans="1:19" ht="15.75" thickBot="1" x14ac:dyDescent="0.3">
      <c r="A1" s="51" t="s">
        <v>37</v>
      </c>
    </row>
    <row r="2" spans="1:19" ht="15.75" thickBot="1" x14ac:dyDescent="0.3">
      <c r="A2" s="14" t="s">
        <v>160</v>
      </c>
      <c r="F2" s="51">
        <f>D13*I15*0.205</f>
        <v>2.9979637555188976E-3</v>
      </c>
    </row>
    <row r="3" spans="1:19" x14ac:dyDescent="0.25">
      <c r="A3" s="14" t="s">
        <v>161</v>
      </c>
    </row>
    <row r="5" spans="1:19" x14ac:dyDescent="0.25">
      <c r="D5" s="14">
        <f>1-D13</f>
        <v>0.91225471935066638</v>
      </c>
      <c r="E5" s="15" t="s">
        <v>98</v>
      </c>
    </row>
    <row r="6" spans="1:19" x14ac:dyDescent="0.25">
      <c r="Q6" s="89" t="s">
        <v>100</v>
      </c>
    </row>
    <row r="7" spans="1:19" x14ac:dyDescent="0.25">
      <c r="N7" s="89">
        <f>1-N11</f>
        <v>0.99999985889999998</v>
      </c>
      <c r="O7" s="15" t="s">
        <v>151</v>
      </c>
    </row>
    <row r="8" spans="1:19" x14ac:dyDescent="0.25">
      <c r="Q8" s="89" t="s">
        <v>100</v>
      </c>
    </row>
    <row r="9" spans="1:19" ht="30" x14ac:dyDescent="0.25">
      <c r="A9" s="38" t="s">
        <v>176</v>
      </c>
      <c r="I9" s="89">
        <f>10/12</f>
        <v>0.83333333333333337</v>
      </c>
      <c r="J9" s="15" t="s">
        <v>101</v>
      </c>
    </row>
    <row r="10" spans="1:19" x14ac:dyDescent="0.25">
      <c r="A10" s="60"/>
      <c r="Q10" s="89"/>
      <c r="S10" s="14" t="s">
        <v>191</v>
      </c>
    </row>
    <row r="11" spans="1:19" x14ac:dyDescent="0.25">
      <c r="N11" s="94">
        <f>0.00017*0.00083</f>
        <v>1.4110000000000001E-7</v>
      </c>
      <c r="O11" s="15" t="s">
        <v>152</v>
      </c>
      <c r="S11" s="14" t="s">
        <v>122</v>
      </c>
    </row>
    <row r="12" spans="1:19" x14ac:dyDescent="0.25">
      <c r="Q12" s="89" t="s">
        <v>153</v>
      </c>
      <c r="S12" s="14" t="s">
        <v>123</v>
      </c>
    </row>
    <row r="13" spans="1:19" x14ac:dyDescent="0.25">
      <c r="D13" s="89">
        <f>'P of Neighbors out'!B24</f>
        <v>8.7745280649333596E-2</v>
      </c>
      <c r="E13" s="15" t="s">
        <v>99</v>
      </c>
    </row>
    <row r="14" spans="1:19" x14ac:dyDescent="0.25">
      <c r="G14" s="92"/>
    </row>
    <row r="15" spans="1:19" x14ac:dyDescent="0.25">
      <c r="I15" s="89">
        <f>2/12</f>
        <v>0.16666666666666666</v>
      </c>
      <c r="J15" s="15" t="s">
        <v>121</v>
      </c>
    </row>
    <row r="16" spans="1:19" x14ac:dyDescent="0.25">
      <c r="L16" s="14" t="s">
        <v>153</v>
      </c>
    </row>
    <row r="18" spans="1:17" ht="15.75" thickBot="1" x14ac:dyDescent="0.3"/>
    <row r="19" spans="1:17" ht="15.75" thickBot="1" x14ac:dyDescent="0.3">
      <c r="A19" s="14" t="s">
        <v>175</v>
      </c>
      <c r="F19" s="51">
        <f>D25*0.795*(I27+I23*N25)</f>
        <v>1.5259452712923172E-2</v>
      </c>
    </row>
    <row r="20" spans="1:17" x14ac:dyDescent="0.25">
      <c r="A20" s="14" t="s">
        <v>162</v>
      </c>
    </row>
    <row r="21" spans="1:17" x14ac:dyDescent="0.25">
      <c r="D21" s="14">
        <f>1-D25</f>
        <v>0.91225471935066638</v>
      </c>
      <c r="E21" s="15" t="s">
        <v>98</v>
      </c>
      <c r="N21" s="89">
        <f>1-N25</f>
        <v>0.9375</v>
      </c>
      <c r="O21" s="15" t="s">
        <v>201</v>
      </c>
    </row>
    <row r="22" spans="1:17" x14ac:dyDescent="0.25">
      <c r="Q22" s="89" t="s">
        <v>100</v>
      </c>
    </row>
    <row r="23" spans="1:17" ht="30" x14ac:dyDescent="0.25">
      <c r="A23" s="38" t="s">
        <v>176</v>
      </c>
      <c r="I23" s="87">
        <f>1-I27</f>
        <v>0.83333333333333337</v>
      </c>
      <c r="J23" s="15" t="s">
        <v>163</v>
      </c>
    </row>
    <row r="24" spans="1:17" x14ac:dyDescent="0.25">
      <c r="A24" s="60"/>
      <c r="Q24" s="89"/>
    </row>
    <row r="25" spans="1:17" x14ac:dyDescent="0.25">
      <c r="D25" s="89">
        <f>D13</f>
        <v>8.7745280649333596E-2</v>
      </c>
      <c r="E25" s="15" t="s">
        <v>99</v>
      </c>
      <c r="N25" s="93">
        <f>0.25^2</f>
        <v>6.25E-2</v>
      </c>
      <c r="O25" s="15" t="s">
        <v>200</v>
      </c>
    </row>
    <row r="26" spans="1:17" x14ac:dyDescent="0.25">
      <c r="G26" s="92"/>
      <c r="Q26" s="89" t="s">
        <v>153</v>
      </c>
    </row>
    <row r="27" spans="1:17" x14ac:dyDescent="0.25">
      <c r="I27" s="87">
        <f>1/6</f>
        <v>0.16666666666666666</v>
      </c>
      <c r="J27" s="15" t="s">
        <v>164</v>
      </c>
    </row>
    <row r="28" spans="1:17" x14ac:dyDescent="0.25">
      <c r="L28" s="14" t="s">
        <v>153</v>
      </c>
    </row>
    <row r="31" spans="1:17" x14ac:dyDescent="0.25">
      <c r="A31" s="14" t="s">
        <v>177</v>
      </c>
      <c r="G31" s="15"/>
    </row>
    <row r="32" spans="1:17" x14ac:dyDescent="0.25">
      <c r="A32" s="60">
        <f>F19+F2</f>
        <v>1.8257416468442068E-2</v>
      </c>
      <c r="D32" s="60"/>
      <c r="F32" s="15" t="s">
        <v>196</v>
      </c>
    </row>
    <row r="33" spans="1:7" x14ac:dyDescent="0.25">
      <c r="A33" s="14" t="s">
        <v>190</v>
      </c>
      <c r="F33" s="14" t="s">
        <v>197</v>
      </c>
    </row>
    <row r="34" spans="1:7" x14ac:dyDescent="0.25">
      <c r="F34" s="14" t="s">
        <v>199</v>
      </c>
    </row>
    <row r="35" spans="1:7" x14ac:dyDescent="0.25">
      <c r="F35" s="15" t="str">
        <f>"PN="&amp;TEXT(Analysis!D5/(0.205*(1/6)+0.795*(1/6+5/6*N25)),"0.###")</f>
        <v>PN=0.088</v>
      </c>
    </row>
    <row r="36" spans="1:7" x14ac:dyDescent="0.25">
      <c r="F36" s="95"/>
    </row>
    <row r="37" spans="1:7" x14ac:dyDescent="0.25">
      <c r="F37" s="95"/>
    </row>
    <row r="38" spans="1:7" x14ac:dyDescent="0.25">
      <c r="F38" s="95"/>
    </row>
    <row r="39" spans="1:7" x14ac:dyDescent="0.25">
      <c r="F39" s="95"/>
    </row>
    <row r="40" spans="1:7" x14ac:dyDescent="0.25">
      <c r="F40" s="95"/>
    </row>
    <row r="41" spans="1:7" x14ac:dyDescent="0.25">
      <c r="F41" s="15"/>
      <c r="G41" s="15"/>
    </row>
    <row r="42" spans="1:7" x14ac:dyDescent="0.25">
      <c r="F42" s="15"/>
      <c r="G42" s="15"/>
    </row>
    <row r="45" spans="1:7" x14ac:dyDescent="0.25">
      <c r="F45" s="15"/>
      <c r="G45" s="15"/>
    </row>
    <row r="47" spans="1:7" x14ac:dyDescent="0.25">
      <c r="E47" s="60"/>
    </row>
  </sheetData>
  <sheetProtection algorithmName="SHA-512" hashValue="e3iRtC+QdMd6/8v6qJyZMy96LlxfUXWgPtXWL/Py3r1kWyniG0qlCo7jwWxizBNjaDjDBBWKhgiJv06J3wiaXw==" saltValue="/0VZHRHBGp3uhdyQYRqW3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A61"/>
  <sheetViews>
    <sheetView zoomScale="85" zoomScaleNormal="85" workbookViewId="0">
      <selection activeCell="B7" sqref="B7"/>
    </sheetView>
  </sheetViews>
  <sheetFormatPr defaultRowHeight="15" x14ac:dyDescent="0.25"/>
  <cols>
    <col min="1" max="1" width="28" style="14" customWidth="1"/>
    <col min="2" max="2" width="3" style="14" customWidth="1"/>
    <col min="3" max="4" width="9.140625" style="14"/>
    <col min="5" max="5" width="12" style="14" bestFit="1" customWidth="1"/>
    <col min="6" max="6" width="9.140625" style="14" customWidth="1"/>
    <col min="7" max="11" width="9.140625" style="14"/>
    <col min="12" max="12" width="2.42578125" style="14" customWidth="1"/>
    <col min="13" max="13" width="3.7109375" style="14" customWidth="1"/>
    <col min="14" max="14" width="4.7109375" style="14" customWidth="1"/>
    <col min="15" max="16" width="7.7109375" style="14" customWidth="1"/>
    <col min="17" max="17" width="2.42578125" style="14" customWidth="1"/>
    <col min="18" max="18" width="3.7109375" style="14" customWidth="1"/>
    <col min="19" max="19" width="9.28515625" style="14" customWidth="1"/>
    <col min="20" max="21" width="7.7109375" style="14" customWidth="1"/>
    <col min="22" max="22" width="3.140625" style="14" customWidth="1"/>
    <col min="23" max="23" width="9.140625" style="14"/>
    <col min="24" max="24" width="11.5703125" style="14" bestFit="1" customWidth="1"/>
    <col min="25" max="26" width="9.140625" style="14"/>
    <col min="27" max="27" width="2.42578125" style="14" customWidth="1"/>
    <col min="28" max="28" width="3.7109375" style="14" customWidth="1"/>
    <col min="29" max="29" width="4.7109375" style="14" customWidth="1"/>
    <col min="30" max="31" width="7.7109375" style="14" customWidth="1"/>
    <col min="32" max="16384" width="9.140625" style="14"/>
  </cols>
  <sheetData>
    <row r="1" spans="1:6" x14ac:dyDescent="0.25">
      <c r="A1" s="15" t="s">
        <v>76</v>
      </c>
    </row>
    <row r="2" spans="1:6" x14ac:dyDescent="0.25">
      <c r="A2" s="15" t="s">
        <v>168</v>
      </c>
    </row>
    <row r="3" spans="1:6" x14ac:dyDescent="0.25">
      <c r="A3" s="14" t="s">
        <v>227</v>
      </c>
    </row>
    <row r="5" spans="1:6" x14ac:dyDescent="0.25">
      <c r="A5" s="14" t="s">
        <v>165</v>
      </c>
    </row>
    <row r="6" spans="1:6" ht="15.75" thickBot="1" x14ac:dyDescent="0.3">
      <c r="A6" s="14" t="s">
        <v>166</v>
      </c>
    </row>
    <row r="7" spans="1:6" ht="15.75" thickBot="1" x14ac:dyDescent="0.3">
      <c r="A7" s="88">
        <f>1/6</f>
        <v>0.16666666666666666</v>
      </c>
      <c r="B7" s="14" t="s">
        <v>226</v>
      </c>
      <c r="E7" s="14">
        <f>F16</f>
        <v>4.9966062591981627E-4</v>
      </c>
    </row>
    <row r="9" spans="1:6" x14ac:dyDescent="0.25">
      <c r="A9" s="14" t="s">
        <v>209</v>
      </c>
      <c r="E9" s="14">
        <f>F42</f>
        <v>5.7222947673461894E-3</v>
      </c>
    </row>
    <row r="11" spans="1:6" ht="15.75" thickBot="1" x14ac:dyDescent="0.3"/>
    <row r="12" spans="1:6" ht="15.75" thickBot="1" x14ac:dyDescent="0.3">
      <c r="A12" s="14" t="s">
        <v>167</v>
      </c>
      <c r="E12" s="86">
        <f>F16+F42</f>
        <v>6.2219553932660061E-3</v>
      </c>
    </row>
    <row r="15" spans="1:6" ht="15.75" thickBot="1" x14ac:dyDescent="0.3"/>
    <row r="16" spans="1:6" ht="15.75" thickBot="1" x14ac:dyDescent="0.3">
      <c r="A16" s="14" t="s">
        <v>160</v>
      </c>
      <c r="F16" s="51">
        <f>D28*I33*0.205*N35</f>
        <v>4.9966062591981627E-4</v>
      </c>
    </row>
    <row r="17" spans="1:22" x14ac:dyDescent="0.25">
      <c r="A17" s="14" t="s">
        <v>161</v>
      </c>
    </row>
    <row r="19" spans="1:22" x14ac:dyDescent="0.25">
      <c r="D19" s="14">
        <f>1-D28</f>
        <v>0.91225471935066638</v>
      </c>
      <c r="E19" s="15" t="s">
        <v>98</v>
      </c>
    </row>
    <row r="20" spans="1:22" x14ac:dyDescent="0.25">
      <c r="V20" s="89" t="s">
        <v>100</v>
      </c>
    </row>
    <row r="23" spans="1:22" x14ac:dyDescent="0.25">
      <c r="I23" s="89">
        <f>10/12</f>
        <v>0.83333333333333337</v>
      </c>
      <c r="J23" s="15" t="s">
        <v>101</v>
      </c>
    </row>
    <row r="24" spans="1:22" x14ac:dyDescent="0.25">
      <c r="A24" s="90" t="s">
        <v>176</v>
      </c>
      <c r="L24" s="91" t="s">
        <v>100</v>
      </c>
    </row>
    <row r="25" spans="1:22" x14ac:dyDescent="0.25">
      <c r="A25" s="60">
        <f>$D$19*$W$20+$D$28*$F$30</f>
        <v>0</v>
      </c>
    </row>
    <row r="28" spans="1:22" x14ac:dyDescent="0.25">
      <c r="D28" s="89">
        <f>'Likelihood Before'!D13</f>
        <v>8.7745280649333596E-2</v>
      </c>
      <c r="E28" s="15" t="s">
        <v>99</v>
      </c>
    </row>
    <row r="29" spans="1:22" x14ac:dyDescent="0.25">
      <c r="G29" s="92"/>
    </row>
    <row r="30" spans="1:22" x14ac:dyDescent="0.25">
      <c r="F30" s="14">
        <f>$N$23*$P$25</f>
        <v>0</v>
      </c>
    </row>
    <row r="31" spans="1:22" x14ac:dyDescent="0.25">
      <c r="N31" s="89">
        <f>1-N35</f>
        <v>0.83333333333333337</v>
      </c>
      <c r="O31" s="15" t="s">
        <v>202</v>
      </c>
    </row>
    <row r="32" spans="1:22" x14ac:dyDescent="0.25">
      <c r="Q32" s="14" t="s">
        <v>100</v>
      </c>
    </row>
    <row r="33" spans="1:27" x14ac:dyDescent="0.25">
      <c r="I33" s="89">
        <f>2/12</f>
        <v>0.16666666666666666</v>
      </c>
      <c r="J33" s="15" t="s">
        <v>121</v>
      </c>
    </row>
    <row r="35" spans="1:27" x14ac:dyDescent="0.25">
      <c r="K35" s="14">
        <f>$N$31*$R$30+$N$35*$R$34</f>
        <v>0</v>
      </c>
      <c r="N35" s="87">
        <f>A7</f>
        <v>0.16666666666666666</v>
      </c>
      <c r="O35" s="15" t="s">
        <v>203</v>
      </c>
    </row>
    <row r="36" spans="1:27" x14ac:dyDescent="0.25">
      <c r="Q36" s="14" t="s">
        <v>153</v>
      </c>
    </row>
    <row r="41" spans="1:27" ht="15.75" thickBot="1" x14ac:dyDescent="0.3"/>
    <row r="42" spans="1:27" ht="15.75" thickBot="1" x14ac:dyDescent="0.3">
      <c r="A42" s="14" t="s">
        <v>175</v>
      </c>
      <c r="F42" s="51">
        <f>D48*0.795*(I57*(N59+N55*S57)+I46*N48*(S50+S46*X48))</f>
        <v>5.7222947673461894E-3</v>
      </c>
    </row>
    <row r="43" spans="1:27" x14ac:dyDescent="0.25">
      <c r="A43" s="14" t="s">
        <v>162</v>
      </c>
    </row>
    <row r="44" spans="1:27" x14ac:dyDescent="0.25">
      <c r="D44" s="14">
        <f>1-D48</f>
        <v>0.91225471935066638</v>
      </c>
      <c r="E44" s="15" t="s">
        <v>98</v>
      </c>
      <c r="N44" s="89">
        <f>1-N48</f>
        <v>0.9375</v>
      </c>
      <c r="O44" s="15" t="s">
        <v>205</v>
      </c>
      <c r="X44" s="89">
        <f>1-X48</f>
        <v>0.75</v>
      </c>
      <c r="Y44" s="15" t="s">
        <v>206</v>
      </c>
    </row>
    <row r="45" spans="1:27" x14ac:dyDescent="0.25">
      <c r="G45" s="89" t="s">
        <v>100</v>
      </c>
      <c r="Q45" s="89" t="s">
        <v>100</v>
      </c>
      <c r="AA45" s="89" t="s">
        <v>100</v>
      </c>
    </row>
    <row r="46" spans="1:27" x14ac:dyDescent="0.25">
      <c r="A46" s="90" t="s">
        <v>176</v>
      </c>
      <c r="I46" s="87">
        <f>1-I57</f>
        <v>0.83333333333333337</v>
      </c>
      <c r="J46" s="15" t="s">
        <v>163</v>
      </c>
      <c r="S46" s="89">
        <f>1-S50</f>
        <v>0.83333333333333337</v>
      </c>
      <c r="T46" s="15" t="s">
        <v>202</v>
      </c>
    </row>
    <row r="47" spans="1:27" x14ac:dyDescent="0.25">
      <c r="A47" s="60"/>
      <c r="AA47" s="89"/>
    </row>
    <row r="48" spans="1:27" x14ac:dyDescent="0.25">
      <c r="D48" s="89">
        <f>D28</f>
        <v>8.7745280649333596E-2</v>
      </c>
      <c r="E48" s="15" t="s">
        <v>99</v>
      </c>
      <c r="N48" s="93">
        <f>0.25^2</f>
        <v>6.25E-2</v>
      </c>
      <c r="O48" s="15" t="s">
        <v>204</v>
      </c>
      <c r="X48" s="93">
        <v>0.25</v>
      </c>
      <c r="Y48" s="15" t="s">
        <v>207</v>
      </c>
    </row>
    <row r="49" spans="1:27" x14ac:dyDescent="0.25">
      <c r="G49" s="92"/>
      <c r="AA49" s="89" t="s">
        <v>153</v>
      </c>
    </row>
    <row r="50" spans="1:27" x14ac:dyDescent="0.25">
      <c r="G50" s="92"/>
      <c r="S50" s="93">
        <f>A7</f>
        <v>0.16666666666666666</v>
      </c>
      <c r="T50" s="15" t="s">
        <v>203</v>
      </c>
    </row>
    <row r="51" spans="1:27" x14ac:dyDescent="0.25">
      <c r="G51" s="92"/>
      <c r="V51" s="89" t="s">
        <v>153</v>
      </c>
      <c r="AA51" s="89"/>
    </row>
    <row r="52" spans="1:27" x14ac:dyDescent="0.25">
      <c r="G52" s="92"/>
      <c r="Q52" s="89"/>
      <c r="X52" s="93"/>
      <c r="Y52" s="15"/>
    </row>
    <row r="53" spans="1:27" x14ac:dyDescent="0.25">
      <c r="G53" s="92"/>
      <c r="S53" s="89">
        <f>1-S57</f>
        <v>0.75</v>
      </c>
      <c r="T53" s="15" t="s">
        <v>206</v>
      </c>
      <c r="AA53" s="89"/>
    </row>
    <row r="54" spans="1:27" x14ac:dyDescent="0.25">
      <c r="A54" s="38"/>
      <c r="G54" s="92"/>
      <c r="V54" s="89" t="s">
        <v>100</v>
      </c>
    </row>
    <row r="55" spans="1:27" x14ac:dyDescent="0.25">
      <c r="G55" s="92"/>
      <c r="N55" s="89">
        <f>1-N59</f>
        <v>0.83333333333333337</v>
      </c>
      <c r="O55" s="15" t="s">
        <v>202</v>
      </c>
    </row>
    <row r="56" spans="1:27" x14ac:dyDescent="0.25">
      <c r="G56" s="92"/>
      <c r="V56" s="89"/>
    </row>
    <row r="57" spans="1:27" x14ac:dyDescent="0.25">
      <c r="I57" s="87">
        <f>1/6</f>
        <v>0.16666666666666666</v>
      </c>
      <c r="J57" s="15" t="s">
        <v>208</v>
      </c>
      <c r="S57" s="93">
        <v>0.25</v>
      </c>
      <c r="T57" s="15" t="s">
        <v>207</v>
      </c>
    </row>
    <row r="58" spans="1:27" x14ac:dyDescent="0.25">
      <c r="V58" s="89" t="s">
        <v>153</v>
      </c>
    </row>
    <row r="59" spans="1:27" x14ac:dyDescent="0.25">
      <c r="N59" s="93">
        <f>A7</f>
        <v>0.16666666666666666</v>
      </c>
      <c r="O59" s="15" t="s">
        <v>203</v>
      </c>
    </row>
    <row r="60" spans="1:27" x14ac:dyDescent="0.25">
      <c r="Q60" s="89" t="s">
        <v>153</v>
      </c>
      <c r="V60" s="89"/>
    </row>
    <row r="61" spans="1:27" x14ac:dyDescent="0.25">
      <c r="L61" s="89"/>
      <c r="S61" s="93"/>
      <c r="T61" s="15"/>
    </row>
  </sheetData>
  <sheetProtection algorithmName="SHA-512" hashValue="795BBmTA9JlUv7NSlj6KrumTMjNLt+OM3aBo/O+mdIDexkMEYEk7MKfwYSUQPfGE2heuY8mpzOHknrO2mKqJJA==" saltValue="MV4U/ASXq8BBrZc0bDsCZQ==" spinCount="100000" sheet="1" objects="1" scenarios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6"/>
  <sheetViews>
    <sheetView workbookViewId="0"/>
  </sheetViews>
  <sheetFormatPr defaultRowHeight="15" x14ac:dyDescent="0.25"/>
  <cols>
    <col min="1" max="4" width="9.140625" style="14"/>
    <col min="5" max="5" width="12" style="14" bestFit="1" customWidth="1"/>
    <col min="6" max="16384" width="9.140625" style="14"/>
  </cols>
  <sheetData>
    <row r="1" spans="1:5" x14ac:dyDescent="0.25">
      <c r="A1" s="14" t="s">
        <v>77</v>
      </c>
    </row>
    <row r="2" spans="1:5" x14ac:dyDescent="0.25">
      <c r="A2" s="14" t="s">
        <v>169</v>
      </c>
    </row>
    <row r="3" spans="1:5" x14ac:dyDescent="0.25">
      <c r="A3" s="14" t="s">
        <v>171</v>
      </c>
    </row>
    <row r="4" spans="1:5" x14ac:dyDescent="0.25">
      <c r="A4" s="87">
        <v>0.1</v>
      </c>
    </row>
    <row r="5" spans="1:5" ht="15.75" thickBot="1" x14ac:dyDescent="0.3"/>
    <row r="6" spans="1:5" ht="15.75" thickBot="1" x14ac:dyDescent="0.3">
      <c r="A6" s="14" t="s">
        <v>170</v>
      </c>
      <c r="E6" s="86">
        <f>(1-A4)*'Likelihood Before'!A32</f>
        <v>1.6431674821597863E-2</v>
      </c>
    </row>
  </sheetData>
  <sheetProtection algorithmName="SHA-512" hashValue="K/ZNgdTZoeG986J/ve0GwRtonm6FLzQukc2XxyusGVi00xhfz/54KapOoushQR1lM06WeKOIgILbTF0IZ8ijaw==" saltValue="nn7MfZDFQKGv2HoV+/ciZQ==" spinCount="100000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8"/>
  <sheetViews>
    <sheetView workbookViewId="0"/>
  </sheetViews>
  <sheetFormatPr defaultRowHeight="15" x14ac:dyDescent="0.25"/>
  <cols>
    <col min="1" max="4" width="9.140625" style="14"/>
    <col min="5" max="5" width="12" style="14" bestFit="1" customWidth="1"/>
    <col min="6" max="16384" width="9.140625" style="14"/>
  </cols>
  <sheetData>
    <row r="1" spans="1:5" x14ac:dyDescent="0.25">
      <c r="A1" s="14" t="s">
        <v>83</v>
      </c>
    </row>
    <row r="2" spans="1:5" x14ac:dyDescent="0.25">
      <c r="A2" s="14" t="s">
        <v>172</v>
      </c>
    </row>
    <row r="3" spans="1:5" x14ac:dyDescent="0.25">
      <c r="A3" s="14" t="s">
        <v>173</v>
      </c>
    </row>
    <row r="4" spans="1:5" x14ac:dyDescent="0.25">
      <c r="A4" s="14" t="s">
        <v>187</v>
      </c>
    </row>
    <row r="5" spans="1:5" x14ac:dyDescent="0.25">
      <c r="A5" s="14" t="s">
        <v>188</v>
      </c>
    </row>
    <row r="6" spans="1:5" x14ac:dyDescent="0.25">
      <c r="A6" s="14" t="s">
        <v>189</v>
      </c>
    </row>
    <row r="7" spans="1:5" ht="15.75" thickBot="1" x14ac:dyDescent="0.3"/>
    <row r="8" spans="1:5" ht="15.75" thickBot="1" x14ac:dyDescent="0.3">
      <c r="A8" s="14" t="s">
        <v>174</v>
      </c>
      <c r="E8" s="86">
        <f>'Likelihood Before'!D13*'Likelihood Before'!I15</f>
        <v>1.4624213441555598E-2</v>
      </c>
    </row>
  </sheetData>
  <sheetProtection algorithmName="SHA-512" hashValue="SXyG6py//+ROqDO2uweUe1lkV7r+vzzAl05GsL0+T55MBVMbheyAcDgIzP0s04KsbOamMnzDQUQ/1GepIyXMIQ==" saltValue="uzTvy56brry/VS2YWkOK7g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25"/>
  <sheetViews>
    <sheetView topLeftCell="A8" workbookViewId="0">
      <selection activeCell="B25" sqref="B25"/>
    </sheetView>
  </sheetViews>
  <sheetFormatPr defaultRowHeight="15" x14ac:dyDescent="0.25"/>
  <cols>
    <col min="4" max="4" width="12" bestFit="1" customWidth="1"/>
  </cols>
  <sheetData>
    <row r="1" spans="1:4" x14ac:dyDescent="0.25">
      <c r="A1" t="s">
        <v>103</v>
      </c>
      <c r="B1">
        <v>0.04</v>
      </c>
      <c r="C1" s="37" t="s">
        <v>120</v>
      </c>
    </row>
    <row r="2" spans="1:4" x14ac:dyDescent="0.25">
      <c r="A2" t="s">
        <v>104</v>
      </c>
      <c r="B2">
        <f>[2]Sheet1!$B$22</f>
        <v>8.9418777943368107E-4</v>
      </c>
      <c r="C2" t="s">
        <v>105</v>
      </c>
      <c r="D2" s="23">
        <v>324308477</v>
      </c>
    </row>
    <row r="3" spans="1:4" x14ac:dyDescent="0.25">
      <c r="C3" t="s">
        <v>106</v>
      </c>
      <c r="D3" s="24">
        <v>2013</v>
      </c>
    </row>
    <row r="4" spans="1:4" x14ac:dyDescent="0.25">
      <c r="C4" s="1" t="s">
        <v>107</v>
      </c>
      <c r="D4" s="1">
        <f>D2/D3</f>
        <v>161107.04272230502</v>
      </c>
    </row>
    <row r="6" spans="1:4" x14ac:dyDescent="0.25">
      <c r="C6" s="1" t="s">
        <v>108</v>
      </c>
      <c r="D6" s="1">
        <f>D4*4</f>
        <v>644428.17088922008</v>
      </c>
    </row>
    <row r="7" spans="1:4" x14ac:dyDescent="0.25">
      <c r="C7" t="s">
        <v>109</v>
      </c>
    </row>
    <row r="9" spans="1:4" x14ac:dyDescent="0.25">
      <c r="C9" s="1" t="s">
        <v>110</v>
      </c>
    </row>
    <row r="10" spans="1:4" x14ac:dyDescent="0.25">
      <c r="C10" t="s">
        <v>111</v>
      </c>
      <c r="D10" t="s">
        <v>112</v>
      </c>
    </row>
    <row r="11" spans="1:4" x14ac:dyDescent="0.25">
      <c r="C11" s="25">
        <v>2010</v>
      </c>
      <c r="D11">
        <v>1</v>
      </c>
    </row>
    <row r="12" spans="1:4" x14ac:dyDescent="0.25">
      <c r="C12" s="25">
        <v>2012</v>
      </c>
      <c r="D12">
        <v>4</v>
      </c>
    </row>
    <row r="13" spans="1:4" x14ac:dyDescent="0.25">
      <c r="C13" s="25">
        <v>2013</v>
      </c>
      <c r="D13">
        <v>1</v>
      </c>
    </row>
    <row r="14" spans="1:4" x14ac:dyDescent="0.25">
      <c r="C14" s="25">
        <v>2014</v>
      </c>
      <c r="D14">
        <v>3</v>
      </c>
    </row>
    <row r="15" spans="1:4" x14ac:dyDescent="0.25">
      <c r="C15" s="25">
        <v>2015</v>
      </c>
      <c r="D15">
        <v>0</v>
      </c>
    </row>
    <row r="16" spans="1:4" x14ac:dyDescent="0.25">
      <c r="C16" s="1" t="s">
        <v>113</v>
      </c>
      <c r="D16" s="1">
        <v>9</v>
      </c>
    </row>
    <row r="17" spans="1:5" x14ac:dyDescent="0.25">
      <c r="C17" s="1" t="s">
        <v>114</v>
      </c>
      <c r="D17" s="1">
        <f>AVERAGE(D11:D15)</f>
        <v>1.8</v>
      </c>
    </row>
    <row r="18" spans="1:5" x14ac:dyDescent="0.25">
      <c r="C18" t="s">
        <v>115</v>
      </c>
    </row>
    <row r="20" spans="1:5" x14ac:dyDescent="0.25">
      <c r="C20" s="1" t="s">
        <v>116</v>
      </c>
      <c r="D20" s="26">
        <f>D17/D3</f>
        <v>8.9418777943368107E-4</v>
      </c>
      <c r="E20" s="6" t="s">
        <v>117</v>
      </c>
    </row>
    <row r="22" spans="1:5" x14ac:dyDescent="0.25">
      <c r="A22" t="s">
        <v>118</v>
      </c>
      <c r="B22" s="5">
        <f>Analysis!D27</f>
        <v>1.8257418583505498E-2</v>
      </c>
      <c r="C22" t="s">
        <v>119</v>
      </c>
    </row>
    <row r="24" spans="1:5" x14ac:dyDescent="0.25">
      <c r="A24" t="s">
        <v>157</v>
      </c>
      <c r="B24" s="13">
        <f>Analysis!D5/(0.205*(1/6+5/6*0.00017*0.00083)+0.795*(1/6+5/6*'Likelihood Before'!N25))</f>
        <v>8.7745280649333596E-2</v>
      </c>
      <c r="C24" t="s">
        <v>159</v>
      </c>
    </row>
    <row r="25" spans="1:5" x14ac:dyDescent="0.25">
      <c r="C25" t="s">
        <v>158</v>
      </c>
    </row>
  </sheetData>
  <sheetProtection algorithmName="SHA-512" hashValue="YxOqP+4gZPsiNIOtPvHMvi7wjjLUtPDpPs477Du598SFGiqisME24Sm9/BJS1QmUlj0TkP6G45d4tIYmoZiVLA==" saltValue="ZvhRtF3xoKgEduEyyqmlBQ==" spinCount="100000" sheet="1" objects="1" scenarios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R47"/>
  <sheetViews>
    <sheetView workbookViewId="0">
      <selection activeCell="E44" sqref="E44"/>
    </sheetView>
  </sheetViews>
  <sheetFormatPr defaultRowHeight="15" x14ac:dyDescent="0.25"/>
  <cols>
    <col min="1" max="1" width="12.28515625" customWidth="1"/>
    <col min="2" max="2" width="2.42578125" customWidth="1"/>
    <col min="3" max="3" width="3.7109375" customWidth="1"/>
    <col min="4" max="4" width="8.7109375" customWidth="1"/>
    <col min="5" max="5" width="7.7109375" customWidth="1"/>
    <col min="6" max="6" width="23.140625" customWidth="1"/>
    <col min="7" max="7" width="13.5703125" customWidth="1"/>
    <col min="8" max="8" width="3.7109375" customWidth="1"/>
    <col min="9" max="9" width="6.140625" customWidth="1"/>
    <col min="10" max="11" width="7.7109375" customWidth="1"/>
    <col min="12" max="12" width="2.42578125" customWidth="1"/>
    <col min="13" max="13" width="3.7109375" customWidth="1"/>
    <col min="14" max="14" width="14" customWidth="1"/>
    <col min="15" max="16" width="7.7109375" customWidth="1"/>
    <col min="17" max="17" width="14.7109375" customWidth="1"/>
    <col min="18" max="18" width="10.7109375" customWidth="1"/>
  </cols>
  <sheetData>
    <row r="1" spans="1:18" x14ac:dyDescent="0.25">
      <c r="A1" t="s">
        <v>76</v>
      </c>
    </row>
    <row r="2" spans="1:18" x14ac:dyDescent="0.25">
      <c r="A2" t="s">
        <v>126</v>
      </c>
    </row>
    <row r="3" spans="1:18" x14ac:dyDescent="0.25">
      <c r="A3" t="s">
        <v>124</v>
      </c>
    </row>
    <row r="4" spans="1:18" x14ac:dyDescent="0.25">
      <c r="A4" t="s">
        <v>125</v>
      </c>
    </row>
    <row r="5" spans="1:18" x14ac:dyDescent="0.25">
      <c r="A5" t="s">
        <v>96</v>
      </c>
      <c r="Q5" s="19" t="s">
        <v>94</v>
      </c>
      <c r="R5" s="19" t="s">
        <v>95</v>
      </c>
    </row>
    <row r="8" spans="1:18" x14ac:dyDescent="0.25">
      <c r="D8" s="21">
        <f>1-D18</f>
        <v>0.97798100335347127</v>
      </c>
      <c r="E8" s="1" t="s">
        <v>98</v>
      </c>
    </row>
    <row r="9" spans="1:18" x14ac:dyDescent="0.25">
      <c r="Q9" s="20" t="s">
        <v>100</v>
      </c>
    </row>
    <row r="12" spans="1:18" x14ac:dyDescent="0.25">
      <c r="N12" s="20">
        <f>1-N16</f>
        <v>0.99999985889999998</v>
      </c>
      <c r="O12" s="1" t="s">
        <v>151</v>
      </c>
    </row>
    <row r="13" spans="1:18" x14ac:dyDescent="0.25">
      <c r="Q13" s="20" t="s">
        <v>100</v>
      </c>
    </row>
    <row r="14" spans="1:18" ht="30" x14ac:dyDescent="0.25">
      <c r="A14" s="3" t="s">
        <v>97</v>
      </c>
      <c r="I14" s="20">
        <f>10/12</f>
        <v>0.83333333333333337</v>
      </c>
      <c r="J14" s="1" t="s">
        <v>101</v>
      </c>
    </row>
    <row r="15" spans="1:18" x14ac:dyDescent="0.25">
      <c r="A15" s="5">
        <f>Analysis!B5</f>
        <v>1.8257418583505498E-2</v>
      </c>
      <c r="Q15" s="20"/>
    </row>
    <row r="16" spans="1:18" x14ac:dyDescent="0.25">
      <c r="A16" t="s">
        <v>102</v>
      </c>
      <c r="N16" s="33">
        <f>0.00017*0.00083</f>
        <v>1.4110000000000001E-7</v>
      </c>
      <c r="O16" s="1" t="s">
        <v>152</v>
      </c>
    </row>
    <row r="17" spans="1:17" x14ac:dyDescent="0.25">
      <c r="Q17" s="20" t="s">
        <v>153</v>
      </c>
    </row>
    <row r="18" spans="1:17" x14ac:dyDescent="0.25">
      <c r="D18" s="22">
        <f>E46</f>
        <v>2.2018996646528753E-2</v>
      </c>
      <c r="E18" s="1" t="s">
        <v>99</v>
      </c>
    </row>
    <row r="19" spans="1:17" x14ac:dyDescent="0.25">
      <c r="G19" s="27"/>
      <c r="Q19" s="20"/>
    </row>
    <row r="20" spans="1:17" x14ac:dyDescent="0.25">
      <c r="F20">
        <f>$I$22*$K$24+$I$14*$K$16</f>
        <v>0</v>
      </c>
      <c r="N20" s="34">
        <f>1-N24</f>
        <v>1.0000000000000009E-2</v>
      </c>
      <c r="O20" s="1" t="s">
        <v>154</v>
      </c>
    </row>
    <row r="21" spans="1:17" x14ac:dyDescent="0.25">
      <c r="N21" s="35"/>
      <c r="Q21" s="20" t="s">
        <v>153</v>
      </c>
    </row>
    <row r="22" spans="1:17" x14ac:dyDescent="0.25">
      <c r="I22" s="32">
        <f>2/12</f>
        <v>0.16666666666666666</v>
      </c>
      <c r="J22" s="1" t="s">
        <v>121</v>
      </c>
      <c r="N22" s="35"/>
    </row>
    <row r="23" spans="1:17" ht="75" x14ac:dyDescent="0.25">
      <c r="D23" t="s">
        <v>103</v>
      </c>
      <c r="E23">
        <v>0.04</v>
      </c>
      <c r="F23" s="3" t="s">
        <v>120</v>
      </c>
      <c r="N23" s="35"/>
      <c r="Q23" s="20"/>
    </row>
    <row r="24" spans="1:17" x14ac:dyDescent="0.25">
      <c r="A24">
        <f>A15*D18</f>
        <v>4.0201003856447931E-4</v>
      </c>
      <c r="D24" t="s">
        <v>104</v>
      </c>
      <c r="E24">
        <f>[2]Sheet1!$B$22</f>
        <v>8.9418777943368107E-4</v>
      </c>
      <c r="F24" t="s">
        <v>105</v>
      </c>
      <c r="G24" s="23">
        <v>324308477</v>
      </c>
      <c r="N24" s="36">
        <v>0.99</v>
      </c>
      <c r="O24" s="1" t="s">
        <v>155</v>
      </c>
    </row>
    <row r="25" spans="1:17" x14ac:dyDescent="0.25">
      <c r="F25" t="s">
        <v>106</v>
      </c>
      <c r="G25" s="24">
        <v>2013</v>
      </c>
      <c r="Q25" s="20" t="s">
        <v>156</v>
      </c>
    </row>
    <row r="26" spans="1:17" x14ac:dyDescent="0.25">
      <c r="F26" s="1" t="s">
        <v>107</v>
      </c>
      <c r="G26" s="1">
        <f>G24/G25</f>
        <v>161107.04272230502</v>
      </c>
    </row>
    <row r="27" spans="1:17" x14ac:dyDescent="0.25">
      <c r="N27" t="s">
        <v>122</v>
      </c>
    </row>
    <row r="28" spans="1:17" x14ac:dyDescent="0.25">
      <c r="F28" s="1" t="s">
        <v>108</v>
      </c>
      <c r="G28" s="1">
        <f>G26*4</f>
        <v>644428.17088922008</v>
      </c>
      <c r="N28" t="s">
        <v>123</v>
      </c>
    </row>
    <row r="29" spans="1:17" x14ac:dyDescent="0.25">
      <c r="F29" t="s">
        <v>109</v>
      </c>
    </row>
    <row r="30" spans="1:17" x14ac:dyDescent="0.25">
      <c r="Q30" t="s">
        <v>147</v>
      </c>
    </row>
    <row r="31" spans="1:17" x14ac:dyDescent="0.25">
      <c r="F31" s="1" t="s">
        <v>110</v>
      </c>
      <c r="Q31" s="31">
        <f>D18*((I22*N20+I14*N16)*0.205+0.795)</f>
        <v>1.7512626021936664E-2</v>
      </c>
    </row>
    <row r="32" spans="1:17" x14ac:dyDescent="0.25">
      <c r="F32" t="s">
        <v>111</v>
      </c>
      <c r="G32" t="s">
        <v>112</v>
      </c>
    </row>
    <row r="33" spans="4:8" x14ac:dyDescent="0.25">
      <c r="F33" s="25">
        <v>2010</v>
      </c>
      <c r="G33">
        <v>1</v>
      </c>
    </row>
    <row r="34" spans="4:8" x14ac:dyDescent="0.25">
      <c r="F34" s="25">
        <v>2012</v>
      </c>
      <c r="G34">
        <v>4</v>
      </c>
    </row>
    <row r="35" spans="4:8" x14ac:dyDescent="0.25">
      <c r="F35" s="25">
        <v>2013</v>
      </c>
      <c r="G35">
        <v>1</v>
      </c>
    </row>
    <row r="36" spans="4:8" x14ac:dyDescent="0.25">
      <c r="F36" s="25">
        <v>2014</v>
      </c>
      <c r="G36">
        <v>3</v>
      </c>
    </row>
    <row r="37" spans="4:8" x14ac:dyDescent="0.25">
      <c r="F37" s="25">
        <v>2015</v>
      </c>
      <c r="G37">
        <v>0</v>
      </c>
    </row>
    <row r="38" spans="4:8" x14ac:dyDescent="0.25">
      <c r="F38" s="1" t="s">
        <v>113</v>
      </c>
      <c r="G38" s="1">
        <v>9</v>
      </c>
    </row>
    <row r="39" spans="4:8" x14ac:dyDescent="0.25">
      <c r="F39" s="1" t="s">
        <v>114</v>
      </c>
      <c r="G39" s="1">
        <f>AVERAGE(G33:G37)</f>
        <v>1.8</v>
      </c>
    </row>
    <row r="40" spans="4:8" x14ac:dyDescent="0.25">
      <c r="F40" t="s">
        <v>115</v>
      </c>
    </row>
    <row r="42" spans="4:8" x14ac:dyDescent="0.25">
      <c r="F42" s="1" t="s">
        <v>116</v>
      </c>
      <c r="G42" s="26">
        <f>G39/G25</f>
        <v>8.9418777943368107E-4</v>
      </c>
      <c r="H42" s="6" t="s">
        <v>117</v>
      </c>
    </row>
    <row r="44" spans="4:8" x14ac:dyDescent="0.25">
      <c r="D44" t="s">
        <v>118</v>
      </c>
      <c r="E44" s="5">
        <f>A15</f>
        <v>1.8257418583505498E-2</v>
      </c>
      <c r="F44" t="s">
        <v>119</v>
      </c>
    </row>
    <row r="46" spans="4:8" x14ac:dyDescent="0.25">
      <c r="D46" t="s">
        <v>157</v>
      </c>
      <c r="E46">
        <f>Analysis!D5/(0.205*(1/6+5/6*0.00017*0.00083)+0.795)</f>
        <v>2.2018996646528753E-2</v>
      </c>
      <c r="F46" t="s">
        <v>159</v>
      </c>
    </row>
    <row r="47" spans="4:8" x14ac:dyDescent="0.25">
      <c r="F47" t="s">
        <v>158</v>
      </c>
    </row>
  </sheetData>
  <sheetProtection algorithmName="SHA-512" hashValue="M7s/r7ExDFyGBNWZYBxObw76hSZwme3xFcA1eI90j5tdZwG+lFADFH8FzuZEM0QCqC2rBbtYw/lSN4qzfarHTA==" saltValue="3dve0j9Lafy0uIHmB9zgzQ==" spinCount="100000" sheet="1" objects="1" scenarios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5F11FE97CC0B4B99B15CE895FECCD9" ma:contentTypeVersion="2" ma:contentTypeDescription="Create a new document." ma:contentTypeScope="" ma:versionID="bd3593010a512bd2aa90b0c20cf1f5f4">
  <xsd:schema xmlns:xsd="http://www.w3.org/2001/XMLSchema" xmlns:xs="http://www.w3.org/2001/XMLSchema" xmlns:p="http://schemas.microsoft.com/office/2006/metadata/properties" xmlns:ns2="c9707976-b9a4-4d64-b46b-225405a11850" targetNamespace="http://schemas.microsoft.com/office/2006/metadata/properties" ma:root="true" ma:fieldsID="4c5c5e0f3adf1f87f277ab198cdd28fa" ns2:_="">
    <xsd:import namespace="c9707976-b9a4-4d64-b46b-225405a1185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07976-b9a4-4d64-b46b-225405a118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57F5FC-5DF2-4B35-A48E-396FB3C506CD}">
  <ds:schemaRefs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c9707976-b9a4-4d64-b46b-225405a11850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B419055-A836-44A6-8F54-1F3AEBA0F9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8ABD45-4FE8-4590-BDA5-676F408734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707976-b9a4-4d64-b46b-225405a118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Cover Page</vt:lpstr>
      <vt:lpstr>Analysis</vt:lpstr>
      <vt:lpstr>Summary</vt:lpstr>
      <vt:lpstr>Likelihood Before</vt:lpstr>
      <vt:lpstr>P1</vt:lpstr>
      <vt:lpstr>P2</vt:lpstr>
      <vt:lpstr>P3</vt:lpstr>
      <vt:lpstr>P of Neighbors out</vt:lpstr>
      <vt:lpstr>P1 FaultTree</vt:lpstr>
      <vt:lpstr>P2 FaultTree</vt:lpstr>
      <vt:lpstr>P3 FaultTree</vt:lpstr>
      <vt:lpstr>Reference</vt:lpstr>
      <vt:lpstr>'Cover Page'!Print_Area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Almujahed</dc:creator>
  <cp:lastModifiedBy>York, Jamie K</cp:lastModifiedBy>
  <cp:lastPrinted>2015-11-16T23:20:18Z</cp:lastPrinted>
  <dcterms:created xsi:type="dcterms:W3CDTF">2015-11-11T19:37:07Z</dcterms:created>
  <dcterms:modified xsi:type="dcterms:W3CDTF">2017-01-11T22:05:21Z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0x010100995F11FE97CC0B4B99B15CE895FECCD9</vt:lpwstr>
  </property>
</Properties>
</file>