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empra.sharepoint.com/teams/transmissionrevenue/2023/Citizens/SX-PQ/Cycle 6 Annual Filing/SX-PQ Cycle 6 Oct Filing/Revised SX-PQ Cost Adj Workpapers/"/>
    </mc:Choice>
  </mc:AlternateContent>
  <xr:revisionPtr revIDLastSave="55" documentId="8_{AAFE8DCB-55B8-44B9-9D81-1866F7CB124E}" xr6:coauthVersionLast="47" xr6:coauthVersionMax="47" xr10:uidLastSave="{77D83A6A-96B3-4DBB-9175-0F20527D8410}"/>
  <bookViews>
    <workbookView xWindow="-110" yWindow="-110" windowWidth="19420" windowHeight="10420" tabRatio="722" xr2:uid="{A1AA674E-836A-4CFE-B14F-C8BAAC5651C2}"/>
  </bookViews>
  <sheets>
    <sheet name="Pg1 Appendix XII C5 Cost Adj" sheetId="1" r:id="rId1"/>
    <sheet name="Pg2 Appendix XII C5 Comparison" sheetId="16" r:id="rId2"/>
    <sheet name="Pg3 Rev App. XII C5" sheetId="15" r:id="rId3"/>
    <sheet name="Pg4 As Filed-Orig. App XII C5" sheetId="34" r:id="rId4"/>
    <sheet name="Pg5 Rev Sec.2-Non-Direct Exp" sheetId="13" r:id="rId5"/>
    <sheet name="Pg6 As Filed Sec.2-Non Dir Exp" sheetId="27" r:id="rId6"/>
    <sheet name="Pg7 Rev Sec.4-TU" sheetId="12" r:id="rId7"/>
    <sheet name="Pg7.1 As Filed Sec.4-TU" sheetId="45" r:id="rId8"/>
    <sheet name="Pg8 Rev Stmt AH" sheetId="19" r:id="rId9"/>
    <sheet name="Pg8.1 As Filed-Stmt AH" sheetId="32" r:id="rId10"/>
    <sheet name="Pg8.2 Rev AH-3" sheetId="18" r:id="rId11"/>
    <sheet name="Pg8.3 As Filed-AH-3" sheetId="31" r:id="rId12"/>
    <sheet name="Pg9 Rev Stmt AL" sheetId="17" r:id="rId13"/>
    <sheet name="Pg9.1 As Filed-Smt AL" sheetId="33" r:id="rId14"/>
    <sheet name="Pg10 Rev Stmt AV" sheetId="11" r:id="rId15"/>
    <sheet name="Pg11 As Filed Stmt AV" sheetId="46" r:id="rId16"/>
    <sheet name="Pg12 Rev AV-4" sheetId="21" r:id="rId17"/>
    <sheet name="Pg13 As Filed AV-4" sheetId="30" r:id="rId18"/>
    <sheet name="Pg14 Appendix XII C5 Int Calc" sheetId="26" r:id="rId19"/>
  </sheets>
  <definedNames>
    <definedName name="_xlnm.Print_Area" localSheetId="15">'Pg11 As Filed Stmt AV'!$A$2:$J$156</definedName>
    <definedName name="_xlnm.Print_Area" localSheetId="17">'Pg13 As Filed AV-4'!$A$2:$F$85</definedName>
    <definedName name="_xlnm.Print_Area" localSheetId="3">'Pg4 As Filed-Orig. App XII C5'!$A$2:$E$54</definedName>
    <definedName name="_xlnm.Print_Area" localSheetId="5">'Pg6 As Filed Sec.2-Non Dir Exp'!$A$2:$H$98</definedName>
    <definedName name="_xlnm.Print_Area" localSheetId="7">'Pg7.1 As Filed Sec.4-TU'!$A$2:$N$42</definedName>
    <definedName name="_xlnm.Print_Area" localSheetId="9">'Pg8.1 As Filed-Stmt AH'!$A$2:$H$72</definedName>
    <definedName name="_xlnm.Print_Area" localSheetId="10">'Pg8.2 Rev AH-3'!$A$1:$L$76</definedName>
    <definedName name="_xlnm.Print_Area" localSheetId="11">'Pg8.3 As Filed-AH-3'!$A$2:$H$68</definedName>
    <definedName name="_xlnm.Print_Area" localSheetId="13">'Pg9.1 As Filed-Smt AL'!$A$2:$J$35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7" i="15" l="1"/>
  <c r="C23" i="15"/>
  <c r="C28" i="16"/>
  <c r="C24" i="16"/>
  <c r="B32" i="17" l="1"/>
  <c r="B103" i="13"/>
  <c r="B38" i="13"/>
  <c r="B56" i="15"/>
  <c r="E51" i="16"/>
  <c r="E49" i="16"/>
  <c r="E47" i="16"/>
  <c r="E45" i="16"/>
  <c r="E43" i="16"/>
  <c r="E39" i="16"/>
  <c r="E37" i="16"/>
  <c r="E35" i="16"/>
  <c r="E28" i="16"/>
  <c r="E26" i="16"/>
  <c r="E22" i="16"/>
  <c r="E20" i="16"/>
  <c r="E16" i="16"/>
  <c r="E14" i="16"/>
  <c r="E12" i="16"/>
  <c r="B52" i="15"/>
  <c r="C46" i="15"/>
  <c r="B46" i="15"/>
  <c r="C44" i="15"/>
  <c r="B44" i="15"/>
  <c r="B42" i="15"/>
  <c r="C38" i="15"/>
  <c r="B38" i="15"/>
  <c r="B36" i="15"/>
  <c r="C34" i="15"/>
  <c r="B34" i="15"/>
  <c r="E32" i="15"/>
  <c r="C32" i="15"/>
  <c r="A13" i="15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12" i="15"/>
  <c r="F11" i="15"/>
  <c r="F12" i="15" s="1"/>
  <c r="F13" i="15" s="1"/>
  <c r="F14" i="15" s="1"/>
  <c r="F15" i="15" s="1"/>
  <c r="F16" i="15" s="1"/>
  <c r="F17" i="15" s="1"/>
  <c r="F18" i="15" s="1"/>
  <c r="F19" i="15" s="1"/>
  <c r="F20" i="15" s="1"/>
  <c r="F21" i="15" s="1"/>
  <c r="F22" i="15" s="1"/>
  <c r="F23" i="15" s="1"/>
  <c r="F24" i="15" s="1"/>
  <c r="F25" i="15" s="1"/>
  <c r="F26" i="15" s="1"/>
  <c r="F27" i="15" s="1"/>
  <c r="F28" i="15" s="1"/>
  <c r="F33" i="15" s="1"/>
  <c r="F34" i="15" s="1"/>
  <c r="F35" i="15" s="1"/>
  <c r="F36" i="15" s="1"/>
  <c r="F37" i="15" s="1"/>
  <c r="F38" i="15" s="1"/>
  <c r="F39" i="15" s="1"/>
  <c r="F40" i="15" s="1"/>
  <c r="F41" i="15" s="1"/>
  <c r="F42" i="15" s="1"/>
  <c r="F43" i="15" s="1"/>
  <c r="F44" i="15" s="1"/>
  <c r="F45" i="15" s="1"/>
  <c r="F46" i="15" s="1"/>
  <c r="F47" i="15" s="1"/>
  <c r="F48" i="15" s="1"/>
  <c r="F49" i="15" s="1"/>
  <c r="F50" i="15" s="1"/>
  <c r="F51" i="15" s="1"/>
  <c r="F52" i="15" s="1"/>
  <c r="F53" i="15" s="1"/>
  <c r="E44" i="19"/>
  <c r="E46" i="19" s="1"/>
  <c r="E48" i="19" s="1"/>
  <c r="E43" i="19"/>
  <c r="E59" i="19"/>
  <c r="E67" i="19" s="1"/>
  <c r="E69" i="19" s="1"/>
  <c r="E49" i="19" s="1"/>
  <c r="E57" i="19"/>
  <c r="E27" i="19"/>
  <c r="A12" i="19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H11" i="19"/>
  <c r="H12" i="19" s="1"/>
  <c r="H13" i="19" s="1"/>
  <c r="H14" i="19" s="1"/>
  <c r="H15" i="19" s="1"/>
  <c r="H16" i="19" s="1"/>
  <c r="H17" i="19" s="1"/>
  <c r="H18" i="19" s="1"/>
  <c r="H19" i="19" s="1"/>
  <c r="H20" i="19" s="1"/>
  <c r="H21" i="19" s="1"/>
  <c r="H22" i="19" s="1"/>
  <c r="H23" i="19" s="1"/>
  <c r="H24" i="19" s="1"/>
  <c r="H25" i="19" s="1"/>
  <c r="H26" i="19" s="1"/>
  <c r="H27" i="19" s="1"/>
  <c r="H28" i="19" s="1"/>
  <c r="H29" i="19" s="1"/>
  <c r="H30" i="19" s="1"/>
  <c r="H31" i="19" s="1"/>
  <c r="H32" i="19" s="1"/>
  <c r="H33" i="19" s="1"/>
  <c r="H34" i="19" s="1"/>
  <c r="H35" i="19" s="1"/>
  <c r="H36" i="19" s="1"/>
  <c r="H37" i="19" s="1"/>
  <c r="H38" i="19" s="1"/>
  <c r="H39" i="19" s="1"/>
  <c r="H40" i="19" s="1"/>
  <c r="H41" i="19" s="1"/>
  <c r="H42" i="19" s="1"/>
  <c r="E59" i="32"/>
  <c r="E67" i="32" s="1"/>
  <c r="E44" i="32"/>
  <c r="E46" i="32" s="1"/>
  <c r="E48" i="32" s="1"/>
  <c r="E28" i="32"/>
  <c r="A13" i="32"/>
  <c r="A14" i="32" s="1"/>
  <c r="A15" i="32" s="1"/>
  <c r="A16" i="32" s="1"/>
  <c r="H12" i="32"/>
  <c r="H13" i="32" s="1"/>
  <c r="H14" i="32" s="1"/>
  <c r="H15" i="32" s="1"/>
  <c r="H16" i="32" s="1"/>
  <c r="H17" i="32" s="1"/>
  <c r="H18" i="32" s="1"/>
  <c r="H19" i="32" s="1"/>
  <c r="H20" i="32" s="1"/>
  <c r="H21" i="32" s="1"/>
  <c r="H22" i="32" s="1"/>
  <c r="H23" i="32" s="1"/>
  <c r="H24" i="32" s="1"/>
  <c r="H25" i="32" s="1"/>
  <c r="H26" i="32" s="1"/>
  <c r="H27" i="32" s="1"/>
  <c r="H28" i="32" s="1"/>
  <c r="H29" i="32" s="1"/>
  <c r="H30" i="32" s="1"/>
  <c r="H31" i="32" s="1"/>
  <c r="H32" i="32" s="1"/>
  <c r="H33" i="32" s="1"/>
  <c r="H34" i="32" s="1"/>
  <c r="H35" i="32" s="1"/>
  <c r="H36" i="32" s="1"/>
  <c r="H37" i="32" s="1"/>
  <c r="H38" i="32" s="1"/>
  <c r="H39" i="32" s="1"/>
  <c r="H40" i="32" s="1"/>
  <c r="H41" i="32" s="1"/>
  <c r="H42" i="32" s="1"/>
  <c r="H43" i="32" s="1"/>
  <c r="H44" i="32" s="1"/>
  <c r="H45" i="32" s="1"/>
  <c r="H46" i="32" s="1"/>
  <c r="H47" i="32" s="1"/>
  <c r="H48" i="32" s="1"/>
  <c r="H49" i="32" s="1"/>
  <c r="H50" i="32" s="1"/>
  <c r="H51" i="32" s="1"/>
  <c r="H52" i="32" s="1"/>
  <c r="H53" i="32" s="1"/>
  <c r="H54" i="32" s="1"/>
  <c r="H55" i="32" s="1"/>
  <c r="H56" i="32" s="1"/>
  <c r="H57" i="32" s="1"/>
  <c r="H58" i="32" s="1"/>
  <c r="H59" i="32" s="1"/>
  <c r="H60" i="32" s="1"/>
  <c r="H61" i="32" s="1"/>
  <c r="H62" i="32" s="1"/>
  <c r="H63" i="32" s="1"/>
  <c r="H64" i="32" s="1"/>
  <c r="H65" i="32" s="1"/>
  <c r="H66" i="32" s="1"/>
  <c r="H67" i="32" s="1"/>
  <c r="H68" i="32" s="1"/>
  <c r="H69" i="32" s="1"/>
  <c r="G30" i="12"/>
  <c r="F30" i="12"/>
  <c r="E30" i="12"/>
  <c r="G29" i="12"/>
  <c r="F29" i="12"/>
  <c r="E29" i="12"/>
  <c r="G28" i="12"/>
  <c r="F28" i="12"/>
  <c r="E28" i="12"/>
  <c r="G27" i="12"/>
  <c r="F27" i="12"/>
  <c r="E27" i="12"/>
  <c r="G26" i="12"/>
  <c r="F26" i="12"/>
  <c r="E26" i="12"/>
  <c r="G25" i="12"/>
  <c r="F25" i="12"/>
  <c r="E25" i="12"/>
  <c r="G24" i="12"/>
  <c r="F24" i="12"/>
  <c r="E24" i="12"/>
  <c r="G23" i="12"/>
  <c r="F23" i="12"/>
  <c r="H23" i="12" s="1"/>
  <c r="E23" i="12"/>
  <c r="G22" i="12"/>
  <c r="F22" i="12"/>
  <c r="E22" i="12"/>
  <c r="G21" i="12"/>
  <c r="H21" i="12" s="1"/>
  <c r="F21" i="12"/>
  <c r="E21" i="12"/>
  <c r="G20" i="12"/>
  <c r="F20" i="12"/>
  <c r="E20" i="12"/>
  <c r="H19" i="12"/>
  <c r="C19" i="12"/>
  <c r="C30" i="12" s="1"/>
  <c r="N12" i="12"/>
  <c r="L12" i="12"/>
  <c r="K12" i="12"/>
  <c r="I12" i="12"/>
  <c r="H12" i="12"/>
  <c r="O11" i="12"/>
  <c r="O12" i="12" s="1"/>
  <c r="O13" i="12" s="1"/>
  <c r="O14" i="12" s="1"/>
  <c r="O15" i="12" s="1"/>
  <c r="O16" i="12" s="1"/>
  <c r="O17" i="12" s="1"/>
  <c r="O18" i="12" s="1"/>
  <c r="O19" i="12" s="1"/>
  <c r="O20" i="12" s="1"/>
  <c r="O21" i="12" s="1"/>
  <c r="O22" i="12" s="1"/>
  <c r="O23" i="12" s="1"/>
  <c r="O24" i="12" s="1"/>
  <c r="O25" i="12" s="1"/>
  <c r="O26" i="12" s="1"/>
  <c r="O27" i="12" s="1"/>
  <c r="O28" i="12" s="1"/>
  <c r="O29" i="12" s="1"/>
  <c r="O30" i="12" s="1"/>
  <c r="O31" i="12" s="1"/>
  <c r="A11" i="12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F12" i="12" s="1"/>
  <c r="G31" i="45"/>
  <c r="F31" i="45"/>
  <c r="E31" i="45"/>
  <c r="D31" i="45"/>
  <c r="G29" i="45"/>
  <c r="F29" i="45"/>
  <c r="E29" i="45"/>
  <c r="D29" i="45"/>
  <c r="G27" i="45"/>
  <c r="F27" i="45"/>
  <c r="E27" i="45"/>
  <c r="D27" i="45"/>
  <c r="G25" i="45"/>
  <c r="F25" i="45"/>
  <c r="E25" i="45"/>
  <c r="D25" i="45"/>
  <c r="G23" i="45"/>
  <c r="F23" i="45"/>
  <c r="E23" i="45"/>
  <c r="D23" i="45"/>
  <c r="G21" i="45"/>
  <c r="F21" i="45"/>
  <c r="E21" i="45"/>
  <c r="D21" i="45"/>
  <c r="H20" i="45"/>
  <c r="I20" i="45" s="1"/>
  <c r="G30" i="45"/>
  <c r="F30" i="45"/>
  <c r="E30" i="45"/>
  <c r="D30" i="45"/>
  <c r="M13" i="45"/>
  <c r="L13" i="45"/>
  <c r="K13" i="45"/>
  <c r="I13" i="45"/>
  <c r="H13" i="45"/>
  <c r="N12" i="45"/>
  <c r="N13" i="45" s="1"/>
  <c r="N14" i="45" s="1"/>
  <c r="N15" i="45" s="1"/>
  <c r="N16" i="45" s="1"/>
  <c r="N17" i="45" s="1"/>
  <c r="N18" i="45" s="1"/>
  <c r="N19" i="45" s="1"/>
  <c r="N20" i="45" s="1"/>
  <c r="N21" i="45" s="1"/>
  <c r="N22" i="45" s="1"/>
  <c r="N23" i="45" s="1"/>
  <c r="N24" i="45" s="1"/>
  <c r="N25" i="45" s="1"/>
  <c r="N26" i="45" s="1"/>
  <c r="N27" i="45" s="1"/>
  <c r="N28" i="45" s="1"/>
  <c r="N29" i="45" s="1"/>
  <c r="N30" i="45" s="1"/>
  <c r="N31" i="45" s="1"/>
  <c r="N32" i="45" s="1"/>
  <c r="A12" i="45"/>
  <c r="A13" i="45" s="1"/>
  <c r="A14" i="45" s="1"/>
  <c r="A15" i="45" s="1"/>
  <c r="A16" i="45" s="1"/>
  <c r="A17" i="45" s="1"/>
  <c r="A18" i="45" s="1"/>
  <c r="A19" i="45" s="1"/>
  <c r="A20" i="45" s="1"/>
  <c r="A21" i="45" s="1"/>
  <c r="A22" i="45" s="1"/>
  <c r="A23" i="45" s="1"/>
  <c r="A24" i="45" s="1"/>
  <c r="A25" i="45" s="1"/>
  <c r="A26" i="45" s="1"/>
  <c r="A27" i="45" s="1"/>
  <c r="A28" i="45" s="1"/>
  <c r="A29" i="45" s="1"/>
  <c r="A30" i="45" s="1"/>
  <c r="A31" i="45" s="1"/>
  <c r="A32" i="45" s="1"/>
  <c r="F13" i="45" s="1"/>
  <c r="C20" i="45"/>
  <c r="E90" i="13"/>
  <c r="E70" i="13"/>
  <c r="E18" i="13" s="1"/>
  <c r="E65" i="13"/>
  <c r="E16" i="13" s="1"/>
  <c r="E55" i="13"/>
  <c r="E12" i="13" s="1"/>
  <c r="A51" i="13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A91" i="13" s="1"/>
  <c r="A92" i="13" s="1"/>
  <c r="A93" i="13" s="1"/>
  <c r="A94" i="13" s="1"/>
  <c r="A95" i="13" s="1"/>
  <c r="A96" i="13" s="1"/>
  <c r="A97" i="13" s="1"/>
  <c r="A98" i="13" s="1"/>
  <c r="A99" i="13" s="1"/>
  <c r="A100" i="13" s="1"/>
  <c r="H50" i="13"/>
  <c r="H51" i="13" s="1"/>
  <c r="H52" i="13" s="1"/>
  <c r="H53" i="13" s="1"/>
  <c r="H54" i="13" s="1"/>
  <c r="H55" i="13" s="1"/>
  <c r="H56" i="13" s="1"/>
  <c r="H57" i="13" s="1"/>
  <c r="H58" i="13" s="1"/>
  <c r="H59" i="13" s="1"/>
  <c r="H60" i="13" s="1"/>
  <c r="H61" i="13" s="1"/>
  <c r="H62" i="13" s="1"/>
  <c r="H63" i="13" s="1"/>
  <c r="H64" i="13" s="1"/>
  <c r="H65" i="13" s="1"/>
  <c r="H66" i="13" s="1"/>
  <c r="H67" i="13" s="1"/>
  <c r="H68" i="13" s="1"/>
  <c r="H69" i="13" s="1"/>
  <c r="H70" i="13" s="1"/>
  <c r="H71" i="13" s="1"/>
  <c r="H72" i="13" s="1"/>
  <c r="H73" i="13" s="1"/>
  <c r="H74" i="13" s="1"/>
  <c r="H75" i="13" s="1"/>
  <c r="H76" i="13" s="1"/>
  <c r="H77" i="13" s="1"/>
  <c r="H78" i="13" s="1"/>
  <c r="H79" i="13" s="1"/>
  <c r="H80" i="13" s="1"/>
  <c r="H81" i="13" s="1"/>
  <c r="H82" i="13" s="1"/>
  <c r="H83" i="13" s="1"/>
  <c r="H84" i="13" s="1"/>
  <c r="H85" i="13" s="1"/>
  <c r="H86" i="13" s="1"/>
  <c r="H87" i="13" s="1"/>
  <c r="H88" i="13" s="1"/>
  <c r="H89" i="13" s="1"/>
  <c r="H90" i="13" s="1"/>
  <c r="H91" i="13" s="1"/>
  <c r="H92" i="13" s="1"/>
  <c r="H93" i="13" s="1"/>
  <c r="H94" i="13" s="1"/>
  <c r="H95" i="13" s="1"/>
  <c r="H96" i="13" s="1"/>
  <c r="H97" i="13" s="1"/>
  <c r="H98" i="13" s="1"/>
  <c r="H99" i="13" s="1"/>
  <c r="H100" i="13" s="1"/>
  <c r="B45" i="13"/>
  <c r="B44" i="13"/>
  <c r="B43" i="13"/>
  <c r="A12" i="13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H11" i="13"/>
  <c r="H12" i="13" s="1"/>
  <c r="H13" i="13" s="1"/>
  <c r="H14" i="13" s="1"/>
  <c r="H15" i="13" s="1"/>
  <c r="H16" i="13" s="1"/>
  <c r="H17" i="13" s="1"/>
  <c r="H18" i="13" s="1"/>
  <c r="H19" i="13" s="1"/>
  <c r="H20" i="13" s="1"/>
  <c r="H21" i="13" s="1"/>
  <c r="H22" i="13" s="1"/>
  <c r="H23" i="13" s="1"/>
  <c r="H24" i="13" s="1"/>
  <c r="H25" i="13" s="1"/>
  <c r="H26" i="13" s="1"/>
  <c r="H27" i="13" s="1"/>
  <c r="H28" i="13" s="1"/>
  <c r="H29" i="13" s="1"/>
  <c r="H30" i="13" s="1"/>
  <c r="H31" i="13" s="1"/>
  <c r="H32" i="13" s="1"/>
  <c r="H33" i="13" s="1"/>
  <c r="H34" i="13" s="1"/>
  <c r="H35" i="13" s="1"/>
  <c r="B42" i="13"/>
  <c r="B41" i="13"/>
  <c r="E88" i="27"/>
  <c r="E90" i="27"/>
  <c r="E75" i="27"/>
  <c r="E79" i="27" s="1"/>
  <c r="E81" i="27" s="1"/>
  <c r="E21" i="27" s="1"/>
  <c r="E68" i="27"/>
  <c r="E19" i="27" s="1"/>
  <c r="E63" i="27"/>
  <c r="E17" i="27" s="1"/>
  <c r="E58" i="27"/>
  <c r="E15" i="27" s="1"/>
  <c r="E53" i="27"/>
  <c r="E13" i="27" s="1"/>
  <c r="A51" i="27"/>
  <c r="A52" i="27" s="1"/>
  <c r="A53" i="27" s="1"/>
  <c r="A50" i="27"/>
  <c r="A49" i="27"/>
  <c r="H48" i="27"/>
  <c r="H49" i="27" s="1"/>
  <c r="H50" i="27" s="1"/>
  <c r="H51" i="27" s="1"/>
  <c r="H52" i="27" s="1"/>
  <c r="H53" i="27" s="1"/>
  <c r="H54" i="27" s="1"/>
  <c r="H55" i="27" s="1"/>
  <c r="H56" i="27" s="1"/>
  <c r="H57" i="27" s="1"/>
  <c r="H58" i="27" s="1"/>
  <c r="H59" i="27" s="1"/>
  <c r="H60" i="27" s="1"/>
  <c r="H61" i="27" s="1"/>
  <c r="H62" i="27" s="1"/>
  <c r="H63" i="27" s="1"/>
  <c r="H64" i="27" s="1"/>
  <c r="H65" i="27" s="1"/>
  <c r="H66" i="27" s="1"/>
  <c r="H67" i="27" s="1"/>
  <c r="H68" i="27" s="1"/>
  <c r="H69" i="27" s="1"/>
  <c r="H70" i="27" s="1"/>
  <c r="H71" i="27" s="1"/>
  <c r="H72" i="27" s="1"/>
  <c r="H73" i="27" s="1"/>
  <c r="H74" i="27" s="1"/>
  <c r="H75" i="27" s="1"/>
  <c r="H76" i="27" s="1"/>
  <c r="H77" i="27" s="1"/>
  <c r="H78" i="27" s="1"/>
  <c r="H79" i="27" s="1"/>
  <c r="H80" i="27" s="1"/>
  <c r="H81" i="27" s="1"/>
  <c r="H82" i="27" s="1"/>
  <c r="H83" i="27" s="1"/>
  <c r="H84" i="27" s="1"/>
  <c r="H85" i="27" s="1"/>
  <c r="H86" i="27" s="1"/>
  <c r="H87" i="27" s="1"/>
  <c r="H88" i="27" s="1"/>
  <c r="H89" i="27" s="1"/>
  <c r="H90" i="27" s="1"/>
  <c r="H91" i="27" s="1"/>
  <c r="H92" i="27" s="1"/>
  <c r="H93" i="27" s="1"/>
  <c r="H94" i="27" s="1"/>
  <c r="H95" i="27" s="1"/>
  <c r="H96" i="27" s="1"/>
  <c r="H97" i="27" s="1"/>
  <c r="H98" i="27" s="1"/>
  <c r="B43" i="27"/>
  <c r="B41" i="27"/>
  <c r="A13" i="27"/>
  <c r="H12" i="27"/>
  <c r="H13" i="27" s="1"/>
  <c r="H14" i="27" s="1"/>
  <c r="H15" i="27" s="1"/>
  <c r="H16" i="27" s="1"/>
  <c r="H17" i="27" s="1"/>
  <c r="H18" i="27" s="1"/>
  <c r="H19" i="27" s="1"/>
  <c r="H20" i="27" s="1"/>
  <c r="H21" i="27" s="1"/>
  <c r="H22" i="27" s="1"/>
  <c r="H23" i="27" s="1"/>
  <c r="H24" i="27" s="1"/>
  <c r="H25" i="27" s="1"/>
  <c r="H26" i="27" s="1"/>
  <c r="H27" i="27" s="1"/>
  <c r="H28" i="27" s="1"/>
  <c r="H29" i="27" s="1"/>
  <c r="H30" i="27" s="1"/>
  <c r="H31" i="27" s="1"/>
  <c r="H32" i="27" s="1"/>
  <c r="H33" i="27" s="1"/>
  <c r="H34" i="27" s="1"/>
  <c r="H35" i="27" s="1"/>
  <c r="H36" i="27" s="1"/>
  <c r="B42" i="27"/>
  <c r="B40" i="27"/>
  <c r="B39" i="27"/>
  <c r="B53" i="34"/>
  <c r="C47" i="34"/>
  <c r="B47" i="34"/>
  <c r="B45" i="34"/>
  <c r="B43" i="34"/>
  <c r="B39" i="34"/>
  <c r="B37" i="34"/>
  <c r="B35" i="34"/>
  <c r="C33" i="34"/>
  <c r="C45" i="34"/>
  <c r="C43" i="34"/>
  <c r="C39" i="34"/>
  <c r="A13" i="34"/>
  <c r="A14" i="34" s="1"/>
  <c r="E12" i="34"/>
  <c r="E13" i="34" s="1"/>
  <c r="E14" i="34" s="1"/>
  <c r="E15" i="34" s="1"/>
  <c r="E16" i="34" s="1"/>
  <c r="E17" i="34" s="1"/>
  <c r="E18" i="34" s="1"/>
  <c r="E19" i="34" s="1"/>
  <c r="E20" i="34" s="1"/>
  <c r="E21" i="34" s="1"/>
  <c r="E22" i="34" s="1"/>
  <c r="E23" i="34" s="1"/>
  <c r="E24" i="34" s="1"/>
  <c r="E25" i="34" s="1"/>
  <c r="E26" i="34" s="1"/>
  <c r="E27" i="34" s="1"/>
  <c r="E28" i="34" s="1"/>
  <c r="E29" i="34" s="1"/>
  <c r="E34" i="34" s="1"/>
  <c r="E35" i="34" s="1"/>
  <c r="E36" i="34" s="1"/>
  <c r="E37" i="34" s="1"/>
  <c r="E38" i="34" s="1"/>
  <c r="E39" i="34" s="1"/>
  <c r="E40" i="34" s="1"/>
  <c r="E41" i="34" s="1"/>
  <c r="E42" i="34" s="1"/>
  <c r="E43" i="34" s="1"/>
  <c r="E44" i="34" s="1"/>
  <c r="E45" i="34" s="1"/>
  <c r="E46" i="34" s="1"/>
  <c r="E47" i="34" s="1"/>
  <c r="E48" i="34" s="1"/>
  <c r="E49" i="34" s="1"/>
  <c r="E50" i="34" s="1"/>
  <c r="E51" i="34" s="1"/>
  <c r="E52" i="34" s="1"/>
  <c r="E53" i="34" s="1"/>
  <c r="E54" i="34" s="1"/>
  <c r="H43" i="19" l="1"/>
  <c r="H44" i="19" s="1"/>
  <c r="H45" i="19" s="1"/>
  <c r="H46" i="19" s="1"/>
  <c r="H47" i="19" s="1"/>
  <c r="H48" i="19" s="1"/>
  <c r="H49" i="19" s="1"/>
  <c r="H50" i="19" s="1"/>
  <c r="H51" i="19" s="1"/>
  <c r="H52" i="19" s="1"/>
  <c r="H53" i="19" s="1"/>
  <c r="H54" i="19" s="1"/>
  <c r="H55" i="19" s="1"/>
  <c r="H56" i="19" s="1"/>
  <c r="H57" i="19" s="1"/>
  <c r="H58" i="19" s="1"/>
  <c r="H59" i="19" s="1"/>
  <c r="H60" i="19" s="1"/>
  <c r="H61" i="19" s="1"/>
  <c r="H62" i="19" s="1"/>
  <c r="H63" i="19" s="1"/>
  <c r="H64" i="19" s="1"/>
  <c r="H65" i="19" s="1"/>
  <c r="H66" i="19" s="1"/>
  <c r="H67" i="19" s="1"/>
  <c r="H68" i="19" s="1"/>
  <c r="H69" i="19" s="1"/>
  <c r="H29" i="12"/>
  <c r="H27" i="12"/>
  <c r="H25" i="12"/>
  <c r="F31" i="12"/>
  <c r="G31" i="12"/>
  <c r="E31" i="12"/>
  <c r="H22" i="12"/>
  <c r="H24" i="12"/>
  <c r="H26" i="12"/>
  <c r="H28" i="12"/>
  <c r="H30" i="12"/>
  <c r="C21" i="12"/>
  <c r="C23" i="12"/>
  <c r="C25" i="12"/>
  <c r="C27" i="12"/>
  <c r="C29" i="12"/>
  <c r="A45" i="19"/>
  <c r="A46" i="19" s="1"/>
  <c r="A47" i="19" s="1"/>
  <c r="A48" i="19" s="1"/>
  <c r="A49" i="19" s="1"/>
  <c r="A50" i="19" s="1"/>
  <c r="A51" i="19" s="1"/>
  <c r="A52" i="19" s="1"/>
  <c r="A53" i="19" s="1"/>
  <c r="A54" i="19" s="1"/>
  <c r="A55" i="19" s="1"/>
  <c r="A56" i="19" s="1"/>
  <c r="A57" i="19" s="1"/>
  <c r="A58" i="19" s="1"/>
  <c r="A59" i="19" s="1"/>
  <c r="A60" i="19" s="1"/>
  <c r="A61" i="19" s="1"/>
  <c r="A62" i="19" s="1"/>
  <c r="A63" i="19" s="1"/>
  <c r="A64" i="19" s="1"/>
  <c r="A65" i="19" s="1"/>
  <c r="A66" i="19" s="1"/>
  <c r="A67" i="19" s="1"/>
  <c r="A68" i="19" s="1"/>
  <c r="A69" i="19" s="1"/>
  <c r="E50" i="19"/>
  <c r="A17" i="32"/>
  <c r="A18" i="32" s="1"/>
  <c r="A19" i="32" s="1"/>
  <c r="A20" i="32" s="1"/>
  <c r="A21" i="32" s="1"/>
  <c r="A22" i="32" s="1"/>
  <c r="A23" i="32" s="1"/>
  <c r="A24" i="32" s="1"/>
  <c r="A25" i="32" s="1"/>
  <c r="A26" i="32" s="1"/>
  <c r="A27" i="32" s="1"/>
  <c r="A28" i="32" s="1"/>
  <c r="A29" i="32" s="1"/>
  <c r="A30" i="32" s="1"/>
  <c r="A31" i="32" s="1"/>
  <c r="E57" i="32"/>
  <c r="E69" i="32" s="1"/>
  <c r="E49" i="32" s="1"/>
  <c r="E50" i="32" s="1"/>
  <c r="H20" i="12"/>
  <c r="C20" i="12"/>
  <c r="C22" i="12"/>
  <c r="C24" i="12"/>
  <c r="C26" i="12"/>
  <c r="C28" i="12"/>
  <c r="H25" i="45"/>
  <c r="I25" i="45" s="1"/>
  <c r="H29" i="45"/>
  <c r="I29" i="45" s="1"/>
  <c r="H23" i="45"/>
  <c r="H27" i="45"/>
  <c r="I27" i="45" s="1"/>
  <c r="H31" i="45"/>
  <c r="I31" i="45" s="1"/>
  <c r="K20" i="45"/>
  <c r="L20" i="45"/>
  <c r="C31" i="45"/>
  <c r="C29" i="45"/>
  <c r="C27" i="45"/>
  <c r="C25" i="45"/>
  <c r="C23" i="45"/>
  <c r="C21" i="45"/>
  <c r="C30" i="45"/>
  <c r="C28" i="45"/>
  <c r="C26" i="45"/>
  <c r="C24" i="45"/>
  <c r="C22" i="45"/>
  <c r="H30" i="45"/>
  <c r="I30" i="45" s="1"/>
  <c r="I23" i="45"/>
  <c r="H21" i="45"/>
  <c r="I21" i="45" s="1"/>
  <c r="D22" i="45"/>
  <c r="D24" i="45"/>
  <c r="D26" i="45"/>
  <c r="D28" i="45"/>
  <c r="E22" i="45"/>
  <c r="E24" i="45"/>
  <c r="E26" i="45"/>
  <c r="E28" i="45"/>
  <c r="F22" i="45"/>
  <c r="F24" i="45"/>
  <c r="F26" i="45"/>
  <c r="F28" i="45"/>
  <c r="G22" i="45"/>
  <c r="G24" i="45"/>
  <c r="G26" i="45"/>
  <c r="G28" i="45"/>
  <c r="E92" i="27"/>
  <c r="E96" i="27" s="1"/>
  <c r="E98" i="27" s="1"/>
  <c r="E23" i="27" s="1"/>
  <c r="E25" i="27" s="1"/>
  <c r="A54" i="27"/>
  <c r="A55" i="27" s="1"/>
  <c r="A56" i="27" s="1"/>
  <c r="A14" i="27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15" i="34"/>
  <c r="A16" i="34" s="1"/>
  <c r="C35" i="34"/>
  <c r="E58" i="13" l="1"/>
  <c r="E60" i="13" s="1"/>
  <c r="E14" i="13" s="1"/>
  <c r="E23" i="17"/>
  <c r="H31" i="12"/>
  <c r="A32" i="32"/>
  <c r="A33" i="32" s="1"/>
  <c r="A34" i="32" s="1"/>
  <c r="A35" i="32" s="1"/>
  <c r="A36" i="32" s="1"/>
  <c r="A37" i="32" s="1"/>
  <c r="A38" i="32" s="1"/>
  <c r="A39" i="32" s="1"/>
  <c r="A40" i="32" s="1"/>
  <c r="A41" i="32" s="1"/>
  <c r="A42" i="32" s="1"/>
  <c r="A43" i="32" s="1"/>
  <c r="A44" i="32" s="1"/>
  <c r="G32" i="45"/>
  <c r="H26" i="45"/>
  <c r="F32" i="45"/>
  <c r="M20" i="45"/>
  <c r="D32" i="45"/>
  <c r="H28" i="45"/>
  <c r="I28" i="45" s="1"/>
  <c r="H24" i="45"/>
  <c r="I24" i="45" s="1"/>
  <c r="E32" i="45"/>
  <c r="H22" i="45"/>
  <c r="I22" i="45" s="1"/>
  <c r="I26" i="45"/>
  <c r="E27" i="27"/>
  <c r="E29" i="27" s="1"/>
  <c r="E34" i="27" s="1"/>
  <c r="E36" i="27" s="1"/>
  <c r="A26" i="27"/>
  <c r="A27" i="27" s="1"/>
  <c r="A28" i="27" s="1"/>
  <c r="A29" i="27" s="1"/>
  <c r="A57" i="27"/>
  <c r="A58" i="27" s="1"/>
  <c r="A17" i="34"/>
  <c r="A18" i="34" s="1"/>
  <c r="C37" i="34" l="1"/>
  <c r="C41" i="34" s="1"/>
  <c r="C49" i="34" s="1"/>
  <c r="C53" i="34" s="1"/>
  <c r="C18" i="34"/>
  <c r="C24" i="34" s="1"/>
  <c r="C28" i="34" s="1"/>
  <c r="A45" i="32"/>
  <c r="I32" i="45"/>
  <c r="K21" i="45"/>
  <c r="H32" i="45"/>
  <c r="A59" i="27"/>
  <c r="A60" i="27" s="1"/>
  <c r="A61" i="27" s="1"/>
  <c r="A30" i="27"/>
  <c r="A31" i="27" s="1"/>
  <c r="A32" i="27" s="1"/>
  <c r="A19" i="34"/>
  <c r="A20" i="34" s="1"/>
  <c r="A46" i="32" l="1"/>
  <c r="L21" i="45"/>
  <c r="A62" i="27"/>
  <c r="A63" i="27" s="1"/>
  <c r="A33" i="27"/>
  <c r="A34" i="27" s="1"/>
  <c r="A35" i="27" s="1"/>
  <c r="A36" i="27" s="1"/>
  <c r="A21" i="34"/>
  <c r="A22" i="34" s="1"/>
  <c r="A47" i="32" l="1"/>
  <c r="A48" i="32" s="1"/>
  <c r="M21" i="45"/>
  <c r="A64" i="27"/>
  <c r="A65" i="27" s="1"/>
  <c r="A66" i="27" s="1"/>
  <c r="A23" i="34"/>
  <c r="A24" i="34" s="1"/>
  <c r="A49" i="32" l="1"/>
  <c r="A50" i="32" s="1"/>
  <c r="A51" i="32" s="1"/>
  <c r="A52" i="32" s="1"/>
  <c r="A53" i="32" s="1"/>
  <c r="K22" i="45"/>
  <c r="L22" i="45" s="1"/>
  <c r="A67" i="27"/>
  <c r="A68" i="27" s="1"/>
  <c r="A25" i="34"/>
  <c r="A26" i="34" s="1"/>
  <c r="A54" i="32" l="1"/>
  <c r="A55" i="32" s="1"/>
  <c r="A56" i="32" s="1"/>
  <c r="A57" i="32" s="1"/>
  <c r="M22" i="45"/>
  <c r="A69" i="27"/>
  <c r="A70" i="27" s="1"/>
  <c r="A71" i="27" s="1"/>
  <c r="A72" i="27" s="1"/>
  <c r="A27" i="34"/>
  <c r="A28" i="34" s="1"/>
  <c r="A29" i="34" s="1"/>
  <c r="A34" i="34" s="1"/>
  <c r="A35" i="34" s="1"/>
  <c r="A58" i="32" l="1"/>
  <c r="A59" i="32" s="1"/>
  <c r="K23" i="45"/>
  <c r="L23" i="45" s="1"/>
  <c r="A73" i="27"/>
  <c r="A74" i="27" s="1"/>
  <c r="A75" i="27" s="1"/>
  <c r="A36" i="34"/>
  <c r="A37" i="34" s="1"/>
  <c r="A38" i="34" s="1"/>
  <c r="A39" i="34" s="1"/>
  <c r="A40" i="34" s="1"/>
  <c r="A41" i="34" s="1"/>
  <c r="A60" i="32" l="1"/>
  <c r="A61" i="32" s="1"/>
  <c r="A62" i="32" s="1"/>
  <c r="A63" i="32" s="1"/>
  <c r="A64" i="32" s="1"/>
  <c r="A65" i="32" s="1"/>
  <c r="A66" i="32" s="1"/>
  <c r="A67" i="32" s="1"/>
  <c r="M23" i="45"/>
  <c r="A76" i="27"/>
  <c r="A77" i="27" s="1"/>
  <c r="A42" i="34"/>
  <c r="A43" i="34" s="1"/>
  <c r="A44" i="34" s="1"/>
  <c r="A45" i="34" s="1"/>
  <c r="A46" i="34" s="1"/>
  <c r="A47" i="34" s="1"/>
  <c r="A48" i="34" s="1"/>
  <c r="A49" i="34" s="1"/>
  <c r="A68" i="32" l="1"/>
  <c r="A69" i="32" s="1"/>
  <c r="K24" i="45"/>
  <c r="L24" i="45" s="1"/>
  <c r="A78" i="27"/>
  <c r="A79" i="27" s="1"/>
  <c r="A50" i="34"/>
  <c r="A51" i="34" s="1"/>
  <c r="A52" i="34" s="1"/>
  <c r="A53" i="34" s="1"/>
  <c r="A54" i="34" s="1"/>
  <c r="M24" i="45" l="1"/>
  <c r="A80" i="27"/>
  <c r="A81" i="27" s="1"/>
  <c r="K25" i="45" l="1"/>
  <c r="L25" i="45" s="1"/>
  <c r="A82" i="27"/>
  <c r="A83" i="27" s="1"/>
  <c r="A84" i="27" s="1"/>
  <c r="M25" i="45" l="1"/>
  <c r="A85" i="27"/>
  <c r="A86" i="27" s="1"/>
  <c r="A87" i="27" s="1"/>
  <c r="A88" i="27" s="1"/>
  <c r="K26" i="45" l="1"/>
  <c r="L26" i="45" s="1"/>
  <c r="A89" i="27"/>
  <c r="A90" i="27" s="1"/>
  <c r="A91" i="27" s="1"/>
  <c r="A92" i="27" s="1"/>
  <c r="M26" i="45" l="1"/>
  <c r="A93" i="27"/>
  <c r="A94" i="27" s="1"/>
  <c r="A95" i="27" s="1"/>
  <c r="A96" i="27" s="1"/>
  <c r="K27" i="45" l="1"/>
  <c r="A97" i="27"/>
  <c r="A98" i="27" s="1"/>
  <c r="L27" i="45" l="1"/>
  <c r="M27" i="45" s="1"/>
  <c r="K28" i="45" l="1"/>
  <c r="L28" i="45" s="1"/>
  <c r="M28" i="45" l="1"/>
  <c r="K29" i="45" l="1"/>
  <c r="L29" i="45" s="1"/>
  <c r="M29" i="45" l="1"/>
  <c r="K30" i="45" l="1"/>
  <c r="L30" i="45" s="1"/>
  <c r="M30" i="45" l="1"/>
  <c r="K31" i="45" l="1"/>
  <c r="L31" i="45" l="1"/>
  <c r="L32" i="45" s="1"/>
  <c r="M31" i="45" l="1"/>
  <c r="G12" i="1" l="1"/>
  <c r="G13" i="1" s="1"/>
  <c r="G14" i="1" s="1"/>
  <c r="G15" i="1" s="1"/>
  <c r="G16" i="1" s="1"/>
  <c r="G17" i="1" s="1"/>
  <c r="G18" i="1" s="1"/>
  <c r="G19" i="1" s="1"/>
  <c r="G20" i="1" s="1"/>
  <c r="G21" i="1" s="1"/>
  <c r="A12" i="1"/>
  <c r="A13" i="1" s="1"/>
  <c r="A14" i="1" s="1"/>
  <c r="A15" i="1" s="1"/>
  <c r="A16" i="1" s="1"/>
  <c r="A17" i="1" s="1"/>
  <c r="A18" i="1" s="1"/>
  <c r="A19" i="1" s="1"/>
  <c r="A20" i="1" s="1"/>
  <c r="A21" i="1" s="1"/>
  <c r="C69" i="18" l="1"/>
  <c r="L68" i="18"/>
  <c r="L69" i="18" s="1"/>
  <c r="A68" i="18"/>
  <c r="A69" i="18"/>
  <c r="A70" i="18" s="1"/>
  <c r="I16" i="26"/>
  <c r="A16" i="26"/>
  <c r="C51" i="16"/>
  <c r="C47" i="16"/>
  <c r="C45" i="16"/>
  <c r="C39" i="16"/>
  <c r="C35" i="16"/>
  <c r="C26" i="16"/>
  <c r="C22" i="16"/>
  <c r="C16" i="16"/>
  <c r="C12" i="16"/>
  <c r="B113" i="11"/>
  <c r="B51" i="21"/>
  <c r="G147" i="11"/>
  <c r="B147" i="11"/>
  <c r="B146" i="11"/>
  <c r="G145" i="11"/>
  <c r="G144" i="11"/>
  <c r="B144" i="11"/>
  <c r="B143" i="11"/>
  <c r="G135" i="11"/>
  <c r="B135" i="11"/>
  <c r="B132" i="11"/>
  <c r="B131" i="11"/>
  <c r="J127" i="11"/>
  <c r="J128" i="11" s="1"/>
  <c r="J129" i="11" s="1"/>
  <c r="J130" i="11" s="1"/>
  <c r="J131" i="11" s="1"/>
  <c r="J132" i="11" s="1"/>
  <c r="J133" i="11" s="1"/>
  <c r="J134" i="11" s="1"/>
  <c r="J135" i="11" s="1"/>
  <c r="J136" i="11" s="1"/>
  <c r="J137" i="11" s="1"/>
  <c r="J138" i="11" s="1"/>
  <c r="J139" i="11" s="1"/>
  <c r="J140" i="11" s="1"/>
  <c r="J141" i="11" s="1"/>
  <c r="J142" i="11" s="1"/>
  <c r="J143" i="11" s="1"/>
  <c r="J144" i="11" s="1"/>
  <c r="J145" i="11" s="1"/>
  <c r="J146" i="11" s="1"/>
  <c r="J147" i="11" s="1"/>
  <c r="J148" i="11" s="1"/>
  <c r="J149" i="11" s="1"/>
  <c r="J150" i="11" s="1"/>
  <c r="J151" i="11" s="1"/>
  <c r="J152" i="11" s="1"/>
  <c r="J153" i="11" s="1"/>
  <c r="J154" i="11" s="1"/>
  <c r="J155" i="11" s="1"/>
  <c r="J156" i="11" s="1"/>
  <c r="A127" i="1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B120" i="11"/>
  <c r="G98" i="11"/>
  <c r="J81" i="11"/>
  <c r="J82" i="11" s="1"/>
  <c r="J83" i="11" s="1"/>
  <c r="J84" i="11" s="1"/>
  <c r="J85" i="11" s="1"/>
  <c r="J86" i="11" s="1"/>
  <c r="J87" i="11" s="1"/>
  <c r="J88" i="11" s="1"/>
  <c r="J89" i="11" s="1"/>
  <c r="J90" i="11" s="1"/>
  <c r="J91" i="11" s="1"/>
  <c r="J92" i="11" s="1"/>
  <c r="J93" i="11" s="1"/>
  <c r="J94" i="11" s="1"/>
  <c r="J95" i="11" s="1"/>
  <c r="J96" i="11" s="1"/>
  <c r="J97" i="11" s="1"/>
  <c r="J98" i="11" s="1"/>
  <c r="J99" i="11" s="1"/>
  <c r="J100" i="11" s="1"/>
  <c r="J101" i="11" s="1"/>
  <c r="J102" i="11" s="1"/>
  <c r="J103" i="11" s="1"/>
  <c r="J104" i="11" s="1"/>
  <c r="J105" i="11" s="1"/>
  <c r="J106" i="11" s="1"/>
  <c r="J107" i="11" s="1"/>
  <c r="J108" i="11" s="1"/>
  <c r="J109" i="11" s="1"/>
  <c r="J110" i="11" s="1"/>
  <c r="A81" i="1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B74" i="11"/>
  <c r="G65" i="11"/>
  <c r="G131" i="11" s="1"/>
  <c r="D63" i="11"/>
  <c r="C63" i="11"/>
  <c r="G62" i="11"/>
  <c r="G61" i="11"/>
  <c r="G60" i="11"/>
  <c r="G63" i="11" s="1"/>
  <c r="G154" i="11" s="1"/>
  <c r="E49" i="11"/>
  <c r="C49" i="11"/>
  <c r="C48" i="11"/>
  <c r="G39" i="11"/>
  <c r="G32" i="11"/>
  <c r="E48" i="11" s="1"/>
  <c r="G25" i="11"/>
  <c r="G17" i="11"/>
  <c r="C47" i="11" s="1"/>
  <c r="A12" i="1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J11" i="11"/>
  <c r="J12" i="11" s="1"/>
  <c r="J13" i="11" s="1"/>
  <c r="J14" i="11" s="1"/>
  <c r="J15" i="11" s="1"/>
  <c r="J16" i="11" s="1"/>
  <c r="J17" i="11" s="1"/>
  <c r="J18" i="11" s="1"/>
  <c r="J19" i="11" s="1"/>
  <c r="J20" i="11" s="1"/>
  <c r="J21" i="11" s="1"/>
  <c r="J22" i="11" s="1"/>
  <c r="J23" i="11" s="1"/>
  <c r="J24" i="11" s="1"/>
  <c r="J25" i="11" s="1"/>
  <c r="J26" i="11" s="1"/>
  <c r="J27" i="11" s="1"/>
  <c r="J28" i="11" s="1"/>
  <c r="J29" i="11" s="1"/>
  <c r="J30" i="11" s="1"/>
  <c r="J31" i="11" s="1"/>
  <c r="J32" i="11" s="1"/>
  <c r="J33" i="11" s="1"/>
  <c r="J34" i="11" s="1"/>
  <c r="J35" i="11" s="1"/>
  <c r="J36" i="11" s="1"/>
  <c r="J37" i="11" s="1"/>
  <c r="J38" i="11" s="1"/>
  <c r="J39" i="11" s="1"/>
  <c r="J40" i="11" s="1"/>
  <c r="J41" i="11" s="1"/>
  <c r="J42" i="11" s="1"/>
  <c r="J43" i="11" s="1"/>
  <c r="J44" i="11" s="1"/>
  <c r="J45" i="11" s="1"/>
  <c r="J46" i="11" s="1"/>
  <c r="J47" i="11" s="1"/>
  <c r="J48" i="11" s="1"/>
  <c r="J49" i="11" s="1"/>
  <c r="J50" i="11" s="1"/>
  <c r="J51" i="11" s="1"/>
  <c r="J52" i="11" s="1"/>
  <c r="J53" i="11" s="1"/>
  <c r="J54" i="11" s="1"/>
  <c r="J55" i="11" s="1"/>
  <c r="J56" i="11" s="1"/>
  <c r="J57" i="11" s="1"/>
  <c r="J58" i="11" s="1"/>
  <c r="J59" i="11" s="1"/>
  <c r="J60" i="11" s="1"/>
  <c r="J61" i="11" s="1"/>
  <c r="J62" i="11" s="1"/>
  <c r="J63" i="11" s="1"/>
  <c r="J64" i="11" s="1"/>
  <c r="J65" i="11" s="1"/>
  <c r="G147" i="46"/>
  <c r="B147" i="46"/>
  <c r="B146" i="46"/>
  <c r="G145" i="46"/>
  <c r="G144" i="46"/>
  <c r="B144" i="46"/>
  <c r="B143" i="46"/>
  <c r="G135" i="46"/>
  <c r="B135" i="46"/>
  <c r="B132" i="46"/>
  <c r="B131" i="46"/>
  <c r="J127" i="46"/>
  <c r="J128" i="46" s="1"/>
  <c r="J129" i="46" s="1"/>
  <c r="J130" i="46" s="1"/>
  <c r="J131" i="46" s="1"/>
  <c r="J132" i="46" s="1"/>
  <c r="J133" i="46" s="1"/>
  <c r="J134" i="46" s="1"/>
  <c r="J135" i="46" s="1"/>
  <c r="J136" i="46" s="1"/>
  <c r="J137" i="46" s="1"/>
  <c r="J138" i="46" s="1"/>
  <c r="J139" i="46" s="1"/>
  <c r="J140" i="46" s="1"/>
  <c r="J141" i="46" s="1"/>
  <c r="J142" i="46" s="1"/>
  <c r="J143" i="46" s="1"/>
  <c r="J144" i="46" s="1"/>
  <c r="J145" i="46" s="1"/>
  <c r="J146" i="46" s="1"/>
  <c r="J147" i="46" s="1"/>
  <c r="J148" i="46" s="1"/>
  <c r="J149" i="46" s="1"/>
  <c r="J150" i="46" s="1"/>
  <c r="J151" i="46" s="1"/>
  <c r="J152" i="46" s="1"/>
  <c r="J153" i="46" s="1"/>
  <c r="J154" i="46" s="1"/>
  <c r="J155" i="46" s="1"/>
  <c r="J156" i="46" s="1"/>
  <c r="A127" i="46"/>
  <c r="A128" i="46" s="1"/>
  <c r="A129" i="46" s="1"/>
  <c r="A130" i="46" s="1"/>
  <c r="A131" i="46" s="1"/>
  <c r="G100" i="46"/>
  <c r="G99" i="46"/>
  <c r="J84" i="46"/>
  <c r="J85" i="46" s="1"/>
  <c r="J86" i="46" s="1"/>
  <c r="J87" i="46" s="1"/>
  <c r="J88" i="46" s="1"/>
  <c r="J89" i="46" s="1"/>
  <c r="J90" i="46" s="1"/>
  <c r="J91" i="46" s="1"/>
  <c r="J92" i="46" s="1"/>
  <c r="J93" i="46" s="1"/>
  <c r="J94" i="46" s="1"/>
  <c r="J95" i="46" s="1"/>
  <c r="J96" i="46" s="1"/>
  <c r="J97" i="46" s="1"/>
  <c r="J98" i="46" s="1"/>
  <c r="J99" i="46" s="1"/>
  <c r="J100" i="46" s="1"/>
  <c r="J101" i="46" s="1"/>
  <c r="J102" i="46" s="1"/>
  <c r="J103" i="46" s="1"/>
  <c r="J104" i="46" s="1"/>
  <c r="J105" i="46" s="1"/>
  <c r="J106" i="46" s="1"/>
  <c r="J107" i="46" s="1"/>
  <c r="J108" i="46" s="1"/>
  <c r="J109" i="46" s="1"/>
  <c r="J110" i="46" s="1"/>
  <c r="J111" i="46" s="1"/>
  <c r="J83" i="46"/>
  <c r="J82" i="46"/>
  <c r="A82" i="46"/>
  <c r="A83" i="46" s="1"/>
  <c r="A84" i="46" s="1"/>
  <c r="A85" i="46" s="1"/>
  <c r="A86" i="46" s="1"/>
  <c r="D64" i="46"/>
  <c r="C64" i="46"/>
  <c r="G63" i="46"/>
  <c r="G62" i="46"/>
  <c r="G61" i="46"/>
  <c r="G64" i="46" s="1"/>
  <c r="G154" i="46" s="1"/>
  <c r="E50" i="46"/>
  <c r="C49" i="46"/>
  <c r="G40" i="46"/>
  <c r="C50" i="46" s="1"/>
  <c r="G33" i="46"/>
  <c r="E49" i="46" s="1"/>
  <c r="G26" i="46"/>
  <c r="G18" i="46"/>
  <c r="J14" i="46"/>
  <c r="J15" i="46" s="1"/>
  <c r="J16" i="46" s="1"/>
  <c r="J17" i="46" s="1"/>
  <c r="J18" i="46" s="1"/>
  <c r="J19" i="46" s="1"/>
  <c r="J20" i="46" s="1"/>
  <c r="J21" i="46" s="1"/>
  <c r="J22" i="46" s="1"/>
  <c r="J23" i="46" s="1"/>
  <c r="J24" i="46" s="1"/>
  <c r="J25" i="46" s="1"/>
  <c r="J26" i="46" s="1"/>
  <c r="J27" i="46" s="1"/>
  <c r="J28" i="46" s="1"/>
  <c r="J29" i="46" s="1"/>
  <c r="J30" i="46" s="1"/>
  <c r="J31" i="46" s="1"/>
  <c r="J32" i="46" s="1"/>
  <c r="J33" i="46" s="1"/>
  <c r="J34" i="46" s="1"/>
  <c r="J35" i="46" s="1"/>
  <c r="J36" i="46" s="1"/>
  <c r="J37" i="46" s="1"/>
  <c r="J38" i="46" s="1"/>
  <c r="J39" i="46" s="1"/>
  <c r="J40" i="46" s="1"/>
  <c r="J41" i="46" s="1"/>
  <c r="J42" i="46" s="1"/>
  <c r="J43" i="46" s="1"/>
  <c r="J44" i="46" s="1"/>
  <c r="J45" i="46" s="1"/>
  <c r="J46" i="46" s="1"/>
  <c r="J47" i="46" s="1"/>
  <c r="J48" i="46" s="1"/>
  <c r="J49" i="46" s="1"/>
  <c r="J50" i="46" s="1"/>
  <c r="J51" i="46" s="1"/>
  <c r="J52" i="46" s="1"/>
  <c r="J53" i="46" s="1"/>
  <c r="J54" i="46" s="1"/>
  <c r="J55" i="46" s="1"/>
  <c r="J56" i="46" s="1"/>
  <c r="J57" i="46" s="1"/>
  <c r="J58" i="46" s="1"/>
  <c r="J59" i="46" s="1"/>
  <c r="J60" i="46" s="1"/>
  <c r="J61" i="46" s="1"/>
  <c r="J62" i="46" s="1"/>
  <c r="J63" i="46" s="1"/>
  <c r="J64" i="46" s="1"/>
  <c r="J65" i="46" s="1"/>
  <c r="J66" i="46" s="1"/>
  <c r="J13" i="46"/>
  <c r="A13" i="46"/>
  <c r="A14" i="46" s="1"/>
  <c r="A15" i="46" s="1"/>
  <c r="A16" i="46" s="1"/>
  <c r="A17" i="46" s="1"/>
  <c r="A18" i="46" s="1"/>
  <c r="A19" i="46" s="1"/>
  <c r="A20" i="46" s="1"/>
  <c r="A21" i="46" s="1"/>
  <c r="J12" i="46"/>
  <c r="B120" i="46"/>
  <c r="F87" i="21"/>
  <c r="C87" i="21"/>
  <c r="F86" i="21"/>
  <c r="F85" i="21"/>
  <c r="F84" i="21"/>
  <c r="F83" i="21"/>
  <c r="F82" i="21"/>
  <c r="F81" i="21"/>
  <c r="C81" i="21"/>
  <c r="C15" i="21" s="1"/>
  <c r="F80" i="21"/>
  <c r="C80" i="21"/>
  <c r="C14" i="21" s="1"/>
  <c r="F79" i="21"/>
  <c r="C79" i="21"/>
  <c r="C13" i="21" s="1"/>
  <c r="F78" i="21"/>
  <c r="C78" i="21"/>
  <c r="C12" i="21" s="1"/>
  <c r="F77" i="21"/>
  <c r="F76" i="21"/>
  <c r="F75" i="21"/>
  <c r="F74" i="21"/>
  <c r="F73" i="21"/>
  <c r="F72" i="21"/>
  <c r="F71" i="21"/>
  <c r="F70" i="21"/>
  <c r="F69" i="21"/>
  <c r="F68" i="21"/>
  <c r="C68" i="21"/>
  <c r="F67" i="21"/>
  <c r="F66" i="21"/>
  <c r="F65" i="21"/>
  <c r="F64" i="21"/>
  <c r="F63" i="21"/>
  <c r="B56" i="21"/>
  <c r="B55" i="21"/>
  <c r="B54" i="21"/>
  <c r="C46" i="21"/>
  <c r="C41" i="21"/>
  <c r="C26" i="21"/>
  <c r="C21" i="21"/>
  <c r="A12" i="2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A43" i="21" s="1"/>
  <c r="A44" i="21" s="1"/>
  <c r="A45" i="21" s="1"/>
  <c r="A46" i="21" s="1"/>
  <c r="A47" i="21" s="1"/>
  <c r="A48" i="21" s="1"/>
  <c r="F11" i="21"/>
  <c r="F12" i="21" s="1"/>
  <c r="F13" i="21" s="1"/>
  <c r="F14" i="21" s="1"/>
  <c r="F15" i="21" s="1"/>
  <c r="F16" i="21" s="1"/>
  <c r="F17" i="21" s="1"/>
  <c r="F18" i="21" s="1"/>
  <c r="F19" i="21" s="1"/>
  <c r="F20" i="21" s="1"/>
  <c r="F21" i="21" s="1"/>
  <c r="F22" i="21" s="1"/>
  <c r="F23" i="21" s="1"/>
  <c r="F24" i="21" s="1"/>
  <c r="F25" i="21" s="1"/>
  <c r="F26" i="21" s="1"/>
  <c r="F27" i="21" s="1"/>
  <c r="F28" i="21" s="1"/>
  <c r="F29" i="21" s="1"/>
  <c r="F30" i="21" s="1"/>
  <c r="F31" i="21" s="1"/>
  <c r="F32" i="21" s="1"/>
  <c r="F33" i="21" s="1"/>
  <c r="F34" i="21" s="1"/>
  <c r="F35" i="21" s="1"/>
  <c r="F36" i="21" s="1"/>
  <c r="F37" i="21" s="1"/>
  <c r="F38" i="21" s="1"/>
  <c r="F39" i="21" s="1"/>
  <c r="F40" i="21" s="1"/>
  <c r="F41" i="21" s="1"/>
  <c r="F42" i="21" s="1"/>
  <c r="F43" i="21" s="1"/>
  <c r="F44" i="21" s="1"/>
  <c r="F45" i="21" s="1"/>
  <c r="F46" i="21" s="1"/>
  <c r="F47" i="21" s="1"/>
  <c r="F48" i="21" s="1"/>
  <c r="C17" i="26"/>
  <c r="C18" i="26" s="1"/>
  <c r="C19" i="26" s="1"/>
  <c r="C20" i="26" s="1"/>
  <c r="C21" i="26" s="1"/>
  <c r="C22" i="26" s="1"/>
  <c r="C23" i="26" s="1"/>
  <c r="C24" i="26" s="1"/>
  <c r="C25" i="26" s="1"/>
  <c r="C26" i="26" s="1"/>
  <c r="C27" i="26" s="1"/>
  <c r="I10" i="26"/>
  <c r="I11" i="26" s="1"/>
  <c r="I12" i="26" s="1"/>
  <c r="I13" i="26" s="1"/>
  <c r="I14" i="26" s="1"/>
  <c r="I15" i="26" s="1"/>
  <c r="I17" i="26" s="1"/>
  <c r="I18" i="26" s="1"/>
  <c r="I19" i="26" s="1"/>
  <c r="I20" i="26" s="1"/>
  <c r="I21" i="26" s="1"/>
  <c r="I22" i="26" s="1"/>
  <c r="I23" i="26" s="1"/>
  <c r="I24" i="26" s="1"/>
  <c r="I25" i="26" s="1"/>
  <c r="I26" i="26" s="1"/>
  <c r="I27" i="26" s="1"/>
  <c r="I28" i="26" s="1"/>
  <c r="I29" i="26" s="1"/>
  <c r="I30" i="26" s="1"/>
  <c r="I31" i="26" s="1"/>
  <c r="I32" i="26" s="1"/>
  <c r="I33" i="26" s="1"/>
  <c r="I34" i="26" s="1"/>
  <c r="I35" i="26" s="1"/>
  <c r="I36" i="26" s="1"/>
  <c r="I37" i="26" s="1"/>
  <c r="I38" i="26" s="1"/>
  <c r="I39" i="26" s="1"/>
  <c r="I40" i="26" s="1"/>
  <c r="I41" i="26" s="1"/>
  <c r="I42" i="26" s="1"/>
  <c r="I43" i="26" s="1"/>
  <c r="I44" i="26" s="1"/>
  <c r="I45" i="26" s="1"/>
  <c r="I46" i="26" s="1"/>
  <c r="I47" i="26" s="1"/>
  <c r="I48" i="26" s="1"/>
  <c r="I49" i="26" s="1"/>
  <c r="I50" i="26" s="1"/>
  <c r="I51" i="26" s="1"/>
  <c r="I52" i="26" s="1"/>
  <c r="A10" i="26"/>
  <c r="A11" i="26" s="1"/>
  <c r="A12" i="26" s="1"/>
  <c r="A13" i="26" s="1"/>
  <c r="A14" i="26" s="1"/>
  <c r="A15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46" i="26" s="1"/>
  <c r="A47" i="26" s="1"/>
  <c r="A48" i="26" s="1"/>
  <c r="A49" i="26" s="1"/>
  <c r="A50" i="26" s="1"/>
  <c r="A51" i="26" s="1"/>
  <c r="A52" i="26" s="1"/>
  <c r="F85" i="30"/>
  <c r="C85" i="30"/>
  <c r="F84" i="30"/>
  <c r="F83" i="30"/>
  <c r="F82" i="30"/>
  <c r="F81" i="30"/>
  <c r="F80" i="30"/>
  <c r="F79" i="30"/>
  <c r="F78" i="30"/>
  <c r="F77" i="30"/>
  <c r="C77" i="30"/>
  <c r="C14" i="30" s="1"/>
  <c r="F76" i="30"/>
  <c r="F75" i="30"/>
  <c r="F74" i="30"/>
  <c r="F73" i="30"/>
  <c r="F72" i="30"/>
  <c r="F71" i="30"/>
  <c r="C78" i="30"/>
  <c r="C15" i="30" s="1"/>
  <c r="F70" i="30"/>
  <c r="F69" i="30"/>
  <c r="F68" i="30"/>
  <c r="F67" i="30"/>
  <c r="F66" i="30"/>
  <c r="F65" i="30"/>
  <c r="C79" i="30"/>
  <c r="C16" i="30" s="1"/>
  <c r="F64" i="30"/>
  <c r="F63" i="30"/>
  <c r="F62" i="30"/>
  <c r="C66" i="30"/>
  <c r="F61" i="30"/>
  <c r="B54" i="30"/>
  <c r="B53" i="30"/>
  <c r="B52" i="30"/>
  <c r="C47" i="30"/>
  <c r="C42" i="30"/>
  <c r="C33" i="30"/>
  <c r="A13" i="30"/>
  <c r="A14" i="30" s="1"/>
  <c r="A15" i="30" s="1"/>
  <c r="A16" i="30" s="1"/>
  <c r="F12" i="30"/>
  <c r="F13" i="30" s="1"/>
  <c r="F14" i="30" s="1"/>
  <c r="F15" i="30" s="1"/>
  <c r="F16" i="30" s="1"/>
  <c r="F17" i="30" s="1"/>
  <c r="F18" i="30" s="1"/>
  <c r="F19" i="30" s="1"/>
  <c r="F20" i="30" s="1"/>
  <c r="F21" i="30" s="1"/>
  <c r="F22" i="30" s="1"/>
  <c r="F23" i="30" s="1"/>
  <c r="F24" i="30" s="1"/>
  <c r="F25" i="30" s="1"/>
  <c r="F26" i="30" s="1"/>
  <c r="F27" i="30" s="1"/>
  <c r="F28" i="30" s="1"/>
  <c r="F29" i="30" s="1"/>
  <c r="F30" i="30" s="1"/>
  <c r="F31" i="30" s="1"/>
  <c r="F32" i="30" s="1"/>
  <c r="F33" i="30" s="1"/>
  <c r="F34" i="30" s="1"/>
  <c r="F35" i="30" s="1"/>
  <c r="F36" i="30" s="1"/>
  <c r="F37" i="30" s="1"/>
  <c r="F38" i="30" s="1"/>
  <c r="F39" i="30" s="1"/>
  <c r="F40" i="30" s="1"/>
  <c r="F41" i="30" s="1"/>
  <c r="F42" i="30" s="1"/>
  <c r="F43" i="30" s="1"/>
  <c r="F44" i="30" s="1"/>
  <c r="F45" i="30" s="1"/>
  <c r="F46" i="30" s="1"/>
  <c r="F47" i="30" s="1"/>
  <c r="F48" i="30" s="1"/>
  <c r="F49" i="30" s="1"/>
  <c r="E27" i="17"/>
  <c r="G19" i="17"/>
  <c r="G15" i="17"/>
  <c r="A12" i="17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J11" i="17"/>
  <c r="J12" i="17" s="1"/>
  <c r="J13" i="17" s="1"/>
  <c r="J14" i="17" s="1"/>
  <c r="J15" i="17" s="1"/>
  <c r="J16" i="17" s="1"/>
  <c r="J17" i="17" s="1"/>
  <c r="J18" i="17" s="1"/>
  <c r="J19" i="17" s="1"/>
  <c r="J20" i="17" s="1"/>
  <c r="J21" i="17" s="1"/>
  <c r="J22" i="17" s="1"/>
  <c r="J23" i="17" s="1"/>
  <c r="J24" i="17" s="1"/>
  <c r="J25" i="17" s="1"/>
  <c r="J26" i="17" s="1"/>
  <c r="J27" i="17" s="1"/>
  <c r="J28" i="17" s="1"/>
  <c r="J29" i="17" s="1"/>
  <c r="E28" i="33"/>
  <c r="E26" i="33"/>
  <c r="G20" i="33"/>
  <c r="A14" i="33"/>
  <c r="A15" i="33" s="1"/>
  <c r="A16" i="33" s="1"/>
  <c r="A17" i="33" s="1"/>
  <c r="A18" i="33" s="1"/>
  <c r="A13" i="33"/>
  <c r="J12" i="33"/>
  <c r="J13" i="33" s="1"/>
  <c r="J14" i="33" s="1"/>
  <c r="J15" i="33" s="1"/>
  <c r="J16" i="33" s="1"/>
  <c r="J17" i="33" s="1"/>
  <c r="J18" i="33" s="1"/>
  <c r="J19" i="33" s="1"/>
  <c r="J20" i="33" s="1"/>
  <c r="J21" i="33" s="1"/>
  <c r="J22" i="33" s="1"/>
  <c r="J23" i="33" s="1"/>
  <c r="J24" i="33" s="1"/>
  <c r="J25" i="33" s="1"/>
  <c r="J26" i="33" s="1"/>
  <c r="J27" i="33" s="1"/>
  <c r="J28" i="33" s="1"/>
  <c r="J29" i="33" s="1"/>
  <c r="J30" i="33" s="1"/>
  <c r="G16" i="33"/>
  <c r="H23" i="18"/>
  <c r="H22" i="18"/>
  <c r="H17" i="18"/>
  <c r="H16" i="18"/>
  <c r="H14" i="18"/>
  <c r="H12" i="18"/>
  <c r="H11" i="18"/>
  <c r="H26" i="18" s="1"/>
  <c r="H30" i="18" s="1"/>
  <c r="E60" i="18"/>
  <c r="E22" i="18" s="1"/>
  <c r="F22" i="18" s="1"/>
  <c r="J22" i="18" s="1"/>
  <c r="E57" i="18"/>
  <c r="E19" i="18" s="1"/>
  <c r="F19" i="18" s="1"/>
  <c r="J19" i="18" s="1"/>
  <c r="E50" i="18"/>
  <c r="E17" i="18" s="1"/>
  <c r="F17" i="18" s="1"/>
  <c r="E45" i="18"/>
  <c r="E16" i="18" s="1"/>
  <c r="F16" i="18" s="1"/>
  <c r="J16" i="18" s="1"/>
  <c r="E39" i="18"/>
  <c r="F28" i="18"/>
  <c r="J28" i="18" s="1"/>
  <c r="D26" i="18"/>
  <c r="D30" i="18" s="1"/>
  <c r="E24" i="18"/>
  <c r="F24" i="18" s="1"/>
  <c r="J24" i="18" s="1"/>
  <c r="E23" i="18"/>
  <c r="F23" i="18" s="1"/>
  <c r="J23" i="18" s="1"/>
  <c r="E21" i="18"/>
  <c r="F21" i="18" s="1"/>
  <c r="J21" i="18" s="1"/>
  <c r="F20" i="18"/>
  <c r="J20" i="18" s="1"/>
  <c r="E18" i="18"/>
  <c r="F18" i="18" s="1"/>
  <c r="J18" i="18" s="1"/>
  <c r="F15" i="18"/>
  <c r="J15" i="18" s="1"/>
  <c r="F13" i="18"/>
  <c r="J13" i="18" s="1"/>
  <c r="E12" i="18"/>
  <c r="F12" i="18" s="1"/>
  <c r="A12" i="18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L11" i="18"/>
  <c r="L12" i="18" s="1"/>
  <c r="L13" i="18" s="1"/>
  <c r="L14" i="18" s="1"/>
  <c r="L15" i="18" s="1"/>
  <c r="L16" i="18" s="1"/>
  <c r="L17" i="18" s="1"/>
  <c r="L18" i="18" s="1"/>
  <c r="L19" i="18" s="1"/>
  <c r="L20" i="18" s="1"/>
  <c r="L21" i="18" s="1"/>
  <c r="L22" i="18" s="1"/>
  <c r="L23" i="18" s="1"/>
  <c r="L24" i="18" s="1"/>
  <c r="L25" i="18" s="1"/>
  <c r="L26" i="18" s="1"/>
  <c r="L27" i="18" s="1"/>
  <c r="L28" i="18" s="1"/>
  <c r="L29" i="18" s="1"/>
  <c r="L30" i="18" s="1"/>
  <c r="L31" i="18" s="1"/>
  <c r="L32" i="18" s="1"/>
  <c r="L33" i="18" s="1"/>
  <c r="L34" i="18" s="1"/>
  <c r="L35" i="18" s="1"/>
  <c r="L36" i="18" s="1"/>
  <c r="L37" i="18" s="1"/>
  <c r="L38" i="18" s="1"/>
  <c r="L39" i="18" s="1"/>
  <c r="L40" i="18" s="1"/>
  <c r="L41" i="18" s="1"/>
  <c r="L42" i="18" s="1"/>
  <c r="L43" i="18" s="1"/>
  <c r="L44" i="18" s="1"/>
  <c r="L45" i="18" s="1"/>
  <c r="L46" i="18" s="1"/>
  <c r="L47" i="18" s="1"/>
  <c r="L48" i="18" s="1"/>
  <c r="L49" i="18" s="1"/>
  <c r="L50" i="18" s="1"/>
  <c r="L51" i="18" s="1"/>
  <c r="L52" i="18" s="1"/>
  <c r="L53" i="18" s="1"/>
  <c r="L54" i="18" s="1"/>
  <c r="L55" i="18" s="1"/>
  <c r="L56" i="18" s="1"/>
  <c r="L57" i="18" s="1"/>
  <c r="L58" i="18" s="1"/>
  <c r="L59" i="18" s="1"/>
  <c r="L60" i="18" s="1"/>
  <c r="L61" i="18" s="1"/>
  <c r="L62" i="18" s="1"/>
  <c r="L63" i="18" s="1"/>
  <c r="L64" i="18" s="1"/>
  <c r="L65" i="18" s="1"/>
  <c r="L66" i="18" s="1"/>
  <c r="L67" i="18" s="1"/>
  <c r="E11" i="18"/>
  <c r="F11" i="18" s="1"/>
  <c r="E56" i="31"/>
  <c r="E23" i="31" s="1"/>
  <c r="F23" i="31" s="1"/>
  <c r="E53" i="31"/>
  <c r="E47" i="31"/>
  <c r="E18" i="31" s="1"/>
  <c r="F18" i="31" s="1"/>
  <c r="E43" i="31"/>
  <c r="E17" i="31" s="1"/>
  <c r="F17" i="31" s="1"/>
  <c r="E38" i="31"/>
  <c r="E60" i="31" s="1"/>
  <c r="F29" i="31"/>
  <c r="D27" i="31"/>
  <c r="D31" i="31" s="1"/>
  <c r="E25" i="31"/>
  <c r="F25" i="31" s="1"/>
  <c r="E24" i="31"/>
  <c r="F24" i="31" s="1"/>
  <c r="F22" i="31"/>
  <c r="E22" i="31"/>
  <c r="F21" i="31"/>
  <c r="E20" i="31"/>
  <c r="F20" i="31" s="1"/>
  <c r="E19" i="31"/>
  <c r="F19" i="31" s="1"/>
  <c r="F16" i="31"/>
  <c r="F14" i="31"/>
  <c r="E13" i="31"/>
  <c r="F13" i="31" s="1"/>
  <c r="A13" i="3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H12" i="31"/>
  <c r="H13" i="31" s="1"/>
  <c r="H14" i="31" s="1"/>
  <c r="H15" i="31" s="1"/>
  <c r="H16" i="31" s="1"/>
  <c r="H17" i="31" s="1"/>
  <c r="H18" i="31" s="1"/>
  <c r="H19" i="31" s="1"/>
  <c r="H20" i="31" s="1"/>
  <c r="H21" i="31" s="1"/>
  <c r="H22" i="31" s="1"/>
  <c r="H23" i="31" s="1"/>
  <c r="H24" i="31" s="1"/>
  <c r="H25" i="31" s="1"/>
  <c r="H26" i="31" s="1"/>
  <c r="H27" i="31" s="1"/>
  <c r="H28" i="31" s="1"/>
  <c r="H29" i="31" s="1"/>
  <c r="H30" i="31" s="1"/>
  <c r="H31" i="31" s="1"/>
  <c r="H32" i="31" s="1"/>
  <c r="H33" i="31" s="1"/>
  <c r="H34" i="31" s="1"/>
  <c r="H35" i="31" s="1"/>
  <c r="H36" i="31" s="1"/>
  <c r="H37" i="31" s="1"/>
  <c r="H38" i="31" s="1"/>
  <c r="H39" i="31" s="1"/>
  <c r="H40" i="31" s="1"/>
  <c r="H41" i="31" s="1"/>
  <c r="H42" i="31" s="1"/>
  <c r="H43" i="31" s="1"/>
  <c r="H44" i="31" s="1"/>
  <c r="H45" i="31" s="1"/>
  <c r="H46" i="31" s="1"/>
  <c r="H47" i="31" s="1"/>
  <c r="H48" i="31" s="1"/>
  <c r="H49" i="31" s="1"/>
  <c r="H50" i="31" s="1"/>
  <c r="H51" i="31" s="1"/>
  <c r="H52" i="31" s="1"/>
  <c r="H53" i="31" s="1"/>
  <c r="H54" i="31" s="1"/>
  <c r="H55" i="31" s="1"/>
  <c r="H56" i="31" s="1"/>
  <c r="H57" i="31" s="1"/>
  <c r="H58" i="31" s="1"/>
  <c r="H59" i="31" s="1"/>
  <c r="H60" i="31" s="1"/>
  <c r="H61" i="31" s="1"/>
  <c r="H62" i="31" s="1"/>
  <c r="H63" i="31" s="1"/>
  <c r="H64" i="31" s="1"/>
  <c r="H65" i="31" s="1"/>
  <c r="H66" i="31" s="1"/>
  <c r="H67" i="31" s="1"/>
  <c r="H68" i="31" s="1"/>
  <c r="F12" i="31"/>
  <c r="E12" i="31"/>
  <c r="E18" i="16" l="1"/>
  <c r="L70" i="18"/>
  <c r="L71" i="18" s="1"/>
  <c r="L72" i="18" s="1"/>
  <c r="L73" i="18" s="1"/>
  <c r="L74" i="18" s="1"/>
  <c r="L75" i="18" s="1"/>
  <c r="L76" i="18" s="1"/>
  <c r="J12" i="18"/>
  <c r="D47" i="11"/>
  <c r="G47" i="11" s="1"/>
  <c r="G50" i="11" s="1"/>
  <c r="G108" i="11" s="1"/>
  <c r="C50" i="11"/>
  <c r="G27" i="11"/>
  <c r="E47" i="11" s="1"/>
  <c r="D48" i="11"/>
  <c r="G48" i="11" s="1"/>
  <c r="D49" i="11"/>
  <c r="G49" i="11" s="1"/>
  <c r="G28" i="46"/>
  <c r="E48" i="46" s="1"/>
  <c r="G66" i="46"/>
  <c r="G131" i="46" s="1"/>
  <c r="G143" i="46" s="1"/>
  <c r="G52" i="11"/>
  <c r="G85" i="11" s="1"/>
  <c r="G143" i="11"/>
  <c r="G137" i="11"/>
  <c r="G146" i="11" s="1"/>
  <c r="A87" i="46"/>
  <c r="A88" i="46" s="1"/>
  <c r="A22" i="46"/>
  <c r="A23" i="46" s="1"/>
  <c r="A24" i="46" s="1"/>
  <c r="A25" i="46" s="1"/>
  <c r="A26" i="46" s="1"/>
  <c r="A132" i="46"/>
  <c r="A133" i="46" s="1"/>
  <c r="B75" i="46"/>
  <c r="C48" i="46"/>
  <c r="C16" i="21"/>
  <c r="C82" i="21"/>
  <c r="C27" i="30"/>
  <c r="C22" i="30"/>
  <c r="A17" i="30"/>
  <c r="C76" i="30"/>
  <c r="E30" i="33"/>
  <c r="A19" i="33"/>
  <c r="A20" i="33" s="1"/>
  <c r="A21" i="33" s="1"/>
  <c r="A22" i="33" s="1"/>
  <c r="A23" i="33" s="1"/>
  <c r="J17" i="18"/>
  <c r="J11" i="18"/>
  <c r="E66" i="18"/>
  <c r="E14" i="18"/>
  <c r="F14" i="18" s="1"/>
  <c r="J14" i="18" s="1"/>
  <c r="K26" i="18"/>
  <c r="A25" i="18"/>
  <c r="A26" i="18" s="1"/>
  <c r="A26" i="31"/>
  <c r="A27" i="31" s="1"/>
  <c r="G27" i="31"/>
  <c r="E15" i="31"/>
  <c r="F15" i="31" s="1"/>
  <c r="F27" i="31" s="1"/>
  <c r="F31" i="31" s="1"/>
  <c r="J26" i="18" l="1"/>
  <c r="J30" i="18" s="1"/>
  <c r="E25" i="17"/>
  <c r="E29" i="17" s="1"/>
  <c r="E76" i="13" s="1"/>
  <c r="E77" i="13" s="1"/>
  <c r="D50" i="11"/>
  <c r="G149" i="11"/>
  <c r="G152" i="11" s="1"/>
  <c r="G156" i="11" s="1"/>
  <c r="G137" i="46"/>
  <c r="G146" i="46" s="1"/>
  <c r="G97" i="11"/>
  <c r="A134" i="46"/>
  <c r="C51" i="46"/>
  <c r="D48" i="46" s="1"/>
  <c r="A89" i="46"/>
  <c r="A27" i="46"/>
  <c r="A28" i="46" s="1"/>
  <c r="C80" i="30"/>
  <c r="C13" i="30"/>
  <c r="C17" i="30" s="1"/>
  <c r="C37" i="30" s="1"/>
  <c r="A18" i="30"/>
  <c r="A19" i="30" s="1"/>
  <c r="A20" i="30" s="1"/>
  <c r="A24" i="33"/>
  <c r="A25" i="33" s="1"/>
  <c r="A26" i="33" s="1"/>
  <c r="E26" i="18"/>
  <c r="E30" i="18" s="1"/>
  <c r="F26" i="18"/>
  <c r="F30" i="18" s="1"/>
  <c r="A27" i="18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A55" i="18" s="1"/>
  <c r="A56" i="18" s="1"/>
  <c r="A57" i="18" s="1"/>
  <c r="A58" i="18" s="1"/>
  <c r="A59" i="18" s="1"/>
  <c r="A60" i="18" s="1"/>
  <c r="A61" i="18" s="1"/>
  <c r="A62" i="18" s="1"/>
  <c r="A63" i="18" s="1"/>
  <c r="A64" i="18" s="1"/>
  <c r="A65" i="18" s="1"/>
  <c r="A66" i="18" s="1"/>
  <c r="A67" i="18" s="1"/>
  <c r="A71" i="18" s="1"/>
  <c r="A72" i="18" s="1"/>
  <c r="A73" i="18" s="1"/>
  <c r="A74" i="18" s="1"/>
  <c r="A75" i="18" s="1"/>
  <c r="A76" i="18" s="1"/>
  <c r="E27" i="31"/>
  <c r="E31" i="31" s="1"/>
  <c r="A28" i="3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47" i="31" s="1"/>
  <c r="A48" i="31" s="1"/>
  <c r="A49" i="31" s="1"/>
  <c r="A50" i="31" s="1"/>
  <c r="A51" i="31" s="1"/>
  <c r="A52" i="31" s="1"/>
  <c r="A53" i="31" s="1"/>
  <c r="A54" i="31" s="1"/>
  <c r="A55" i="31" s="1"/>
  <c r="A56" i="31" s="1"/>
  <c r="A57" i="31" s="1"/>
  <c r="A58" i="31" s="1"/>
  <c r="A59" i="31" s="1"/>
  <c r="A60" i="31" s="1"/>
  <c r="A61" i="31" s="1"/>
  <c r="A62" i="31" s="1"/>
  <c r="A63" i="31" s="1"/>
  <c r="A64" i="31" s="1"/>
  <c r="A65" i="31" s="1"/>
  <c r="A66" i="31" s="1"/>
  <c r="A67" i="31" s="1"/>
  <c r="A68" i="31" s="1"/>
  <c r="C31" i="21" l="1"/>
  <c r="C32" i="21" s="1"/>
  <c r="C36" i="21" s="1"/>
  <c r="G88" i="11" s="1"/>
  <c r="G149" i="46"/>
  <c r="G152" i="46" s="1"/>
  <c r="G156" i="46" s="1"/>
  <c r="A90" i="46"/>
  <c r="G48" i="46"/>
  <c r="D50" i="46"/>
  <c r="G50" i="46" s="1"/>
  <c r="D49" i="46"/>
  <c r="G49" i="46" s="1"/>
  <c r="G53" i="46" s="1"/>
  <c r="G86" i="46" s="1"/>
  <c r="A135" i="46"/>
  <c r="A136" i="46" s="1"/>
  <c r="A137" i="46" s="1"/>
  <c r="A29" i="46"/>
  <c r="A30" i="46" s="1"/>
  <c r="A31" i="46" s="1"/>
  <c r="A21" i="30"/>
  <c r="A22" i="30" s="1"/>
  <c r="A27" i="33"/>
  <c r="A28" i="33" s="1"/>
  <c r="A29" i="33" s="1"/>
  <c r="A30" i="33" s="1"/>
  <c r="K30" i="18"/>
  <c r="G31" i="31"/>
  <c r="G99" i="11" l="1"/>
  <c r="G91" i="11"/>
  <c r="G100" i="11" s="1"/>
  <c r="G51" i="46"/>
  <c r="G109" i="46" s="1"/>
  <c r="G92" i="46"/>
  <c r="G101" i="46" s="1"/>
  <c r="G98" i="46"/>
  <c r="A138" i="46"/>
  <c r="A139" i="46" s="1"/>
  <c r="A140" i="46" s="1"/>
  <c r="A141" i="46" s="1"/>
  <c r="A142" i="46" s="1"/>
  <c r="A143" i="46" s="1"/>
  <c r="A144" i="46" s="1"/>
  <c r="A145" i="46" s="1"/>
  <c r="A146" i="46" s="1"/>
  <c r="A147" i="46" s="1"/>
  <c r="A148" i="46" s="1"/>
  <c r="A149" i="46" s="1"/>
  <c r="A150" i="46" s="1"/>
  <c r="A151" i="46" s="1"/>
  <c r="A152" i="46" s="1"/>
  <c r="D51" i="46"/>
  <c r="A32" i="46"/>
  <c r="A91" i="46"/>
  <c r="A92" i="46" s="1"/>
  <c r="A23" i="30"/>
  <c r="A24" i="30" s="1"/>
  <c r="A25" i="30" s="1"/>
  <c r="G103" i="11" l="1"/>
  <c r="G106" i="11" s="1"/>
  <c r="G110" i="11" s="1"/>
  <c r="E79" i="13" s="1"/>
  <c r="A33" i="46"/>
  <c r="A153" i="46"/>
  <c r="A154" i="46" s="1"/>
  <c r="A155" i="46" s="1"/>
  <c r="A156" i="46" s="1"/>
  <c r="A93" i="46"/>
  <c r="A94" i="46" s="1"/>
  <c r="A95" i="46" s="1"/>
  <c r="A96" i="46" s="1"/>
  <c r="A97" i="46" s="1"/>
  <c r="A98" i="46" s="1"/>
  <c r="A99" i="46" s="1"/>
  <c r="A100" i="46" s="1"/>
  <c r="A101" i="46" s="1"/>
  <c r="A102" i="46" s="1"/>
  <c r="G104" i="46"/>
  <c r="G107" i="46" s="1"/>
  <c r="G111" i="46" s="1"/>
  <c r="A26" i="30"/>
  <c r="A27" i="30" s="1"/>
  <c r="E92" i="13" l="1"/>
  <c r="E94" i="13" s="1"/>
  <c r="E98" i="13" s="1"/>
  <c r="E100" i="13" s="1"/>
  <c r="E22" i="13" s="1"/>
  <c r="E81" i="13"/>
  <c r="E83" i="13" s="1"/>
  <c r="E20" i="13" s="1"/>
  <c r="E24" i="13" s="1"/>
  <c r="E26" i="13" s="1"/>
  <c r="E28" i="13" s="1"/>
  <c r="E33" i="13" s="1"/>
  <c r="E35" i="13" s="1"/>
  <c r="C13" i="15" s="1"/>
  <c r="A103" i="46"/>
  <c r="A104" i="46" s="1"/>
  <c r="A34" i="46"/>
  <c r="A35" i="46" s="1"/>
  <c r="A36" i="46" s="1"/>
  <c r="A28" i="30"/>
  <c r="A29" i="30" s="1"/>
  <c r="A30" i="30" s="1"/>
  <c r="C17" i="15" l="1"/>
  <c r="C36" i="15"/>
  <c r="C40" i="15" s="1"/>
  <c r="D19" i="12" s="1"/>
  <c r="C14" i="16"/>
  <c r="A37" i="46"/>
  <c r="A38" i="46" s="1"/>
  <c r="A39" i="46" s="1"/>
  <c r="A40" i="46" s="1"/>
  <c r="A41" i="46" s="1"/>
  <c r="A42" i="46" s="1"/>
  <c r="A43" i="46" s="1"/>
  <c r="A105" i="46"/>
  <c r="A106" i="46" s="1"/>
  <c r="A107" i="46" s="1"/>
  <c r="A31" i="30"/>
  <c r="A32" i="30" s="1"/>
  <c r="A33" i="30" s="1"/>
  <c r="D25" i="12" l="1"/>
  <c r="I25" i="12" s="1"/>
  <c r="D20" i="12"/>
  <c r="I20" i="12" s="1"/>
  <c r="I19" i="12"/>
  <c r="D23" i="12"/>
  <c r="I23" i="12" s="1"/>
  <c r="D28" i="12"/>
  <c r="I28" i="12" s="1"/>
  <c r="D21" i="12"/>
  <c r="I21" i="12" s="1"/>
  <c r="D24" i="12"/>
  <c r="I24" i="12" s="1"/>
  <c r="D22" i="12"/>
  <c r="I22" i="12" s="1"/>
  <c r="D27" i="12"/>
  <c r="I27" i="12" s="1"/>
  <c r="D30" i="12"/>
  <c r="I30" i="12" s="1"/>
  <c r="D29" i="12"/>
  <c r="I29" i="12" s="1"/>
  <c r="D26" i="12"/>
  <c r="I26" i="12" s="1"/>
  <c r="C18" i="16"/>
  <c r="G14" i="16"/>
  <c r="C37" i="16"/>
  <c r="A44" i="46"/>
  <c r="A45" i="46" s="1"/>
  <c r="A46" i="46" s="1"/>
  <c r="A47" i="46" s="1"/>
  <c r="A48" i="46" s="1"/>
  <c r="A108" i="46"/>
  <c r="A109" i="46" s="1"/>
  <c r="A110" i="46" s="1"/>
  <c r="A111" i="46" s="1"/>
  <c r="A34" i="30"/>
  <c r="A35" i="30" s="1"/>
  <c r="A36" i="30" s="1"/>
  <c r="A37" i="30" s="1"/>
  <c r="A38" i="30" s="1"/>
  <c r="A39" i="30" s="1"/>
  <c r="A40" i="30" s="1"/>
  <c r="K19" i="12" l="1"/>
  <c r="I31" i="12"/>
  <c r="L19" i="12"/>
  <c r="N19" i="12" s="1"/>
  <c r="K20" i="12" s="1"/>
  <c r="D31" i="12"/>
  <c r="A49" i="46"/>
  <c r="A41" i="30"/>
  <c r="A42" i="30" s="1"/>
  <c r="A43" i="30" s="1"/>
  <c r="A44" i="30" s="1"/>
  <c r="A45" i="30" s="1"/>
  <c r="L20" i="12" l="1"/>
  <c r="N20" i="12"/>
  <c r="A50" i="46"/>
  <c r="A46" i="30"/>
  <c r="A47" i="30" s="1"/>
  <c r="A48" i="30" s="1"/>
  <c r="A49" i="30" s="1"/>
  <c r="K21" i="12" l="1"/>
  <c r="L21" i="12"/>
  <c r="N21" i="12" s="1"/>
  <c r="K22" i="12" s="1"/>
  <c r="A51" i="46"/>
  <c r="L22" i="12" l="1"/>
  <c r="N22" i="12"/>
  <c r="A52" i="46"/>
  <c r="A53" i="46" s="1"/>
  <c r="K23" i="12" l="1"/>
  <c r="L23" i="12"/>
  <c r="N23" i="12" s="1"/>
  <c r="K24" i="12" s="1"/>
  <c r="A54" i="46"/>
  <c r="A55" i="46" s="1"/>
  <c r="A56" i="46" s="1"/>
  <c r="A57" i="46" s="1"/>
  <c r="A58" i="46" s="1"/>
  <c r="A59" i="46" s="1"/>
  <c r="A60" i="46" s="1"/>
  <c r="A61" i="46" s="1"/>
  <c r="L24" i="12" l="1"/>
  <c r="N24" i="12"/>
  <c r="K25" i="12" s="1"/>
  <c r="A62" i="46"/>
  <c r="L25" i="12" l="1"/>
  <c r="N25" i="12"/>
  <c r="A63" i="46"/>
  <c r="K26" i="12" l="1"/>
  <c r="L26" i="12"/>
  <c r="N26" i="12" s="1"/>
  <c r="A64" i="46"/>
  <c r="K27" i="12" l="1"/>
  <c r="L27" i="12"/>
  <c r="N27" i="12" s="1"/>
  <c r="A65" i="46"/>
  <c r="A66" i="46" s="1"/>
  <c r="K28" i="12" l="1"/>
  <c r="L28" i="12"/>
  <c r="N28" i="12" s="1"/>
  <c r="K29" i="12" l="1"/>
  <c r="L29" i="12"/>
  <c r="N29" i="12" s="1"/>
  <c r="E32" i="16"/>
  <c r="C32" i="16"/>
  <c r="K30" i="12" l="1"/>
  <c r="L30" i="12"/>
  <c r="L31" i="12" s="1"/>
  <c r="G51" i="16"/>
  <c r="G33" i="16"/>
  <c r="G32" i="16"/>
  <c r="E33" i="16"/>
  <c r="E41" i="16"/>
  <c r="B53" i="16"/>
  <c r="B47" i="16"/>
  <c r="B45" i="16"/>
  <c r="B43" i="16"/>
  <c r="B39" i="16"/>
  <c r="B37" i="16"/>
  <c r="B35" i="16"/>
  <c r="H33" i="16"/>
  <c r="C33" i="16"/>
  <c r="A13" i="16"/>
  <c r="A14" i="16" s="1"/>
  <c r="I12" i="16"/>
  <c r="I13" i="16" s="1"/>
  <c r="I14" i="16" s="1"/>
  <c r="I15" i="16" s="1"/>
  <c r="I16" i="16" s="1"/>
  <c r="I17" i="16" s="1"/>
  <c r="I18" i="16" s="1"/>
  <c r="I19" i="16" s="1"/>
  <c r="I20" i="16" s="1"/>
  <c r="I21" i="16" s="1"/>
  <c r="I22" i="16" s="1"/>
  <c r="I23" i="16" s="1"/>
  <c r="I24" i="16" s="1"/>
  <c r="I25" i="16" s="1"/>
  <c r="I26" i="16" s="1"/>
  <c r="I27" i="16" s="1"/>
  <c r="I28" i="16" s="1"/>
  <c r="I29" i="16" s="1"/>
  <c r="I34" i="16" s="1"/>
  <c r="I35" i="16" s="1"/>
  <c r="I36" i="16" s="1"/>
  <c r="I37" i="16" s="1"/>
  <c r="I38" i="16" s="1"/>
  <c r="I39" i="16" s="1"/>
  <c r="I40" i="16" s="1"/>
  <c r="I41" i="16" s="1"/>
  <c r="I42" i="16" s="1"/>
  <c r="I43" i="16" s="1"/>
  <c r="I44" i="16" s="1"/>
  <c r="I45" i="16" s="1"/>
  <c r="I46" i="16" s="1"/>
  <c r="I47" i="16" s="1"/>
  <c r="I48" i="16" s="1"/>
  <c r="I49" i="16" s="1"/>
  <c r="I50" i="16" s="1"/>
  <c r="I51" i="16" s="1"/>
  <c r="I52" i="16" s="1"/>
  <c r="I53" i="16" s="1"/>
  <c r="I54" i="16" s="1"/>
  <c r="N30" i="12" l="1"/>
  <c r="C19" i="15" s="1"/>
  <c r="G47" i="16"/>
  <c r="G45" i="16"/>
  <c r="E53" i="16"/>
  <c r="G39" i="16"/>
  <c r="E24" i="16"/>
  <c r="G12" i="16"/>
  <c r="G22" i="16"/>
  <c r="G16" i="16"/>
  <c r="A15" i="16"/>
  <c r="A16" i="16" s="1"/>
  <c r="C42" i="15" l="1"/>
  <c r="C43" i="16" s="1"/>
  <c r="G43" i="16" s="1"/>
  <c r="C48" i="15"/>
  <c r="C52" i="15" s="1"/>
  <c r="C20" i="16"/>
  <c r="G37" i="16"/>
  <c r="G35" i="16"/>
  <c r="A17" i="16"/>
  <c r="A18" i="16" s="1"/>
  <c r="H18" i="16"/>
  <c r="C41" i="16" l="1"/>
  <c r="G41" i="16" s="1"/>
  <c r="G49" i="16" s="1"/>
  <c r="G18" i="16"/>
  <c r="A19" i="16"/>
  <c r="A20" i="16" s="1"/>
  <c r="A21" i="16" l="1"/>
  <c r="A22" i="16" s="1"/>
  <c r="H24" i="16" s="1"/>
  <c r="A23" i="16" l="1"/>
  <c r="A24" i="16" s="1"/>
  <c r="A25" i="16" l="1"/>
  <c r="A26" i="16" s="1"/>
  <c r="A27" i="16" l="1"/>
  <c r="A28" i="16" s="1"/>
  <c r="A29" i="16" s="1"/>
  <c r="A34" i="16" s="1"/>
  <c r="A35" i="16" s="1"/>
  <c r="H28" i="16"/>
  <c r="A36" i="16" l="1"/>
  <c r="A37" i="16" s="1"/>
  <c r="A38" i="16" s="1"/>
  <c r="A39" i="16" s="1"/>
  <c r="A40" i="16" s="1"/>
  <c r="A41" i="16" s="1"/>
  <c r="A42" i="16" l="1"/>
  <c r="A43" i="16" s="1"/>
  <c r="A44" i="16" s="1"/>
  <c r="A45" i="16" s="1"/>
  <c r="A46" i="16" s="1"/>
  <c r="A47" i="16" s="1"/>
  <c r="A48" i="16" s="1"/>
  <c r="A49" i="16" s="1"/>
  <c r="H41" i="16"/>
  <c r="A50" i="16" l="1"/>
  <c r="A51" i="16" s="1"/>
  <c r="A52" i="16" s="1"/>
  <c r="A53" i="16" s="1"/>
  <c r="A54" i="16" s="1"/>
  <c r="H49" i="16"/>
  <c r="G28" i="16" l="1"/>
  <c r="D13" i="1" s="1"/>
  <c r="G20" i="16"/>
  <c r="G24" i="16" s="1"/>
  <c r="C49" i="16" l="1"/>
  <c r="C53" i="16" s="1"/>
  <c r="G53" i="16" l="1"/>
  <c r="D16" i="26" s="1"/>
  <c r="G16" i="26" l="1"/>
  <c r="F16" i="26"/>
  <c r="D20" i="26"/>
  <c r="D24" i="26"/>
  <c r="D22" i="26"/>
  <c r="D21" i="26"/>
  <c r="D19" i="26"/>
  <c r="D25" i="26"/>
  <c r="D23" i="26"/>
  <c r="D17" i="26"/>
  <c r="D18" i="26"/>
  <c r="D26" i="26"/>
  <c r="D27" i="26"/>
  <c r="H16" i="26"/>
  <c r="F17" i="26"/>
  <c r="G17" i="26" s="1"/>
  <c r="H17" i="26" s="1"/>
  <c r="D52" i="26" l="1"/>
  <c r="F18" i="26"/>
  <c r="G18" i="26" s="1"/>
  <c r="H18" i="26" s="1"/>
  <c r="F19" i="26" l="1"/>
  <c r="G19" i="26" s="1"/>
  <c r="H19" i="26" s="1"/>
  <c r="F20" i="26" l="1"/>
  <c r="G20" i="26" s="1"/>
  <c r="H20" i="26" l="1"/>
  <c r="F21" i="26" l="1"/>
  <c r="G21" i="26" s="1"/>
  <c r="H21" i="26" s="1"/>
  <c r="F22" i="26" s="1"/>
  <c r="G22" i="26" l="1"/>
  <c r="H22" i="26" s="1"/>
  <c r="F23" i="26" l="1"/>
  <c r="G23" i="26" s="1"/>
  <c r="H23" i="26" s="1"/>
  <c r="F24" i="26" l="1"/>
  <c r="G24" i="26" s="1"/>
  <c r="H24" i="26" s="1"/>
  <c r="F25" i="26" l="1"/>
  <c r="G25" i="26" s="1"/>
  <c r="H25" i="26" s="1"/>
  <c r="F26" i="26" s="1"/>
  <c r="G26" i="26" l="1"/>
  <c r="H26" i="26" s="1"/>
  <c r="F27" i="26" l="1"/>
  <c r="G27" i="26" s="1"/>
  <c r="H27" i="26" s="1"/>
  <c r="F28" i="26" l="1"/>
  <c r="G28" i="26" s="1"/>
  <c r="H28" i="26" s="1"/>
  <c r="F29" i="26" l="1"/>
  <c r="G29" i="26" s="1"/>
  <c r="H29" i="26" s="1"/>
  <c r="F30" i="26" l="1"/>
  <c r="G30" i="26" s="1"/>
  <c r="H30" i="26" s="1"/>
  <c r="F31" i="26" l="1"/>
  <c r="G31" i="26" s="1"/>
  <c r="H31" i="26" s="1"/>
  <c r="F32" i="26" l="1"/>
  <c r="G32" i="26" s="1"/>
  <c r="H32" i="26" l="1"/>
  <c r="F33" i="26" l="1"/>
  <c r="G33" i="26" s="1"/>
  <c r="H33" i="26" s="1"/>
  <c r="F34" i="26" l="1"/>
  <c r="G34" i="26" s="1"/>
  <c r="H34" i="26" s="1"/>
  <c r="F35" i="26" l="1"/>
  <c r="G35" i="26" s="1"/>
  <c r="H35" i="26" s="1"/>
  <c r="F36" i="26" l="1"/>
  <c r="G36" i="26" s="1"/>
  <c r="H36" i="26" l="1"/>
  <c r="F37" i="26" l="1"/>
  <c r="G37" i="26" s="1"/>
  <c r="H37" i="26" s="1"/>
  <c r="F38" i="26" l="1"/>
  <c r="G38" i="26" s="1"/>
  <c r="H38" i="26" s="1"/>
  <c r="F39" i="26" l="1"/>
  <c r="G39" i="26" s="1"/>
  <c r="H39" i="26" s="1"/>
  <c r="F40" i="26" l="1"/>
  <c r="G40" i="26" s="1"/>
  <c r="H40" i="26" l="1"/>
  <c r="F41" i="26" l="1"/>
  <c r="G41" i="26" s="1"/>
  <c r="H41" i="26" s="1"/>
  <c r="F42" i="26" l="1"/>
  <c r="G42" i="26" s="1"/>
  <c r="H42" i="26" s="1"/>
  <c r="F43" i="26" l="1"/>
  <c r="G43" i="26" s="1"/>
  <c r="H43" i="26" s="1"/>
  <c r="F44" i="26" s="1"/>
  <c r="G44" i="26" l="1"/>
  <c r="H44" i="26" s="1"/>
  <c r="F45" i="26" l="1"/>
  <c r="G45" i="26" s="1"/>
  <c r="H45" i="26" s="1"/>
  <c r="F46" i="26" l="1"/>
  <c r="G46" i="26" s="1"/>
  <c r="H46" i="26" s="1"/>
  <c r="F47" i="26" l="1"/>
  <c r="G47" i="26" s="1"/>
  <c r="H47" i="26" s="1"/>
  <c r="F48" i="26" s="1"/>
  <c r="G48" i="26" l="1"/>
  <c r="H48" i="26" s="1"/>
  <c r="F49" i="26" l="1"/>
  <c r="G49" i="26" s="1"/>
  <c r="H49" i="26" s="1"/>
  <c r="F50" i="26" l="1"/>
  <c r="G50" i="26" s="1"/>
  <c r="H50" i="26" l="1"/>
  <c r="F51" i="26" l="1"/>
  <c r="G51" i="26" s="1"/>
  <c r="G52" i="26" s="1"/>
  <c r="D15" i="1" s="1"/>
  <c r="D17" i="1" s="1"/>
  <c r="D21" i="1" s="1"/>
  <c r="H51" i="26" l="1"/>
</calcChain>
</file>

<file path=xl/sharedStrings.xml><?xml version="1.0" encoding="utf-8"?>
<sst xmlns="http://schemas.openxmlformats.org/spreadsheetml/2006/main" count="1805" uniqueCount="662">
  <si>
    <t>San Diego Gas &amp; Electric Company</t>
  </si>
  <si>
    <t>($1,000)</t>
  </si>
  <si>
    <t>Line</t>
  </si>
  <si>
    <t>No.</t>
  </si>
  <si>
    <t>Description</t>
  </si>
  <si>
    <t>Amounts</t>
  </si>
  <si>
    <t>Reference</t>
  </si>
  <si>
    <t>Page 2; Line 17; Col. C</t>
  </si>
  <si>
    <t>Interest Expense</t>
  </si>
  <si>
    <t xml:space="preserve">Total Annual Costs Adjustment </t>
  </si>
  <si>
    <t>Sum Lines 3 and 5</t>
  </si>
  <si>
    <t>Number of Months in Base Period</t>
  </si>
  <si>
    <t xml:space="preserve">Total Monthly Costs Adjustment </t>
  </si>
  <si>
    <t>Line 7 / Line 9</t>
  </si>
  <si>
    <t>SAN DIEGO GAS &amp; ELECTRIC COMPANY</t>
  </si>
  <si>
    <t>A</t>
  </si>
  <si>
    <t>B</t>
  </si>
  <si>
    <t>C = A - B</t>
  </si>
  <si>
    <t>Difference</t>
  </si>
  <si>
    <t>Description of Annual Costs</t>
  </si>
  <si>
    <t>Incr (Decr)</t>
  </si>
  <si>
    <t>Section 1 - Direct Maintenance Expense Cost Component</t>
  </si>
  <si>
    <t>Page 3 and Page 4, Line 1</t>
  </si>
  <si>
    <t>Section 2 - Non-Direct Expense Cost Component</t>
  </si>
  <si>
    <t>√</t>
  </si>
  <si>
    <t>Page 3 and Page 4, Line 3</t>
  </si>
  <si>
    <t>Section 3 - Cost Component Containing Other Specific Expenses</t>
  </si>
  <si>
    <t>Page 3 and Page 4, Line 5</t>
  </si>
  <si>
    <t>Total Citizens' Annual Prior Year Cost of Service</t>
  </si>
  <si>
    <t>Section 4 - True-Up Adjustment Cost Component (Over)/Undercollection</t>
  </si>
  <si>
    <t>Page 3 and Page 4, Line 9</t>
  </si>
  <si>
    <t>Section 5 - Interest True-Up Adjustment Cost Component</t>
  </si>
  <si>
    <t>Page 3 and Page 4, Line 11</t>
  </si>
  <si>
    <t>Subtotal Annual Costs</t>
  </si>
  <si>
    <t>Other Adjustments</t>
  </si>
  <si>
    <t>Page 3 and Page 4, Line 15</t>
  </si>
  <si>
    <t>Total Annual Costs</t>
  </si>
  <si>
    <t>Description of Monthly Costs</t>
  </si>
  <si>
    <t>Page 3 and Page 4, Line 20</t>
  </si>
  <si>
    <t>Page 3 and Page 4, Line 22</t>
  </si>
  <si>
    <t>Page 3 and Page 4, Line 24</t>
  </si>
  <si>
    <t>Total Citizens' Monthly Prior Year Cost of Service</t>
  </si>
  <si>
    <t>Page 3 and Page 4, Line 28</t>
  </si>
  <si>
    <t>Page 3 and Page 4, Line 30</t>
  </si>
  <si>
    <t>Page 3 and Page 4, Line 32</t>
  </si>
  <si>
    <t>Total Monthly Costs</t>
  </si>
  <si>
    <t>Page 3 and Page 4, Line 36</t>
  </si>
  <si>
    <t>Page 3 and Page 4, Line 38</t>
  </si>
  <si>
    <t>Summary of Cost Components</t>
  </si>
  <si>
    <t>Section 1; Page 1; Line 17</t>
  </si>
  <si>
    <t>Section 3; Page 1; Line 31</t>
  </si>
  <si>
    <t>Total Citizens Annual Prior Year Cost of Service</t>
  </si>
  <si>
    <t>Sum Lines 1, 3, 5</t>
  </si>
  <si>
    <t>Section 5; Page Interest TU (CY); Col. 6; Line 20</t>
  </si>
  <si>
    <t>Sum Lines 7, 9, 11</t>
  </si>
  <si>
    <t>Cost Adjustment Workpapers</t>
  </si>
  <si>
    <t>Line 13 + Line 15</t>
  </si>
  <si>
    <t>Total Citizens Monthly Prior Year Cost of Service</t>
  </si>
  <si>
    <t xml:space="preserve">Section 2 - Non-Direct Expense Cost Component </t>
  </si>
  <si>
    <t>A. Non-Direct Annual Carrying Charge Percentages</t>
  </si>
  <si>
    <t>Transmission Related O&amp;M Expense</t>
  </si>
  <si>
    <t>Transmission Related A&amp;G Expense</t>
  </si>
  <si>
    <t>Transmission Related Property Tax Expense</t>
  </si>
  <si>
    <t>Transmission Related Payroll Tax Expense</t>
  </si>
  <si>
    <t>Transmission Related Working Capital Revenue</t>
  </si>
  <si>
    <t>Transmission Related General &amp; Common Plant Revenue</t>
  </si>
  <si>
    <t xml:space="preserve">     Subtotal Annual Carrying Charge Rate</t>
  </si>
  <si>
    <t>Transmission Related Municipal Franchise Fees Expense</t>
  </si>
  <si>
    <t xml:space="preserve">     Total Annual Carrying Charge Rate</t>
  </si>
  <si>
    <t>B. Derivation of Non-Direct Expense</t>
  </si>
  <si>
    <t>Citizens Lease Payment</t>
  </si>
  <si>
    <t>Lease Agreement</t>
  </si>
  <si>
    <t>Total Annual Carrying Charge Rate</t>
  </si>
  <si>
    <t xml:space="preserve">     Total Non-Direct Expense</t>
  </si>
  <si>
    <t>Net Transmission Plant</t>
  </si>
  <si>
    <t>AV-4; Line 6</t>
  </si>
  <si>
    <t>A. Transmission Related O&amp;M Expense</t>
  </si>
  <si>
    <t>Transmission O&amp;M Expense</t>
  </si>
  <si>
    <t xml:space="preserve">     Transmission O&amp;M Expense Carrying Charge Percentage</t>
  </si>
  <si>
    <t>Line 4 / Line 1</t>
  </si>
  <si>
    <t>B. Transmission Related A&amp;G Expense</t>
  </si>
  <si>
    <t>Total Transmission Related A&amp;G Expense Including Property Ins.</t>
  </si>
  <si>
    <t xml:space="preserve">     Transmission Related A&amp;G Carrying Charge Percentage</t>
  </si>
  <si>
    <t>Line 9 / Line 1</t>
  </si>
  <si>
    <t>C. Transmission Related Property Tax Expense</t>
  </si>
  <si>
    <t>Statement AK; Line 17</t>
  </si>
  <si>
    <t xml:space="preserve">     Transmission Related Property Tax Carrying Charge Percentage</t>
  </si>
  <si>
    <t>Line 14 / Line 1</t>
  </si>
  <si>
    <t>D. Transmission Related Payroll Tax Expense</t>
  </si>
  <si>
    <t>Statement AK; Line 28</t>
  </si>
  <si>
    <t xml:space="preserve">     Transmission Related Payroll Tax Carrying Charge Percentage</t>
  </si>
  <si>
    <t>Line 19 / Line 1</t>
  </si>
  <si>
    <t>E. Transmission Related Working Capital Revenue</t>
  </si>
  <si>
    <t>Citizens Financed Transmission Projects:</t>
  </si>
  <si>
    <t>Transmission Related M&amp;S Allocated to Transmission</t>
  </si>
  <si>
    <t>Statement AL; Line 5</t>
  </si>
  <si>
    <t>Transmission Related Prepayments Allocated to Transmission</t>
  </si>
  <si>
    <t>Statement AL; Line 9</t>
  </si>
  <si>
    <t>Transmission Related Working Cash</t>
  </si>
  <si>
    <t>Statement AL; Line 19</t>
  </si>
  <si>
    <t xml:space="preserve">     Total Transmission Related Working Capital</t>
  </si>
  <si>
    <t>Sum Lines 25 thru 27</t>
  </si>
  <si>
    <t>Cost of Capital Rate</t>
  </si>
  <si>
    <t>Transmission Working Capital Revenue</t>
  </si>
  <si>
    <t>Line 28 x Line 30</t>
  </si>
  <si>
    <t xml:space="preserve">     Transmission Related Working Capital Revenue Carrying Charge Percentage</t>
  </si>
  <si>
    <t>Line 32 / Line 1</t>
  </si>
  <si>
    <t>F. Transmission Related General &amp; Common Plant Revenue</t>
  </si>
  <si>
    <t>Net Transmission Related General Plant</t>
  </si>
  <si>
    <t>AV-4; Line 4</t>
  </si>
  <si>
    <t>Net Transmission Related Common Plant</t>
  </si>
  <si>
    <t>AV-4; Line 5</t>
  </si>
  <si>
    <t>Total Net Transmission Related General and Common Plant</t>
  </si>
  <si>
    <t>Line 37 + Line 39</t>
  </si>
  <si>
    <t>Line 30</t>
  </si>
  <si>
    <t>Transmission Related General and Common Return and Associated Income Taxes</t>
  </si>
  <si>
    <t>Line 41 * Line 43</t>
  </si>
  <si>
    <t>Transmission Related General and Common Depreciation Expense</t>
  </si>
  <si>
    <t>Statement AJ; Line 17</t>
  </si>
  <si>
    <t>Total Transmission Related General and Common Plant Revenues</t>
  </si>
  <si>
    <t>Line 45 + Line 47</t>
  </si>
  <si>
    <t xml:space="preserve">     Total Transmission Related General and Common Plant Carrying Charge Percentage</t>
  </si>
  <si>
    <t>Line 49 / Line 1</t>
  </si>
  <si>
    <t>DERIVATION OF CITIZENS' TRUE-UP ADJUSTMENT -  (OVER) / UNDERCOLLECTION</t>
  </si>
  <si>
    <t>Col. 1</t>
  </si>
  <si>
    <t>Col. 2</t>
  </si>
  <si>
    <t>Col. 3</t>
  </si>
  <si>
    <t>Col. 4</t>
  </si>
  <si>
    <t>Col. 5</t>
  </si>
  <si>
    <t>Col. 6</t>
  </si>
  <si>
    <t>Col. 7</t>
  </si>
  <si>
    <t>Col. 8</t>
  </si>
  <si>
    <t>Col. 9</t>
  </si>
  <si>
    <t>Col. 10</t>
  </si>
  <si>
    <t>Col. 11</t>
  </si>
  <si>
    <t>Calculations:</t>
  </si>
  <si>
    <t>Cumulative</t>
  </si>
  <si>
    <t>Monthly</t>
  </si>
  <si>
    <t>Overcollection (-) or</t>
  </si>
  <si>
    <t>Prior</t>
  </si>
  <si>
    <t>Adjusted Monthly</t>
  </si>
  <si>
    <t>Undercollection (+)</t>
  </si>
  <si>
    <t>True-Up</t>
  </si>
  <si>
    <t>Prior Other</t>
  </si>
  <si>
    <t>Interest</t>
  </si>
  <si>
    <t>in Revenue</t>
  </si>
  <si>
    <t>Month</t>
  </si>
  <si>
    <t>Year</t>
  </si>
  <si>
    <r>
      <t>Cost of Service</t>
    </r>
    <r>
      <rPr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</t>
    </r>
  </si>
  <si>
    <r>
      <t>Revenues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2</t>
    </r>
  </si>
  <si>
    <r>
      <t>Adjustment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3</t>
    </r>
  </si>
  <si>
    <r>
      <t>Adjustments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4</t>
    </r>
  </si>
  <si>
    <t>Revenues</t>
  </si>
  <si>
    <r>
      <t>Rate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5</t>
    </r>
  </si>
  <si>
    <t>wo Interest</t>
  </si>
  <si>
    <t>with Interest</t>
  </si>
  <si>
    <t>January</t>
  </si>
  <si>
    <t>February</t>
  </si>
  <si>
    <t xml:space="preserve">March   </t>
  </si>
  <si>
    <t xml:space="preserve">April   </t>
  </si>
  <si>
    <t xml:space="preserve">May   </t>
  </si>
  <si>
    <t xml:space="preserve">June   </t>
  </si>
  <si>
    <t xml:space="preserve">July   </t>
  </si>
  <si>
    <t xml:space="preserve">August   </t>
  </si>
  <si>
    <t xml:space="preserve">September   </t>
  </si>
  <si>
    <t xml:space="preserve">October   </t>
  </si>
  <si>
    <t xml:space="preserve">November   </t>
  </si>
  <si>
    <t xml:space="preserve">December   </t>
  </si>
  <si>
    <t>Monthly True-Up Cost of Service comprises Sections 1 thru 3 Direct Maintenance, Non-Direct Expense, and Other Specific Expenses Cost Components.</t>
  </si>
  <si>
    <t>Monthly True-Up Revenues comprises the prior cycle costs applicable to the true-up period.</t>
  </si>
  <si>
    <t>Adjustment to back-out the applicable prior year true-up and interest true-up adjustments that are included in the recorded monthly true-up revenues in Column 3.</t>
  </si>
  <si>
    <t>Adjustment to back-out Other Adjustments from a prior year which would be included in the recorded monthly true-up revenues in Column 3. Such adjustments include, but are not limited to, error adjustments and out-of-cycle recovery or refunds ordered by the</t>
  </si>
  <si>
    <t>Commission for a previous year.</t>
  </si>
  <si>
    <t>Rates specified on the FERC website pursuant to Section 35.19a of the Commission regulation.</t>
  </si>
  <si>
    <t>Derived using the prior month balance in Column 11 plus the current month balance in Column 7.</t>
  </si>
  <si>
    <t>Interest is calculated using an average of beginning and ending balances: 1) in month 1, the average is 1/2 of balance in Column 7; and 2) in subsequent months is the average of prior month balance in Column 11 and the current month balance in Column 9.</t>
  </si>
  <si>
    <t>Statement AH</t>
  </si>
  <si>
    <t>Operation and Maintenance Expenses</t>
  </si>
  <si>
    <t>FERC Form 1</t>
  </si>
  <si>
    <t>Page; Line; Col.</t>
  </si>
  <si>
    <t>Derivation of Direct Maintenance Expense:</t>
  </si>
  <si>
    <t>Total Direct Maintenance Cost</t>
  </si>
  <si>
    <t>Derivation of Non-Direct Transmission Operation and Maintenance Expense:</t>
  </si>
  <si>
    <t>Total Non-Direct Transmission O&amp;M Expense</t>
  </si>
  <si>
    <t>AH-2; Line 37; Col. a</t>
  </si>
  <si>
    <t>Adjustments to Per Book Transmission O&amp;M Expense:</t>
  </si>
  <si>
    <t xml:space="preserve">   Scheduling, System Control &amp; Dispatch Services</t>
  </si>
  <si>
    <t>Negative of AH-2; Line 44; Col. b</t>
  </si>
  <si>
    <t xml:space="preserve">   Reliability, Planning &amp; Standards Development</t>
  </si>
  <si>
    <t>Negative of AH-2; Line 45; Col. b</t>
  </si>
  <si>
    <t xml:space="preserve">   Station Expenses</t>
  </si>
  <si>
    <t>Negative of AH-2; Line 46; Col. b</t>
  </si>
  <si>
    <t xml:space="preserve">   Transmission of Electricity by Others</t>
  </si>
  <si>
    <t xml:space="preserve">   Miscellaneous Transmission Expense </t>
  </si>
  <si>
    <t xml:space="preserve">   Maintenance of Station Equipment</t>
  </si>
  <si>
    <t xml:space="preserve">   Maintenance of Overhead Lines</t>
  </si>
  <si>
    <t xml:space="preserve">   Maintenance of Underground Lines</t>
  </si>
  <si>
    <t xml:space="preserve">   Other Transmission Non-Direct O&amp;M Exclusion Adjustments </t>
  </si>
  <si>
    <t xml:space="preserve">     Total Non-Direct Adjusted Transmission O&amp;M Expenses </t>
  </si>
  <si>
    <t>Derivation of Non-Direct Administrative and General Expense:</t>
  </si>
  <si>
    <t>Total Non-Direct Administrative &amp; General Expense</t>
  </si>
  <si>
    <t>Adjustments to Per Book A&amp;G Expense:</t>
  </si>
  <si>
    <t xml:space="preserve"> </t>
  </si>
  <si>
    <t xml:space="preserve">   Abandoned Projects</t>
  </si>
  <si>
    <t xml:space="preserve">   CPUC energy efficiency programs</t>
  </si>
  <si>
    <t xml:space="preserve">   CPUC Intervenor Funding Expense - Transmission</t>
  </si>
  <si>
    <t xml:space="preserve">   CPUC Intervenor Funding Expense - Distribution</t>
  </si>
  <si>
    <t xml:space="preserve">   Injuries &amp; Damages</t>
  </si>
  <si>
    <t xml:space="preserve">   General Advertising Expenses </t>
  </si>
  <si>
    <t xml:space="preserve">   Franchise Requirements</t>
  </si>
  <si>
    <t xml:space="preserve">   Hazardous substances - Hazardous Substance Cleanup Cost Account</t>
  </si>
  <si>
    <t xml:space="preserve">   Litigation expenses - Litigation Cost Memorandum Account (LCMA)</t>
  </si>
  <si>
    <t xml:space="preserve">   Other A&amp;G Exclusion Adjustments</t>
  </si>
  <si>
    <t xml:space="preserve">   Other Cost Adjustments</t>
  </si>
  <si>
    <t xml:space="preserve">     Total Adjusted Non-Direct A&amp;G Expenses Including Property Insurance</t>
  </si>
  <si>
    <t>Less: Property Insurance (Due to different allocation factor)</t>
  </si>
  <si>
    <t>Negative of AH-3; Line 5; Col. c</t>
  </si>
  <si>
    <t>Total Adjusted Non-Direct A&amp;G Expenses Excluding Property Insurance</t>
  </si>
  <si>
    <t>Transmission Wages and Salaries Allocation Factor</t>
  </si>
  <si>
    <t>Statement AI; Line 17</t>
  </si>
  <si>
    <t>Transmission Related Non-Direct Administrative &amp; General Expenses</t>
  </si>
  <si>
    <t>Property Insurance Allocated to Transmission, General, and Common Plant</t>
  </si>
  <si>
    <t xml:space="preserve">     Transmission Related Non-Direct A&amp;G Expense Including Property Insurance Expense</t>
  </si>
  <si>
    <t>Derivation of Transmission Plant Property Insurance Allocation Factor:</t>
  </si>
  <si>
    <t>Transmission Plant &amp; Incentive Transmission Plant</t>
  </si>
  <si>
    <t>Statement AD; Line 25</t>
  </si>
  <si>
    <t>Transmission Related Electric Miscellaneous Intangible Plant</t>
  </si>
  <si>
    <t>Shall be Zero</t>
  </si>
  <si>
    <t>Transmission Related General Plant</t>
  </si>
  <si>
    <t>Statement AD; Line 29</t>
  </si>
  <si>
    <t xml:space="preserve">Transmission Related Common Plant </t>
  </si>
  <si>
    <t>Statement AD; Line 31</t>
  </si>
  <si>
    <t xml:space="preserve">     Total Transmission Related Investment in Plant</t>
  </si>
  <si>
    <t>Total Transmission Plant &amp; Incentive Transmission Plant</t>
  </si>
  <si>
    <t>Total Steam Production Plant</t>
  </si>
  <si>
    <t>Statement AD; Line 1</t>
  </si>
  <si>
    <t>Total Nuclear Production Plant</t>
  </si>
  <si>
    <t>Total Other Production Plant</t>
  </si>
  <si>
    <t>Statement AD; Line 7</t>
  </si>
  <si>
    <t>Total Distribution Plant</t>
  </si>
  <si>
    <t>Statement AD; Line 9</t>
  </si>
  <si>
    <t>Total General Plant</t>
  </si>
  <si>
    <t>Statement AD; Line 17</t>
  </si>
  <si>
    <t>Total Common Plant</t>
  </si>
  <si>
    <t>Statement AD; Line 19</t>
  </si>
  <si>
    <t xml:space="preserve">     Total Plant in Service Excluding SONGS</t>
  </si>
  <si>
    <r>
      <t xml:space="preserve">Transmission Property Insurance and Tax Allocation Factor </t>
    </r>
    <r>
      <rPr>
        <b/>
        <vertAlign val="superscript"/>
        <sz val="12"/>
        <rFont val="Times New Roman"/>
        <family val="1"/>
      </rPr>
      <t>1</t>
    </r>
  </si>
  <si>
    <t>Used to allocate property insurance in conformance with the TO5 Formula Rate Mechanism.</t>
  </si>
  <si>
    <t>Administrative &amp; General Expenses</t>
  </si>
  <si>
    <t>(a)</t>
  </si>
  <si>
    <t>(b)</t>
  </si>
  <si>
    <t xml:space="preserve">(c) = (a) - (b) </t>
  </si>
  <si>
    <t>FERC</t>
  </si>
  <si>
    <t>Total</t>
  </si>
  <si>
    <t>Excluded</t>
  </si>
  <si>
    <t>Acct</t>
  </si>
  <si>
    <t>Per Books</t>
  </si>
  <si>
    <t>Expenses</t>
  </si>
  <si>
    <t>Adjusted</t>
  </si>
  <si>
    <t>Administrative &amp; General</t>
  </si>
  <si>
    <t>A&amp;G Salaries</t>
  </si>
  <si>
    <t>Office Supplies &amp; Expenses</t>
  </si>
  <si>
    <t>Less: Administrative Expenses Transferred-Credit</t>
  </si>
  <si>
    <t>Outside Services Employed</t>
  </si>
  <si>
    <t>Property Insurance</t>
  </si>
  <si>
    <t>Injuries &amp; Damages</t>
  </si>
  <si>
    <t>Employee Pensions &amp; Benefits</t>
  </si>
  <si>
    <t xml:space="preserve">Franchise Requirements </t>
  </si>
  <si>
    <t xml:space="preserve">Regulatory Commission Expenses  </t>
  </si>
  <si>
    <t>Less: Duplicate Charges (Company Energy Use)</t>
  </si>
  <si>
    <t>General Advertising Expenses</t>
  </si>
  <si>
    <t>Miscellaneous General Expenses</t>
  </si>
  <si>
    <t>Rents</t>
  </si>
  <si>
    <t>Maintenance of General Plant</t>
  </si>
  <si>
    <t>Total Administrative &amp; General Expenses</t>
  </si>
  <si>
    <r>
      <t xml:space="preserve">Transmission Related A&amp;G Expenses Charged to Citizens </t>
    </r>
    <r>
      <rPr>
        <b/>
        <vertAlign val="superscript"/>
        <sz val="12"/>
        <rFont val="Times New Roman"/>
        <family val="1"/>
      </rPr>
      <t>1</t>
    </r>
  </si>
  <si>
    <t>Total Adjusted Administrative &amp; General Expenses</t>
  </si>
  <si>
    <t>Excluded Expenses:</t>
  </si>
  <si>
    <t>Customer Information System</t>
  </si>
  <si>
    <t>Litigation expenses - Litigation Cost Memorandum Account (LCMA)</t>
  </si>
  <si>
    <t>CPUC Intervenor Funding Expense - Transmission</t>
  </si>
  <si>
    <t>CPUC Intervenor Funding Expense - Distribution</t>
  </si>
  <si>
    <t>Abandoned Projects</t>
  </si>
  <si>
    <t xml:space="preserve">Hazardous Substances-Hazardous Substance Cleanup Cost Account </t>
  </si>
  <si>
    <t>Total Excluded Expenses</t>
  </si>
  <si>
    <t>Account 7000717, which was created to track Citizens Border East Line A&amp;G Expense.</t>
  </si>
  <si>
    <t>2</t>
  </si>
  <si>
    <t>Statement AL</t>
  </si>
  <si>
    <t>Working Capital</t>
  </si>
  <si>
    <t>Working</t>
  </si>
  <si>
    <t>13-Months</t>
  </si>
  <si>
    <t>Cash</t>
  </si>
  <si>
    <t>Average Balance</t>
  </si>
  <si>
    <t>AL-1; Line 18</t>
  </si>
  <si>
    <t>Transmission Plant Allocation Factor</t>
  </si>
  <si>
    <t>Statement AD; Line 35</t>
  </si>
  <si>
    <t xml:space="preserve">     Transmission Related Materials and Supplies </t>
  </si>
  <si>
    <t>Line 1 x Line 3</t>
  </si>
  <si>
    <t>AL-2; Line 18</t>
  </si>
  <si>
    <t xml:space="preserve">     Transmission Related Prepayments </t>
  </si>
  <si>
    <t>Line 3 x Line 7</t>
  </si>
  <si>
    <t>C. Derivation of Transmission Related Cash Working Capital - Retail:</t>
  </si>
  <si>
    <t xml:space="preserve">   Transmission O&amp;M Expense</t>
  </si>
  <si>
    <t xml:space="preserve">   Transmission Related A&amp;G Expense - Excl. Intervenor Funding Expense</t>
  </si>
  <si>
    <t>Negative of Statement AH; Line 24</t>
  </si>
  <si>
    <t xml:space="preserve">     Total</t>
  </si>
  <si>
    <t>Sum Lines 12 thru 14</t>
  </si>
  <si>
    <t xml:space="preserve">   One Eighth O&amp;M Rule</t>
  </si>
  <si>
    <t>FERC Method = 1/8 of O&amp;M Expense</t>
  </si>
  <si>
    <t xml:space="preserve">     Transmission Related Cash Working Capital - Retail Customers</t>
  </si>
  <si>
    <t>Line 15 x Line 17</t>
  </si>
  <si>
    <t>The balances for Materials &amp; Supplies and Prepayments are derived based on a 13-month average balance.</t>
  </si>
  <si>
    <t>SAN DIEGO GAS AND ELECTRIC COMPANY</t>
  </si>
  <si>
    <t>Statement AV</t>
  </si>
  <si>
    <t>Cost of Capital and Fair Rate of Return</t>
  </si>
  <si>
    <t>Long-Term Debt Component - Denominator:</t>
  </si>
  <si>
    <t>Bonds (Acct 221)</t>
  </si>
  <si>
    <t>Less: Reacquired Bonds (Acct 222)</t>
  </si>
  <si>
    <t>Other Long-Term Debt (Acct 224)</t>
  </si>
  <si>
    <t>Unamortized Premium on Long-Term Debt (Acct 225)</t>
  </si>
  <si>
    <t>Less: Unamortized Discount on Long-Term Debt-Debit (Acct 226)</t>
  </si>
  <si>
    <t xml:space="preserve">     LTD = Long Term Debt</t>
  </si>
  <si>
    <t>Long-Term Debt Component - Numerator:</t>
  </si>
  <si>
    <t>Interest on Long-Term Debt (Acct 427)</t>
  </si>
  <si>
    <t>Amort. of Debt Disc. and Expense (Acct 428)</t>
  </si>
  <si>
    <t>Amortization of Loss on Reacquired Debt (Acct 428.1)</t>
  </si>
  <si>
    <t>Less: Amort. of Premium on Debt-Credit (Acct 429)</t>
  </si>
  <si>
    <t>Less: Amortization of Gain on Reacquired Debt-Credit (Acct 429.1)</t>
  </si>
  <si>
    <t xml:space="preserve">     i = LTD interest</t>
  </si>
  <si>
    <t>Cost of Long-Term Debt:</t>
  </si>
  <si>
    <t>Preferred Equity Component:</t>
  </si>
  <si>
    <t>PF = Preferred Stock (Acct 204)</t>
  </si>
  <si>
    <t>d(pf) = Total Dividends Declared-Preferred Stocks (Acct 437)</t>
  </si>
  <si>
    <t xml:space="preserve">     Cost of Preferred Equity</t>
  </si>
  <si>
    <t>Common Equity Component:</t>
  </si>
  <si>
    <t>Proprietary Capital</t>
  </si>
  <si>
    <t>Less: Preferred Stock (Acct 204)</t>
  </si>
  <si>
    <t>Less: Unappropriated Undistributed Subsidiary Earnings (Acct 216.1)</t>
  </si>
  <si>
    <t>Accumulated Other Comprehensive Income (Acct 219)</t>
  </si>
  <si>
    <t xml:space="preserve">     CS = Common Stock</t>
  </si>
  <si>
    <t>Return on Common Equity:</t>
  </si>
  <si>
    <t>TO5 Offer of Settlement; Section II.A.1.5.1</t>
  </si>
  <si>
    <t>(c)</t>
  </si>
  <si>
    <t>(d) = (b) x (c)</t>
  </si>
  <si>
    <t>Cap. Struct.</t>
  </si>
  <si>
    <t>Cost of</t>
  </si>
  <si>
    <t>Weighted</t>
  </si>
  <si>
    <t>Weighted Cost of Capital:</t>
  </si>
  <si>
    <r>
      <t xml:space="preserve">Amounts </t>
    </r>
    <r>
      <rPr>
        <b/>
        <vertAlign val="superscript"/>
        <sz val="12"/>
        <rFont val="Times New Roman"/>
        <family val="1"/>
      </rPr>
      <t>1</t>
    </r>
  </si>
  <si>
    <t>Ratio</t>
  </si>
  <si>
    <t>Capital</t>
  </si>
  <si>
    <t>Cost of Capital</t>
  </si>
  <si>
    <t>Long-Term Debt</t>
  </si>
  <si>
    <t>Preferred Equity</t>
  </si>
  <si>
    <t>Common Equity</t>
  </si>
  <si>
    <t xml:space="preserve">     Total Capital</t>
  </si>
  <si>
    <t>Cost of Equity Component (Preferred &amp; Common):</t>
  </si>
  <si>
    <t>Incentive Return on Common Equity:</t>
  </si>
  <si>
    <t>Incentive Weighted Cost of Capital:</t>
  </si>
  <si>
    <t>Incentive Cost of Equity Component (Preferred &amp; Common):</t>
  </si>
  <si>
    <t>Amount is based upon December 31 balances.</t>
  </si>
  <si>
    <r>
      <t xml:space="preserve">Cost of Capital Rate </t>
    </r>
    <r>
      <rPr>
        <u/>
        <vertAlign val="subscript"/>
        <sz val="12"/>
        <rFont val="Times New Roman"/>
        <family val="1"/>
      </rPr>
      <t>(COCR)</t>
    </r>
    <r>
      <rPr>
        <u/>
        <sz val="12"/>
        <rFont val="Times New Roman"/>
        <family val="1"/>
      </rPr>
      <t xml:space="preserve"> Calculation:</t>
    </r>
  </si>
  <si>
    <t>a. Federal Income Tax Component:</t>
  </si>
  <si>
    <t>Where:</t>
  </si>
  <si>
    <t xml:space="preserve">     A = Sum of Preferred Stock and Return on Equity Component</t>
  </si>
  <si>
    <t>AV1; Line 42</t>
  </si>
  <si>
    <t xml:space="preserve">     B = Transmission Total Federal Tax Adjustments</t>
  </si>
  <si>
    <t>Negative of Statement AR; Line 11</t>
  </si>
  <si>
    <r>
      <t xml:space="preserve">     C = Equity AFUDC Component of Transmission Depreciation Expense </t>
    </r>
    <r>
      <rPr>
        <b/>
        <vertAlign val="superscript"/>
        <sz val="12"/>
        <rFont val="Times New Roman"/>
        <family val="1"/>
      </rPr>
      <t>1</t>
    </r>
  </si>
  <si>
    <t xml:space="preserve">     D = Transmission Rate Base</t>
  </si>
  <si>
    <t>AV-4; Page 1; Line 26</t>
  </si>
  <si>
    <t xml:space="preserve">     FT = Federal Income Tax Rate for Rate Effective Period</t>
  </si>
  <si>
    <t>Federal Income Tax Rate</t>
  </si>
  <si>
    <t>Federal Income Tax    =    (((A) + (C / D)) * FT) - (B / D)</t>
  </si>
  <si>
    <t>Federal Income Tax Expense</t>
  </si>
  <si>
    <t xml:space="preserve">                                                         (1 - FT)</t>
  </si>
  <si>
    <t>B. State Income Tax Component:</t>
  </si>
  <si>
    <t xml:space="preserve">     B = Equity AFUDC Component of Transmission Depreciation Expense</t>
  </si>
  <si>
    <t xml:space="preserve">     C = Transmission Rate Base</t>
  </si>
  <si>
    <t xml:space="preserve">     FT = Federal Income Tax Expense</t>
  </si>
  <si>
    <t xml:space="preserve">     ST = State Income Tax Rate for Rate Effective Period</t>
  </si>
  <si>
    <t>State Income Tax Rate</t>
  </si>
  <si>
    <t>State Income Tax    =    ((A) + (B / C) + Federal Income Tax)*(ST)</t>
  </si>
  <si>
    <t>State Income Tax Expense</t>
  </si>
  <si>
    <t xml:space="preserve">                                                               (1 - ST)</t>
  </si>
  <si>
    <t>C. Total Federal &amp; State Income Tax Rate:</t>
  </si>
  <si>
    <t>D. Total Weighted Cost of Capital:</t>
  </si>
  <si>
    <r>
      <t xml:space="preserve">E. Cost of Capital Rate </t>
    </r>
    <r>
      <rPr>
        <u/>
        <vertAlign val="subscript"/>
        <sz val="12"/>
        <rFont val="Times New Roman"/>
        <family val="1"/>
      </rPr>
      <t>(COCR)</t>
    </r>
    <r>
      <rPr>
        <u/>
        <sz val="12"/>
        <rFont val="Times New Roman"/>
        <family val="1"/>
      </rPr>
      <t>:</t>
    </r>
  </si>
  <si>
    <t>Citizens portion of Equity AFUDC totaling $197K is embedded in the Equity AFUDC component of Transmission Depreciation expense.</t>
  </si>
  <si>
    <r>
      <t xml:space="preserve">Incentive Cost of Capital Rate </t>
    </r>
    <r>
      <rPr>
        <u/>
        <vertAlign val="subscript"/>
        <sz val="12"/>
        <rFont val="Times New Roman"/>
        <family val="1"/>
      </rPr>
      <t>(ICOCR)</t>
    </r>
    <r>
      <rPr>
        <u/>
        <sz val="12"/>
        <rFont val="Times New Roman"/>
        <family val="1"/>
      </rPr>
      <t xml:space="preserve"> Calculation:</t>
    </r>
  </si>
  <si>
    <t xml:space="preserve">     C = Equity AFUDC Component of Transmission Depreciation Expense</t>
  </si>
  <si>
    <t xml:space="preserve">     D = Incentive ROE Project Transmission Rate Base</t>
  </si>
  <si>
    <t xml:space="preserve">Federal Income Tax    =    (((A) + (C / D)) * FT) - (B / D) </t>
  </si>
  <si>
    <t xml:space="preserve">Federal Income Tax Expense </t>
  </si>
  <si>
    <t xml:space="preserve">     C = Incentive ROE Project Transmission Rate Base</t>
  </si>
  <si>
    <t>D. Total Incentive Weighted Cost of Capital:</t>
  </si>
  <si>
    <r>
      <t xml:space="preserve">E. Incentive Cost of Capital Rate </t>
    </r>
    <r>
      <rPr>
        <u/>
        <vertAlign val="subscript"/>
        <sz val="12"/>
        <rFont val="Times New Roman"/>
        <family val="1"/>
      </rPr>
      <t>(ICOCR)</t>
    </r>
    <r>
      <rPr>
        <u/>
        <sz val="12"/>
        <rFont val="Times New Roman"/>
        <family val="1"/>
      </rPr>
      <t>:</t>
    </r>
  </si>
  <si>
    <t xml:space="preserve">Derivation of End Use Transmission Rate Base </t>
  </si>
  <si>
    <t>A. Derivation of Transmission Rate Base:</t>
  </si>
  <si>
    <t>Net Transmission Plant:</t>
  </si>
  <si>
    <t>Transmission Plant</t>
  </si>
  <si>
    <t>Page 2; Line 16</t>
  </si>
  <si>
    <t>Page 2; Line 17</t>
  </si>
  <si>
    <t>Page 2; Line 18</t>
  </si>
  <si>
    <t>Transmission Related Common Plant</t>
  </si>
  <si>
    <t>Page 2; Line 19</t>
  </si>
  <si>
    <t xml:space="preserve">     Total Net Transmission Plant</t>
  </si>
  <si>
    <t>Sum Lines 2 thru 5</t>
  </si>
  <si>
    <t>Rate Base Additions:</t>
  </si>
  <si>
    <t>Transmission Plant Held for Future Use</t>
  </si>
  <si>
    <t>Statement AG; Line 1</t>
  </si>
  <si>
    <t>Transmission Plant Abandoned Project Cost</t>
  </si>
  <si>
    <t>Statement Misc.; Line 3</t>
  </si>
  <si>
    <t xml:space="preserve">     Total Rate Base Additions</t>
  </si>
  <si>
    <t>Line 9 + Line 10</t>
  </si>
  <si>
    <t>Rate Base Reductions:</t>
  </si>
  <si>
    <t>Transmission Related Accum. Def. Inc. Taxes</t>
  </si>
  <si>
    <t>Statement AF; Line 7</t>
  </si>
  <si>
    <t>Transmission Plant Abandoned Accum. Def. Inc. Taxes</t>
  </si>
  <si>
    <t>Statement AF; Line 11</t>
  </si>
  <si>
    <t xml:space="preserve">     Total Rate Base Reductions</t>
  </si>
  <si>
    <t>Line 14 + Line 15</t>
  </si>
  <si>
    <t>Working Capital:</t>
  </si>
  <si>
    <t xml:space="preserve">Transmission Related Materials and Supplies </t>
  </si>
  <si>
    <t>Transmission Related Prepayments</t>
  </si>
  <si>
    <t>Transmission Related Cash Working Capital</t>
  </si>
  <si>
    <t xml:space="preserve">     Total Working Capital</t>
  </si>
  <si>
    <t>Sum Lines 19 thru 21</t>
  </si>
  <si>
    <t>Other Regulatory Assets/Liabilities</t>
  </si>
  <si>
    <t>Statement Misc.; Line 5</t>
  </si>
  <si>
    <t xml:space="preserve">     Total Transmission Rate Base</t>
  </si>
  <si>
    <t>Sum Lines 6, 11, 16, 22, 24</t>
  </si>
  <si>
    <r>
      <t>B. Incentive ROE Project Transmission Rate Base:</t>
    </r>
    <r>
      <rPr>
        <sz val="12"/>
        <rFont val="Times New Roman"/>
        <family val="1"/>
      </rPr>
      <t xml:space="preserve"> </t>
    </r>
  </si>
  <si>
    <t>Net Incentive Transmission Plant</t>
  </si>
  <si>
    <t xml:space="preserve">Incentive Transmission Plant Accum. Def. Income Taxes </t>
  </si>
  <si>
    <t xml:space="preserve">     Total Incentive ROE Project Transmission Rate Base</t>
  </si>
  <si>
    <t>Line 29 + Line 30</t>
  </si>
  <si>
    <r>
      <t>C. Incentive Transmission Plant Abandoned Project Rate Base:</t>
    </r>
    <r>
      <rPr>
        <sz val="12"/>
        <rFont val="Times New Roman"/>
        <family val="1"/>
      </rPr>
      <t xml:space="preserve"> </t>
    </r>
  </si>
  <si>
    <t>Incentive Transmission Plant Abandoned Project Cost</t>
  </si>
  <si>
    <t>Incentive Transmission Plant Abandoned Project Cost Accum. Def. Inc. Taxes</t>
  </si>
  <si>
    <t xml:space="preserve">     Total Incentive Transmission Plant Abandoned Project Cost Rate Base</t>
  </si>
  <si>
    <t>Line 34 + Line 35</t>
  </si>
  <si>
    <t>D. Incentive Transmission Construction Work In Progress</t>
  </si>
  <si>
    <t>A. Derivation of Net Transmission Plant:</t>
  </si>
  <si>
    <t>Gross Transmission Plant:</t>
  </si>
  <si>
    <t>Statement AD; Line 11</t>
  </si>
  <si>
    <t>Transmission Related Electric Misc. Intangible Plant</t>
  </si>
  <si>
    <t>Statement AD; Line 27</t>
  </si>
  <si>
    <t xml:space="preserve">     Total Gross Transmission Plant</t>
  </si>
  <si>
    <t>Transmission Related Depreciation Reserve:</t>
  </si>
  <si>
    <t xml:space="preserve">Transmission Plant Depreciation Reserve </t>
  </si>
  <si>
    <t>Statement AE; Line 1</t>
  </si>
  <si>
    <t>Transmission Related Electric Misc. Intangible Plant Amortization Reserve</t>
  </si>
  <si>
    <t>Statement AE; Line 11</t>
  </si>
  <si>
    <t>Transmission Related General Plant Depr Reserve</t>
  </si>
  <si>
    <t>Statement AE; Line 13</t>
  </si>
  <si>
    <t>Transmission Related Common Plant Depr Reserve</t>
  </si>
  <si>
    <t>Statement AE; Line 15</t>
  </si>
  <si>
    <t xml:space="preserve">     Total Transmission Related Depreciation Reserve</t>
  </si>
  <si>
    <t>Sum Lines 9 thru 12</t>
  </si>
  <si>
    <t>Line 2 Minus Line 9</t>
  </si>
  <si>
    <t>Line 3 Minus Line 10</t>
  </si>
  <si>
    <t>Line 4 Minus Line 11</t>
  </si>
  <si>
    <t>Line 5 Minus Line 12</t>
  </si>
  <si>
    <t>Sum Lines 16 thru 19</t>
  </si>
  <si>
    <t>B. Incentive Project Net Transmission Plant:</t>
  </si>
  <si>
    <t>Incentive Transmission Plant</t>
  </si>
  <si>
    <t>Incentive Transmission Plant Depreciation Reserve</t>
  </si>
  <si>
    <t xml:space="preserve">     Total Net Incentive Transmission Plant</t>
  </si>
  <si>
    <t>Line 23 Minus Line 24</t>
  </si>
  <si>
    <t>= Col. 2 - Col. 6</t>
  </si>
  <si>
    <t>See Footnote 2</t>
  </si>
  <si>
    <t>See Footnote 3</t>
  </si>
  <si>
    <t>= Col. 4 + Col. 5</t>
  </si>
  <si>
    <r>
      <t xml:space="preserve">Rate </t>
    </r>
    <r>
      <rPr>
        <b/>
        <vertAlign val="superscript"/>
        <sz val="12"/>
        <rFont val="Times New Roman"/>
        <family val="1"/>
      </rPr>
      <t>1</t>
    </r>
  </si>
  <si>
    <t>Derived using the prior month balance in Column 6 plus the current month balance in Column 2.</t>
  </si>
  <si>
    <t>Interest is calculated using an average of beginning and ending balances: 1) in month 1, the average is 1/2 of balance in Column 2; and 2) in subsequent</t>
  </si>
  <si>
    <t>months is the average of prior month balance in Column 6 and the current month balance in Column 4.</t>
  </si>
  <si>
    <t>Addtl A&amp;G</t>
  </si>
  <si>
    <t>Posted FERC Interest rates</t>
  </si>
  <si>
    <t>CEMA/WMPMA exclusion corrections</t>
  </si>
  <si>
    <t>Pg5 Rev Section 2; Page 1; Line 25</t>
  </si>
  <si>
    <t>Pg7 Rev Section 4; Page TU; Col. 11; Line 21</t>
  </si>
  <si>
    <t>Pg12 Rev AV-4; Page 1; Line 26</t>
  </si>
  <si>
    <t>Sum Lines 20, 22, 24</t>
  </si>
  <si>
    <t>True-Up Period - January 1, 2021 to December 31, 2021</t>
  </si>
  <si>
    <t xml:space="preserve">Negative of AH-2; Line 41; Col. b </t>
  </si>
  <si>
    <t>Negative of AH-3; Line 44; Col. a</t>
  </si>
  <si>
    <t>Negative of AH-3; Line 41; Col. a</t>
  </si>
  <si>
    <t>Negative of AH-3; Line 42; Col. a</t>
  </si>
  <si>
    <t>Negative of AH-3; Line 38; Col. a</t>
  </si>
  <si>
    <t>Not Applicable to 2021 Base Period</t>
  </si>
  <si>
    <t>Negative of AH-3; Line 43; Col. b</t>
  </si>
  <si>
    <t>Negative of AH-3; Line 37; Col. b</t>
  </si>
  <si>
    <t>Negative of AH-3; Line 47; Col. b</t>
  </si>
  <si>
    <t xml:space="preserve">Negative of AH-3; Line 39; Col. a   </t>
  </si>
  <si>
    <t>Base Period &amp; True-Up Period 12 - Months Ending December 31, 2021</t>
  </si>
  <si>
    <t>Form 1; Page 320-323; Line 181</t>
  </si>
  <si>
    <t>Form 1; Page 320-323; Line 182</t>
  </si>
  <si>
    <t>Form 1; Page 320-323; Line 183</t>
  </si>
  <si>
    <t>Form 1; Page 320-323; Line 184</t>
  </si>
  <si>
    <t>Form 1; Page 320-323; Line 185</t>
  </si>
  <si>
    <t>Form 1; Page 320-323; Line 186</t>
  </si>
  <si>
    <t>Form 1; Page 320-323; Line 187</t>
  </si>
  <si>
    <t>Form 1; Page 320-323; Line 188</t>
  </si>
  <si>
    <t>Form 1; Page 320-323; Line 189</t>
  </si>
  <si>
    <t>Form 1; Page 320-323; Line 190</t>
  </si>
  <si>
    <t>Form 1; Page 320-323; Line 191</t>
  </si>
  <si>
    <t>Form 1; Page 320-323; Line 192</t>
  </si>
  <si>
    <t>Form 1; Page 320-323; Line 193</t>
  </si>
  <si>
    <t>Form 1; Page 320-323; Line 196</t>
  </si>
  <si>
    <t>Energy Efficiency</t>
  </si>
  <si>
    <r>
      <t xml:space="preserve">Other Exclusion - FERC Audit Adjustments (Finding #3) </t>
    </r>
    <r>
      <rPr>
        <b/>
        <vertAlign val="superscript"/>
        <sz val="12"/>
        <rFont val="Times New Roman"/>
        <family val="1"/>
      </rPr>
      <t>2</t>
    </r>
  </si>
  <si>
    <t>Electric Power Research Institute (EPRI) Dues</t>
  </si>
  <si>
    <t>Covid-19 Pandemic Protections</t>
  </si>
  <si>
    <t>Residential Disconnect Protections</t>
  </si>
  <si>
    <t>CSI Transition, Stabilization, &amp; OCM</t>
  </si>
  <si>
    <t>CPUC Reimbursement Fees</t>
  </si>
  <si>
    <t>Adjusting journal entries related to prior year A&amp;G costs (2016-2019) that resulted from the 2020 FERC Audit are excluded from TO5 Cycle 5.</t>
  </si>
  <si>
    <t>The impacts of the adjusting entries is reflected in the per book amount and were excluded from the adjusted 2021 total. The impact of FERC Audit</t>
  </si>
  <si>
    <t>adjustments and corresponding refunds will be accounted for in a separate refund analysis filed with FERC.</t>
  </si>
  <si>
    <t xml:space="preserve"> 12 Months Ending December 31, 2021</t>
  </si>
  <si>
    <t>2021 CEMA/WMPMA exclusion corrections.</t>
  </si>
  <si>
    <r>
      <t xml:space="preserve">A. Plant Materials and Operating Supplies </t>
    </r>
    <r>
      <rPr>
        <b/>
        <vertAlign val="superscript"/>
        <sz val="12"/>
        <rFont val="Times New Roman"/>
        <family val="1"/>
      </rPr>
      <t>1</t>
    </r>
  </si>
  <si>
    <r>
      <t xml:space="preserve">B. Prepayments </t>
    </r>
    <r>
      <rPr>
        <b/>
        <vertAlign val="superscript"/>
        <sz val="12"/>
        <rFont val="Times New Roman"/>
        <family val="1"/>
      </rPr>
      <t>1, 2</t>
    </r>
  </si>
  <si>
    <t>110-111; Footnote Data (b)</t>
  </si>
  <si>
    <t xml:space="preserve">The 13-Month Avg. for Electric Plant Prepayments included on FERC Form 1; Page 110-111; Footnote Data (b) is slightly incorrect. During the preparation of the Appendix X Cycle 11 filing, </t>
  </si>
  <si>
    <t>an error was identified in the allocation used to prepare the footnote. The 13-Month Avg. included in Appendix X Cycle 11 is the correct amount.</t>
  </si>
  <si>
    <t>Statement AH; Line 17</t>
  </si>
  <si>
    <t>Statement AH; Line 39</t>
  </si>
  <si>
    <t>112-113; 18; c</t>
  </si>
  <si>
    <t>112-113; 19; c</t>
  </si>
  <si>
    <t>112-113; 21; c</t>
  </si>
  <si>
    <t>112-113; 22; c</t>
  </si>
  <si>
    <t>112-113; 23; c</t>
  </si>
  <si>
    <t>114-117; 62; c</t>
  </si>
  <si>
    <t>114-117; 63; c</t>
  </si>
  <si>
    <t>114-117; 64; c</t>
  </si>
  <si>
    <t>114-117; 65; c</t>
  </si>
  <si>
    <t>114-117; 66; c</t>
  </si>
  <si>
    <t>112-113; 3; c</t>
  </si>
  <si>
    <t>118-119; 29; c</t>
  </si>
  <si>
    <t>112-113; 16; c</t>
  </si>
  <si>
    <t>112-113; 12; c</t>
  </si>
  <si>
    <t>112-113; 15; c</t>
  </si>
  <si>
    <t>Sum Lines 2 thru 6</t>
  </si>
  <si>
    <t>Sum Lines 10 thru 14</t>
  </si>
  <si>
    <t>Line 15 / Line 7</t>
  </si>
  <si>
    <t>Line 21 / Line 20</t>
  </si>
  <si>
    <t>Negative of Line 20 Above</t>
  </si>
  <si>
    <t>Sum Lines 25 thru 28</t>
  </si>
  <si>
    <t>Col. c = Line 17 Above</t>
  </si>
  <si>
    <t>Col. c = Line 22 Above</t>
  </si>
  <si>
    <t>Col. c = Line 32 Above</t>
  </si>
  <si>
    <t>Sum Lines 37 thru 39</t>
  </si>
  <si>
    <t>Line 38 + Line 39; Col. d</t>
  </si>
  <si>
    <t>Sum Lines 50 thru 52</t>
  </si>
  <si>
    <t>Line 51 + Line 52; Col. d</t>
  </si>
  <si>
    <t>AV-2A; Line 44</t>
  </si>
  <si>
    <t>Line 6 Above</t>
  </si>
  <si>
    <t>Line 8 Above</t>
  </si>
  <si>
    <t>Line 9 Above</t>
  </si>
  <si>
    <t>Line 12 Above</t>
  </si>
  <si>
    <t>Line 12 + Line 24</t>
  </si>
  <si>
    <t>AV1; Line 40</t>
  </si>
  <si>
    <t>Line 27 + Line 29</t>
  </si>
  <si>
    <t>AV1; Line 55</t>
  </si>
  <si>
    <t>AV2; Line 10</t>
  </si>
  <si>
    <t>AV2; Line 22</t>
  </si>
  <si>
    <t>AV1; Line 53</t>
  </si>
  <si>
    <t>Section 2; Page 1; Line 25</t>
  </si>
  <si>
    <t>Section 4; Page TU; Col. 11; Line 21</t>
  </si>
  <si>
    <t>Line 1 / 12 Months</t>
  </si>
  <si>
    <t>Line 3 / 12 Months</t>
  </si>
  <si>
    <t>Line 5 / 12 Months</t>
  </si>
  <si>
    <t>Line 9 / 12 Months</t>
  </si>
  <si>
    <t>Line 11 / 12 Months</t>
  </si>
  <si>
    <t>Line 15 / 12 Months</t>
  </si>
  <si>
    <t>Sum Lines 26, 28, 30, 32</t>
  </si>
  <si>
    <t>Line 34 x Line 36</t>
  </si>
  <si>
    <t>Page 2; Line 6</t>
  </si>
  <si>
    <t>Page 2; Line 11</t>
  </si>
  <si>
    <t>Page 2; Line 21</t>
  </si>
  <si>
    <t>Page 2; Line 34</t>
  </si>
  <si>
    <t>Page 2; Line 51</t>
  </si>
  <si>
    <t>Sum Lines 2 thru 12</t>
  </si>
  <si>
    <t>Line 14 x Franchise Fee Rate</t>
  </si>
  <si>
    <t>Line 14 + Line 16</t>
  </si>
  <si>
    <t>Line 18 Above</t>
  </si>
  <si>
    <t>Line 21 x Line 23</t>
  </si>
  <si>
    <t>Statement AV2; Line 31</t>
  </si>
  <si>
    <t>Negative of AH-2; Line 42; Col. b</t>
  </si>
  <si>
    <t>Negative of AH-2; Line 43; Col. b</t>
  </si>
  <si>
    <t>Negative of AH-2; Line 52; Col. b</t>
  </si>
  <si>
    <t>Negative of AH-2; Line 53; Col. b</t>
  </si>
  <si>
    <t>Negative of AH-2; Line 54; Col. b</t>
  </si>
  <si>
    <t>Sum Lines 5 thru 16</t>
  </si>
  <si>
    <t>AH-3; Line 20; Col. a</t>
  </si>
  <si>
    <t>Sum Lines 20 thru 32</t>
  </si>
  <si>
    <t>Line 33 + Line 34</t>
  </si>
  <si>
    <t>Line 35 x Line 36</t>
  </si>
  <si>
    <t>Negative of Line 34 x Line 58</t>
  </si>
  <si>
    <t>Line 37 + Line 38</t>
  </si>
  <si>
    <t>Sum Lines 42 thru 45</t>
  </si>
  <si>
    <t>Line 42 Above</t>
  </si>
  <si>
    <t>Sum Lines 48 thru 55</t>
  </si>
  <si>
    <t>Line 46 / Line 56</t>
  </si>
  <si>
    <t>Sum Lines 20 thru 33</t>
  </si>
  <si>
    <t>Line 36 x Line 37</t>
  </si>
  <si>
    <t>Negative of Line 35 x Line 59</t>
  </si>
  <si>
    <t>Line 38 + Line 39</t>
  </si>
  <si>
    <t>Sum Lines 43 thru 46</t>
  </si>
  <si>
    <t>Line 43 Above</t>
  </si>
  <si>
    <t>Sum Lines 49 thru 56</t>
  </si>
  <si>
    <t>Line 47 / Line 57</t>
  </si>
  <si>
    <t>Pg 8 Rev Statement AH; Line 40</t>
  </si>
  <si>
    <t>Pg8 Rev Statement AH; Line 40</t>
  </si>
  <si>
    <t>Pg9 Rev Statement AL; Line 19</t>
  </si>
  <si>
    <t>Pg10 Rev Statement AV2; Line 31</t>
  </si>
  <si>
    <t>Rate Effective Period January 1, 2023 to December 31, 2023</t>
  </si>
  <si>
    <t>This amount represents the Non-Direct A&amp;G expenses billed to Citizens in 2021, which is added back to derive Total Adjusted A&amp;G Expenses in SAP</t>
  </si>
  <si>
    <t xml:space="preserve">Citizens' Share of the SX-PQ Underground Line Segment  </t>
  </si>
  <si>
    <r>
      <t xml:space="preserve">Appendix XII Cycle 6 Annual Informational Filing </t>
    </r>
    <r>
      <rPr>
        <b/>
        <vertAlign val="superscript"/>
        <sz val="14"/>
        <color theme="1"/>
        <rFont val="Times New Roman"/>
        <family val="1"/>
      </rPr>
      <t>1</t>
    </r>
  </si>
  <si>
    <t>Total Annual Costs Citizens' Share of the SX-PQ Underground Line Segment - Before Interest</t>
  </si>
  <si>
    <t xml:space="preserve">Section C.6a of the Protocols provides a mechanism for SDG&amp;E to correct errors that affected the Appendix XII costs in a previous Informational Filing. </t>
  </si>
  <si>
    <t>Derivation of Other Adjustments Applicable to Appendix XII Cycle 5</t>
  </si>
  <si>
    <t>Other Cost Adjustments due to Appendix XII Cycle 5 Cost Adjustments Calculation:</t>
  </si>
  <si>
    <t>Revised - Appendix XII Cycle 5</t>
  </si>
  <si>
    <t>As Filed - Appendix XII Cycle 5 ER23-110</t>
  </si>
  <si>
    <t>CITIZENS' SHARE OF THE SX-PQ UNDERGROUND LINE SEGMENT</t>
  </si>
  <si>
    <t>Source: Orig. Filing; Appendix XII Cycle 5; Summary of Cost Components; ER23-110</t>
  </si>
  <si>
    <t>Source: As Filed Appendix XII Cycle 5; Sec.2-Non-Direct Exp; ER23-110</t>
  </si>
  <si>
    <t>Source: As Filed Appendix XII Cycle 5; D. Sec.4-TU; ER23-110</t>
  </si>
  <si>
    <t xml:space="preserve">   Overhead Line Expense</t>
  </si>
  <si>
    <t xml:space="preserve">Negative of AH-3; Sum Lines (24, 25, 46); Col. b; and Sum Lines (26, 28, 33, 40, 45); Col. a </t>
  </si>
  <si>
    <t xml:space="preserve">   CPUC reimbursement fees</t>
  </si>
  <si>
    <t xml:space="preserve">Negative of AH-3; Sum Lines (27, 29, 30, 31, 32, 34, 35, 36); Col. a </t>
  </si>
  <si>
    <t>AH-1; Line 48</t>
  </si>
  <si>
    <t>Negative of AH-2; Line 55; Col. b</t>
  </si>
  <si>
    <t>Source: As Filed Appendix XII Cycle 5; Stmt AH; ER23-110</t>
  </si>
  <si>
    <t>Source: As Filed Appendix XII Cycle 5; AH-3; ER23-110</t>
  </si>
  <si>
    <t>Source: As Filed Appendix XII Cycle 5; Stmt AL; ER23-110</t>
  </si>
  <si>
    <t>Source: As Filed Appendix XII Cycle 5; Stmt AV; ER23-110</t>
  </si>
  <si>
    <t>Source: As Filed Appendix XII Cycle 5; AV-4; ER23-110</t>
  </si>
  <si>
    <t>Derivation of Interest Expense on Other Adjustments Applicable to Appendix XII Cycle 5</t>
  </si>
  <si>
    <t>Page 14 Line 44; Col. 5</t>
  </si>
  <si>
    <t xml:space="preserve">Appendix XII Cycle 6 Annual Informational Filing </t>
  </si>
  <si>
    <t>Items in BOLD have changed due to A&amp;G adj. on CEMA/WMPMA exclusion corrections compared to the original Appendix XII Cycle 5 per ER23-110.</t>
  </si>
  <si>
    <t>In this Appendix XII Cycle 6 Informational Filing, SDG&amp;E is correcting Appendix XII Cycle 5 for approximately $15K for 2021 adjustments to A&amp;G.</t>
  </si>
  <si>
    <t>(d)</t>
  </si>
  <si>
    <t>(e) = (c) + (d)</t>
  </si>
  <si>
    <t>Negative of AH-3; Line 49; Col. a</t>
  </si>
  <si>
    <t>Negative of AH-3; Sum Lines 26, 28, 31, 37, 45, 50; Col. a and Line 24, 26, 52; Col. b</t>
  </si>
  <si>
    <t>Negative of AH-3; Line 46; Col. a</t>
  </si>
  <si>
    <t>Negative of AH-3; Line 47; Col. a</t>
  </si>
  <si>
    <t>Negative of AH-3; Line 48; Col. b</t>
  </si>
  <si>
    <t>Negative of AH-3; Line 42; Col. b</t>
  </si>
  <si>
    <t>Negative of AH-3; Line 54; Col. b</t>
  </si>
  <si>
    <t xml:space="preserve">Negative of AH-3; Sum Lines 29, 32, 33, 34, 35, 38, 39, 40; Col. a </t>
  </si>
  <si>
    <t>Pg8.2 Rev AH-3; Line 20; Col. d</t>
  </si>
  <si>
    <t>Adj</t>
  </si>
  <si>
    <t>A&amp;G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</si>
</sst>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4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0000%"/>
    <numFmt numFmtId="167" formatCode="#,##0.0_);\(#,##0.0\)"/>
    <numFmt numFmtId="168" formatCode="0.0000%"/>
    <numFmt numFmtId="169" formatCode="0.000000"/>
    <numFmt numFmtId="170" formatCode="_(&quot;$&quot;* #,##0.000_);_(&quot;$&quot;* \(#,##0.000\);_(&quot;$&quot;* &quot;-&quot;??_);_(@_)"/>
    <numFmt numFmtId="171" formatCode="_(* #,##0.000_);_(* \(#,##0.000\);_(* &quot;-&quot;??_);_(@_)"/>
    <numFmt numFmtId="172" formatCode="&quot;$&quot;#,##0"/>
    <numFmt numFmtId="173" formatCode="0.0%"/>
    <numFmt numFmtId="174" formatCode="_(&quot;$&quot;* #,##0,_);_(&quot;$&quot;* \(#,##0,\);_(&quot;$&quot;* &quot;-&quot;??_);_(@_)"/>
    <numFmt numFmtId="175" formatCode="&quot;$&quot;#,##0,_);[Red]\(&quot;$&quot;#,##0,\)"/>
    <numFmt numFmtId="176" formatCode="00000"/>
    <numFmt numFmtId="177" formatCode="0.000"/>
    <numFmt numFmtId="178" formatCode="0_);\(0\)"/>
    <numFmt numFmtId="179" formatCode="_(&quot;$&quot;* #,##0.0_);_(&quot;$&quot;* \(#,##0.0\);_(&quot;$&quot;* &quot;-&quot;??_);_(@_)"/>
    <numFmt numFmtId="180" formatCode="_(* #,##0.000000000000000_);_(* \(#,##0.000000000000000\);_(* &quot;-&quot;??_);_(@_)"/>
    <numFmt numFmtId="181" formatCode="_(* #,##0.0_);_(* \(#,##0.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vertAlign val="superscript"/>
      <sz val="14"/>
      <color theme="1"/>
      <name val="Times New Roman"/>
      <family val="1"/>
    </font>
    <font>
      <b/>
      <sz val="12"/>
      <name val="Times New Roman"/>
      <family val="1"/>
    </font>
    <font>
      <b/>
      <sz val="12"/>
      <name val="Arial"/>
      <family val="2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FF0000"/>
      <name val="Times New Roman"/>
      <family val="1"/>
    </font>
    <font>
      <b/>
      <vertAlign val="superscript"/>
      <sz val="11"/>
      <color theme="1"/>
      <name val="Times New Roman"/>
      <family val="1"/>
    </font>
    <font>
      <sz val="12"/>
      <color rgb="FFFF0000"/>
      <name val="Times New Roman"/>
      <family val="1"/>
    </font>
    <font>
      <sz val="10"/>
      <name val="Arial"/>
      <family val="2"/>
    </font>
    <font>
      <b/>
      <vertAlign val="superscript"/>
      <sz val="12"/>
      <name val="Times New Roman"/>
      <family val="1"/>
    </font>
    <font>
      <sz val="11"/>
      <name val="Times New Roman"/>
      <family val="1"/>
    </font>
    <font>
      <b/>
      <u/>
      <sz val="12"/>
      <name val="Times New Roman"/>
      <family val="1"/>
    </font>
    <font>
      <b/>
      <sz val="12"/>
      <name val="Calibri"/>
      <family val="2"/>
    </font>
    <font>
      <u/>
      <sz val="12"/>
      <name val="Times New Roman"/>
      <family val="1"/>
    </font>
    <font>
      <b/>
      <i/>
      <u/>
      <sz val="12"/>
      <name val="Times New Roman"/>
      <family val="1"/>
    </font>
    <font>
      <strike/>
      <sz val="12"/>
      <name val="Times New Roman"/>
      <family val="1"/>
    </font>
    <font>
      <u/>
      <vertAlign val="subscript"/>
      <sz val="12"/>
      <name val="Times New Roman"/>
      <family val="1"/>
    </font>
    <font>
      <sz val="12"/>
      <color theme="1"/>
      <name val="Calibri"/>
      <family val="2"/>
      <scheme val="minor"/>
    </font>
    <font>
      <sz val="8"/>
      <name val="Courier"/>
      <family val="3"/>
    </font>
    <font>
      <b/>
      <u val="singleAccounting"/>
      <sz val="12"/>
      <color rgb="FFFF0000"/>
      <name val="Times New Roman"/>
      <family val="1"/>
    </font>
    <font>
      <b/>
      <u/>
      <sz val="12"/>
      <color rgb="FFFF0000"/>
      <name val="Times New Roman"/>
      <family val="1"/>
    </font>
    <font>
      <b/>
      <vertAlign val="superscript"/>
      <sz val="12"/>
      <color rgb="FFFF0000"/>
      <name val="Times New Roman"/>
      <family val="1"/>
    </font>
    <font>
      <sz val="8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0"/>
      </patternFill>
    </fill>
  </fills>
  <borders count="4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1" fillId="0" borderId="0"/>
    <xf numFmtId="4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44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0" fontId="13" fillId="0" borderId="0"/>
    <xf numFmtId="0" fontId="1" fillId="0" borderId="0"/>
    <xf numFmtId="0" fontId="13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0" fontId="23" fillId="0" borderId="0"/>
    <xf numFmtId="0" fontId="13" fillId="0" borderId="0"/>
    <xf numFmtId="0" fontId="13" fillId="0" borderId="0"/>
    <xf numFmtId="44" fontId="1" fillId="0" borderId="0" applyFont="0" applyFill="0" applyBorder="0" applyAlignment="0" applyProtection="0"/>
    <xf numFmtId="0" fontId="27" fillId="5" borderId="0"/>
    <xf numFmtId="0" fontId="1" fillId="0" borderId="0"/>
  </cellStyleXfs>
  <cellXfs count="789">
    <xf numFmtId="0" fontId="0" fillId="0" borderId="0" xfId="0"/>
    <xf numFmtId="0" fontId="1" fillId="0" borderId="0" xfId="4"/>
    <xf numFmtId="0" fontId="2" fillId="0" borderId="0" xfId="4" applyFont="1" applyAlignment="1">
      <alignment horizontal="centerContinuous" vertical="justify"/>
    </xf>
    <xf numFmtId="0" fontId="3" fillId="0" borderId="0" xfId="4" applyFont="1" applyAlignment="1">
      <alignment horizontal="centerContinuous" vertical="justify"/>
    </xf>
    <xf numFmtId="0" fontId="6" fillId="0" borderId="0" xfId="0" applyFont="1"/>
    <xf numFmtId="0" fontId="7" fillId="0" borderId="0" xfId="4" applyFont="1"/>
    <xf numFmtId="0" fontId="8" fillId="0" borderId="0" xfId="4" quotePrefix="1" applyFont="1" applyAlignment="1">
      <alignment horizontal="center"/>
    </xf>
    <xf numFmtId="0" fontId="8" fillId="0" borderId="0" xfId="4" applyFont="1"/>
    <xf numFmtId="0" fontId="9" fillId="0" borderId="0" xfId="0" applyFont="1" applyAlignment="1">
      <alignment horizontal="center"/>
    </xf>
    <xf numFmtId="0" fontId="8" fillId="0" borderId="0" xfId="4" applyFont="1" applyAlignment="1">
      <alignment horizontal="center"/>
    </xf>
    <xf numFmtId="0" fontId="3" fillId="0" borderId="0" xfId="4" applyFont="1" applyAlignment="1">
      <alignment horizontal="center"/>
    </xf>
    <xf numFmtId="0" fontId="7" fillId="0" borderId="0" xfId="4" applyFont="1" applyAlignment="1">
      <alignment horizontal="center"/>
    </xf>
    <xf numFmtId="0" fontId="10" fillId="0" borderId="0" xfId="4" applyFont="1" applyAlignment="1">
      <alignment horizontal="center"/>
    </xf>
    <xf numFmtId="164" fontId="7" fillId="0" borderId="0" xfId="5" applyNumberFormat="1" applyFont="1"/>
    <xf numFmtId="165" fontId="7" fillId="0" borderId="0" xfId="6" applyNumberFormat="1" applyFont="1"/>
    <xf numFmtId="165" fontId="7" fillId="0" borderId="0" xfId="6" applyNumberFormat="1" applyFont="1" applyBorder="1"/>
    <xf numFmtId="0" fontId="11" fillId="0" borderId="0" xfId="4" applyFont="1" applyAlignment="1">
      <alignment horizontal="center"/>
    </xf>
    <xf numFmtId="0" fontId="9" fillId="0" borderId="0" xfId="4" applyFont="1"/>
    <xf numFmtId="0" fontId="9" fillId="0" borderId="0" xfId="0" applyFont="1"/>
    <xf numFmtId="37" fontId="9" fillId="0" borderId="0" xfId="0" applyNumberFormat="1" applyFont="1"/>
    <xf numFmtId="164" fontId="9" fillId="0" borderId="0" xfId="0" applyNumberFormat="1" applyFont="1"/>
    <xf numFmtId="167" fontId="5" fillId="0" borderId="0" xfId="0" applyNumberFormat="1" applyFont="1" applyAlignment="1">
      <alignment horizontal="center" wrapText="1"/>
    </xf>
    <xf numFmtId="0" fontId="5" fillId="0" borderId="0" xfId="0" applyFont="1"/>
    <xf numFmtId="0" fontId="9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165" fontId="9" fillId="0" borderId="0" xfId="0" applyNumberFormat="1" applyFont="1"/>
    <xf numFmtId="165" fontId="9" fillId="0" borderId="0" xfId="1" applyNumberFormat="1" applyFont="1" applyFill="1" applyBorder="1"/>
    <xf numFmtId="165" fontId="9" fillId="0" borderId="0" xfId="1" applyNumberFormat="1" applyFont="1" applyBorder="1"/>
    <xf numFmtId="0" fontId="9" fillId="0" borderId="0" xfId="2" applyNumberFormat="1" applyFont="1" applyAlignment="1">
      <alignment horizontal="center" vertical="center"/>
    </xf>
    <xf numFmtId="164" fontId="9" fillId="2" borderId="0" xfId="2" applyNumberFormat="1" applyFont="1" applyFill="1" applyAlignment="1">
      <alignment horizontal="right" vertical="center"/>
    </xf>
    <xf numFmtId="165" fontId="9" fillId="2" borderId="0" xfId="1" applyNumberFormat="1" applyFont="1" applyFill="1" applyAlignment="1">
      <alignment vertical="center"/>
    </xf>
    <xf numFmtId="164" fontId="9" fillId="0" borderId="0" xfId="2" applyNumberFormat="1" applyFont="1" applyFill="1" applyBorder="1" applyAlignment="1">
      <alignment vertical="center"/>
    </xf>
    <xf numFmtId="165" fontId="9" fillId="0" borderId="0" xfId="1" applyNumberFormat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165" fontId="9" fillId="0" borderId="0" xfId="0" applyNumberFormat="1" applyFont="1" applyAlignment="1">
      <alignment horizontal="center" vertical="center"/>
    </xf>
    <xf numFmtId="15" fontId="9" fillId="0" borderId="0" xfId="0" applyNumberFormat="1" applyFont="1" applyAlignment="1">
      <alignment horizontal="center" vertical="center"/>
    </xf>
    <xf numFmtId="0" fontId="18" fillId="0" borderId="0" xfId="0" applyFont="1" applyAlignment="1">
      <alignment vertical="center"/>
    </xf>
    <xf numFmtId="164" fontId="9" fillId="3" borderId="0" xfId="2" applyNumberFormat="1" applyFont="1" applyFill="1" applyBorder="1" applyAlignment="1" applyProtection="1">
      <alignment vertical="center"/>
      <protection locked="0"/>
    </xf>
    <xf numFmtId="0" fontId="9" fillId="0" borderId="0" xfId="0" applyFont="1" applyAlignment="1">
      <alignment horizontal="left" vertical="center"/>
    </xf>
    <xf numFmtId="164" fontId="9" fillId="0" borderId="0" xfId="2" applyNumberFormat="1" applyFont="1" applyFill="1" applyAlignment="1" applyProtection="1">
      <alignment vertical="center"/>
      <protection locked="0"/>
    </xf>
    <xf numFmtId="165" fontId="9" fillId="3" borderId="0" xfId="1" applyNumberFormat="1" applyFont="1" applyFill="1" applyBorder="1" applyAlignment="1" applyProtection="1">
      <alignment vertical="center"/>
      <protection locked="0"/>
    </xf>
    <xf numFmtId="165" fontId="9" fillId="3" borderId="0" xfId="1" applyNumberFormat="1" applyFont="1" applyFill="1" applyBorder="1" applyAlignment="1">
      <alignment vertical="center"/>
    </xf>
    <xf numFmtId="165" fontId="9" fillId="0" borderId="0" xfId="1" applyNumberFormat="1" applyFont="1" applyBorder="1" applyAlignment="1" applyProtection="1">
      <alignment vertical="center"/>
      <protection locked="0"/>
    </xf>
    <xf numFmtId="0" fontId="9" fillId="0" borderId="0" xfId="0" applyFont="1" applyAlignment="1">
      <alignment horizontal="center" vertical="center" wrapText="1"/>
    </xf>
    <xf numFmtId="165" fontId="9" fillId="0" borderId="0" xfId="0" applyNumberFormat="1" applyFont="1" applyAlignment="1">
      <alignment vertical="center"/>
    </xf>
    <xf numFmtId="164" fontId="9" fillId="0" borderId="0" xfId="0" applyNumberFormat="1" applyFont="1" applyAlignment="1">
      <alignment vertical="center"/>
    </xf>
    <xf numFmtId="164" fontId="5" fillId="0" borderId="0" xfId="2" applyNumberFormat="1" applyFont="1" applyFill="1" applyBorder="1" applyAlignment="1" applyProtection="1">
      <alignment vertical="center"/>
      <protection locked="0"/>
    </xf>
    <xf numFmtId="164" fontId="5" fillId="0" borderId="18" xfId="2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164" fontId="9" fillId="0" borderId="0" xfId="2" applyNumberFormat="1" applyFont="1" applyBorder="1" applyAlignment="1">
      <alignment horizontal="right" vertical="center"/>
    </xf>
    <xf numFmtId="5" fontId="9" fillId="0" borderId="0" xfId="0" applyNumberFormat="1" applyFont="1" applyAlignment="1">
      <alignment horizontal="right" vertical="center"/>
    </xf>
    <xf numFmtId="165" fontId="9" fillId="4" borderId="0" xfId="1" applyNumberFormat="1" applyFont="1" applyFill="1" applyAlignment="1">
      <alignment horizontal="right" vertical="center"/>
    </xf>
    <xf numFmtId="165" fontId="9" fillId="2" borderId="0" xfId="1" applyNumberFormat="1" applyFont="1" applyFill="1" applyAlignment="1">
      <alignment horizontal="right" vertical="center"/>
    </xf>
    <xf numFmtId="0" fontId="9" fillId="0" borderId="0" xfId="2" applyNumberFormat="1" applyFont="1" applyFill="1" applyAlignment="1">
      <alignment horizontal="center" vertical="center"/>
    </xf>
    <xf numFmtId="164" fontId="9" fillId="0" borderId="16" xfId="2" applyNumberFormat="1" applyFont="1" applyBorder="1" applyAlignment="1">
      <alignment horizontal="right" vertical="center"/>
    </xf>
    <xf numFmtId="164" fontId="9" fillId="0" borderId="0" xfId="2" applyNumberFormat="1" applyFont="1" applyFill="1" applyAlignment="1">
      <alignment vertical="center"/>
    </xf>
    <xf numFmtId="5" fontId="9" fillId="0" borderId="0" xfId="11" applyNumberFormat="1" applyFont="1" applyAlignment="1">
      <alignment horizontal="center" vertical="center"/>
    </xf>
    <xf numFmtId="164" fontId="9" fillId="0" borderId="16" xfId="2" applyNumberFormat="1" applyFont="1" applyBorder="1" applyAlignment="1">
      <alignment vertical="center"/>
    </xf>
    <xf numFmtId="5" fontId="9" fillId="0" borderId="0" xfId="0" applyNumberFormat="1" applyFont="1" applyAlignment="1" applyProtection="1">
      <alignment vertical="center"/>
      <protection locked="0"/>
    </xf>
    <xf numFmtId="10" fontId="9" fillId="0" borderId="1" xfId="2" applyNumberFormat="1" applyFont="1" applyBorder="1" applyAlignment="1">
      <alignment horizontal="right" vertical="center"/>
    </xf>
    <xf numFmtId="164" fontId="9" fillId="0" borderId="0" xfId="0" applyNumberFormat="1" applyFont="1" applyAlignment="1" applyProtection="1">
      <alignment horizontal="right" vertical="center"/>
      <protection locked="0"/>
    </xf>
    <xf numFmtId="0" fontId="17" fillId="0" borderId="9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9" fillId="0" borderId="0" xfId="0" quotePrefix="1" applyFont="1" applyAlignment="1">
      <alignment horizontal="center" vertical="center"/>
    </xf>
    <xf numFmtId="0" fontId="5" fillId="0" borderId="11" xfId="0" quotePrefix="1" applyFont="1" applyBorder="1" applyAlignment="1">
      <alignment horizontal="center" vertical="center"/>
    </xf>
    <xf numFmtId="0" fontId="5" fillId="0" borderId="5" xfId="0" quotePrefix="1" applyFont="1" applyBorder="1" applyAlignment="1">
      <alignment horizontal="center" vertical="center"/>
    </xf>
    <xf numFmtId="0" fontId="5" fillId="0" borderId="20" xfId="0" quotePrefix="1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/>
    </xf>
    <xf numFmtId="164" fontId="9" fillId="0" borderId="13" xfId="2" applyNumberFormat="1" applyFont="1" applyFill="1" applyBorder="1" applyAlignment="1">
      <alignment vertical="center"/>
    </xf>
    <xf numFmtId="165" fontId="9" fillId="0" borderId="13" xfId="1" applyNumberFormat="1" applyFont="1" applyFill="1" applyBorder="1" applyAlignment="1">
      <alignment vertical="center"/>
    </xf>
    <xf numFmtId="165" fontId="9" fillId="0" borderId="0" xfId="1" applyNumberFormat="1" applyFont="1" applyFill="1" applyBorder="1" applyAlignment="1">
      <alignment vertical="center"/>
    </xf>
    <xf numFmtId="164" fontId="5" fillId="0" borderId="0" xfId="2" applyNumberFormat="1" applyFont="1" applyFill="1" applyBorder="1" applyAlignment="1">
      <alignment vertical="center"/>
    </xf>
    <xf numFmtId="164" fontId="5" fillId="0" borderId="13" xfId="2" applyNumberFormat="1" applyFont="1" applyFill="1" applyBorder="1" applyAlignment="1">
      <alignment vertical="center"/>
    </xf>
    <xf numFmtId="164" fontId="5" fillId="0" borderId="15" xfId="2" applyNumberFormat="1" applyFont="1" applyFill="1" applyBorder="1" applyAlignment="1">
      <alignment vertical="center"/>
    </xf>
    <xf numFmtId="0" fontId="17" fillId="0" borderId="27" xfId="0" applyFont="1" applyBorder="1" applyAlignment="1">
      <alignment horizontal="center"/>
    </xf>
    <xf numFmtId="164" fontId="5" fillId="0" borderId="28" xfId="2" applyNumberFormat="1" applyFont="1" applyFill="1" applyBorder="1" applyAlignment="1">
      <alignment vertical="center"/>
    </xf>
    <xf numFmtId="0" fontId="9" fillId="0" borderId="2" xfId="0" applyFont="1" applyBorder="1" applyAlignment="1">
      <alignment vertical="center"/>
    </xf>
    <xf numFmtId="37" fontId="9" fillId="0" borderId="10" xfId="0" applyNumberFormat="1" applyFont="1" applyBorder="1" applyAlignment="1">
      <alignment horizontal="center" vertical="center"/>
    </xf>
    <xf numFmtId="0" fontId="9" fillId="0" borderId="0" xfId="11" applyFont="1" applyAlignment="1">
      <alignment vertical="center"/>
    </xf>
    <xf numFmtId="0" fontId="12" fillId="0" borderId="0" xfId="11" applyFont="1" applyAlignment="1">
      <alignment horizontal="center" vertical="center"/>
    </xf>
    <xf numFmtId="0" fontId="5" fillId="0" borderId="0" xfId="11" applyFont="1" applyAlignment="1">
      <alignment vertical="center"/>
    </xf>
    <xf numFmtId="5" fontId="5" fillId="0" borderId="0" xfId="11" applyNumberFormat="1" applyFont="1" applyAlignment="1" applyProtection="1">
      <alignment horizontal="center" vertical="center"/>
      <protection locked="0"/>
    </xf>
    <xf numFmtId="5" fontId="9" fillId="0" borderId="0" xfId="11" applyNumberFormat="1" applyFont="1" applyAlignment="1" applyProtection="1">
      <alignment vertical="center"/>
      <protection locked="0"/>
    </xf>
    <xf numFmtId="5" fontId="9" fillId="0" borderId="0" xfId="11" applyNumberFormat="1" applyFont="1" applyAlignment="1" applyProtection="1">
      <alignment horizontal="center" vertical="center"/>
      <protection locked="0"/>
    </xf>
    <xf numFmtId="10" fontId="9" fillId="0" borderId="0" xfId="11" applyNumberFormat="1" applyFont="1" applyAlignment="1" applyProtection="1">
      <alignment vertical="center"/>
      <protection locked="0"/>
    </xf>
    <xf numFmtId="10" fontId="9" fillId="0" borderId="0" xfId="11" applyNumberFormat="1" applyFont="1" applyAlignment="1" applyProtection="1">
      <alignment horizontal="center" vertical="center"/>
      <protection locked="0"/>
    </xf>
    <xf numFmtId="0" fontId="18" fillId="0" borderId="0" xfId="11" applyFont="1" applyAlignment="1">
      <alignment vertical="center"/>
    </xf>
    <xf numFmtId="164" fontId="9" fillId="0" borderId="0" xfId="2" applyNumberFormat="1" applyFont="1" applyBorder="1" applyAlignment="1">
      <alignment vertical="center"/>
    </xf>
    <xf numFmtId="0" fontId="9" fillId="0" borderId="0" xfId="11" applyFont="1" applyAlignment="1">
      <alignment horizontal="left" vertical="center"/>
    </xf>
    <xf numFmtId="0" fontId="14" fillId="0" borderId="0" xfId="11" quotePrefix="1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164" fontId="9" fillId="3" borderId="0" xfId="2" applyNumberFormat="1" applyFont="1" applyFill="1" applyAlignment="1" applyProtection="1">
      <alignment vertical="center"/>
      <protection locked="0"/>
    </xf>
    <xf numFmtId="165" fontId="9" fillId="3" borderId="0" xfId="1" applyNumberFormat="1" applyFont="1" applyFill="1" applyAlignment="1" applyProtection="1">
      <alignment vertical="center"/>
      <protection locked="0"/>
    </xf>
    <xf numFmtId="164" fontId="9" fillId="0" borderId="18" xfId="2" applyNumberFormat="1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164" fontId="9" fillId="0" borderId="17" xfId="2" applyNumberFormat="1" applyFont="1" applyBorder="1" applyAlignment="1" applyProtection="1">
      <alignment vertical="center"/>
      <protection locked="0"/>
    </xf>
    <xf numFmtId="164" fontId="9" fillId="0" borderId="0" xfId="2" applyNumberFormat="1" applyFont="1" applyBorder="1" applyAlignment="1" applyProtection="1">
      <alignment vertical="center"/>
      <protection locked="0"/>
    </xf>
    <xf numFmtId="10" fontId="9" fillId="0" borderId="1" xfId="3" applyNumberFormat="1" applyFont="1" applyBorder="1" applyAlignment="1">
      <alignment horizontal="right" vertical="center"/>
    </xf>
    <xf numFmtId="10" fontId="9" fillId="0" borderId="0" xfId="3" applyNumberFormat="1" applyFont="1" applyBorder="1" applyAlignment="1">
      <alignment horizontal="right" vertical="center"/>
    </xf>
    <xf numFmtId="165" fontId="9" fillId="0" borderId="0" xfId="1" applyNumberFormat="1" applyFont="1" applyFill="1" applyAlignment="1" applyProtection="1">
      <alignment vertical="center"/>
      <protection locked="0"/>
    </xf>
    <xf numFmtId="164" fontId="9" fillId="0" borderId="16" xfId="2" applyNumberFormat="1" applyFont="1" applyBorder="1" applyAlignment="1" applyProtection="1">
      <alignment vertical="center"/>
    </xf>
    <xf numFmtId="164" fontId="9" fillId="0" borderId="0" xfId="2" applyNumberFormat="1" applyFont="1" applyBorder="1" applyAlignment="1" applyProtection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10" fontId="9" fillId="3" borderId="1" xfId="3" applyNumberFormat="1" applyFont="1" applyFill="1" applyBorder="1" applyAlignment="1">
      <alignment vertical="center"/>
    </xf>
    <xf numFmtId="10" fontId="9" fillId="0" borderId="0" xfId="3" applyNumberFormat="1" applyFont="1" applyFill="1" applyAlignment="1">
      <alignment horizontal="right" vertical="center"/>
    </xf>
    <xf numFmtId="10" fontId="9" fillId="0" borderId="0" xfId="0" applyNumberFormat="1" applyFont="1" applyAlignment="1">
      <alignment horizontal="right" vertical="center"/>
    </xf>
    <xf numFmtId="10" fontId="9" fillId="0" borderId="0" xfId="3" applyNumberFormat="1" applyFont="1" applyAlignment="1">
      <alignment horizontal="right" vertical="center"/>
    </xf>
    <xf numFmtId="165" fontId="9" fillId="0" borderId="0" xfId="1" applyNumberFormat="1" applyFont="1" applyFill="1" applyAlignment="1">
      <alignment vertical="center"/>
    </xf>
    <xf numFmtId="10" fontId="9" fillId="0" borderId="0" xfId="0" applyNumberFormat="1" applyFont="1" applyAlignment="1">
      <alignment vertical="center"/>
    </xf>
    <xf numFmtId="164" fontId="9" fillId="0" borderId="16" xfId="0" applyNumberFormat="1" applyFont="1" applyBorder="1" applyAlignment="1">
      <alignment vertical="center"/>
    </xf>
    <xf numFmtId="10" fontId="9" fillId="0" borderId="1" xfId="3" applyNumberFormat="1" applyFont="1" applyFill="1" applyBorder="1" applyAlignment="1">
      <alignment horizontal="right" vertical="center"/>
    </xf>
    <xf numFmtId="10" fontId="9" fillId="4" borderId="0" xfId="0" applyNumberFormat="1" applyFont="1" applyFill="1" applyAlignment="1">
      <alignment horizontal="right" vertical="center"/>
    </xf>
    <xf numFmtId="10" fontId="9" fillId="0" borderId="0" xfId="3" applyNumberFormat="1" applyFont="1" applyFill="1" applyBorder="1" applyAlignment="1">
      <alignment horizontal="right" vertical="center"/>
    </xf>
    <xf numFmtId="5" fontId="9" fillId="0" borderId="0" xfId="0" applyNumberFormat="1" applyFont="1" applyAlignment="1">
      <alignment horizontal="center" vertical="center" wrapText="1"/>
    </xf>
    <xf numFmtId="0" fontId="18" fillId="0" borderId="2" xfId="0" applyFont="1" applyBorder="1" applyAlignment="1">
      <alignment vertical="center"/>
    </xf>
    <xf numFmtId="5" fontId="9" fillId="0" borderId="0" xfId="0" applyNumberFormat="1" applyFont="1" applyAlignment="1" applyProtection="1">
      <alignment horizontal="center" vertical="center"/>
      <protection locked="0"/>
    </xf>
    <xf numFmtId="0" fontId="16" fillId="0" borderId="0" xfId="0" applyFont="1" applyAlignment="1">
      <alignment vertical="center"/>
    </xf>
    <xf numFmtId="169" fontId="9" fillId="0" borderId="0" xfId="0" applyNumberFormat="1" applyFont="1" applyAlignment="1">
      <alignment horizontal="center" vertical="center" wrapText="1"/>
    </xf>
    <xf numFmtId="10" fontId="9" fillId="2" borderId="0" xfId="3" applyNumberFormat="1" applyFont="1" applyFill="1" applyAlignment="1">
      <alignment horizontal="right" vertical="center"/>
    </xf>
    <xf numFmtId="164" fontId="9" fillId="2" borderId="0" xfId="2" applyNumberFormat="1" applyFont="1" applyFill="1" applyAlignment="1">
      <alignment horizontal="center" vertical="center"/>
    </xf>
    <xf numFmtId="164" fontId="9" fillId="3" borderId="0" xfId="2" applyNumberFormat="1" applyFont="1" applyFill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64" fontId="5" fillId="2" borderId="0" xfId="2" applyNumberFormat="1" applyFont="1" applyFill="1" applyAlignment="1">
      <alignment horizontal="right" vertical="center"/>
    </xf>
    <xf numFmtId="10" fontId="9" fillId="0" borderId="0" xfId="3" applyNumberFormat="1" applyFont="1" applyAlignment="1">
      <alignment vertical="center"/>
    </xf>
    <xf numFmtId="0" fontId="16" fillId="0" borderId="0" xfId="0" applyFont="1" applyAlignment="1">
      <alignment horizontal="center" vertical="center"/>
    </xf>
    <xf numFmtId="168" fontId="9" fillId="0" borderId="0" xfId="3" applyNumberFormat="1" applyFont="1" applyAlignment="1">
      <alignment horizontal="right" vertical="center"/>
    </xf>
    <xf numFmtId="168" fontId="5" fillId="0" borderId="0" xfId="3" applyNumberFormat="1" applyFont="1" applyAlignment="1">
      <alignment vertical="center"/>
    </xf>
    <xf numFmtId="0" fontId="9" fillId="0" borderId="0" xfId="0" quotePrefix="1" applyFont="1" applyAlignment="1">
      <alignment vertical="center"/>
    </xf>
    <xf numFmtId="169" fontId="9" fillId="0" borderId="0" xfId="0" applyNumberFormat="1" applyFont="1" applyAlignment="1">
      <alignment horizontal="center" vertical="center"/>
    </xf>
    <xf numFmtId="169" fontId="5" fillId="0" borderId="0" xfId="0" applyNumberFormat="1" applyFont="1" applyAlignment="1">
      <alignment horizontal="center" vertical="center" wrapText="1"/>
    </xf>
    <xf numFmtId="16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4" fontId="9" fillId="0" borderId="0" xfId="2" applyNumberFormat="1" applyFont="1" applyFill="1" applyAlignment="1">
      <alignment horizontal="center" vertical="center"/>
    </xf>
    <xf numFmtId="164" fontId="5" fillId="0" borderId="0" xfId="2" applyNumberFormat="1" applyFont="1" applyFill="1" applyAlignment="1">
      <alignment horizontal="right" vertical="center"/>
    </xf>
    <xf numFmtId="168" fontId="9" fillId="0" borderId="0" xfId="3" applyNumberFormat="1" applyFont="1" applyFill="1" applyAlignment="1">
      <alignment horizontal="right" vertical="center"/>
    </xf>
    <xf numFmtId="9" fontId="9" fillId="0" borderId="0" xfId="3" applyFont="1" applyAlignment="1">
      <alignment horizontal="right" vertical="center"/>
    </xf>
    <xf numFmtId="168" fontId="9" fillId="0" borderId="0" xfId="3" applyNumberFormat="1" applyFont="1" applyBorder="1" applyAlignment="1">
      <alignment horizontal="right" vertical="center"/>
    </xf>
    <xf numFmtId="168" fontId="9" fillId="0" borderId="1" xfId="3" applyNumberFormat="1" applyFont="1" applyBorder="1" applyAlignment="1">
      <alignment horizontal="right" vertical="center"/>
    </xf>
    <xf numFmtId="168" fontId="5" fillId="0" borderId="0" xfId="3" applyNumberFormat="1" applyFont="1" applyAlignment="1">
      <alignment horizontal="center" vertical="center"/>
    </xf>
    <xf numFmtId="164" fontId="9" fillId="4" borderId="0" xfId="2" applyNumberFormat="1" applyFont="1" applyFill="1" applyAlignment="1">
      <alignment horizontal="right" vertical="center"/>
    </xf>
    <xf numFmtId="168" fontId="5" fillId="0" borderId="0" xfId="0" applyNumberFormat="1" applyFont="1" applyAlignment="1">
      <alignment horizontal="right" vertical="center"/>
    </xf>
    <xf numFmtId="5" fontId="5" fillId="0" borderId="0" xfId="0" applyNumberFormat="1" applyFont="1" applyAlignment="1" applyProtection="1">
      <alignment horizontal="center" vertical="center"/>
      <protection locked="0"/>
    </xf>
    <xf numFmtId="5" fontId="9" fillId="0" borderId="0" xfId="0" applyNumberFormat="1" applyFont="1" applyAlignment="1" applyProtection="1">
      <alignment horizontal="right" vertical="center"/>
      <protection locked="0"/>
    </xf>
    <xf numFmtId="168" fontId="9" fillId="0" borderId="1" xfId="0" applyNumberFormat="1" applyFont="1" applyBorder="1" applyAlignment="1">
      <alignment horizontal="right" vertical="center"/>
    </xf>
    <xf numFmtId="0" fontId="2" fillId="0" borderId="0" xfId="4" applyFont="1" applyAlignment="1">
      <alignment horizontal="centerContinuous" vertical="center"/>
    </xf>
    <xf numFmtId="165" fontId="7" fillId="0" borderId="0" xfId="1" applyNumberFormat="1" applyFont="1"/>
    <xf numFmtId="0" fontId="2" fillId="0" borderId="0" xfId="4" applyFont="1" applyAlignment="1">
      <alignment horizontal="centerContinuous"/>
    </xf>
    <xf numFmtId="0" fontId="7" fillId="0" borderId="0" xfId="4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11" applyFont="1" applyAlignment="1">
      <alignment horizontal="center" vertical="center"/>
    </xf>
    <xf numFmtId="0" fontId="9" fillId="0" borderId="0" xfId="11" applyFont="1" applyAlignment="1">
      <alignment horizontal="center" vertical="center"/>
    </xf>
    <xf numFmtId="0" fontId="7" fillId="0" borderId="0" xfId="4" applyFont="1" applyAlignment="1">
      <alignment wrapText="1"/>
    </xf>
    <xf numFmtId="0" fontId="9" fillId="0" borderId="0" xfId="18" applyFont="1" applyAlignment="1">
      <alignment horizontal="center" vertical="center"/>
    </xf>
    <xf numFmtId="0" fontId="5" fillId="0" borderId="0" xfId="11" applyFont="1" applyAlignment="1">
      <alignment horizontal="center"/>
    </xf>
    <xf numFmtId="0" fontId="5" fillId="0" borderId="0" xfId="11" applyFont="1"/>
    <xf numFmtId="0" fontId="5" fillId="0" borderId="2" xfId="11" applyFont="1" applyBorder="1"/>
    <xf numFmtId="0" fontId="9" fillId="0" borderId="10" xfId="11" applyFont="1" applyBorder="1" applyAlignment="1">
      <alignment horizontal="center" vertical="center"/>
    </xf>
    <xf numFmtId="0" fontId="5" fillId="0" borderId="19" xfId="11" applyFont="1" applyBorder="1" applyAlignment="1">
      <alignment horizontal="center"/>
    </xf>
    <xf numFmtId="0" fontId="5" fillId="0" borderId="4" xfId="11" applyFont="1" applyBorder="1" applyAlignment="1">
      <alignment horizontal="center"/>
    </xf>
    <xf numFmtId="0" fontId="9" fillId="0" borderId="9" xfId="11" applyFont="1" applyBorder="1" applyAlignment="1">
      <alignment horizontal="center" vertical="center"/>
    </xf>
    <xf numFmtId="0" fontId="5" fillId="0" borderId="23" xfId="11" applyFont="1" applyBorder="1"/>
    <xf numFmtId="10" fontId="5" fillId="0" borderId="0" xfId="19" applyNumberFormat="1" applyFont="1" applyFill="1" applyBorder="1" applyAlignment="1">
      <alignment horizontal="center"/>
    </xf>
    <xf numFmtId="10" fontId="5" fillId="0" borderId="0" xfId="19" applyNumberFormat="1" applyFont="1" applyBorder="1" applyAlignment="1">
      <alignment horizontal="center"/>
    </xf>
    <xf numFmtId="0" fontId="9" fillId="0" borderId="22" xfId="11" applyFont="1" applyBorder="1" applyAlignment="1">
      <alignment horizontal="left"/>
    </xf>
    <xf numFmtId="164" fontId="9" fillId="0" borderId="0" xfId="20" applyNumberFormat="1" applyFont="1" applyFill="1" applyBorder="1" applyAlignment="1">
      <alignment horizontal="right" vertical="center"/>
    </xf>
    <xf numFmtId="41" fontId="9" fillId="0" borderId="0" xfId="13" applyNumberFormat="1" applyFont="1" applyBorder="1" applyAlignment="1">
      <alignment horizontal="center"/>
    </xf>
    <xf numFmtId="0" fontId="9" fillId="0" borderId="22" xfId="11" applyFont="1" applyBorder="1"/>
    <xf numFmtId="164" fontId="9" fillId="0" borderId="0" xfId="11" applyNumberFormat="1" applyFont="1" applyAlignment="1">
      <alignment horizontal="right" vertical="center"/>
    </xf>
    <xf numFmtId="165" fontId="5" fillId="2" borderId="13" xfId="1" applyNumberFormat="1" applyFont="1" applyFill="1" applyBorder="1" applyAlignment="1">
      <alignment horizontal="right" vertical="center"/>
    </xf>
    <xf numFmtId="43" fontId="5" fillId="0" borderId="0" xfId="11" applyNumberFormat="1" applyFont="1" applyAlignment="1">
      <alignment horizontal="center"/>
    </xf>
    <xf numFmtId="0" fontId="9" fillId="0" borderId="0" xfId="11" applyFont="1" applyAlignment="1">
      <alignment horizontal="left"/>
    </xf>
    <xf numFmtId="165" fontId="9" fillId="0" borderId="0" xfId="1" applyNumberFormat="1" applyFont="1" applyFill="1" applyBorder="1" applyAlignment="1">
      <alignment horizontal="right" vertical="center"/>
    </xf>
    <xf numFmtId="0" fontId="5" fillId="0" borderId="0" xfId="11" applyFont="1" applyAlignment="1">
      <alignment horizontal="left"/>
    </xf>
    <xf numFmtId="0" fontId="5" fillId="0" borderId="22" xfId="11" applyFont="1" applyBorder="1" applyAlignment="1">
      <alignment horizontal="left" indent="2"/>
    </xf>
    <xf numFmtId="164" fontId="5" fillId="0" borderId="13" xfId="2" applyNumberFormat="1" applyFont="1" applyFill="1" applyBorder="1" applyAlignment="1">
      <alignment horizontal="right" vertical="center"/>
    </xf>
    <xf numFmtId="41" fontId="9" fillId="0" borderId="0" xfId="13" applyNumberFormat="1" applyFont="1" applyFill="1" applyBorder="1" applyAlignment="1">
      <alignment horizontal="center"/>
    </xf>
    <xf numFmtId="0" fontId="5" fillId="0" borderId="22" xfId="11" applyFont="1" applyBorder="1" applyAlignment="1">
      <alignment horizontal="left"/>
    </xf>
    <xf numFmtId="41" fontId="5" fillId="0" borderId="0" xfId="13" applyNumberFormat="1" applyFont="1" applyBorder="1" applyAlignment="1">
      <alignment horizontal="left"/>
    </xf>
    <xf numFmtId="41" fontId="5" fillId="0" borderId="0" xfId="13" applyNumberFormat="1" applyFont="1" applyFill="1" applyBorder="1" applyAlignment="1">
      <alignment horizontal="left"/>
    </xf>
    <xf numFmtId="164" fontId="9" fillId="0" borderId="13" xfId="11" applyNumberFormat="1" applyFont="1" applyBorder="1" applyAlignment="1">
      <alignment vertical="center"/>
    </xf>
    <xf numFmtId="164" fontId="9" fillId="0" borderId="0" xfId="11" applyNumberFormat="1" applyFont="1" applyAlignment="1">
      <alignment vertical="center"/>
    </xf>
    <xf numFmtId="0" fontId="10" fillId="0" borderId="0" xfId="11" applyFont="1" applyAlignment="1">
      <alignment horizontal="left"/>
    </xf>
    <xf numFmtId="170" fontId="5" fillId="0" borderId="0" xfId="11" applyNumberFormat="1" applyFont="1" applyAlignment="1">
      <alignment vertical="center"/>
    </xf>
    <xf numFmtId="164" fontId="5" fillId="0" borderId="15" xfId="20" applyNumberFormat="1" applyFont="1" applyBorder="1" applyAlignment="1">
      <alignment horizontal="right" vertical="center"/>
    </xf>
    <xf numFmtId="9" fontId="9" fillId="0" borderId="0" xfId="3" applyFont="1"/>
    <xf numFmtId="0" fontId="5" fillId="0" borderId="26" xfId="11" applyFont="1" applyBorder="1"/>
    <xf numFmtId="0" fontId="9" fillId="0" borderId="2" xfId="18" applyFont="1" applyBorder="1"/>
    <xf numFmtId="44" fontId="5" fillId="0" borderId="2" xfId="11" applyNumberFormat="1" applyFont="1" applyBorder="1"/>
    <xf numFmtId="0" fontId="5" fillId="0" borderId="22" xfId="11" applyFont="1" applyBorder="1" applyAlignment="1">
      <alignment horizontal="center"/>
    </xf>
    <xf numFmtId="0" fontId="5" fillId="0" borderId="22" xfId="11" applyFont="1" applyBorder="1"/>
    <xf numFmtId="170" fontId="9" fillId="0" borderId="0" xfId="20" applyNumberFormat="1" applyFont="1" applyFill="1" applyBorder="1" applyAlignment="1">
      <alignment horizontal="right"/>
    </xf>
    <xf numFmtId="170" fontId="9" fillId="0" borderId="0" xfId="11" applyNumberFormat="1" applyFont="1" applyAlignment="1">
      <alignment horizontal="right"/>
    </xf>
    <xf numFmtId="0" fontId="9" fillId="0" borderId="0" xfId="11" applyFont="1" applyAlignment="1">
      <alignment horizontal="center"/>
    </xf>
    <xf numFmtId="165" fontId="9" fillId="0" borderId="0" xfId="1" applyNumberFormat="1" applyFont="1" applyFill="1" applyBorder="1" applyAlignment="1">
      <alignment horizontal="right"/>
    </xf>
    <xf numFmtId="43" fontId="9" fillId="0" borderId="0" xfId="11" applyNumberFormat="1" applyFont="1" applyAlignment="1">
      <alignment horizontal="center"/>
    </xf>
    <xf numFmtId="171" fontId="9" fillId="0" borderId="0" xfId="1" applyNumberFormat="1" applyFont="1" applyFill="1" applyBorder="1" applyAlignment="1">
      <alignment horizontal="right"/>
    </xf>
    <xf numFmtId="41" fontId="5" fillId="0" borderId="0" xfId="13" applyNumberFormat="1" applyFont="1" applyBorder="1" applyAlignment="1">
      <alignment horizontal="center"/>
    </xf>
    <xf numFmtId="165" fontId="9" fillId="0" borderId="13" xfId="1" applyNumberFormat="1" applyFont="1" applyBorder="1"/>
    <xf numFmtId="41" fontId="5" fillId="0" borderId="0" xfId="13" applyNumberFormat="1" applyFont="1" applyFill="1" applyBorder="1" applyAlignment="1">
      <alignment horizontal="center"/>
    </xf>
    <xf numFmtId="170" fontId="5" fillId="0" borderId="13" xfId="14" applyNumberFormat="1" applyFont="1" applyBorder="1"/>
    <xf numFmtId="170" fontId="5" fillId="0" borderId="0" xfId="14" applyNumberFormat="1" applyFont="1" applyFill="1" applyBorder="1"/>
    <xf numFmtId="41" fontId="5" fillId="0" borderId="0" xfId="13" applyNumberFormat="1" applyFont="1" applyFill="1" applyBorder="1"/>
    <xf numFmtId="165" fontId="9" fillId="0" borderId="0" xfId="21" applyNumberFormat="1" applyFont="1" applyFill="1" applyBorder="1"/>
    <xf numFmtId="165" fontId="5" fillId="0" borderId="0" xfId="14" applyNumberFormat="1" applyFont="1" applyFill="1" applyBorder="1"/>
    <xf numFmtId="165" fontId="5" fillId="0" borderId="8" xfId="14" applyNumberFormat="1" applyFont="1" applyBorder="1"/>
    <xf numFmtId="165" fontId="5" fillId="0" borderId="2" xfId="14" applyNumberFormat="1" applyFont="1" applyFill="1" applyBorder="1"/>
    <xf numFmtId="0" fontId="5" fillId="0" borderId="2" xfId="11" applyFont="1" applyBorder="1" applyAlignment="1">
      <alignment horizontal="center"/>
    </xf>
    <xf numFmtId="0" fontId="5" fillId="0" borderId="20" xfId="11" applyFont="1" applyBorder="1" applyAlignment="1">
      <alignment horizontal="center"/>
    </xf>
    <xf numFmtId="0" fontId="5" fillId="0" borderId="12" xfId="11" applyFont="1" applyBorder="1" applyAlignment="1">
      <alignment horizontal="center"/>
    </xf>
    <xf numFmtId="10" fontId="5" fillId="0" borderId="22" xfId="19" applyNumberFormat="1" applyFont="1" applyBorder="1" applyAlignment="1">
      <alignment horizontal="center"/>
    </xf>
    <xf numFmtId="10" fontId="5" fillId="0" borderId="14" xfId="19" applyNumberFormat="1" applyFont="1" applyBorder="1" applyAlignment="1">
      <alignment horizontal="center"/>
    </xf>
    <xf numFmtId="164" fontId="9" fillId="2" borderId="22" xfId="20" applyNumberFormat="1" applyFont="1" applyFill="1" applyBorder="1" applyAlignment="1">
      <alignment horizontal="right" vertical="center"/>
    </xf>
    <xf numFmtId="41" fontId="9" fillId="0" borderId="14" xfId="13" applyNumberFormat="1" applyFont="1" applyBorder="1" applyAlignment="1">
      <alignment horizontal="center"/>
    </xf>
    <xf numFmtId="164" fontId="9" fillId="0" borderId="22" xfId="11" applyNumberFormat="1" applyFont="1" applyBorder="1" applyAlignment="1">
      <alignment horizontal="right" vertical="center"/>
    </xf>
    <xf numFmtId="0" fontId="5" fillId="0" borderId="14" xfId="11" applyFont="1" applyBorder="1" applyAlignment="1">
      <alignment horizontal="center"/>
    </xf>
    <xf numFmtId="165" fontId="9" fillId="2" borderId="22" xfId="1" applyNumberFormat="1" applyFont="1" applyFill="1" applyBorder="1" applyAlignment="1">
      <alignment horizontal="right" vertical="center"/>
    </xf>
    <xf numFmtId="43" fontId="5" fillId="0" borderId="14" xfId="11" applyNumberFormat="1" applyFont="1" applyBorder="1" applyAlignment="1">
      <alignment horizontal="center"/>
    </xf>
    <xf numFmtId="164" fontId="9" fillId="0" borderId="13" xfId="2" applyNumberFormat="1" applyFont="1" applyFill="1" applyBorder="1" applyAlignment="1">
      <alignment horizontal="right" vertical="center"/>
    </xf>
    <xf numFmtId="41" fontId="5" fillId="0" borderId="14" xfId="13" applyNumberFormat="1" applyFont="1" applyBorder="1" applyAlignment="1">
      <alignment horizontal="left"/>
    </xf>
    <xf numFmtId="165" fontId="9" fillId="2" borderId="13" xfId="1" applyNumberFormat="1" applyFont="1" applyFill="1" applyBorder="1" applyAlignment="1">
      <alignment horizontal="right" vertical="center"/>
    </xf>
    <xf numFmtId="41" fontId="5" fillId="0" borderId="14" xfId="13" applyNumberFormat="1" applyFont="1" applyFill="1" applyBorder="1" applyAlignment="1">
      <alignment horizontal="left"/>
    </xf>
    <xf numFmtId="41" fontId="9" fillId="0" borderId="14" xfId="13" applyNumberFormat="1" applyFont="1" applyFill="1" applyBorder="1" applyAlignment="1">
      <alignment horizontal="center"/>
    </xf>
    <xf numFmtId="0" fontId="5" fillId="0" borderId="25" xfId="11" applyFont="1" applyBorder="1"/>
    <xf numFmtId="170" fontId="9" fillId="0" borderId="22" xfId="20" applyNumberFormat="1" applyFont="1" applyFill="1" applyBorder="1" applyAlignment="1">
      <alignment horizontal="right"/>
    </xf>
    <xf numFmtId="170" fontId="9" fillId="0" borderId="22" xfId="11" applyNumberFormat="1" applyFont="1" applyBorder="1" applyAlignment="1">
      <alignment horizontal="right"/>
    </xf>
    <xf numFmtId="0" fontId="9" fillId="0" borderId="14" xfId="11" applyFont="1" applyBorder="1" applyAlignment="1">
      <alignment horizontal="center"/>
    </xf>
    <xf numFmtId="171" fontId="9" fillId="0" borderId="22" xfId="1" applyNumberFormat="1" applyFont="1" applyFill="1" applyBorder="1" applyAlignment="1">
      <alignment horizontal="right"/>
    </xf>
    <xf numFmtId="165" fontId="9" fillId="0" borderId="22" xfId="1" applyNumberFormat="1" applyFont="1" applyBorder="1" applyAlignment="1">
      <alignment horizontal="right"/>
    </xf>
    <xf numFmtId="43" fontId="9" fillId="0" borderId="14" xfId="11" applyNumberFormat="1" applyFont="1" applyBorder="1" applyAlignment="1">
      <alignment horizontal="center"/>
    </xf>
    <xf numFmtId="165" fontId="9" fillId="0" borderId="22" xfId="1" applyNumberFormat="1" applyFont="1" applyFill="1" applyBorder="1" applyAlignment="1">
      <alignment horizontal="right"/>
    </xf>
    <xf numFmtId="41" fontId="5" fillId="0" borderId="14" xfId="13" applyNumberFormat="1" applyFont="1" applyBorder="1" applyAlignment="1">
      <alignment horizontal="center"/>
    </xf>
    <xf numFmtId="41" fontId="5" fillId="0" borderId="14" xfId="13" applyNumberFormat="1" applyFont="1" applyFill="1" applyBorder="1" applyAlignment="1">
      <alignment horizontal="center"/>
    </xf>
    <xf numFmtId="41" fontId="5" fillId="0" borderId="14" xfId="13" applyNumberFormat="1" applyFont="1" applyFill="1" applyBorder="1"/>
    <xf numFmtId="165" fontId="5" fillId="0" borderId="14" xfId="14" applyNumberFormat="1" applyFont="1" applyFill="1" applyBorder="1"/>
    <xf numFmtId="0" fontId="5" fillId="0" borderId="25" xfId="11" applyFont="1" applyBorder="1" applyAlignment="1">
      <alignment horizontal="center"/>
    </xf>
    <xf numFmtId="167" fontId="5" fillId="0" borderId="0" xfId="0" applyNumberFormat="1" applyFont="1" applyAlignment="1">
      <alignment horizontal="center" vertical="center" wrapText="1"/>
    </xf>
    <xf numFmtId="164" fontId="9" fillId="0" borderId="0" xfId="2" applyNumberFormat="1" applyFont="1" applyFill="1" applyBorder="1" applyAlignment="1">
      <alignment horizontal="right" vertical="center"/>
    </xf>
    <xf numFmtId="164" fontId="9" fillId="2" borderId="0" xfId="20" applyNumberFormat="1" applyFont="1" applyFill="1" applyBorder="1" applyAlignment="1">
      <alignment horizontal="right" vertical="center"/>
    </xf>
    <xf numFmtId="165" fontId="9" fillId="2" borderId="0" xfId="1" applyNumberFormat="1" applyFont="1" applyFill="1" applyAlignment="1">
      <alignment horizontal="right"/>
    </xf>
    <xf numFmtId="165" fontId="9" fillId="2" borderId="0" xfId="1" applyNumberFormat="1" applyFont="1" applyFill="1" applyAlignment="1">
      <alignment horizontal="center"/>
    </xf>
    <xf numFmtId="165" fontId="5" fillId="0" borderId="0" xfId="0" applyNumberFormat="1" applyFont="1" applyAlignment="1">
      <alignment horizontal="center"/>
    </xf>
    <xf numFmtId="164" fontId="9" fillId="0" borderId="1" xfId="20" applyNumberFormat="1" applyFont="1" applyBorder="1" applyAlignment="1">
      <alignment horizontal="right" vertical="center"/>
    </xf>
    <xf numFmtId="164" fontId="5" fillId="0" borderId="1" xfId="0" applyNumberFormat="1" applyFont="1" applyBorder="1" applyAlignment="1">
      <alignment horizontal="center"/>
    </xf>
    <xf numFmtId="0" fontId="0" fillId="0" borderId="2" xfId="0" applyBorder="1"/>
    <xf numFmtId="0" fontId="15" fillId="0" borderId="2" xfId="0" applyFont="1" applyBorder="1" applyAlignment="1">
      <alignment horizontal="center"/>
    </xf>
    <xf numFmtId="0" fontId="5" fillId="0" borderId="3" xfId="11" applyFont="1" applyBorder="1" applyAlignment="1">
      <alignment horizontal="center"/>
    </xf>
    <xf numFmtId="0" fontId="5" fillId="0" borderId="18" xfId="11" applyFont="1" applyBorder="1"/>
    <xf numFmtId="0" fontId="9" fillId="0" borderId="0" xfId="11" applyFont="1"/>
    <xf numFmtId="0" fontId="5" fillId="0" borderId="0" xfId="11" applyFont="1" applyAlignment="1">
      <alignment horizontal="left" indent="2"/>
    </xf>
    <xf numFmtId="0" fontId="5" fillId="0" borderId="0" xfId="11" applyFont="1" applyAlignment="1">
      <alignment horizontal="center" vertical="center" wrapText="1"/>
    </xf>
    <xf numFmtId="165" fontId="5" fillId="2" borderId="0" xfId="1" applyNumberFormat="1" applyFont="1" applyFill="1" applyBorder="1" applyAlignment="1">
      <alignment horizontal="right" vertical="center"/>
    </xf>
    <xf numFmtId="164" fontId="5" fillId="0" borderId="0" xfId="2" applyNumberFormat="1" applyFont="1" applyFill="1" applyBorder="1" applyAlignment="1">
      <alignment horizontal="right" vertical="center"/>
    </xf>
    <xf numFmtId="164" fontId="5" fillId="0" borderId="1" xfId="20" applyNumberFormat="1" applyFont="1" applyBorder="1" applyAlignment="1">
      <alignment horizontal="right" vertical="center"/>
    </xf>
    <xf numFmtId="0" fontId="5" fillId="0" borderId="29" xfId="11" applyFont="1" applyBorder="1"/>
    <xf numFmtId="167" fontId="5" fillId="0" borderId="0" xfId="11" applyNumberFormat="1" applyFont="1" applyAlignment="1">
      <alignment horizontal="center" wrapText="1"/>
    </xf>
    <xf numFmtId="0" fontId="5" fillId="0" borderId="0" xfId="11" applyFont="1" applyAlignment="1">
      <alignment horizontal="center" wrapText="1"/>
    </xf>
    <xf numFmtId="171" fontId="5" fillId="0" borderId="0" xfId="1" applyNumberFormat="1" applyFont="1" applyFill="1" applyBorder="1" applyAlignment="1">
      <alignment horizontal="right"/>
    </xf>
    <xf numFmtId="165" fontId="9" fillId="0" borderId="0" xfId="1" applyNumberFormat="1" applyFont="1" applyBorder="1" applyAlignment="1">
      <alignment horizontal="right"/>
    </xf>
    <xf numFmtId="170" fontId="5" fillId="0" borderId="0" xfId="2" applyNumberFormat="1" applyFont="1" applyFill="1" applyBorder="1" applyAlignment="1">
      <alignment horizontal="right"/>
    </xf>
    <xf numFmtId="170" fontId="5" fillId="0" borderId="0" xfId="2" applyNumberFormat="1" applyFont="1" applyFill="1" applyBorder="1"/>
    <xf numFmtId="170" fontId="5" fillId="0" borderId="0" xfId="14" applyNumberFormat="1" applyFont="1" applyBorder="1"/>
    <xf numFmtId="171" fontId="9" fillId="0" borderId="0" xfId="1" applyNumberFormat="1" applyFont="1" applyAlignment="1">
      <alignment horizontal="right"/>
    </xf>
    <xf numFmtId="171" fontId="9" fillId="0" borderId="0" xfId="1" applyNumberFormat="1" applyFont="1" applyAlignment="1">
      <alignment horizontal="center"/>
    </xf>
    <xf numFmtId="170" fontId="9" fillId="0" borderId="0" xfId="2" applyNumberFormat="1" applyFont="1" applyFill="1" applyBorder="1"/>
    <xf numFmtId="170" fontId="9" fillId="0" borderId="0" xfId="2" applyNumberFormat="1" applyFont="1" applyFill="1" applyBorder="1" applyAlignment="1">
      <alignment horizontal="right"/>
    </xf>
    <xf numFmtId="165" fontId="5" fillId="0" borderId="2" xfId="14" applyNumberFormat="1" applyFont="1" applyBorder="1"/>
    <xf numFmtId="164" fontId="5" fillId="0" borderId="1" xfId="20" applyNumberFormat="1" applyFont="1" applyBorder="1" applyAlignment="1">
      <alignment horizontal="right"/>
    </xf>
    <xf numFmtId="164" fontId="9" fillId="3" borderId="0" xfId="13" applyNumberFormat="1" applyFont="1" applyFill="1" applyAlignment="1" applyProtection="1">
      <alignment vertical="center"/>
      <protection locked="0"/>
    </xf>
    <xf numFmtId="164" fontId="9" fillId="0" borderId="0" xfId="13" applyNumberFormat="1" applyFont="1" applyFill="1" applyBorder="1" applyAlignment="1" applyProtection="1">
      <alignment vertical="center"/>
      <protection locked="0"/>
    </xf>
    <xf numFmtId="172" fontId="9" fillId="0" borderId="0" xfId="0" applyNumberFormat="1" applyFont="1" applyAlignment="1">
      <alignment vertical="center"/>
    </xf>
    <xf numFmtId="0" fontId="16" fillId="0" borderId="0" xfId="0" quotePrefix="1" applyFont="1" applyAlignment="1">
      <alignment horizontal="center" vertical="center"/>
    </xf>
    <xf numFmtId="0" fontId="16" fillId="0" borderId="0" xfId="11" applyFont="1" applyAlignment="1">
      <alignment horizontal="center" vertical="center"/>
    </xf>
    <xf numFmtId="1" fontId="9" fillId="0" borderId="0" xfId="11" applyNumberFormat="1" applyFont="1" applyAlignment="1">
      <alignment horizontal="center" vertical="center"/>
    </xf>
    <xf numFmtId="10" fontId="9" fillId="3" borderId="0" xfId="3" applyNumberFormat="1" applyFont="1" applyFill="1" applyAlignment="1">
      <alignment horizontal="center" vertical="center"/>
    </xf>
    <xf numFmtId="164" fontId="9" fillId="0" borderId="0" xfId="2" applyNumberFormat="1" applyFont="1" applyAlignment="1">
      <alignment horizontal="right" vertical="center"/>
    </xf>
    <xf numFmtId="165" fontId="9" fillId="0" borderId="0" xfId="1" applyNumberFormat="1" applyFont="1" applyAlignment="1">
      <alignment horizontal="right" vertical="center"/>
    </xf>
    <xf numFmtId="173" fontId="9" fillId="0" borderId="0" xfId="3" applyNumberFormat="1" applyFont="1" applyAlignment="1">
      <alignment vertical="center"/>
    </xf>
    <xf numFmtId="165" fontId="5" fillId="0" borderId="0" xfId="1" applyNumberFormat="1" applyFont="1" applyAlignment="1">
      <alignment horizontal="center" vertical="center"/>
    </xf>
    <xf numFmtId="165" fontId="5" fillId="0" borderId="0" xfId="1" applyNumberFormat="1" applyFont="1" applyAlignment="1">
      <alignment horizontal="right" vertical="center"/>
    </xf>
    <xf numFmtId="165" fontId="9" fillId="0" borderId="30" xfId="1" applyNumberFormat="1" applyFont="1" applyFill="1" applyBorder="1" applyAlignment="1">
      <alignment vertical="center"/>
    </xf>
    <xf numFmtId="165" fontId="9" fillId="0" borderId="30" xfId="1" applyNumberFormat="1" applyFont="1" applyFill="1" applyBorder="1" applyAlignment="1">
      <alignment horizontal="right" vertical="center"/>
    </xf>
    <xf numFmtId="164" fontId="5" fillId="0" borderId="16" xfId="2" applyNumberFormat="1" applyFont="1" applyFill="1" applyBorder="1" applyAlignment="1">
      <alignment vertical="center"/>
    </xf>
    <xf numFmtId="164" fontId="9" fillId="0" borderId="16" xfId="2" applyNumberFormat="1" applyFont="1" applyFill="1" applyBorder="1" applyAlignment="1">
      <alignment vertical="center"/>
    </xf>
    <xf numFmtId="174" fontId="9" fillId="0" borderId="0" xfId="2" applyNumberFormat="1" applyFont="1" applyAlignment="1">
      <alignment vertical="center"/>
    </xf>
    <xf numFmtId="175" fontId="9" fillId="0" borderId="0" xfId="0" applyNumberFormat="1" applyFont="1" applyAlignment="1">
      <alignment vertical="center"/>
    </xf>
    <xf numFmtId="8" fontId="9" fillId="0" borderId="0" xfId="0" applyNumberFormat="1" applyFont="1" applyAlignment="1">
      <alignment vertical="center"/>
    </xf>
    <xf numFmtId="0" fontId="14" fillId="0" borderId="0" xfId="24" quotePrefix="1" applyFont="1" applyAlignment="1">
      <alignment horizontal="center" vertical="center"/>
    </xf>
    <xf numFmtId="0" fontId="18" fillId="0" borderId="0" xfId="11" applyFont="1"/>
    <xf numFmtId="0" fontId="18" fillId="0" borderId="0" xfId="11" applyFont="1" applyAlignment="1">
      <alignment horizontal="left"/>
    </xf>
    <xf numFmtId="5" fontId="9" fillId="0" borderId="0" xfId="0" applyNumberFormat="1" applyFont="1" applyAlignment="1">
      <alignment horizontal="left" vertical="center"/>
    </xf>
    <xf numFmtId="164" fontId="5" fillId="0" borderId="1" xfId="2" applyNumberFormat="1" applyFont="1" applyFill="1" applyBorder="1" applyAlignment="1">
      <alignment horizontal="right" vertical="center"/>
    </xf>
    <xf numFmtId="0" fontId="9" fillId="0" borderId="0" xfId="23" applyFont="1"/>
    <xf numFmtId="0" fontId="14" fillId="0" borderId="9" xfId="23" applyFont="1" applyBorder="1" applyAlignment="1">
      <alignment horizontal="center"/>
    </xf>
    <xf numFmtId="0" fontId="14" fillId="0" borderId="0" xfId="11" applyFont="1" applyAlignment="1">
      <alignment horizontal="center" vertical="center"/>
    </xf>
    <xf numFmtId="164" fontId="9" fillId="0" borderId="0" xfId="13" applyNumberFormat="1" applyFont="1" applyBorder="1" applyAlignment="1" applyProtection="1">
      <alignment vertical="center"/>
      <protection locked="0"/>
    </xf>
    <xf numFmtId="164" fontId="9" fillId="0" borderId="0" xfId="13" applyNumberFormat="1" applyFont="1" applyBorder="1" applyAlignment="1" applyProtection="1">
      <alignment horizontal="right" vertical="center"/>
      <protection locked="0"/>
    </xf>
    <xf numFmtId="164" fontId="9" fillId="0" borderId="1" xfId="13" applyNumberFormat="1" applyFont="1" applyBorder="1" applyAlignment="1" applyProtection="1">
      <alignment horizontal="right" vertical="center"/>
      <protection locked="0"/>
    </xf>
    <xf numFmtId="165" fontId="9" fillId="0" borderId="0" xfId="27" applyNumberFormat="1" applyFont="1" applyBorder="1" applyAlignment="1">
      <alignment vertical="center"/>
    </xf>
    <xf numFmtId="164" fontId="9" fillId="0" borderId="0" xfId="13" applyNumberFormat="1" applyFont="1" applyBorder="1" applyAlignment="1">
      <alignment vertical="center"/>
    </xf>
    <xf numFmtId="165" fontId="9" fillId="0" borderId="0" xfId="27" applyNumberFormat="1" applyFont="1" applyBorder="1" applyAlignment="1" applyProtection="1">
      <alignment vertical="center"/>
      <protection locked="0"/>
    </xf>
    <xf numFmtId="165" fontId="9" fillId="0" borderId="0" xfId="27" applyNumberFormat="1" applyFont="1" applyAlignment="1" applyProtection="1">
      <alignment vertical="center"/>
      <protection locked="0"/>
    </xf>
    <xf numFmtId="165" fontId="5" fillId="2" borderId="0" xfId="27" applyNumberFormat="1" applyFont="1" applyFill="1" applyBorder="1" applyAlignment="1" applyProtection="1">
      <alignment horizontal="right" vertical="center"/>
      <protection locked="0"/>
    </xf>
    <xf numFmtId="165" fontId="9" fillId="0" borderId="0" xfId="27" applyNumberFormat="1" applyFont="1" applyFill="1" applyBorder="1" applyAlignment="1" applyProtection="1">
      <alignment vertical="center"/>
      <protection locked="0"/>
    </xf>
    <xf numFmtId="164" fontId="5" fillId="0" borderId="0" xfId="13" applyNumberFormat="1" applyFont="1" applyAlignment="1">
      <alignment horizontal="right" vertical="center"/>
    </xf>
    <xf numFmtId="10" fontId="9" fillId="0" borderId="0" xfId="28" applyNumberFormat="1" applyFont="1" applyBorder="1" applyAlignment="1">
      <alignment vertical="center"/>
    </xf>
    <xf numFmtId="164" fontId="5" fillId="0" borderId="1" xfId="13" applyNumberFormat="1" applyFont="1" applyBorder="1" applyAlignment="1" applyProtection="1">
      <alignment horizontal="right" vertical="center"/>
      <protection locked="0"/>
    </xf>
    <xf numFmtId="0" fontId="9" fillId="0" borderId="0" xfId="29" applyFont="1" applyAlignment="1">
      <alignment vertical="center"/>
    </xf>
    <xf numFmtId="0" fontId="5" fillId="0" borderId="0" xfId="30" applyFont="1" applyAlignment="1">
      <alignment horizontal="left" vertical="center"/>
    </xf>
    <xf numFmtId="44" fontId="9" fillId="0" borderId="0" xfId="0" applyNumberFormat="1" applyFont="1" applyAlignment="1">
      <alignment vertical="center"/>
    </xf>
    <xf numFmtId="176" fontId="9" fillId="0" borderId="2" xfId="3" applyNumberFormat="1" applyFont="1" applyBorder="1" applyAlignment="1">
      <alignment horizontal="right" vertical="center"/>
    </xf>
    <xf numFmtId="10" fontId="9" fillId="4" borderId="1" xfId="3" applyNumberFormat="1" applyFont="1" applyFill="1" applyBorder="1" applyAlignment="1">
      <alignment vertical="center"/>
    </xf>
    <xf numFmtId="164" fontId="9" fillId="4" borderId="0" xfId="2" applyNumberFormat="1" applyFont="1" applyFill="1" applyAlignment="1">
      <alignment vertical="center"/>
    </xf>
    <xf numFmtId="10" fontId="9" fillId="4" borderId="0" xfId="3" applyNumberFormat="1" applyFont="1" applyFill="1" applyAlignment="1">
      <alignment horizontal="right" vertical="center"/>
    </xf>
    <xf numFmtId="165" fontId="9" fillId="4" borderId="0" xfId="1" applyNumberFormat="1" applyFont="1" applyFill="1" applyAlignment="1">
      <alignment vertical="center"/>
    </xf>
    <xf numFmtId="10" fontId="9" fillId="4" borderId="0" xfId="0" applyNumberFormat="1" applyFont="1" applyFill="1" applyAlignment="1">
      <alignment vertical="center"/>
    </xf>
    <xf numFmtId="0" fontId="14" fillId="0" borderId="0" xfId="0" applyFont="1" applyAlignment="1">
      <alignment horizontal="center"/>
    </xf>
    <xf numFmtId="0" fontId="9" fillId="0" borderId="0" xfId="0" applyFont="1" applyAlignment="1">
      <alignment horizontal="right" vertical="center" wrapText="1"/>
    </xf>
    <xf numFmtId="164" fontId="9" fillId="4" borderId="0" xfId="2" applyNumberFormat="1" applyFont="1" applyFill="1" applyAlignment="1">
      <alignment horizontal="center" vertical="center"/>
    </xf>
    <xf numFmtId="43" fontId="7" fillId="0" borderId="0" xfId="4" applyNumberFormat="1" applyFont="1"/>
    <xf numFmtId="0" fontId="5" fillId="0" borderId="0" xfId="0" applyFont="1" applyAlignment="1">
      <alignment horizontal="center" vertical="center"/>
    </xf>
    <xf numFmtId="0" fontId="5" fillId="0" borderId="30" xfId="11" applyFont="1" applyBorder="1" applyAlignment="1">
      <alignment horizontal="center"/>
    </xf>
    <xf numFmtId="177" fontId="9" fillId="0" borderId="0" xfId="1" applyNumberFormat="1" applyFont="1" applyFill="1" applyBorder="1" applyAlignment="1">
      <alignment horizontal="right"/>
    </xf>
    <xf numFmtId="164" fontId="5" fillId="0" borderId="0" xfId="2" applyNumberFormat="1" applyFont="1" applyAlignment="1">
      <alignment horizontal="right" vertical="center"/>
    </xf>
    <xf numFmtId="0" fontId="5" fillId="0" borderId="0" xfId="31" applyFont="1" applyAlignment="1">
      <alignment horizontal="center" vertical="center"/>
    </xf>
    <xf numFmtId="0" fontId="5" fillId="0" borderId="0" xfId="31" applyFont="1"/>
    <xf numFmtId="0" fontId="9" fillId="0" borderId="0" xfId="18" applyFont="1"/>
    <xf numFmtId="49" fontId="5" fillId="0" borderId="0" xfId="11" applyNumberFormat="1" applyFont="1" applyAlignment="1">
      <alignment horizontal="center" vertical="center"/>
    </xf>
    <xf numFmtId="0" fontId="9" fillId="0" borderId="0" xfId="18" applyFont="1" applyAlignment="1">
      <alignment vertical="center"/>
    </xf>
    <xf numFmtId="0" fontId="9" fillId="0" borderId="0" xfId="31" applyFont="1" applyAlignment="1">
      <alignment horizontal="center" vertical="center"/>
    </xf>
    <xf numFmtId="166" fontId="9" fillId="0" borderId="0" xfId="31" applyNumberFormat="1" applyFont="1" applyAlignment="1">
      <alignment horizontal="right"/>
    </xf>
    <xf numFmtId="0" fontId="16" fillId="0" borderId="0" xfId="31" applyFont="1"/>
    <xf numFmtId="0" fontId="9" fillId="0" borderId="0" xfId="31" applyFont="1"/>
    <xf numFmtId="0" fontId="9" fillId="0" borderId="0" xfId="31" applyFont="1" applyAlignment="1">
      <alignment vertical="center"/>
    </xf>
    <xf numFmtId="0" fontId="9" fillId="0" borderId="0" xfId="31" applyFont="1" applyAlignment="1">
      <alignment horizontal="center"/>
    </xf>
    <xf numFmtId="0" fontId="5" fillId="0" borderId="0" xfId="31" applyFont="1" applyAlignment="1">
      <alignment vertical="center"/>
    </xf>
    <xf numFmtId="166" fontId="9" fillId="0" borderId="0" xfId="31" applyNumberFormat="1" applyFont="1" applyAlignment="1">
      <alignment horizontal="right" vertical="center"/>
    </xf>
    <xf numFmtId="10" fontId="9" fillId="2" borderId="0" xfId="31" applyNumberFormat="1" applyFont="1" applyFill="1" applyAlignment="1">
      <alignment horizontal="right" vertical="center"/>
    </xf>
    <xf numFmtId="10" fontId="9" fillId="0" borderId="0" xfId="31" applyNumberFormat="1" applyFont="1" applyAlignment="1">
      <alignment horizontal="right"/>
    </xf>
    <xf numFmtId="166" fontId="9" fillId="0" borderId="0" xfId="31" applyNumberFormat="1" applyFont="1" applyAlignment="1">
      <alignment vertical="center"/>
    </xf>
    <xf numFmtId="166" fontId="9" fillId="0" borderId="0" xfId="31" applyNumberFormat="1" applyFont="1"/>
    <xf numFmtId="0" fontId="5" fillId="0" borderId="0" xfId="31" applyFont="1" applyProtection="1">
      <protection locked="0"/>
    </xf>
    <xf numFmtId="0" fontId="5" fillId="0" borderId="0" xfId="31" applyFont="1" applyAlignment="1" applyProtection="1">
      <alignment vertical="center"/>
      <protection locked="0"/>
    </xf>
    <xf numFmtId="166" fontId="9" fillId="0" borderId="18" xfId="31" applyNumberFormat="1" applyFont="1" applyBorder="1" applyAlignment="1" applyProtection="1">
      <alignment horizontal="right" vertical="center"/>
      <protection locked="0"/>
    </xf>
    <xf numFmtId="166" fontId="9" fillId="0" borderId="0" xfId="31" applyNumberFormat="1" applyFont="1" applyAlignment="1" applyProtection="1">
      <alignment horizontal="right"/>
      <protection locked="0"/>
    </xf>
    <xf numFmtId="166" fontId="9" fillId="0" borderId="0" xfId="31" quotePrefix="1" applyNumberFormat="1" applyFont="1" applyAlignment="1">
      <alignment horizontal="right" vertical="center"/>
    </xf>
    <xf numFmtId="166" fontId="9" fillId="0" borderId="0" xfId="31" quotePrefix="1" applyNumberFormat="1" applyFont="1" applyAlignment="1">
      <alignment horizontal="right"/>
    </xf>
    <xf numFmtId="168" fontId="9" fillId="3" borderId="0" xfId="31" applyNumberFormat="1" applyFont="1" applyFill="1" applyAlignment="1">
      <alignment horizontal="right" vertical="center"/>
    </xf>
    <xf numFmtId="10" fontId="9" fillId="0" borderId="0" xfId="3" quotePrefix="1" applyNumberFormat="1" applyFont="1" applyBorder="1" applyAlignment="1">
      <alignment horizontal="right"/>
    </xf>
    <xf numFmtId="166" fontId="5" fillId="0" borderId="18" xfId="31" quotePrefix="1" applyNumberFormat="1" applyFont="1" applyBorder="1" applyAlignment="1">
      <alignment horizontal="right" vertical="center"/>
    </xf>
    <xf numFmtId="166" fontId="5" fillId="0" borderId="0" xfId="31" quotePrefix="1" applyNumberFormat="1" applyFont="1" applyAlignment="1">
      <alignment horizontal="right"/>
    </xf>
    <xf numFmtId="0" fontId="16" fillId="0" borderId="0" xfId="31" applyFont="1" applyAlignment="1">
      <alignment vertical="center"/>
    </xf>
    <xf numFmtId="10" fontId="16" fillId="0" borderId="18" xfId="31" applyNumberFormat="1" applyFont="1" applyBorder="1" applyAlignment="1">
      <alignment horizontal="right" vertical="center"/>
    </xf>
    <xf numFmtId="10" fontId="16" fillId="0" borderId="0" xfId="31" applyNumberFormat="1" applyFont="1" applyAlignment="1">
      <alignment horizontal="right"/>
    </xf>
    <xf numFmtId="164" fontId="5" fillId="0" borderId="1" xfId="2" applyNumberFormat="1" applyFont="1" applyBorder="1" applyAlignment="1">
      <alignment horizontal="right" vertical="center"/>
    </xf>
    <xf numFmtId="164" fontId="9" fillId="0" borderId="0" xfId="2" applyNumberFormat="1" applyFont="1" applyBorder="1" applyAlignment="1">
      <alignment horizontal="right"/>
    </xf>
    <xf numFmtId="164" fontId="5" fillId="0" borderId="0" xfId="2" applyNumberFormat="1" applyFont="1" applyBorder="1" applyAlignment="1">
      <alignment horizontal="right"/>
    </xf>
    <xf numFmtId="0" fontId="5" fillId="0" borderId="0" xfId="31" applyFont="1" applyAlignment="1">
      <alignment horizontal="left" vertical="center"/>
    </xf>
    <xf numFmtId="178" fontId="9" fillId="0" borderId="0" xfId="31" applyNumberFormat="1" applyFont="1" applyAlignment="1">
      <alignment horizontal="left"/>
    </xf>
    <xf numFmtId="0" fontId="16" fillId="0" borderId="0" xfId="31" applyFont="1" applyAlignment="1">
      <alignment horizontal="center" vertical="center"/>
    </xf>
    <xf numFmtId="0" fontId="16" fillId="0" borderId="0" xfId="31" applyFont="1" applyAlignment="1">
      <alignment horizontal="center"/>
    </xf>
    <xf numFmtId="10" fontId="9" fillId="0" borderId="0" xfId="3" applyNumberFormat="1" applyFont="1"/>
    <xf numFmtId="164" fontId="9" fillId="0" borderId="0" xfId="13" applyNumberFormat="1" applyFont="1" applyFill="1" applyBorder="1" applyProtection="1">
      <protection locked="0"/>
    </xf>
    <xf numFmtId="10" fontId="9" fillId="0" borderId="0" xfId="22" applyNumberFormat="1" applyFont="1" applyBorder="1" applyAlignment="1">
      <alignment horizontal="right" vertical="center"/>
    </xf>
    <xf numFmtId="10" fontId="5" fillId="0" borderId="0" xfId="22" applyNumberFormat="1" applyFont="1" applyBorder="1" applyAlignment="1">
      <alignment horizontal="right"/>
    </xf>
    <xf numFmtId="5" fontId="9" fillId="0" borderId="0" xfId="31" applyNumberFormat="1" applyFont="1" applyAlignment="1" applyProtection="1">
      <alignment horizontal="right" vertical="center"/>
      <protection locked="0"/>
    </xf>
    <xf numFmtId="5" fontId="9" fillId="0" borderId="0" xfId="31" applyNumberFormat="1" applyFont="1" applyAlignment="1" applyProtection="1">
      <alignment horizontal="right"/>
      <protection locked="0"/>
    </xf>
    <xf numFmtId="5" fontId="5" fillId="0" borderId="0" xfId="31" applyNumberFormat="1" applyFont="1" applyAlignment="1" applyProtection="1">
      <alignment horizontal="right" vertical="center"/>
      <protection locked="0"/>
    </xf>
    <xf numFmtId="5" fontId="5" fillId="0" borderId="0" xfId="31" applyNumberFormat="1" applyFont="1" applyAlignment="1" applyProtection="1">
      <alignment horizontal="right"/>
      <protection locked="0"/>
    </xf>
    <xf numFmtId="0" fontId="5" fillId="0" borderId="0" xfId="31" applyFont="1" applyAlignment="1">
      <alignment horizontal="left"/>
    </xf>
    <xf numFmtId="0" fontId="9" fillId="0" borderId="0" xfId="31" applyFont="1" applyAlignment="1">
      <alignment horizontal="left"/>
    </xf>
    <xf numFmtId="10" fontId="5" fillId="0" borderId="0" xfId="19" applyNumberFormat="1" applyFont="1" applyBorder="1" applyAlignment="1">
      <alignment vertical="center"/>
    </xf>
    <xf numFmtId="10" fontId="5" fillId="0" borderId="0" xfId="19" applyNumberFormat="1" applyFont="1" applyBorder="1"/>
    <xf numFmtId="10" fontId="5" fillId="0" borderId="0" xfId="22" applyNumberFormat="1" applyFont="1" applyAlignment="1" applyProtection="1">
      <alignment horizontal="right" vertical="center"/>
    </xf>
    <xf numFmtId="10" fontId="5" fillId="0" borderId="0" xfId="22" applyNumberFormat="1" applyFont="1" applyAlignment="1" applyProtection="1">
      <alignment horizontal="right"/>
    </xf>
    <xf numFmtId="0" fontId="18" fillId="0" borderId="0" xfId="31" applyFont="1"/>
    <xf numFmtId="164" fontId="9" fillId="2" borderId="0" xfId="31" applyNumberFormat="1" applyFont="1" applyFill="1" applyAlignment="1" applyProtection="1">
      <alignment horizontal="right" vertical="center"/>
      <protection locked="0"/>
    </xf>
    <xf numFmtId="165" fontId="9" fillId="2" borderId="0" xfId="1" applyNumberFormat="1" applyFont="1" applyFill="1" applyBorder="1" applyAlignment="1" applyProtection="1">
      <alignment horizontal="right" vertical="center"/>
      <protection locked="0"/>
    </xf>
    <xf numFmtId="165" fontId="5" fillId="2" borderId="0" xfId="1" applyNumberFormat="1" applyFont="1" applyFill="1" applyBorder="1" applyAlignment="1" applyProtection="1">
      <alignment horizontal="right" vertical="center"/>
      <protection locked="0"/>
    </xf>
    <xf numFmtId="164" fontId="5" fillId="0" borderId="31" xfId="31" applyNumberFormat="1" applyFont="1" applyBorder="1" applyAlignment="1" applyProtection="1">
      <alignment horizontal="right" vertical="center"/>
      <protection locked="0"/>
    </xf>
    <xf numFmtId="164" fontId="5" fillId="0" borderId="0" xfId="31" applyNumberFormat="1" applyFont="1" applyAlignment="1" applyProtection="1">
      <alignment horizontal="right" vertical="center"/>
      <protection locked="0"/>
    </xf>
    <xf numFmtId="164" fontId="5" fillId="0" borderId="0" xfId="31" applyNumberFormat="1" applyFont="1" applyAlignment="1" applyProtection="1">
      <alignment horizontal="right"/>
      <protection locked="0"/>
    </xf>
    <xf numFmtId="168" fontId="9" fillId="2" borderId="0" xfId="19" applyNumberFormat="1" applyFont="1" applyFill="1" applyBorder="1" applyAlignment="1">
      <alignment horizontal="right" vertical="center"/>
    </xf>
    <xf numFmtId="10" fontId="9" fillId="0" borderId="0" xfId="22" applyNumberFormat="1" applyFont="1" applyBorder="1" applyAlignment="1">
      <alignment horizontal="right"/>
    </xf>
    <xf numFmtId="0" fontId="10" fillId="0" borderId="0" xfId="31" applyFont="1"/>
    <xf numFmtId="0" fontId="12" fillId="0" borderId="0" xfId="18" applyFont="1"/>
    <xf numFmtId="0" fontId="12" fillId="0" borderId="0" xfId="0" applyFont="1"/>
    <xf numFmtId="165" fontId="24" fillId="0" borderId="0" xfId="14" applyNumberFormat="1" applyFont="1" applyBorder="1"/>
    <xf numFmtId="164" fontId="10" fillId="0" borderId="0" xfId="20" applyNumberFormat="1" applyFont="1"/>
    <xf numFmtId="0" fontId="12" fillId="0" borderId="0" xfId="31" applyFont="1"/>
    <xf numFmtId="0" fontId="12" fillId="0" borderId="0" xfId="31" applyFont="1" applyAlignment="1">
      <alignment horizontal="center"/>
    </xf>
    <xf numFmtId="10" fontId="25" fillId="0" borderId="0" xfId="19" applyNumberFormat="1" applyFont="1" applyBorder="1" applyAlignment="1" applyProtection="1">
      <alignment vertical="center"/>
    </xf>
    <xf numFmtId="10" fontId="25" fillId="0" borderId="0" xfId="19" applyNumberFormat="1" applyFont="1" applyBorder="1" applyProtection="1"/>
    <xf numFmtId="164" fontId="9" fillId="0" borderId="0" xfId="20" applyNumberFormat="1" applyFont="1" applyBorder="1" applyAlignment="1">
      <alignment horizontal="right" vertical="center"/>
    </xf>
    <xf numFmtId="164" fontId="10" fillId="0" borderId="0" xfId="20" applyNumberFormat="1" applyFont="1" applyBorder="1" applyAlignment="1">
      <alignment horizontal="right"/>
    </xf>
    <xf numFmtId="164" fontId="12" fillId="0" borderId="0" xfId="20" applyNumberFormat="1" applyFont="1" applyBorder="1" applyAlignment="1">
      <alignment horizontal="right" vertical="center"/>
    </xf>
    <xf numFmtId="0" fontId="10" fillId="0" borderId="0" xfId="31" applyFont="1" applyAlignment="1">
      <alignment vertical="center"/>
    </xf>
    <xf numFmtId="10" fontId="9" fillId="0" borderId="1" xfId="22" applyNumberFormat="1" applyFont="1" applyBorder="1" applyAlignment="1">
      <alignment horizontal="right" vertical="center"/>
    </xf>
    <xf numFmtId="10" fontId="10" fillId="0" borderId="0" xfId="22" applyNumberFormat="1" applyFont="1" applyBorder="1" applyAlignment="1">
      <alignment horizontal="right"/>
    </xf>
    <xf numFmtId="10" fontId="5" fillId="0" borderId="0" xfId="19" applyNumberFormat="1" applyFont="1"/>
    <xf numFmtId="165" fontId="9" fillId="0" borderId="33" xfId="1" applyNumberFormat="1" applyFont="1" applyFill="1" applyBorder="1" applyAlignment="1">
      <alignment vertical="center"/>
    </xf>
    <xf numFmtId="164" fontId="5" fillId="0" borderId="0" xfId="13" quotePrefix="1" applyNumberFormat="1" applyFont="1" applyFill="1" applyBorder="1" applyAlignment="1">
      <alignment horizontal="right"/>
    </xf>
    <xf numFmtId="0" fontId="7" fillId="0" borderId="0" xfId="0" applyFont="1"/>
    <xf numFmtId="167" fontId="5" fillId="0" borderId="0" xfId="11" applyNumberFormat="1" applyFont="1" applyAlignment="1">
      <alignment horizontal="center"/>
    </xf>
    <xf numFmtId="0" fontId="5" fillId="0" borderId="0" xfId="11" applyFont="1" applyAlignment="1" applyProtection="1">
      <alignment horizontal="center"/>
      <protection locked="0"/>
    </xf>
    <xf numFmtId="0" fontId="16" fillId="0" borderId="0" xfId="11" applyFont="1" applyAlignment="1">
      <alignment horizontal="left"/>
    </xf>
    <xf numFmtId="164" fontId="9" fillId="2" borderId="0" xfId="13" applyNumberFormat="1" applyFont="1" applyFill="1" applyBorder="1" applyAlignment="1" applyProtection="1">
      <alignment horizontal="right" vertical="center"/>
      <protection locked="0"/>
    </xf>
    <xf numFmtId="165" fontId="9" fillId="2" borderId="0" xfId="27" applyNumberFormat="1" applyFont="1" applyFill="1" applyBorder="1" applyAlignment="1" applyProtection="1">
      <alignment horizontal="right" vertical="center"/>
      <protection locked="0"/>
    </xf>
    <xf numFmtId="165" fontId="9" fillId="0" borderId="0" xfId="27" applyNumberFormat="1" applyFont="1" applyFill="1" applyBorder="1" applyAlignment="1" applyProtection="1">
      <alignment horizontal="right"/>
      <protection locked="0"/>
    </xf>
    <xf numFmtId="164" fontId="9" fillId="0" borderId="17" xfId="13" applyNumberFormat="1" applyFont="1" applyFill="1" applyBorder="1" applyAlignment="1" applyProtection="1">
      <alignment horizontal="right" vertical="center"/>
    </xf>
    <xf numFmtId="164" fontId="5" fillId="0" borderId="0" xfId="13" applyNumberFormat="1" applyFont="1" applyFill="1" applyBorder="1" applyAlignment="1" applyProtection="1">
      <alignment horizontal="right"/>
    </xf>
    <xf numFmtId="165" fontId="5" fillId="0" borderId="0" xfId="27" applyNumberFormat="1" applyFont="1" applyFill="1" applyAlignment="1" applyProtection="1">
      <alignment horizontal="center" vertical="center"/>
    </xf>
    <xf numFmtId="165" fontId="5" fillId="0" borderId="0" xfId="27" applyNumberFormat="1" applyFont="1" applyFill="1" applyAlignment="1" applyProtection="1">
      <alignment horizontal="center"/>
    </xf>
    <xf numFmtId="164" fontId="9" fillId="2" borderId="0" xfId="13" applyNumberFormat="1" applyFont="1" applyFill="1" applyBorder="1" applyAlignment="1" applyProtection="1">
      <alignment horizontal="center" vertical="center"/>
    </xf>
    <xf numFmtId="43" fontId="9" fillId="2" borderId="0" xfId="27" applyFont="1" applyFill="1" applyBorder="1" applyAlignment="1" applyProtection="1">
      <alignment horizontal="center" vertical="center"/>
    </xf>
    <xf numFmtId="164" fontId="9" fillId="0" borderId="17" xfId="13" applyNumberFormat="1" applyFont="1" applyFill="1" applyBorder="1" applyAlignment="1" applyProtection="1">
      <alignment horizontal="center" vertical="center"/>
    </xf>
    <xf numFmtId="164" fontId="5" fillId="0" borderId="0" xfId="13" applyNumberFormat="1" applyFont="1" applyFill="1" applyBorder="1" applyAlignment="1" applyProtection="1">
      <alignment horizontal="center"/>
    </xf>
    <xf numFmtId="164" fontId="5" fillId="0" borderId="0" xfId="13" quotePrefix="1" applyNumberFormat="1" applyFont="1" applyFill="1" applyBorder="1" applyAlignment="1">
      <alignment horizontal="right" vertical="center"/>
    </xf>
    <xf numFmtId="164" fontId="9" fillId="2" borderId="0" xfId="13" applyNumberFormat="1" applyFont="1" applyFill="1" applyBorder="1" applyAlignment="1" applyProtection="1">
      <alignment horizontal="right" vertical="center"/>
    </xf>
    <xf numFmtId="43" fontId="9" fillId="2" borderId="0" xfId="27" applyFont="1" applyFill="1" applyBorder="1" applyAlignment="1" applyProtection="1">
      <alignment horizontal="right" vertical="center"/>
    </xf>
    <xf numFmtId="165" fontId="5" fillId="0" borderId="0" xfId="27" applyNumberFormat="1" applyFont="1" applyFill="1" applyAlignment="1" applyProtection="1">
      <alignment horizontal="right" vertical="center"/>
    </xf>
    <xf numFmtId="165" fontId="5" fillId="0" borderId="0" xfId="27" applyNumberFormat="1" applyFont="1" applyFill="1" applyAlignment="1" applyProtection="1">
      <alignment horizontal="right"/>
    </xf>
    <xf numFmtId="164" fontId="5" fillId="0" borderId="17" xfId="13" applyNumberFormat="1" applyFont="1" applyFill="1" applyBorder="1" applyAlignment="1" applyProtection="1">
      <alignment horizontal="right" vertical="center"/>
    </xf>
    <xf numFmtId="165" fontId="5" fillId="0" borderId="0" xfId="27" applyNumberFormat="1" applyFont="1" applyFill="1" applyBorder="1" applyAlignment="1" applyProtection="1">
      <alignment horizontal="center" vertical="center"/>
    </xf>
    <xf numFmtId="165" fontId="5" fillId="0" borderId="0" xfId="27" applyNumberFormat="1" applyFont="1" applyFill="1" applyBorder="1" applyAlignment="1" applyProtection="1">
      <alignment horizontal="center"/>
    </xf>
    <xf numFmtId="164" fontId="5" fillId="0" borderId="1" xfId="13" applyNumberFormat="1" applyFont="1" applyFill="1" applyBorder="1" applyAlignment="1" applyProtection="1">
      <alignment horizontal="right" vertical="center"/>
    </xf>
    <xf numFmtId="164" fontId="5" fillId="0" borderId="0" xfId="13" applyNumberFormat="1" applyFont="1" applyFill="1" applyBorder="1" applyAlignment="1" applyProtection="1">
      <alignment horizontal="right" vertical="center"/>
    </xf>
    <xf numFmtId="164" fontId="9" fillId="4" borderId="0" xfId="13" applyNumberFormat="1" applyFont="1" applyFill="1" applyBorder="1" applyAlignment="1" applyProtection="1">
      <alignment horizontal="right" vertical="center"/>
    </xf>
    <xf numFmtId="164" fontId="9" fillId="0" borderId="0" xfId="13" applyNumberFormat="1" applyFont="1" applyFill="1" applyBorder="1" applyAlignment="1" applyProtection="1">
      <alignment horizontal="right"/>
    </xf>
    <xf numFmtId="165" fontId="9" fillId="4" borderId="0" xfId="27" applyNumberFormat="1" applyFont="1" applyFill="1" applyBorder="1" applyAlignment="1" applyProtection="1">
      <alignment horizontal="right" vertical="center"/>
    </xf>
    <xf numFmtId="164" fontId="9" fillId="4" borderId="1" xfId="13" applyNumberFormat="1" applyFont="1" applyFill="1" applyBorder="1" applyAlignment="1" applyProtection="1">
      <alignment horizontal="right" vertical="center"/>
    </xf>
    <xf numFmtId="164" fontId="9" fillId="2" borderId="0" xfId="13" applyNumberFormat="1" applyFont="1" applyFill="1" applyAlignment="1" applyProtection="1">
      <alignment horizontal="right" vertical="center"/>
    </xf>
    <xf numFmtId="6" fontId="5" fillId="0" borderId="0" xfId="11" applyNumberFormat="1" applyFont="1"/>
    <xf numFmtId="0" fontId="9" fillId="0" borderId="0" xfId="32" applyFont="1"/>
    <xf numFmtId="165" fontId="9" fillId="2" borderId="0" xfId="27" applyNumberFormat="1" applyFont="1" applyFill="1" applyAlignment="1" applyProtection="1">
      <alignment horizontal="right" vertical="center"/>
    </xf>
    <xf numFmtId="10" fontId="5" fillId="0" borderId="0" xfId="28" applyNumberFormat="1" applyFont="1"/>
    <xf numFmtId="167" fontId="5" fillId="0" borderId="0" xfId="11" applyNumberFormat="1" applyFont="1" applyAlignment="1">
      <alignment horizontal="center" vertical="center"/>
    </xf>
    <xf numFmtId="6" fontId="9" fillId="0" borderId="0" xfId="11" applyNumberFormat="1" applyFont="1"/>
    <xf numFmtId="165" fontId="9" fillId="0" borderId="0" xfId="27" applyNumberFormat="1" applyFont="1" applyFill="1" applyAlignment="1" applyProtection="1">
      <alignment horizontal="right" vertical="center"/>
    </xf>
    <xf numFmtId="165" fontId="9" fillId="0" borderId="0" xfId="27" applyNumberFormat="1" applyFont="1" applyFill="1" applyAlignment="1" applyProtection="1">
      <alignment horizontal="right"/>
    </xf>
    <xf numFmtId="165" fontId="9" fillId="0" borderId="0" xfId="27" applyNumberFormat="1" applyFont="1" applyFill="1" applyBorder="1" applyAlignment="1" applyProtection="1">
      <alignment horizontal="right"/>
    </xf>
    <xf numFmtId="164" fontId="9" fillId="0" borderId="1" xfId="13" applyNumberFormat="1" applyFont="1" applyFill="1" applyBorder="1" applyAlignment="1" applyProtection="1">
      <alignment horizontal="right" vertical="center"/>
    </xf>
    <xf numFmtId="0" fontId="7" fillId="0" borderId="0" xfId="0" applyFont="1" applyAlignment="1">
      <alignment horizontal="center" vertical="center"/>
    </xf>
    <xf numFmtId="164" fontId="3" fillId="0" borderId="0" xfId="2" applyNumberFormat="1" applyFont="1" applyBorder="1"/>
    <xf numFmtId="0" fontId="3" fillId="0" borderId="0" xfId="4" applyFont="1" applyAlignment="1">
      <alignment horizontal="left"/>
    </xf>
    <xf numFmtId="165" fontId="9" fillId="2" borderId="33" xfId="1" applyNumberFormat="1" applyFont="1" applyFill="1" applyBorder="1" applyAlignment="1">
      <alignment horizontal="right" vertical="center"/>
    </xf>
    <xf numFmtId="165" fontId="9" fillId="3" borderId="33" xfId="1" applyNumberFormat="1" applyFont="1" applyFill="1" applyBorder="1" applyAlignment="1">
      <alignment vertical="center"/>
    </xf>
    <xf numFmtId="171" fontId="9" fillId="0" borderId="33" xfId="1" applyNumberFormat="1" applyFont="1" applyFill="1" applyBorder="1" applyAlignment="1">
      <alignment horizontal="right"/>
    </xf>
    <xf numFmtId="165" fontId="9" fillId="3" borderId="33" xfId="21" applyNumberFormat="1" applyFont="1" applyFill="1" applyBorder="1"/>
    <xf numFmtId="37" fontId="9" fillId="0" borderId="0" xfId="0" applyNumberFormat="1" applyFont="1" applyAlignment="1">
      <alignment horizontal="center" vertical="center"/>
    </xf>
    <xf numFmtId="37" fontId="9" fillId="0" borderId="0" xfId="0" applyNumberFormat="1" applyFont="1" applyAlignment="1">
      <alignment vertical="center"/>
    </xf>
    <xf numFmtId="37" fontId="9" fillId="0" borderId="2" xfId="0" applyNumberFormat="1" applyFont="1" applyBorder="1" applyAlignment="1">
      <alignment vertical="center"/>
    </xf>
    <xf numFmtId="37" fontId="5" fillId="0" borderId="19" xfId="0" applyNumberFormat="1" applyFont="1" applyBorder="1" applyAlignment="1">
      <alignment horizontal="center" vertical="center"/>
    </xf>
    <xf numFmtId="37" fontId="5" fillId="0" borderId="5" xfId="0" applyNumberFormat="1" applyFont="1" applyBorder="1" applyAlignment="1">
      <alignment vertical="center"/>
    </xf>
    <xf numFmtId="37" fontId="5" fillId="0" borderId="11" xfId="0" quotePrefix="1" applyNumberFormat="1" applyFont="1" applyBorder="1" applyAlignment="1">
      <alignment horizontal="center" vertical="center"/>
    </xf>
    <xf numFmtId="37" fontId="5" fillId="0" borderId="5" xfId="0" quotePrefix="1" applyNumberFormat="1" applyFont="1" applyBorder="1" applyAlignment="1">
      <alignment horizontal="center" vertical="center"/>
    </xf>
    <xf numFmtId="37" fontId="5" fillId="0" borderId="4" xfId="0" quotePrefix="1" applyNumberFormat="1" applyFont="1" applyBorder="1" applyAlignment="1">
      <alignment horizontal="center" vertical="center"/>
    </xf>
    <xf numFmtId="37" fontId="5" fillId="0" borderId="21" xfId="0" applyNumberFormat="1" applyFont="1" applyBorder="1" applyAlignment="1">
      <alignment horizontal="center" vertical="center"/>
    </xf>
    <xf numFmtId="37" fontId="5" fillId="0" borderId="0" xfId="0" applyNumberFormat="1" applyFont="1" applyAlignment="1">
      <alignment vertical="center"/>
    </xf>
    <xf numFmtId="37" fontId="5" fillId="0" borderId="13" xfId="33" applyNumberFormat="1" applyFont="1" applyBorder="1" applyAlignment="1">
      <alignment horizontal="center" vertical="center"/>
    </xf>
    <xf numFmtId="37" fontId="5" fillId="0" borderId="10" xfId="0" quotePrefix="1" applyNumberFormat="1" applyFont="1" applyBorder="1" applyAlignment="1">
      <alignment horizontal="center" vertical="center"/>
    </xf>
    <xf numFmtId="37" fontId="5" fillId="0" borderId="24" xfId="0" applyNumberFormat="1" applyFont="1" applyBorder="1" applyAlignment="1">
      <alignment horizontal="center" vertical="center"/>
    </xf>
    <xf numFmtId="37" fontId="5" fillId="0" borderId="2" xfId="0" applyNumberFormat="1" applyFont="1" applyBorder="1" applyAlignment="1">
      <alignment horizontal="center" vertical="center"/>
    </xf>
    <xf numFmtId="37" fontId="5" fillId="0" borderId="8" xfId="33" applyNumberFormat="1" applyFont="1" applyBorder="1" applyAlignment="1">
      <alignment horizontal="center" vertical="center"/>
    </xf>
    <xf numFmtId="37" fontId="5" fillId="0" borderId="2" xfId="33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/>
    </xf>
    <xf numFmtId="37" fontId="5" fillId="0" borderId="7" xfId="0" applyNumberFormat="1" applyFont="1" applyBorder="1" applyAlignment="1">
      <alignment horizontal="center" vertical="center"/>
    </xf>
    <xf numFmtId="37" fontId="9" fillId="0" borderId="21" xfId="0" applyNumberFormat="1" applyFont="1" applyBorder="1" applyAlignment="1">
      <alignment horizontal="center" vertical="center"/>
    </xf>
    <xf numFmtId="37" fontId="19" fillId="0" borderId="0" xfId="0" applyNumberFormat="1" applyFont="1" applyAlignment="1">
      <alignment vertical="center"/>
    </xf>
    <xf numFmtId="37" fontId="5" fillId="0" borderId="13" xfId="33" applyNumberFormat="1" applyFont="1" applyBorder="1" applyAlignment="1">
      <alignment horizontal="left" vertical="center"/>
    </xf>
    <xf numFmtId="37" fontId="9" fillId="0" borderId="13" xfId="33" applyNumberFormat="1" applyFont="1" applyBorder="1" applyAlignment="1">
      <alignment horizontal="center" vertical="center"/>
    </xf>
    <xf numFmtId="37" fontId="9" fillId="0" borderId="10" xfId="33" applyNumberFormat="1" applyFont="1" applyBorder="1" applyAlignment="1">
      <alignment horizontal="center" vertical="center"/>
    </xf>
    <xf numFmtId="37" fontId="9" fillId="0" borderId="0" xfId="0" applyNumberFormat="1" applyFont="1" applyAlignment="1">
      <alignment horizontal="left" vertical="center"/>
    </xf>
    <xf numFmtId="164" fontId="5" fillId="0" borderId="22" xfId="2" applyNumberFormat="1" applyFont="1" applyFill="1" applyBorder="1" applyAlignment="1">
      <alignment vertical="center"/>
    </xf>
    <xf numFmtId="43" fontId="9" fillId="0" borderId="0" xfId="1" applyFont="1" applyAlignment="1">
      <alignment vertical="center"/>
    </xf>
    <xf numFmtId="39" fontId="9" fillId="0" borderId="0" xfId="0" applyNumberFormat="1" applyFont="1" applyAlignment="1">
      <alignment vertical="center"/>
    </xf>
    <xf numFmtId="43" fontId="9" fillId="0" borderId="0" xfId="1" applyFont="1" applyFill="1" applyAlignment="1">
      <alignment vertical="center"/>
    </xf>
    <xf numFmtId="167" fontId="9" fillId="0" borderId="21" xfId="0" applyNumberFormat="1" applyFont="1" applyBorder="1" applyAlignment="1">
      <alignment horizontal="center" vertical="center"/>
    </xf>
    <xf numFmtId="43" fontId="9" fillId="0" borderId="0" xfId="1" applyFont="1" applyBorder="1" applyAlignment="1">
      <alignment vertical="center"/>
    </xf>
    <xf numFmtId="37" fontId="9" fillId="0" borderId="13" xfId="0" applyNumberFormat="1" applyFont="1" applyBorder="1" applyAlignment="1">
      <alignment vertical="center"/>
    </xf>
    <xf numFmtId="37" fontId="9" fillId="0" borderId="10" xfId="0" applyNumberFormat="1" applyFont="1" applyBorder="1" applyAlignment="1">
      <alignment vertical="center"/>
    </xf>
    <xf numFmtId="164" fontId="5" fillId="0" borderId="15" xfId="2" applyNumberFormat="1" applyFont="1" applyBorder="1" applyAlignment="1">
      <alignment vertical="center"/>
    </xf>
    <xf numFmtId="164" fontId="5" fillId="0" borderId="1" xfId="2" applyNumberFormat="1" applyFont="1" applyFill="1" applyBorder="1" applyAlignment="1">
      <alignment vertical="center"/>
    </xf>
    <xf numFmtId="164" fontId="5" fillId="0" borderId="13" xfId="2" applyNumberFormat="1" applyFont="1" applyBorder="1" applyAlignment="1">
      <alignment vertical="center"/>
    </xf>
    <xf numFmtId="37" fontId="9" fillId="0" borderId="24" xfId="0" applyNumberFormat="1" applyFont="1" applyBorder="1" applyAlignment="1">
      <alignment vertical="center"/>
    </xf>
    <xf numFmtId="37" fontId="9" fillId="0" borderId="8" xfId="1" applyNumberFormat="1" applyFont="1" applyBorder="1" applyAlignment="1">
      <alignment vertical="center"/>
    </xf>
    <xf numFmtId="0" fontId="5" fillId="0" borderId="34" xfId="0" applyFont="1" applyBorder="1" applyAlignment="1">
      <alignment horizontal="center" vertical="center"/>
    </xf>
    <xf numFmtId="37" fontId="9" fillId="0" borderId="7" xfId="0" applyNumberFormat="1" applyFont="1" applyBorder="1" applyAlignment="1">
      <alignment vertical="center"/>
    </xf>
    <xf numFmtId="37" fontId="9" fillId="0" borderId="9" xfId="0" applyNumberFormat="1" applyFont="1" applyBorder="1" applyAlignment="1">
      <alignment vertical="center"/>
    </xf>
    <xf numFmtId="37" fontId="9" fillId="0" borderId="0" xfId="1" applyNumberFormat="1" applyFont="1" applyBorder="1" applyAlignment="1">
      <alignment vertical="center"/>
    </xf>
    <xf numFmtId="37" fontId="9" fillId="0" borderId="0" xfId="1" applyNumberFormat="1" applyFont="1" applyFill="1" applyBorder="1" applyAlignment="1">
      <alignment vertical="center"/>
    </xf>
    <xf numFmtId="37" fontId="16" fillId="0" borderId="9" xfId="0" applyNumberFormat="1" applyFont="1" applyBorder="1" applyAlignment="1">
      <alignment horizontal="left" vertical="center"/>
    </xf>
    <xf numFmtId="164" fontId="9" fillId="0" borderId="0" xfId="2" applyNumberFormat="1" applyFont="1" applyBorder="1" applyAlignment="1">
      <alignment horizontal="center" vertical="center"/>
    </xf>
    <xf numFmtId="37" fontId="9" fillId="0" borderId="0" xfId="0" applyNumberFormat="1" applyFont="1" applyAlignment="1">
      <alignment vertical="top"/>
    </xf>
    <xf numFmtId="167" fontId="9" fillId="0" borderId="9" xfId="11" applyNumberFormat="1" applyFont="1" applyBorder="1" applyAlignment="1">
      <alignment horizontal="center" wrapText="1"/>
    </xf>
    <xf numFmtId="37" fontId="9" fillId="0" borderId="9" xfId="0" applyNumberFormat="1" applyFont="1" applyBorder="1" applyAlignment="1">
      <alignment horizontal="center" vertical="center"/>
    </xf>
    <xf numFmtId="37" fontId="5" fillId="0" borderId="0" xfId="0" applyNumberFormat="1" applyFont="1" applyAlignment="1">
      <alignment horizontal="left" vertical="center"/>
    </xf>
    <xf numFmtId="164" fontId="5" fillId="0" borderId="0" xfId="2" applyNumberFormat="1" applyFont="1" applyBorder="1" applyAlignment="1">
      <alignment vertical="center"/>
    </xf>
    <xf numFmtId="0" fontId="26" fillId="0" borderId="9" xfId="23" applyFont="1" applyBorder="1" applyAlignment="1">
      <alignment horizontal="center"/>
    </xf>
    <xf numFmtId="37" fontId="9" fillId="0" borderId="6" xfId="0" applyNumberFormat="1" applyFont="1" applyBorder="1" applyAlignment="1">
      <alignment vertical="center"/>
    </xf>
    <xf numFmtId="37" fontId="9" fillId="0" borderId="2" xfId="0" applyNumberFormat="1" applyFont="1" applyBorder="1" applyAlignment="1">
      <alignment horizontal="left" vertical="center"/>
    </xf>
    <xf numFmtId="167" fontId="9" fillId="0" borderId="0" xfId="0" applyNumberFormat="1" applyFont="1" applyAlignment="1">
      <alignment vertical="center"/>
    </xf>
    <xf numFmtId="37" fontId="14" fillId="0" borderId="0" xfId="0" applyNumberFormat="1" applyFont="1" applyAlignment="1">
      <alignment horizontal="center" vertical="center"/>
    </xf>
    <xf numFmtId="37" fontId="5" fillId="0" borderId="0" xfId="26" applyNumberFormat="1" applyFont="1" applyAlignment="1" applyProtection="1">
      <alignment horizontal="center" vertical="center"/>
      <protection locked="0"/>
    </xf>
    <xf numFmtId="37" fontId="5" fillId="0" borderId="0" xfId="26" applyNumberFormat="1" applyFont="1" applyAlignment="1">
      <alignment vertical="center"/>
    </xf>
    <xf numFmtId="0" fontId="5" fillId="0" borderId="0" xfId="31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11" quotePrefix="1" applyFont="1" applyAlignment="1">
      <alignment horizontal="center"/>
    </xf>
    <xf numFmtId="171" fontId="5" fillId="0" borderId="0" xfId="0" applyNumberFormat="1" applyFont="1" applyAlignment="1">
      <alignment horizontal="center"/>
    </xf>
    <xf numFmtId="170" fontId="5" fillId="0" borderId="0" xfId="0" applyNumberFormat="1" applyFont="1" applyAlignment="1">
      <alignment horizontal="center"/>
    </xf>
    <xf numFmtId="165" fontId="9" fillId="3" borderId="30" xfId="1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10" fontId="9" fillId="3" borderId="0" xfId="3" applyNumberFormat="1" applyFont="1" applyFill="1" applyBorder="1"/>
    <xf numFmtId="10" fontId="7" fillId="0" borderId="0" xfId="3" applyNumberFormat="1" applyFont="1" applyAlignment="1">
      <alignment vertical="center"/>
    </xf>
    <xf numFmtId="165" fontId="9" fillId="0" borderId="0" xfId="1" applyNumberFormat="1" applyFont="1" applyFill="1" applyAlignment="1">
      <alignment horizontal="right" vertical="center"/>
    </xf>
    <xf numFmtId="174" fontId="7" fillId="0" borderId="0" xfId="2" applyNumberFormat="1" applyFont="1" applyAlignment="1">
      <alignment vertical="center"/>
    </xf>
    <xf numFmtId="174" fontId="9" fillId="0" borderId="0" xfId="2" applyNumberFormat="1" applyFont="1" applyFill="1" applyAlignment="1">
      <alignment vertical="center"/>
    </xf>
    <xf numFmtId="175" fontId="7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70" fontId="3" fillId="0" borderId="1" xfId="2" applyNumberFormat="1" applyFont="1" applyBorder="1"/>
    <xf numFmtId="0" fontId="5" fillId="0" borderId="0" xfId="0" quotePrefix="1" applyFont="1" applyAlignment="1">
      <alignment horizontal="center"/>
    </xf>
    <xf numFmtId="37" fontId="5" fillId="0" borderId="0" xfId="0" applyNumberFormat="1" applyFont="1" applyAlignment="1">
      <alignment horizontal="center" vertical="center"/>
    </xf>
    <xf numFmtId="0" fontId="9" fillId="0" borderId="10" xfId="11" applyFont="1" applyBorder="1" applyAlignment="1">
      <alignment horizontal="center"/>
    </xf>
    <xf numFmtId="0" fontId="9" fillId="0" borderId="9" xfId="11" applyFont="1" applyBorder="1" applyAlignment="1">
      <alignment horizontal="center"/>
    </xf>
    <xf numFmtId="10" fontId="9" fillId="0" borderId="0" xfId="31" applyNumberFormat="1" applyFont="1" applyAlignment="1">
      <alignment horizontal="right" vertical="center"/>
    </xf>
    <xf numFmtId="10" fontId="9" fillId="0" borderId="1" xfId="31" quotePrefix="1" applyNumberFormat="1" applyFont="1" applyBorder="1" applyAlignment="1">
      <alignment horizontal="right" vertical="center"/>
    </xf>
    <xf numFmtId="164" fontId="9" fillId="2" borderId="0" xfId="2" applyNumberFormat="1" applyFont="1" applyFill="1" applyBorder="1" applyAlignment="1" applyProtection="1">
      <alignment horizontal="right" vertical="center"/>
      <protection locked="0"/>
    </xf>
    <xf numFmtId="164" fontId="9" fillId="0" borderId="32" xfId="31" applyNumberFormat="1" applyFont="1" applyBorder="1" applyAlignment="1" applyProtection="1">
      <alignment horizontal="right" vertical="center"/>
      <protection locked="0"/>
    </xf>
    <xf numFmtId="164" fontId="9" fillId="0" borderId="0" xfId="2" applyNumberFormat="1" applyFont="1" applyAlignment="1">
      <alignment horizontal="center" vertical="center"/>
    </xf>
    <xf numFmtId="165" fontId="9" fillId="0" borderId="0" xfId="1" applyNumberFormat="1" applyFont="1" applyAlignment="1">
      <alignment horizontal="center" vertical="center"/>
    </xf>
    <xf numFmtId="164" fontId="9" fillId="0" borderId="0" xfId="13" applyNumberFormat="1" applyFont="1" applyFill="1" applyAlignment="1" applyProtection="1">
      <alignment horizontal="right" vertical="center"/>
    </xf>
    <xf numFmtId="164" fontId="9" fillId="0" borderId="16" xfId="13" applyNumberFormat="1" applyFont="1" applyFill="1" applyBorder="1" applyAlignment="1" applyProtection="1">
      <alignment horizontal="right" vertical="center"/>
    </xf>
    <xf numFmtId="37" fontId="5" fillId="0" borderId="11" xfId="33" applyNumberFormat="1" applyFont="1" applyBorder="1" applyAlignment="1">
      <alignment horizontal="left" vertical="center"/>
    </xf>
    <xf numFmtId="37" fontId="9" fillId="0" borderId="11" xfId="33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49" fontId="14" fillId="0" borderId="9" xfId="0" applyNumberFormat="1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top"/>
    </xf>
    <xf numFmtId="164" fontId="9" fillId="2" borderId="0" xfId="13" applyNumberFormat="1" applyFont="1" applyFill="1" applyAlignment="1" applyProtection="1">
      <alignment vertical="center"/>
      <protection locked="0"/>
    </xf>
    <xf numFmtId="3" fontId="9" fillId="0" borderId="22" xfId="11" applyNumberFormat="1" applyFont="1" applyBorder="1" applyAlignment="1">
      <alignment horizontal="left" vertical="center"/>
    </xf>
    <xf numFmtId="3" fontId="9" fillId="0" borderId="0" xfId="11" applyNumberFormat="1" applyFont="1" applyAlignment="1">
      <alignment horizontal="left" vertical="center"/>
    </xf>
    <xf numFmtId="165" fontId="5" fillId="0" borderId="13" xfId="1" applyNumberFormat="1" applyFont="1" applyFill="1" applyBorder="1" applyAlignment="1">
      <alignment vertical="center"/>
    </xf>
    <xf numFmtId="174" fontId="7" fillId="0" borderId="0" xfId="2" applyNumberFormat="1" applyFont="1" applyBorder="1" applyAlignment="1">
      <alignment vertical="center"/>
    </xf>
    <xf numFmtId="0" fontId="9" fillId="0" borderId="35" xfId="0" applyFont="1" applyBorder="1" applyAlignment="1">
      <alignment horizontal="center"/>
    </xf>
    <xf numFmtId="165" fontId="7" fillId="0" borderId="35" xfId="6" applyNumberFormat="1" applyFont="1" applyBorder="1"/>
    <xf numFmtId="165" fontId="7" fillId="0" borderId="35" xfId="1" applyNumberFormat="1" applyFont="1" applyBorder="1"/>
    <xf numFmtId="0" fontId="5" fillId="0" borderId="30" xfId="0" applyFont="1" applyBorder="1" applyAlignment="1">
      <alignment horizontal="center"/>
    </xf>
    <xf numFmtId="165" fontId="9" fillId="2" borderId="30" xfId="1" applyNumberFormat="1" applyFont="1" applyFill="1" applyBorder="1" applyAlignment="1">
      <alignment horizontal="right" vertical="center"/>
    </xf>
    <xf numFmtId="171" fontId="9" fillId="0" borderId="30" xfId="1" applyNumberFormat="1" applyFont="1" applyFill="1" applyBorder="1" applyAlignment="1">
      <alignment horizontal="right"/>
    </xf>
    <xf numFmtId="165" fontId="9" fillId="3" borderId="30" xfId="21" applyNumberFormat="1" applyFont="1" applyFill="1" applyBorder="1"/>
    <xf numFmtId="165" fontId="9" fillId="0" borderId="30" xfId="21" applyNumberFormat="1" applyFont="1" applyFill="1" applyBorder="1"/>
    <xf numFmtId="165" fontId="5" fillId="0" borderId="0" xfId="1" applyNumberFormat="1" applyFont="1" applyFill="1" applyBorder="1" applyAlignment="1">
      <alignment vertical="center"/>
    </xf>
    <xf numFmtId="167" fontId="5" fillId="0" borderId="21" xfId="0" applyNumberFormat="1" applyFont="1" applyBorder="1" applyAlignment="1">
      <alignment horizontal="center" vertical="center"/>
    </xf>
    <xf numFmtId="165" fontId="9" fillId="0" borderId="36" xfId="1" applyNumberFormat="1" applyFont="1" applyFill="1" applyBorder="1" applyAlignment="1">
      <alignment vertical="center"/>
    </xf>
    <xf numFmtId="165" fontId="5" fillId="0" borderId="35" xfId="1" applyNumberFormat="1" applyFont="1" applyFill="1" applyBorder="1" applyAlignment="1">
      <alignment vertical="center"/>
    </xf>
    <xf numFmtId="165" fontId="9" fillId="0" borderId="35" xfId="1" applyNumberFormat="1" applyFont="1" applyFill="1" applyBorder="1" applyAlignment="1">
      <alignment vertical="center"/>
    </xf>
    <xf numFmtId="165" fontId="5" fillId="3" borderId="35" xfId="1" applyNumberFormat="1" applyFont="1" applyFill="1" applyBorder="1" applyAlignment="1" applyProtection="1">
      <alignment vertical="center"/>
      <protection locked="0"/>
    </xf>
    <xf numFmtId="165" fontId="9" fillId="0" borderId="37" xfId="1" applyNumberFormat="1" applyFont="1" applyFill="1" applyBorder="1" applyAlignment="1">
      <alignment vertical="center"/>
    </xf>
    <xf numFmtId="37" fontId="10" fillId="0" borderId="0" xfId="0" applyNumberFormat="1" applyFont="1" applyAlignment="1">
      <alignment horizontal="left" vertical="center"/>
    </xf>
    <xf numFmtId="0" fontId="9" fillId="0" borderId="35" xfId="0" applyFont="1" applyBorder="1" applyAlignment="1">
      <alignment horizontal="center" vertical="center"/>
    </xf>
    <xf numFmtId="15" fontId="9" fillId="0" borderId="35" xfId="0" applyNumberFormat="1" applyFont="1" applyBorder="1" applyAlignment="1">
      <alignment horizontal="center" vertical="center"/>
    </xf>
    <xf numFmtId="0" fontId="9" fillId="0" borderId="0" xfId="16" applyFont="1" applyAlignment="1">
      <alignment horizontal="left" vertical="center"/>
    </xf>
    <xf numFmtId="1" fontId="9" fillId="0" borderId="0" xfId="16" applyNumberFormat="1" applyFont="1" applyAlignment="1">
      <alignment horizontal="center" vertical="center"/>
    </xf>
    <xf numFmtId="0" fontId="9" fillId="0" borderId="35" xfId="16" applyFont="1" applyBorder="1" applyAlignment="1">
      <alignment horizontal="left" vertical="center"/>
    </xf>
    <xf numFmtId="1" fontId="9" fillId="0" borderId="35" xfId="16" applyNumberFormat="1" applyFont="1" applyBorder="1" applyAlignment="1">
      <alignment horizontal="center" vertical="center"/>
    </xf>
    <xf numFmtId="10" fontId="9" fillId="3" borderId="35" xfId="3" applyNumberFormat="1" applyFont="1" applyFill="1" applyBorder="1"/>
    <xf numFmtId="165" fontId="9" fillId="0" borderId="35" xfId="1" applyNumberFormat="1" applyFont="1" applyFill="1" applyBorder="1" applyAlignment="1">
      <alignment horizontal="right" vertical="center"/>
    </xf>
    <xf numFmtId="10" fontId="5" fillId="2" borderId="0" xfId="31" applyNumberFormat="1" applyFont="1" applyFill="1" applyAlignment="1">
      <alignment horizontal="right" vertical="center"/>
    </xf>
    <xf numFmtId="0" fontId="9" fillId="0" borderId="35" xfId="11" applyFont="1" applyBorder="1" applyAlignment="1">
      <alignment horizontal="left" vertical="center"/>
    </xf>
    <xf numFmtId="1" fontId="9" fillId="0" borderId="35" xfId="11" applyNumberFormat="1" applyFont="1" applyBorder="1" applyAlignment="1">
      <alignment horizontal="center" vertical="center"/>
    </xf>
    <xf numFmtId="10" fontId="9" fillId="3" borderId="35" xfId="3" applyNumberFormat="1" applyFont="1" applyFill="1" applyBorder="1" applyAlignment="1">
      <alignment horizontal="center" vertical="center"/>
    </xf>
    <xf numFmtId="165" fontId="5" fillId="0" borderId="35" xfId="1" applyNumberFormat="1" applyFont="1" applyBorder="1" applyAlignment="1">
      <alignment horizontal="center" vertical="center"/>
    </xf>
    <xf numFmtId="165" fontId="5" fillId="0" borderId="35" xfId="1" applyNumberFormat="1" applyFont="1" applyFill="1" applyBorder="1" applyAlignment="1">
      <alignment horizontal="right" vertical="center"/>
    </xf>
    <xf numFmtId="0" fontId="9" fillId="0" borderId="35" xfId="0" applyFont="1" applyBorder="1" applyAlignment="1">
      <alignment horizontal="center" vertical="center" wrapText="1"/>
    </xf>
    <xf numFmtId="164" fontId="9" fillId="3" borderId="35" xfId="2" applyNumberFormat="1" applyFont="1" applyFill="1" applyBorder="1" applyAlignment="1" applyProtection="1">
      <alignment vertical="center"/>
      <protection locked="0"/>
    </xf>
    <xf numFmtId="10" fontId="9" fillId="0" borderId="35" xfId="3" applyNumberFormat="1" applyFont="1" applyFill="1" applyBorder="1" applyAlignment="1">
      <alignment horizontal="right" vertical="center"/>
    </xf>
    <xf numFmtId="10" fontId="9" fillId="0" borderId="35" xfId="3" applyNumberFormat="1" applyFont="1" applyBorder="1" applyAlignment="1">
      <alignment horizontal="right" vertical="center"/>
    </xf>
    <xf numFmtId="10" fontId="9" fillId="4" borderId="35" xfId="3" applyNumberFormat="1" applyFont="1" applyFill="1" applyBorder="1" applyAlignment="1">
      <alignment horizontal="right" vertical="center"/>
    </xf>
    <xf numFmtId="9" fontId="9" fillId="3" borderId="35" xfId="3" applyFont="1" applyFill="1" applyBorder="1" applyAlignment="1">
      <alignment horizontal="right" vertical="center"/>
    </xf>
    <xf numFmtId="10" fontId="9" fillId="3" borderId="35" xfId="3" applyNumberFormat="1" applyFont="1" applyFill="1" applyBorder="1" applyAlignment="1">
      <alignment horizontal="right" vertical="center"/>
    </xf>
    <xf numFmtId="168" fontId="9" fillId="2" borderId="35" xfId="3" applyNumberFormat="1" applyFont="1" applyFill="1" applyBorder="1" applyAlignment="1">
      <alignment horizontal="right" vertical="center"/>
    </xf>
    <xf numFmtId="9" fontId="9" fillId="2" borderId="35" xfId="3" applyFont="1" applyFill="1" applyBorder="1" applyAlignment="1">
      <alignment horizontal="right" vertical="center"/>
    </xf>
    <xf numFmtId="10" fontId="9" fillId="2" borderId="35" xfId="3" applyNumberFormat="1" applyFont="1" applyFill="1" applyBorder="1" applyAlignment="1">
      <alignment horizontal="right" vertical="center"/>
    </xf>
    <xf numFmtId="168" fontId="9" fillId="0" borderId="35" xfId="3" applyNumberFormat="1" applyFont="1" applyBorder="1" applyAlignment="1">
      <alignment horizontal="right" vertical="center"/>
    </xf>
    <xf numFmtId="168" fontId="9" fillId="2" borderId="35" xfId="0" applyNumberFormat="1" applyFont="1" applyFill="1" applyBorder="1" applyAlignment="1">
      <alignment horizontal="right" vertical="center"/>
    </xf>
    <xf numFmtId="5" fontId="9" fillId="0" borderId="35" xfId="11" applyNumberFormat="1" applyFont="1" applyBorder="1" applyAlignment="1">
      <alignment horizontal="center"/>
    </xf>
    <xf numFmtId="0" fontId="9" fillId="0" borderId="35" xfId="11" applyFont="1" applyBorder="1" applyAlignment="1">
      <alignment horizontal="center"/>
    </xf>
    <xf numFmtId="165" fontId="9" fillId="2" borderId="35" xfId="27" applyNumberFormat="1" applyFont="1" applyFill="1" applyBorder="1" applyAlignment="1" applyProtection="1">
      <alignment horizontal="right" vertical="center"/>
      <protection locked="0"/>
    </xf>
    <xf numFmtId="165" fontId="5" fillId="2" borderId="35" xfId="27" applyNumberFormat="1" applyFont="1" applyFill="1" applyBorder="1" applyAlignment="1" applyProtection="1">
      <alignment horizontal="right" vertical="center"/>
      <protection locked="0"/>
    </xf>
    <xf numFmtId="165" fontId="5" fillId="2" borderId="35" xfId="27" applyNumberFormat="1" applyFont="1" applyFill="1" applyBorder="1" applyAlignment="1" applyProtection="1">
      <alignment horizontal="center" vertical="center"/>
    </xf>
    <xf numFmtId="165" fontId="9" fillId="4" borderId="35" xfId="27" applyNumberFormat="1" applyFont="1" applyFill="1" applyBorder="1" applyAlignment="1" applyProtection="1">
      <alignment horizontal="right" vertical="center"/>
    </xf>
    <xf numFmtId="165" fontId="9" fillId="2" borderId="35" xfId="27" applyNumberFormat="1" applyFont="1" applyFill="1" applyBorder="1" applyAlignment="1" applyProtection="1">
      <alignment horizontal="right" vertical="center"/>
    </xf>
    <xf numFmtId="165" fontId="9" fillId="0" borderId="35" xfId="27" applyNumberFormat="1" applyFont="1" applyFill="1" applyBorder="1" applyAlignment="1" applyProtection="1">
      <alignment horizontal="right" vertical="center"/>
    </xf>
    <xf numFmtId="0" fontId="5" fillId="0" borderId="0" xfId="0" applyFont="1" applyAlignment="1">
      <alignment horizontal="left"/>
    </xf>
    <xf numFmtId="164" fontId="5" fillId="0" borderId="32" xfId="31" applyNumberFormat="1" applyFont="1" applyBorder="1" applyAlignment="1" applyProtection="1">
      <alignment horizontal="right" vertical="center"/>
      <protection locked="0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10" fontId="5" fillId="0" borderId="0" xfId="22" applyNumberFormat="1" applyFont="1" applyBorder="1" applyAlignment="1">
      <alignment horizontal="right" vertical="center"/>
    </xf>
    <xf numFmtId="10" fontId="5" fillId="0" borderId="0" xfId="31" applyNumberFormat="1" applyFont="1" applyAlignment="1">
      <alignment horizontal="right" vertical="center"/>
    </xf>
    <xf numFmtId="10" fontId="5" fillId="0" borderId="1" xfId="31" quotePrefix="1" applyNumberFormat="1" applyFont="1" applyBorder="1" applyAlignment="1">
      <alignment horizontal="right" vertical="center"/>
    </xf>
    <xf numFmtId="164" fontId="5" fillId="0" borderId="0" xfId="2" applyNumberFormat="1" applyFont="1" applyAlignment="1">
      <alignment horizontal="center" vertical="center"/>
    </xf>
    <xf numFmtId="164" fontId="5" fillId="0" borderId="0" xfId="2" applyNumberFormat="1" applyFont="1" applyFill="1" applyAlignment="1">
      <alignment vertical="center"/>
    </xf>
    <xf numFmtId="165" fontId="5" fillId="0" borderId="0" xfId="1" applyNumberFormat="1" applyFont="1" applyFill="1" applyAlignment="1">
      <alignment vertical="center"/>
    </xf>
    <xf numFmtId="165" fontId="7" fillId="0" borderId="0" xfId="1" applyNumberFormat="1" applyFont="1" applyBorder="1" applyAlignment="1">
      <alignment horizontal="center" vertical="center"/>
    </xf>
    <xf numFmtId="165" fontId="7" fillId="0" borderId="35" xfId="1" applyNumberFormat="1" applyFont="1" applyBorder="1" applyAlignment="1">
      <alignment horizontal="center" vertical="center"/>
    </xf>
    <xf numFmtId="164" fontId="7" fillId="0" borderId="0" xfId="2" applyNumberFormat="1" applyFont="1" applyAlignment="1">
      <alignment horizontal="right" vertical="center"/>
    </xf>
    <xf numFmtId="165" fontId="7" fillId="0" borderId="0" xfId="1" applyNumberFormat="1" applyFont="1" applyAlignment="1">
      <alignment horizontal="right" vertical="center"/>
    </xf>
    <xf numFmtId="164" fontId="9" fillId="0" borderId="1" xfId="2" applyNumberFormat="1" applyFont="1" applyFill="1" applyBorder="1" applyAlignment="1">
      <alignment vertical="center"/>
    </xf>
    <xf numFmtId="179" fontId="9" fillId="0" borderId="0" xfId="0" applyNumberFormat="1" applyFont="1"/>
    <xf numFmtId="165" fontId="9" fillId="0" borderId="22" xfId="1" applyNumberFormat="1" applyFont="1" applyBorder="1" applyAlignment="1">
      <alignment horizontal="right" vertical="center"/>
    </xf>
    <xf numFmtId="44" fontId="9" fillId="0" borderId="13" xfId="1" applyNumberFormat="1" applyFont="1" applyFill="1" applyBorder="1" applyAlignment="1">
      <alignment horizontal="right" vertical="center"/>
    </xf>
    <xf numFmtId="170" fontId="9" fillId="0" borderId="0" xfId="0" applyNumberFormat="1" applyFont="1"/>
    <xf numFmtId="44" fontId="9" fillId="0" borderId="22" xfId="11" applyNumberFormat="1" applyFont="1" applyBorder="1" applyAlignment="1">
      <alignment horizontal="right" vertical="center"/>
    </xf>
    <xf numFmtId="170" fontId="12" fillId="0" borderId="0" xfId="0" applyNumberFormat="1" applyFont="1"/>
    <xf numFmtId="164" fontId="9" fillId="0" borderId="13" xfId="1" applyNumberFormat="1" applyFont="1" applyFill="1" applyBorder="1" applyAlignment="1">
      <alignment vertical="center"/>
    </xf>
    <xf numFmtId="179" fontId="12" fillId="0" borderId="0" xfId="0" applyNumberFormat="1" applyFont="1"/>
    <xf numFmtId="164" fontId="5" fillId="0" borderId="13" xfId="11" applyNumberFormat="1" applyFont="1" applyBorder="1" applyAlignment="1">
      <alignment vertical="center"/>
    </xf>
    <xf numFmtId="170" fontId="9" fillId="0" borderId="22" xfId="2" applyNumberFormat="1" applyFont="1" applyFill="1" applyBorder="1" applyAlignment="1">
      <alignment horizontal="right"/>
    </xf>
    <xf numFmtId="171" fontId="9" fillId="0" borderId="0" xfId="0" applyNumberFormat="1" applyFont="1"/>
    <xf numFmtId="170" fontId="5" fillId="0" borderId="15" xfId="2" applyNumberFormat="1" applyFont="1" applyFill="1" applyBorder="1"/>
    <xf numFmtId="10" fontId="5" fillId="0" borderId="0" xfId="31" quotePrefix="1" applyNumberFormat="1" applyFont="1" applyAlignment="1">
      <alignment horizontal="right"/>
    </xf>
    <xf numFmtId="164" fontId="9" fillId="0" borderId="1" xfId="2" applyNumberFormat="1" applyFont="1" applyBorder="1" applyAlignment="1">
      <alignment horizontal="right" vertical="center"/>
    </xf>
    <xf numFmtId="164" fontId="9" fillId="0" borderId="31" xfId="31" applyNumberFormat="1" applyFont="1" applyBorder="1" applyAlignment="1" applyProtection="1">
      <alignment horizontal="right" vertical="center"/>
      <protection locked="0"/>
    </xf>
    <xf numFmtId="164" fontId="9" fillId="0" borderId="0" xfId="31" applyNumberFormat="1" applyFont="1" applyAlignment="1" applyProtection="1">
      <alignment horizontal="right"/>
      <protection locked="0"/>
    </xf>
    <xf numFmtId="165" fontId="9" fillId="0" borderId="35" xfId="1" applyNumberFormat="1" applyFont="1" applyBorder="1" applyAlignment="1">
      <alignment horizontal="center" vertical="center"/>
    </xf>
    <xf numFmtId="174" fontId="9" fillId="0" borderId="16" xfId="2" applyNumberFormat="1" applyFont="1" applyBorder="1" applyAlignment="1">
      <alignment vertical="center"/>
    </xf>
    <xf numFmtId="0" fontId="28" fillId="0" borderId="0" xfId="0" applyFont="1" applyAlignment="1">
      <alignment vertical="center"/>
    </xf>
    <xf numFmtId="165" fontId="9" fillId="3" borderId="35" xfId="1" applyNumberFormat="1" applyFont="1" applyFill="1" applyBorder="1" applyAlignment="1" applyProtection="1">
      <alignment vertical="center"/>
      <protection locked="0"/>
    </xf>
    <xf numFmtId="164" fontId="9" fillId="0" borderId="0" xfId="2" applyNumberFormat="1" applyFont="1" applyFill="1" applyBorder="1" applyAlignment="1" applyProtection="1">
      <alignment vertical="center"/>
      <protection locked="0"/>
    </xf>
    <xf numFmtId="10" fontId="9" fillId="2" borderId="35" xfId="0" applyNumberFormat="1" applyFont="1" applyFill="1" applyBorder="1" applyAlignment="1">
      <alignment horizontal="right" vertical="center"/>
    </xf>
    <xf numFmtId="164" fontId="9" fillId="0" borderId="18" xfId="2" applyNumberFormat="1" applyFont="1" applyBorder="1" applyAlignment="1">
      <alignment horizontal="right" vertical="center"/>
    </xf>
    <xf numFmtId="164" fontId="9" fillId="0" borderId="1" xfId="2" applyNumberFormat="1" applyFont="1" applyFill="1" applyBorder="1" applyAlignment="1">
      <alignment horizontal="right" vertical="center"/>
    </xf>
    <xf numFmtId="165" fontId="9" fillId="2" borderId="35" xfId="1" applyNumberFormat="1" applyFont="1" applyFill="1" applyBorder="1" applyAlignment="1" applyProtection="1">
      <alignment horizontal="right" vertical="center"/>
    </xf>
    <xf numFmtId="165" fontId="9" fillId="2" borderId="35" xfId="1" applyNumberFormat="1" applyFont="1" applyFill="1" applyBorder="1" applyAlignment="1">
      <alignment vertical="center"/>
    </xf>
    <xf numFmtId="37" fontId="10" fillId="0" borderId="0" xfId="0" applyNumberFormat="1" applyFont="1" applyAlignment="1">
      <alignment vertical="center"/>
    </xf>
    <xf numFmtId="43" fontId="12" fillId="0" borderId="0" xfId="1" applyFont="1" applyFill="1" applyAlignment="1">
      <alignment vertical="center"/>
    </xf>
    <xf numFmtId="0" fontId="9" fillId="0" borderId="38" xfId="0" applyFont="1" applyBorder="1" applyAlignment="1">
      <alignment horizontal="center" vertical="center"/>
    </xf>
    <xf numFmtId="37" fontId="12" fillId="0" borderId="0" xfId="0" applyNumberFormat="1" applyFont="1" applyAlignment="1">
      <alignment vertical="center"/>
    </xf>
    <xf numFmtId="164" fontId="9" fillId="0" borderId="0" xfId="2" applyNumberFormat="1" applyFont="1" applyFill="1" applyBorder="1" applyAlignment="1">
      <alignment horizontal="center" vertical="center"/>
    </xf>
    <xf numFmtId="37" fontId="9" fillId="0" borderId="0" xfId="0" applyNumberFormat="1" applyFont="1" applyAlignment="1">
      <alignment horizontal="right" vertical="center"/>
    </xf>
    <xf numFmtId="37" fontId="9" fillId="0" borderId="35" xfId="0" applyNumberFormat="1" applyFont="1" applyBorder="1" applyAlignment="1">
      <alignment horizontal="right" vertical="center"/>
    </xf>
    <xf numFmtId="165" fontId="9" fillId="0" borderId="0" xfId="1" applyNumberFormat="1" applyFont="1" applyBorder="1" applyAlignment="1">
      <alignment horizontal="center" vertical="center"/>
    </xf>
    <xf numFmtId="37" fontId="9" fillId="0" borderId="9" xfId="0" applyNumberFormat="1" applyFont="1" applyBorder="1" applyAlignment="1">
      <alignment horizontal="center"/>
    </xf>
    <xf numFmtId="165" fontId="9" fillId="0" borderId="0" xfId="1" applyNumberFormat="1" applyFont="1" applyFill="1" applyBorder="1" applyAlignment="1">
      <alignment horizontal="center" vertical="center"/>
    </xf>
    <xf numFmtId="43" fontId="9" fillId="0" borderId="0" xfId="1" applyFont="1" applyFill="1" applyBorder="1" applyAlignment="1">
      <alignment vertical="center"/>
    </xf>
    <xf numFmtId="167" fontId="9" fillId="0" borderId="9" xfId="0" applyNumberFormat="1" applyFont="1" applyBorder="1" applyAlignment="1">
      <alignment horizontal="center" wrapText="1"/>
    </xf>
    <xf numFmtId="37" fontId="9" fillId="0" borderId="9" xfId="0" applyNumberFormat="1" applyFont="1" applyBorder="1" applyAlignment="1">
      <alignment horizontal="center" wrapText="1"/>
    </xf>
    <xf numFmtId="165" fontId="9" fillId="0" borderId="35" xfId="1" applyNumberFormat="1" applyFont="1" applyFill="1" applyBorder="1" applyAlignment="1">
      <alignment horizontal="center" vertical="center"/>
    </xf>
    <xf numFmtId="37" fontId="9" fillId="0" borderId="0" xfId="0" applyNumberFormat="1" applyFont="1" applyAlignment="1">
      <alignment vertical="center" wrapText="1"/>
    </xf>
    <xf numFmtId="43" fontId="10" fillId="0" borderId="0" xfId="0" applyNumberFormat="1" applyFont="1" applyAlignment="1">
      <alignment horizontal="right" vertical="center"/>
    </xf>
    <xf numFmtId="37" fontId="10" fillId="0" borderId="0" xfId="0" applyNumberFormat="1" applyFont="1" applyAlignment="1">
      <alignment horizontal="right" vertical="center"/>
    </xf>
    <xf numFmtId="164" fontId="5" fillId="0" borderId="1" xfId="0" applyNumberFormat="1" applyFont="1" applyBorder="1" applyAlignment="1">
      <alignment vertical="center"/>
    </xf>
    <xf numFmtId="37" fontId="5" fillId="0" borderId="0" xfId="33" applyNumberFormat="1" applyFont="1" applyAlignment="1">
      <alignment horizontal="center" vertical="center"/>
    </xf>
    <xf numFmtId="37" fontId="9" fillId="0" borderId="0" xfId="33" applyNumberFormat="1" applyFont="1" applyAlignment="1">
      <alignment horizontal="center" vertical="center"/>
    </xf>
    <xf numFmtId="165" fontId="14" fillId="0" borderId="0" xfId="1" applyNumberFormat="1" applyFont="1" applyFill="1" applyBorder="1" applyAlignment="1">
      <alignment vertical="center"/>
    </xf>
    <xf numFmtId="0" fontId="10" fillId="0" borderId="0" xfId="11" applyFont="1" applyAlignment="1">
      <alignment vertical="center"/>
    </xf>
    <xf numFmtId="15" fontId="9" fillId="0" borderId="35" xfId="11" applyNumberFormat="1" applyFont="1" applyBorder="1" applyAlignment="1">
      <alignment horizontal="center" vertical="center"/>
    </xf>
    <xf numFmtId="0" fontId="9" fillId="0" borderId="35" xfId="11" applyFont="1" applyBorder="1" applyAlignment="1">
      <alignment horizontal="center" vertical="center"/>
    </xf>
    <xf numFmtId="10" fontId="9" fillId="2" borderId="35" xfId="11" applyNumberFormat="1" applyFont="1" applyFill="1" applyBorder="1" applyAlignment="1" applyProtection="1">
      <alignment horizontal="right" vertical="center"/>
      <protection locked="0"/>
    </xf>
    <xf numFmtId="164" fontId="9" fillId="3" borderId="35" xfId="13" applyNumberFormat="1" applyFont="1" applyFill="1" applyBorder="1" applyAlignment="1" applyProtection="1">
      <alignment horizontal="center" vertical="center"/>
      <protection locked="0"/>
    </xf>
    <xf numFmtId="165" fontId="9" fillId="2" borderId="35" xfId="1" applyNumberFormat="1" applyFont="1" applyFill="1" applyBorder="1" applyAlignment="1" applyProtection="1">
      <alignment vertical="center"/>
      <protection locked="0"/>
    </xf>
    <xf numFmtId="164" fontId="9" fillId="0" borderId="0" xfId="13" applyNumberFormat="1" applyFont="1" applyAlignment="1">
      <alignment horizontal="right" vertical="center"/>
    </xf>
    <xf numFmtId="10" fontId="9" fillId="3" borderId="35" xfId="28" applyNumberFormat="1" applyFont="1" applyFill="1" applyBorder="1" applyAlignment="1">
      <alignment vertical="center"/>
    </xf>
    <xf numFmtId="164" fontId="9" fillId="0" borderId="0" xfId="2" applyNumberFormat="1" applyFont="1" applyFill="1" applyAlignment="1">
      <alignment horizontal="right" vertical="center"/>
    </xf>
    <xf numFmtId="164" fontId="9" fillId="0" borderId="0" xfId="13" applyNumberFormat="1" applyFont="1" applyFill="1" applyBorder="1" applyAlignment="1" applyProtection="1">
      <alignment horizontal="right"/>
      <protection locked="0"/>
    </xf>
    <xf numFmtId="164" fontId="9" fillId="0" borderId="0" xfId="13" applyNumberFormat="1" applyFont="1" applyFill="1" applyAlignment="1" applyProtection="1">
      <alignment horizontal="right"/>
    </xf>
    <xf numFmtId="0" fontId="5" fillId="0" borderId="35" xfId="16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165" fontId="9" fillId="0" borderId="35" xfId="0" applyNumberFormat="1" applyFont="1" applyBorder="1" applyAlignment="1">
      <alignment horizontal="center" vertical="center"/>
    </xf>
    <xf numFmtId="165" fontId="7" fillId="0" borderId="35" xfId="1" applyNumberFormat="1" applyFont="1" applyBorder="1" applyAlignment="1">
      <alignment horizontal="right" vertical="center"/>
    </xf>
    <xf numFmtId="165" fontId="7" fillId="0" borderId="0" xfId="1" applyNumberFormat="1" applyFont="1" applyBorder="1" applyAlignment="1">
      <alignment horizontal="right" vertical="center"/>
    </xf>
    <xf numFmtId="0" fontId="7" fillId="0" borderId="35" xfId="0" applyFont="1" applyBorder="1" applyAlignment="1">
      <alignment vertical="center"/>
    </xf>
    <xf numFmtId="164" fontId="7" fillId="0" borderId="1" xfId="2" applyNumberFormat="1" applyFont="1" applyFill="1" applyBorder="1" applyAlignment="1">
      <alignment vertical="center"/>
    </xf>
    <xf numFmtId="165" fontId="5" fillId="2" borderId="22" xfId="1" applyNumberFormat="1" applyFont="1" applyFill="1" applyBorder="1" applyAlignment="1">
      <alignment horizontal="right" vertical="center"/>
    </xf>
    <xf numFmtId="0" fontId="5" fillId="0" borderId="35" xfId="11" applyFont="1" applyBorder="1" applyAlignment="1">
      <alignment horizontal="center"/>
    </xf>
    <xf numFmtId="44" fontId="9" fillId="0" borderId="0" xfId="1" applyNumberFormat="1" applyFont="1" applyFill="1" applyBorder="1" applyAlignment="1">
      <alignment horizontal="right" vertical="center"/>
    </xf>
    <xf numFmtId="164" fontId="9" fillId="0" borderId="0" xfId="1" applyNumberFormat="1" applyFont="1" applyFill="1" applyBorder="1" applyAlignment="1">
      <alignment vertical="center"/>
    </xf>
    <xf numFmtId="165" fontId="9" fillId="0" borderId="14" xfId="1" applyNumberFormat="1" applyFont="1" applyBorder="1"/>
    <xf numFmtId="170" fontId="5" fillId="0" borderId="14" xfId="14" applyNumberFormat="1" applyFont="1" applyBorder="1"/>
    <xf numFmtId="165" fontId="5" fillId="0" borderId="25" xfId="14" applyNumberFormat="1" applyFont="1" applyBorder="1"/>
    <xf numFmtId="0" fontId="5" fillId="0" borderId="5" xfId="11" applyFont="1" applyBorder="1" applyAlignment="1">
      <alignment horizontal="center"/>
    </xf>
    <xf numFmtId="44" fontId="9" fillId="0" borderId="0" xfId="11" applyNumberFormat="1" applyFont="1" applyAlignment="1">
      <alignment horizontal="right" vertical="center"/>
    </xf>
    <xf numFmtId="164" fontId="9" fillId="0" borderId="14" xfId="11" applyNumberFormat="1" applyFont="1" applyBorder="1" applyAlignment="1">
      <alignment vertical="center"/>
    </xf>
    <xf numFmtId="164" fontId="5" fillId="0" borderId="14" xfId="11" applyNumberFormat="1" applyFont="1" applyBorder="1" applyAlignment="1">
      <alignment vertical="center"/>
    </xf>
    <xf numFmtId="0" fontId="5" fillId="0" borderId="37" xfId="11" applyFont="1" applyBorder="1" applyAlignment="1">
      <alignment horizontal="center"/>
    </xf>
    <xf numFmtId="0" fontId="5" fillId="0" borderId="39" xfId="11" applyFont="1" applyBorder="1"/>
    <xf numFmtId="0" fontId="9" fillId="0" borderId="21" xfId="11" applyFont="1" applyBorder="1" applyAlignment="1">
      <alignment horizontal="left"/>
    </xf>
    <xf numFmtId="0" fontId="9" fillId="0" borderId="21" xfId="11" applyFont="1" applyBorder="1"/>
    <xf numFmtId="0" fontId="9" fillId="0" borderId="9" xfId="11" applyFont="1" applyBorder="1" applyAlignment="1">
      <alignment horizontal="left"/>
    </xf>
    <xf numFmtId="0" fontId="5" fillId="0" borderId="9" xfId="11" applyFont="1" applyBorder="1" applyAlignment="1">
      <alignment horizontal="left"/>
    </xf>
    <xf numFmtId="0" fontId="5" fillId="0" borderId="21" xfId="11" applyFont="1" applyBorder="1" applyAlignment="1">
      <alignment horizontal="left" indent="2"/>
    </xf>
    <xf numFmtId="0" fontId="5" fillId="0" borderId="21" xfId="11" applyFont="1" applyBorder="1" applyAlignment="1">
      <alignment horizontal="left"/>
    </xf>
    <xf numFmtId="0" fontId="10" fillId="0" borderId="9" xfId="11" applyFont="1" applyBorder="1" applyAlignment="1">
      <alignment horizontal="left"/>
    </xf>
    <xf numFmtId="0" fontId="5" fillId="0" borderId="9" xfId="11" applyFont="1" applyBorder="1"/>
    <xf numFmtId="0" fontId="5" fillId="0" borderId="24" xfId="11" applyFont="1" applyBorder="1"/>
    <xf numFmtId="0" fontId="5" fillId="0" borderId="10" xfId="11" applyFont="1" applyBorder="1" applyAlignment="1">
      <alignment horizontal="center"/>
    </xf>
    <xf numFmtId="10" fontId="5" fillId="0" borderId="10" xfId="19" applyNumberFormat="1" applyFont="1" applyBorder="1" applyAlignment="1">
      <alignment horizontal="center"/>
    </xf>
    <xf numFmtId="41" fontId="9" fillId="0" borderId="10" xfId="13" applyNumberFormat="1" applyFont="1" applyBorder="1" applyAlignment="1">
      <alignment horizontal="center"/>
    </xf>
    <xf numFmtId="43" fontId="5" fillId="0" borderId="10" xfId="11" applyNumberFormat="1" applyFont="1" applyBorder="1" applyAlignment="1">
      <alignment horizontal="center"/>
    </xf>
    <xf numFmtId="41" fontId="9" fillId="0" borderId="10" xfId="13" applyNumberFormat="1" applyFont="1" applyFill="1" applyBorder="1" applyAlignment="1">
      <alignment horizontal="center"/>
    </xf>
    <xf numFmtId="41" fontId="5" fillId="0" borderId="10" xfId="13" applyNumberFormat="1" applyFont="1" applyBorder="1" applyAlignment="1">
      <alignment horizontal="left"/>
    </xf>
    <xf numFmtId="41" fontId="5" fillId="0" borderId="10" xfId="13" applyNumberFormat="1" applyFont="1" applyFill="1" applyBorder="1" applyAlignment="1">
      <alignment horizontal="left"/>
    </xf>
    <xf numFmtId="0" fontId="5" fillId="0" borderId="7" xfId="11" applyFont="1" applyBorder="1"/>
    <xf numFmtId="171" fontId="9" fillId="0" borderId="36" xfId="1" applyNumberFormat="1" applyFont="1" applyFill="1" applyBorder="1" applyAlignment="1">
      <alignment horizontal="right"/>
    </xf>
    <xf numFmtId="170" fontId="5" fillId="0" borderId="27" xfId="2" applyNumberFormat="1" applyFont="1" applyFill="1" applyBorder="1"/>
    <xf numFmtId="165" fontId="9" fillId="3" borderId="36" xfId="21" applyNumberFormat="1" applyFont="1" applyFill="1" applyBorder="1"/>
    <xf numFmtId="164" fontId="5" fillId="0" borderId="27" xfId="2" applyNumberFormat="1" applyFont="1" applyBorder="1" applyAlignment="1">
      <alignment horizontal="right"/>
    </xf>
    <xf numFmtId="37" fontId="9" fillId="0" borderId="3" xfId="0" applyNumberFormat="1" applyFont="1" applyBorder="1" applyAlignment="1">
      <alignment vertical="center"/>
    </xf>
    <xf numFmtId="37" fontId="9" fillId="0" borderId="5" xfId="0" applyNumberFormat="1" applyFont="1" applyBorder="1" applyAlignment="1">
      <alignment vertical="center"/>
    </xf>
    <xf numFmtId="37" fontId="9" fillId="0" borderId="5" xfId="1" applyNumberFormat="1" applyFont="1" applyBorder="1" applyAlignment="1">
      <alignment vertical="center"/>
    </xf>
    <xf numFmtId="37" fontId="9" fillId="0" borderId="5" xfId="1" applyNumberFormat="1" applyFont="1" applyFill="1" applyBorder="1" applyAlignment="1">
      <alignment vertical="center"/>
    </xf>
    <xf numFmtId="37" fontId="9" fillId="0" borderId="4" xfId="0" applyNumberFormat="1" applyFont="1" applyBorder="1" applyAlignment="1">
      <alignment vertical="center"/>
    </xf>
    <xf numFmtId="37" fontId="5" fillId="0" borderId="0" xfId="0" applyNumberFormat="1" applyFont="1"/>
    <xf numFmtId="37" fontId="5" fillId="0" borderId="0" xfId="0" applyNumberFormat="1" applyFont="1" applyAlignment="1">
      <alignment horizontal="right"/>
    </xf>
    <xf numFmtId="37" fontId="5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right"/>
    </xf>
    <xf numFmtId="164" fontId="5" fillId="0" borderId="0" xfId="0" applyNumberFormat="1" applyFont="1" applyAlignment="1">
      <alignment vertical="center"/>
    </xf>
    <xf numFmtId="180" fontId="1" fillId="0" borderId="0" xfId="1" applyNumberFormat="1"/>
    <xf numFmtId="170" fontId="1" fillId="0" borderId="0" xfId="4" applyNumberFormat="1"/>
    <xf numFmtId="0" fontId="5" fillId="0" borderId="36" xfId="11" applyFont="1" applyBorder="1" applyAlignment="1">
      <alignment horizontal="center"/>
    </xf>
    <xf numFmtId="165" fontId="9" fillId="0" borderId="13" xfId="1" applyNumberFormat="1" applyFont="1" applyFill="1" applyBorder="1" applyAlignment="1">
      <alignment horizontal="right" vertical="center"/>
    </xf>
    <xf numFmtId="170" fontId="5" fillId="0" borderId="13" xfId="11" applyNumberFormat="1" applyFont="1" applyBorder="1" applyAlignment="1">
      <alignment vertical="center"/>
    </xf>
    <xf numFmtId="43" fontId="9" fillId="0" borderId="0" xfId="0" applyNumberFormat="1" applyFont="1"/>
    <xf numFmtId="164" fontId="5" fillId="0" borderId="15" xfId="20" applyNumberFormat="1" applyFont="1" applyBorder="1" applyAlignment="1">
      <alignment horizontal="right"/>
    </xf>
    <xf numFmtId="0" fontId="10" fillId="0" borderId="0" xfId="0" applyFont="1" applyAlignment="1">
      <alignment horizontal="left" vertical="center"/>
    </xf>
    <xf numFmtId="0" fontId="9" fillId="0" borderId="40" xfId="31" applyFont="1" applyBorder="1" applyAlignment="1">
      <alignment horizontal="center"/>
    </xf>
    <xf numFmtId="10" fontId="9" fillId="2" borderId="0" xfId="31" applyNumberFormat="1" applyFont="1" applyFill="1" applyAlignment="1">
      <alignment vertical="center"/>
    </xf>
    <xf numFmtId="10" fontId="9" fillId="0" borderId="35" xfId="3" quotePrefix="1" applyNumberFormat="1" applyFont="1" applyBorder="1" applyAlignment="1">
      <alignment horizontal="right" vertical="center"/>
    </xf>
    <xf numFmtId="164" fontId="9" fillId="2" borderId="35" xfId="13" applyNumberFormat="1" applyFont="1" applyFill="1" applyBorder="1" applyAlignment="1" applyProtection="1">
      <alignment vertical="center"/>
      <protection locked="0"/>
    </xf>
    <xf numFmtId="164" fontId="9" fillId="2" borderId="35" xfId="31" applyNumberFormat="1" applyFont="1" applyFill="1" applyBorder="1" applyAlignment="1" applyProtection="1">
      <alignment horizontal="right" vertical="center"/>
      <protection locked="0"/>
    </xf>
    <xf numFmtId="165" fontId="9" fillId="2" borderId="32" xfId="1" applyNumberFormat="1" applyFont="1" applyFill="1" applyBorder="1" applyAlignment="1">
      <alignment horizontal="center" vertical="center"/>
    </xf>
    <xf numFmtId="165" fontId="24" fillId="0" borderId="0" xfId="14" applyNumberFormat="1" applyFont="1" applyBorder="1" applyAlignment="1">
      <alignment vertical="center"/>
    </xf>
    <xf numFmtId="164" fontId="9" fillId="0" borderId="0" xfId="20" applyNumberFormat="1" applyFont="1" applyAlignment="1">
      <alignment vertical="center"/>
    </xf>
    <xf numFmtId="164" fontId="12" fillId="0" borderId="0" xfId="20" applyNumberFormat="1" applyFont="1" applyAlignment="1">
      <alignment vertical="center"/>
    </xf>
    <xf numFmtId="168" fontId="9" fillId="0" borderId="35" xfId="3" applyNumberFormat="1" applyFont="1" applyFill="1" applyBorder="1" applyAlignment="1">
      <alignment vertical="center"/>
    </xf>
    <xf numFmtId="164" fontId="9" fillId="2" borderId="35" xfId="2" applyNumberFormat="1" applyFont="1" applyFill="1" applyBorder="1" applyAlignment="1">
      <alignment horizontal="right" vertical="center"/>
    </xf>
    <xf numFmtId="179" fontId="9" fillId="0" borderId="0" xfId="2" applyNumberFormat="1" applyFont="1" applyAlignment="1">
      <alignment horizontal="right" vertical="center"/>
    </xf>
    <xf numFmtId="181" fontId="9" fillId="0" borderId="0" xfId="1" applyNumberFormat="1" applyFont="1" applyAlignment="1">
      <alignment horizontal="right" vertical="center"/>
    </xf>
    <xf numFmtId="181" fontId="9" fillId="0" borderId="35" xfId="1" applyNumberFormat="1" applyFont="1" applyBorder="1" applyAlignment="1">
      <alignment horizontal="right" vertical="center"/>
    </xf>
    <xf numFmtId="181" fontId="9" fillId="0" borderId="16" xfId="1" applyNumberFormat="1" applyFont="1" applyBorder="1" applyAlignment="1">
      <alignment vertical="center"/>
    </xf>
    <xf numFmtId="165" fontId="9" fillId="0" borderId="35" xfId="1" applyNumberFormat="1" applyFont="1" applyFill="1" applyBorder="1" applyAlignment="1" applyProtection="1">
      <alignment vertical="center"/>
      <protection locked="0"/>
    </xf>
    <xf numFmtId="43" fontId="9" fillId="0" borderId="0" xfId="0" applyNumberFormat="1" applyFont="1" applyAlignment="1">
      <alignment vertical="center"/>
    </xf>
    <xf numFmtId="165" fontId="5" fillId="2" borderId="35" xfId="1" applyNumberFormat="1" applyFont="1" applyFill="1" applyBorder="1" applyAlignment="1" applyProtection="1">
      <alignment vertical="center"/>
      <protection locked="0"/>
    </xf>
    <xf numFmtId="164" fontId="7" fillId="0" borderId="0" xfId="0" applyNumberFormat="1" applyFont="1"/>
    <xf numFmtId="165" fontId="7" fillId="0" borderId="0" xfId="0" applyNumberFormat="1" applyFont="1"/>
    <xf numFmtId="0" fontId="5" fillId="0" borderId="41" xfId="11" applyFont="1" applyBorder="1" applyAlignment="1">
      <alignment horizontal="center"/>
    </xf>
    <xf numFmtId="0" fontId="5" fillId="0" borderId="42" xfId="11" applyFont="1" applyBorder="1" applyAlignment="1">
      <alignment horizontal="center"/>
    </xf>
    <xf numFmtId="164" fontId="5" fillId="2" borderId="35" xfId="31" applyNumberFormat="1" applyFont="1" applyFill="1" applyBorder="1" applyAlignment="1" applyProtection="1">
      <alignment horizontal="right" vertical="center"/>
      <protection locked="0"/>
    </xf>
    <xf numFmtId="181" fontId="5" fillId="0" borderId="16" xfId="1" applyNumberFormat="1" applyFont="1" applyBorder="1" applyAlignment="1">
      <alignment vertical="center"/>
    </xf>
    <xf numFmtId="181" fontId="5" fillId="0" borderId="0" xfId="1" applyNumberFormat="1" applyFont="1" applyAlignment="1">
      <alignment horizontal="right" vertical="center"/>
    </xf>
    <xf numFmtId="181" fontId="5" fillId="0" borderId="0" xfId="1" applyNumberFormat="1" applyFont="1" applyBorder="1" applyAlignment="1">
      <alignment vertical="center"/>
    </xf>
    <xf numFmtId="164" fontId="9" fillId="0" borderId="1" xfId="20" applyNumberFormat="1" applyFont="1" applyBorder="1" applyAlignment="1">
      <alignment horizontal="right"/>
    </xf>
    <xf numFmtId="177" fontId="9" fillId="0" borderId="0" xfId="0" applyNumberFormat="1" applyFont="1"/>
    <xf numFmtId="37" fontId="5" fillId="0" borderId="0" xfId="11" applyNumberFormat="1" applyFont="1" applyAlignment="1">
      <alignment vertical="center"/>
    </xf>
    <xf numFmtId="0" fontId="5" fillId="0" borderId="0" xfId="0" quotePrefix="1" applyFont="1" applyAlignment="1">
      <alignment horizontal="center"/>
    </xf>
    <xf numFmtId="0" fontId="2" fillId="0" borderId="0" xfId="4" applyFont="1" applyAlignment="1">
      <alignment horizontal="center" wrapText="1"/>
    </xf>
    <xf numFmtId="0" fontId="5" fillId="0" borderId="0" xfId="11" applyFont="1" applyAlignment="1">
      <alignment horizontal="center"/>
    </xf>
    <xf numFmtId="6" fontId="5" fillId="0" borderId="0" xfId="11" quotePrefix="1" applyNumberFormat="1" applyFont="1" applyAlignment="1">
      <alignment horizontal="center"/>
    </xf>
    <xf numFmtId="0" fontId="5" fillId="3" borderId="0" xfId="11" applyFont="1" applyFill="1" applyAlignment="1">
      <alignment horizontal="center"/>
    </xf>
    <xf numFmtId="49" fontId="5" fillId="0" borderId="0" xfId="11" applyNumberFormat="1" applyFont="1" applyAlignment="1">
      <alignment horizontal="center"/>
    </xf>
    <xf numFmtId="0" fontId="5" fillId="0" borderId="0" xfId="31" applyFont="1" applyAlignment="1" applyProtection="1">
      <alignment horizontal="center"/>
      <protection locked="0"/>
    </xf>
    <xf numFmtId="0" fontId="5" fillId="0" borderId="0" xfId="31" applyFont="1" applyAlignment="1">
      <alignment horizontal="center"/>
    </xf>
    <xf numFmtId="2" fontId="5" fillId="2" borderId="0" xfId="31" applyNumberFormat="1" applyFont="1" applyFill="1" applyAlignment="1">
      <alignment horizontal="center"/>
    </xf>
    <xf numFmtId="0" fontId="5" fillId="0" borderId="0" xfId="0" quotePrefix="1" applyFont="1" applyAlignment="1">
      <alignment horizontal="center" vertical="center"/>
    </xf>
    <xf numFmtId="0" fontId="5" fillId="3" borderId="0" xfId="23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/>
    </xf>
    <xf numFmtId="37" fontId="5" fillId="0" borderId="0" xfId="0" quotePrefix="1" applyNumberFormat="1" applyFont="1" applyAlignment="1">
      <alignment horizontal="center" vertical="center"/>
    </xf>
    <xf numFmtId="37" fontId="5" fillId="0" borderId="0" xfId="0" applyNumberFormat="1" applyFont="1" applyAlignment="1">
      <alignment horizontal="center" vertical="center"/>
    </xf>
    <xf numFmtId="0" fontId="5" fillId="0" borderId="0" xfId="11" applyFont="1" applyAlignment="1">
      <alignment horizontal="center" vertical="center"/>
    </xf>
    <xf numFmtId="0" fontId="9" fillId="0" borderId="0" xfId="11" applyFont="1" applyAlignment="1">
      <alignment horizontal="center" vertical="center"/>
    </xf>
    <xf numFmtId="0" fontId="5" fillId="2" borderId="0" xfId="11" applyFont="1" applyFill="1" applyAlignment="1">
      <alignment horizontal="center" vertical="center"/>
    </xf>
    <xf numFmtId="0" fontId="5" fillId="0" borderId="0" xfId="11" quotePrefix="1" applyFont="1" applyAlignment="1">
      <alignment horizontal="center" vertical="center"/>
    </xf>
    <xf numFmtId="0" fontId="5" fillId="0" borderId="0" xfId="11" applyFont="1"/>
    <xf numFmtId="0" fontId="5" fillId="2" borderId="0" xfId="11" applyFont="1" applyFill="1" applyAlignment="1">
      <alignment horizontal="center"/>
    </xf>
    <xf numFmtId="0" fontId="5" fillId="2" borderId="0" xfId="11" applyFont="1" applyFill="1"/>
    <xf numFmtId="0" fontId="5" fillId="0" borderId="0" xfId="11" quotePrefix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0" borderId="0" xfId="0" quotePrefix="1" applyFont="1" applyAlignment="1">
      <alignment horizontal="center" vertical="center"/>
    </xf>
  </cellXfs>
  <cellStyles count="37">
    <cellStyle name="Comma" xfId="1" builtinId="3"/>
    <cellStyle name="Comma 2" xfId="9" xr:uid="{E218AF85-C6C9-44D7-9826-DAAE82C52D81}"/>
    <cellStyle name="Comma 2 10 2" xfId="27" xr:uid="{1A440B24-83E7-48A9-BF3F-43DED02E8437}"/>
    <cellStyle name="Comma 2 2" xfId="14" xr:uid="{AF071F67-3B0C-4EA1-BB2D-77CA586E1771}"/>
    <cellStyle name="Comma 4" xfId="6" xr:uid="{B22F5E81-ABE4-4EEE-9861-61D4A72D0EC8}"/>
    <cellStyle name="Comma 79" xfId="21" xr:uid="{70FD1783-1E2A-4A0C-8E08-8B8328F1C457}"/>
    <cellStyle name="Currency" xfId="2" builtinId="4"/>
    <cellStyle name="Currency 2" xfId="7" xr:uid="{2FB3A6EC-A591-418E-AE53-135728C8FF55}"/>
    <cellStyle name="Currency 2 2" xfId="13" xr:uid="{BE5CA40B-4EF2-46C0-ACCA-0BF3AC0AF312}"/>
    <cellStyle name="Currency 3" xfId="34" xr:uid="{83F2A21B-13F0-490B-BE7B-8947CEEF5932}"/>
    <cellStyle name="Currency 4" xfId="5" xr:uid="{0A571740-701C-4662-8164-0257FFEF0B5F}"/>
    <cellStyle name="Currency 4 3" xfId="20" xr:uid="{9B1E9624-E95D-4E37-A9D6-EFEB828EBEA8}"/>
    <cellStyle name="Normal" xfId="0" builtinId="0"/>
    <cellStyle name="Normal 10 18" xfId="24" xr:uid="{28E62634-0252-4126-95EF-F50304483256}"/>
    <cellStyle name="Normal 12 3" xfId="36" xr:uid="{42D04108-52C3-4868-803A-BAF802E21CCE}"/>
    <cellStyle name="Normal 12 4" xfId="30" xr:uid="{E01B4A8D-A77C-4E1B-B7FA-765F95B4B0B3}"/>
    <cellStyle name="Normal 2" xfId="11" xr:uid="{CF6AB890-B773-46E7-BCE6-08FB6AEB0DA0}"/>
    <cellStyle name="Normal 2 2 2" xfId="16" xr:uid="{92A4FFDA-8860-4BAD-9EAB-44F0DE9FCFF8}"/>
    <cellStyle name="Normal 2 2 2 2" xfId="23" xr:uid="{32CDF306-7647-4DCA-AE08-C65B8D466C60}"/>
    <cellStyle name="Normal 2 2 6" xfId="25" xr:uid="{CCAFE435-1243-4CED-981B-645B00CA3137}"/>
    <cellStyle name="Normal 29" xfId="18" xr:uid="{6A52BBCB-32F0-4AFA-B971-925038B08277}"/>
    <cellStyle name="Normal 3 2" xfId="17" xr:uid="{03100693-46EF-4B5B-9F9D-D6D3C25C0406}"/>
    <cellStyle name="Normal 3 2 2" xfId="26" xr:uid="{69ED09F3-8154-4E45-BE4C-534C12218F5F}"/>
    <cellStyle name="Normal 4" xfId="4" xr:uid="{43D116BF-F776-4CC1-8D01-7D68022FBD06}"/>
    <cellStyle name="Normal 6" xfId="35" xr:uid="{11599C55-E3F4-46EC-B7D3-65F75C46FCA4}"/>
    <cellStyle name="Normal 72" xfId="32" xr:uid="{9CB2D564-9DF4-4D9C-B1E4-BD331469B86B}"/>
    <cellStyle name="Normal 8" xfId="12" xr:uid="{58534AD9-7916-478A-A9F1-0462037A1FEC}"/>
    <cellStyle name="Normal 9" xfId="8" xr:uid="{93A86AC0-49E3-4B08-85E9-0569D134CF47}"/>
    <cellStyle name="Normal 9 6" xfId="29" xr:uid="{1BD78D70-AA43-4588-A83F-7E19D6F844BC}"/>
    <cellStyle name="Normal_A&amp;gallc1999" xfId="33" xr:uid="{CEB38DB1-3144-46DF-B857-A948191A94EC}"/>
    <cellStyle name="Normal_Statement BK (2008)" xfId="31" xr:uid="{E33084F8-D32C-4C66-BD1C-FCBCDEFC0451}"/>
    <cellStyle name="Percent" xfId="3" builtinId="5"/>
    <cellStyle name="Percent 10" xfId="22" xr:uid="{B490E828-D192-4B31-8202-A310DC6CA985}"/>
    <cellStyle name="Percent 2" xfId="10" xr:uid="{68EB3EBF-0DBC-4DCD-9C99-F0A5ACE39AE1}"/>
    <cellStyle name="Percent 2 2 2 5" xfId="28" xr:uid="{7D4F2786-915E-414B-845A-E96F963CFB53}"/>
    <cellStyle name="Percent 2 2 7" xfId="19" xr:uid="{5A9F584C-5A92-4511-A46C-F74B3A7E28AD}"/>
    <cellStyle name="Percent 3" xfId="15" xr:uid="{FBAD6B6B-6164-430F-99AF-69F81C056F17}"/>
  </cellStyles>
  <dxfs count="0"/>
  <tableStyles count="1" defaultTableStyle="TableStyleMedium2" defaultPivotStyle="PivotStyleLight16">
    <tableStyle name="Invisible" pivot="0" table="0" count="0" xr9:uid="{18931ED0-C2D3-4B75-9B70-620299FB7B3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1531939</xdr:colOff>
      <xdr:row>91</xdr:row>
      <xdr:rowOff>9525</xdr:rowOff>
    </xdr:from>
    <xdr:to>
      <xdr:col>1</xdr:col>
      <xdr:colOff>3581077</xdr:colOff>
      <xdr:row>91</xdr:row>
      <xdr:rowOff>9525</xdr:rowOff>
    </xdr:to>
    <xdr:sp macro="" textlink="">
      <xdr:nvSpPr>
        <xdr:cNvPr id="12" name="Line 1">
          <a:extLst>
            <a:ext uri="{FF2B5EF4-FFF2-40B4-BE49-F238E27FC236}">
              <a16:creationId xmlns:a16="http://schemas.microsoft.com/office/drawing/2014/main" id="{5BA19295-2C7C-48AE-A4EE-6BEEF6ED12EC}"/>
            </a:ext>
          </a:extLst>
        </xdr:cNvPr>
        <xdr:cNvSpPr>
          <a:spLocks noChangeShapeType="1"/>
        </xdr:cNvSpPr>
      </xdr:nvSpPr>
      <xdr:spPr bwMode="auto">
        <a:xfrm>
          <a:off x="1908177" y="1804987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103</xdr:row>
      <xdr:rowOff>-1</xdr:rowOff>
    </xdr:from>
    <xdr:to>
      <xdr:col>2</xdr:col>
      <xdr:colOff>312424</xdr:colOff>
      <xdr:row>103</xdr:row>
      <xdr:rowOff>7936</xdr:rowOff>
    </xdr:to>
    <xdr:sp macro="" textlink="">
      <xdr:nvSpPr>
        <xdr:cNvPr id="13" name="Line 2">
          <a:extLst>
            <a:ext uri="{FF2B5EF4-FFF2-40B4-BE49-F238E27FC236}">
              <a16:creationId xmlns:a16="http://schemas.microsoft.com/office/drawing/2014/main" id="{11E2471F-5AB0-49A0-AF05-6D3FD3E81144}"/>
            </a:ext>
          </a:extLst>
        </xdr:cNvPr>
        <xdr:cNvSpPr>
          <a:spLocks noChangeShapeType="1"/>
        </xdr:cNvSpPr>
      </xdr:nvSpPr>
      <xdr:spPr bwMode="auto">
        <a:xfrm>
          <a:off x="1765305" y="20388262"/>
          <a:ext cx="28857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91</xdr:row>
      <xdr:rowOff>9525</xdr:rowOff>
    </xdr:from>
    <xdr:to>
      <xdr:col>1</xdr:col>
      <xdr:colOff>3581077</xdr:colOff>
      <xdr:row>91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DB4D460-015B-48AA-A6D5-65253218F347}"/>
            </a:ext>
          </a:extLst>
        </xdr:cNvPr>
        <xdr:cNvSpPr>
          <a:spLocks noChangeShapeType="1"/>
        </xdr:cNvSpPr>
      </xdr:nvSpPr>
      <xdr:spPr bwMode="auto">
        <a:xfrm>
          <a:off x="1906589" y="1826577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103</xdr:row>
      <xdr:rowOff>-1</xdr:rowOff>
    </xdr:from>
    <xdr:to>
      <xdr:col>2</xdr:col>
      <xdr:colOff>312424</xdr:colOff>
      <xdr:row>103</xdr:row>
      <xdr:rowOff>7936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86BD83BE-2AC5-4632-91E9-9F88295D82F9}"/>
            </a:ext>
          </a:extLst>
        </xdr:cNvPr>
        <xdr:cNvSpPr>
          <a:spLocks noChangeShapeType="1"/>
        </xdr:cNvSpPr>
      </xdr:nvSpPr>
      <xdr:spPr bwMode="auto">
        <a:xfrm>
          <a:off x="1763717" y="20618449"/>
          <a:ext cx="27968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137</xdr:row>
      <xdr:rowOff>9525</xdr:rowOff>
    </xdr:from>
    <xdr:to>
      <xdr:col>1</xdr:col>
      <xdr:colOff>3581077</xdr:colOff>
      <xdr:row>137</xdr:row>
      <xdr:rowOff>9525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D9361475-8CAA-4D57-BA72-FF381CF02CA1}"/>
            </a:ext>
          </a:extLst>
        </xdr:cNvPr>
        <xdr:cNvSpPr>
          <a:spLocks noChangeShapeType="1"/>
        </xdr:cNvSpPr>
      </xdr:nvSpPr>
      <xdr:spPr bwMode="auto">
        <a:xfrm>
          <a:off x="1906589" y="2726372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137</xdr:row>
      <xdr:rowOff>9525</xdr:rowOff>
    </xdr:from>
    <xdr:to>
      <xdr:col>1</xdr:col>
      <xdr:colOff>3581077</xdr:colOff>
      <xdr:row>137</xdr:row>
      <xdr:rowOff>9525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625E24-863C-49AF-B662-1C3E5E2420C7}"/>
            </a:ext>
          </a:extLst>
        </xdr:cNvPr>
        <xdr:cNvSpPr>
          <a:spLocks noChangeShapeType="1"/>
        </xdr:cNvSpPr>
      </xdr:nvSpPr>
      <xdr:spPr bwMode="auto">
        <a:xfrm>
          <a:off x="1906589" y="2726372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149</xdr:row>
      <xdr:rowOff>-1</xdr:rowOff>
    </xdr:from>
    <xdr:to>
      <xdr:col>2</xdr:col>
      <xdr:colOff>312424</xdr:colOff>
      <xdr:row>149</xdr:row>
      <xdr:rowOff>7936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799EC190-8564-40F2-B670-1A66460D626F}"/>
            </a:ext>
          </a:extLst>
        </xdr:cNvPr>
        <xdr:cNvSpPr>
          <a:spLocks noChangeShapeType="1"/>
        </xdr:cNvSpPr>
      </xdr:nvSpPr>
      <xdr:spPr bwMode="auto">
        <a:xfrm>
          <a:off x="1763717" y="29616399"/>
          <a:ext cx="27968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1531939</xdr:colOff>
      <xdr:row>92</xdr:row>
      <xdr:rowOff>9525</xdr:rowOff>
    </xdr:from>
    <xdr:to>
      <xdr:col>1</xdr:col>
      <xdr:colOff>3581077</xdr:colOff>
      <xdr:row>92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555F21C6-AEEF-4284-A4E8-4AD6F5019A5A}"/>
            </a:ext>
          </a:extLst>
        </xdr:cNvPr>
        <xdr:cNvSpPr>
          <a:spLocks noChangeShapeType="1"/>
        </xdr:cNvSpPr>
      </xdr:nvSpPr>
      <xdr:spPr bwMode="auto">
        <a:xfrm>
          <a:off x="1906589" y="18418175"/>
          <a:ext cx="204596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104</xdr:row>
      <xdr:rowOff>-1</xdr:rowOff>
    </xdr:from>
    <xdr:to>
      <xdr:col>2</xdr:col>
      <xdr:colOff>312424</xdr:colOff>
      <xdr:row>104</xdr:row>
      <xdr:rowOff>7936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FA25E2C2-0A60-4310-85B6-D1F8764FF49D}"/>
            </a:ext>
          </a:extLst>
        </xdr:cNvPr>
        <xdr:cNvSpPr>
          <a:spLocks noChangeShapeType="1"/>
        </xdr:cNvSpPr>
      </xdr:nvSpPr>
      <xdr:spPr bwMode="auto">
        <a:xfrm>
          <a:off x="1760542" y="20812124"/>
          <a:ext cx="2803207" cy="1111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137</xdr:row>
      <xdr:rowOff>9525</xdr:rowOff>
    </xdr:from>
    <xdr:to>
      <xdr:col>1</xdr:col>
      <xdr:colOff>3581077</xdr:colOff>
      <xdr:row>137</xdr:row>
      <xdr:rowOff>9525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4723431E-AC1D-4C73-B237-BFE7B181B4DD}"/>
            </a:ext>
          </a:extLst>
        </xdr:cNvPr>
        <xdr:cNvSpPr>
          <a:spLocks noChangeShapeType="1"/>
        </xdr:cNvSpPr>
      </xdr:nvSpPr>
      <xdr:spPr bwMode="auto">
        <a:xfrm>
          <a:off x="1906589" y="27543125"/>
          <a:ext cx="204596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137</xdr:row>
      <xdr:rowOff>9525</xdr:rowOff>
    </xdr:from>
    <xdr:to>
      <xdr:col>1</xdr:col>
      <xdr:colOff>3581077</xdr:colOff>
      <xdr:row>137</xdr:row>
      <xdr:rowOff>9525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BD815F2C-4824-4752-A978-535DECEC8BBF}"/>
            </a:ext>
          </a:extLst>
        </xdr:cNvPr>
        <xdr:cNvSpPr>
          <a:spLocks noChangeShapeType="1"/>
        </xdr:cNvSpPr>
      </xdr:nvSpPr>
      <xdr:spPr bwMode="auto">
        <a:xfrm>
          <a:off x="1906589" y="27543125"/>
          <a:ext cx="204596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149</xdr:row>
      <xdr:rowOff>-1</xdr:rowOff>
    </xdr:from>
    <xdr:to>
      <xdr:col>2</xdr:col>
      <xdr:colOff>312424</xdr:colOff>
      <xdr:row>149</xdr:row>
      <xdr:rowOff>7936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901D2502-AE28-4E63-B8D9-C2EB833195A1}"/>
            </a:ext>
          </a:extLst>
        </xdr:cNvPr>
        <xdr:cNvSpPr>
          <a:spLocks noChangeShapeType="1"/>
        </xdr:cNvSpPr>
      </xdr:nvSpPr>
      <xdr:spPr bwMode="auto">
        <a:xfrm>
          <a:off x="1760542" y="29937074"/>
          <a:ext cx="2803207" cy="1111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7F4FA-0A0E-40DE-9FDB-A6DFD3FD9E4F}">
  <sheetPr codeName="Sheet1">
    <pageSetUpPr fitToPage="1"/>
  </sheetPr>
  <dimension ref="A2:H41"/>
  <sheetViews>
    <sheetView tabSelected="1" zoomScale="80" zoomScaleNormal="80" workbookViewId="0"/>
  </sheetViews>
  <sheetFormatPr defaultColWidth="9.1796875" defaultRowHeight="14.5" x14ac:dyDescent="0.35"/>
  <cols>
    <col min="1" max="1" width="4.81640625" style="1" bestFit="1" customWidth="1"/>
    <col min="2" max="2" width="74.54296875" style="1" customWidth="1"/>
    <col min="3" max="3" width="1.54296875" style="1" customWidth="1"/>
    <col min="4" max="4" width="20.81640625" style="1" customWidth="1"/>
    <col min="5" max="5" width="1.54296875" style="1" customWidth="1"/>
    <col min="6" max="6" width="40.54296875" style="1" customWidth="1"/>
    <col min="7" max="7" width="4.81640625" style="1" customWidth="1"/>
    <col min="8" max="8" width="21.1796875" style="1" customWidth="1"/>
    <col min="9" max="16384" width="9.1796875" style="1"/>
  </cols>
  <sheetData>
    <row r="2" spans="1:8" ht="17.5" x14ac:dyDescent="0.35">
      <c r="B2" s="2" t="s">
        <v>0</v>
      </c>
      <c r="C2" s="2"/>
      <c r="D2" s="3"/>
      <c r="E2" s="3"/>
      <c r="F2" s="3"/>
    </row>
    <row r="3" spans="1:8" ht="17.5" x14ac:dyDescent="0.35">
      <c r="B3" s="149" t="s">
        <v>621</v>
      </c>
      <c r="C3" s="2"/>
      <c r="D3" s="3"/>
      <c r="E3" s="3"/>
      <c r="F3" s="3"/>
    </row>
    <row r="4" spans="1:8" ht="17.5" x14ac:dyDescent="0.35">
      <c r="B4" s="763" t="s">
        <v>622</v>
      </c>
      <c r="C4" s="763"/>
      <c r="D4" s="763"/>
      <c r="E4" s="763"/>
      <c r="F4" s="763"/>
    </row>
    <row r="5" spans="1:8" ht="17.5" x14ac:dyDescent="0.35">
      <c r="B5" s="151" t="s">
        <v>625</v>
      </c>
      <c r="C5" s="2"/>
      <c r="D5" s="2"/>
      <c r="E5" s="2"/>
      <c r="F5" s="2"/>
    </row>
    <row r="6" spans="1:8" ht="15.5" x14ac:dyDescent="0.35">
      <c r="B6" s="762" t="s">
        <v>1</v>
      </c>
      <c r="C6" s="762"/>
      <c r="D6" s="762"/>
      <c r="E6" s="762"/>
      <c r="F6" s="762"/>
      <c r="G6" s="4"/>
      <c r="H6" s="4"/>
    </row>
    <row r="7" spans="1:8" ht="15.5" x14ac:dyDescent="0.35">
      <c r="B7" s="5"/>
      <c r="C7" s="5"/>
      <c r="D7" s="6"/>
      <c r="E7" s="7"/>
      <c r="F7" s="5"/>
      <c r="G7" s="5"/>
    </row>
    <row r="8" spans="1:8" ht="15.5" x14ac:dyDescent="0.35">
      <c r="A8" s="8" t="s">
        <v>2</v>
      </c>
      <c r="G8" s="8" t="s">
        <v>2</v>
      </c>
    </row>
    <row r="9" spans="1:8" ht="15.5" x14ac:dyDescent="0.35">
      <c r="A9" s="550" t="s">
        <v>3</v>
      </c>
      <c r="B9" s="9" t="s">
        <v>4</v>
      </c>
      <c r="C9" s="9"/>
      <c r="D9" s="9" t="s">
        <v>5</v>
      </c>
      <c r="E9" s="10"/>
      <c r="F9" s="9" t="s">
        <v>6</v>
      </c>
      <c r="G9" s="550" t="s">
        <v>3</v>
      </c>
    </row>
    <row r="10" spans="1:8" ht="15.5" x14ac:dyDescent="0.35">
      <c r="A10" s="8"/>
      <c r="B10" s="5"/>
      <c r="C10" s="5"/>
      <c r="D10" s="11"/>
      <c r="E10" s="11"/>
      <c r="F10" s="11"/>
      <c r="G10" s="8"/>
    </row>
    <row r="11" spans="1:8" ht="15.5" x14ac:dyDescent="0.35">
      <c r="A11" s="8">
        <v>1</v>
      </c>
      <c r="B11" s="7" t="s">
        <v>626</v>
      </c>
      <c r="C11" s="7"/>
      <c r="D11" s="11"/>
      <c r="E11" s="11"/>
      <c r="F11" s="11"/>
      <c r="G11" s="8">
        <v>1</v>
      </c>
    </row>
    <row r="12" spans="1:8" ht="15.5" x14ac:dyDescent="0.35">
      <c r="A12" s="8">
        <f>A11+1</f>
        <v>2</v>
      </c>
      <c r="B12" s="7"/>
      <c r="C12" s="7"/>
      <c r="D12" s="11"/>
      <c r="E12" s="11"/>
      <c r="F12" s="11"/>
      <c r="G12" s="8">
        <f>G11+1</f>
        <v>2</v>
      </c>
    </row>
    <row r="13" spans="1:8" ht="31" x14ac:dyDescent="0.35">
      <c r="A13" s="34">
        <f>A12+1</f>
        <v>3</v>
      </c>
      <c r="B13" s="156" t="s">
        <v>623</v>
      </c>
      <c r="C13" s="12"/>
      <c r="D13" s="13">
        <f>'Pg2 Appendix XII C5 Comparison'!G28</f>
        <v>13.081818921232752</v>
      </c>
      <c r="E13" s="13"/>
      <c r="F13" s="11" t="s">
        <v>7</v>
      </c>
      <c r="G13" s="34">
        <f>G12+1</f>
        <v>3</v>
      </c>
    </row>
    <row r="14" spans="1:8" ht="15.5" x14ac:dyDescent="0.35">
      <c r="A14" s="8">
        <f t="shared" ref="A14:A21" si="0">A13+1</f>
        <v>4</v>
      </c>
      <c r="B14" s="5"/>
      <c r="C14" s="11"/>
      <c r="D14" s="13"/>
      <c r="E14" s="13"/>
      <c r="F14" s="11"/>
      <c r="G14" s="8">
        <f t="shared" ref="G14:G21" si="1">G13+1</f>
        <v>4</v>
      </c>
    </row>
    <row r="15" spans="1:8" ht="15.5" x14ac:dyDescent="0.35">
      <c r="A15" s="8">
        <f t="shared" si="0"/>
        <v>5</v>
      </c>
      <c r="B15" s="5" t="s">
        <v>8</v>
      </c>
      <c r="C15" s="11"/>
      <c r="D15" s="551">
        <f>'Pg14 Appendix XII C5 Int Calc'!G52</f>
        <v>1.813886769365014</v>
      </c>
      <c r="E15" s="14"/>
      <c r="F15" s="11" t="s">
        <v>645</v>
      </c>
      <c r="G15" s="8">
        <f t="shared" si="1"/>
        <v>5</v>
      </c>
    </row>
    <row r="16" spans="1:8" ht="15.5" x14ac:dyDescent="0.35">
      <c r="A16" s="8">
        <f t="shared" si="0"/>
        <v>6</v>
      </c>
      <c r="B16" s="5"/>
      <c r="C16" s="11"/>
      <c r="D16" s="15"/>
      <c r="E16" s="15"/>
      <c r="F16" s="11"/>
      <c r="G16" s="8">
        <f t="shared" si="1"/>
        <v>6</v>
      </c>
    </row>
    <row r="17" spans="1:8" ht="15.5" x14ac:dyDescent="0.35">
      <c r="A17" s="8">
        <f t="shared" si="0"/>
        <v>7</v>
      </c>
      <c r="B17" s="448" t="s">
        <v>9</v>
      </c>
      <c r="C17" s="10"/>
      <c r="D17" s="447">
        <f>D13+D15</f>
        <v>14.895705690597767</v>
      </c>
      <c r="E17" s="13"/>
      <c r="F17" s="11" t="s">
        <v>10</v>
      </c>
      <c r="G17" s="8">
        <f t="shared" si="1"/>
        <v>7</v>
      </c>
      <c r="H17" s="725"/>
    </row>
    <row r="18" spans="1:8" ht="15.5" x14ac:dyDescent="0.35">
      <c r="A18" s="8">
        <f t="shared" si="0"/>
        <v>8</v>
      </c>
      <c r="B18" s="5"/>
      <c r="C18" s="11"/>
      <c r="D18" s="150"/>
      <c r="E18" s="5"/>
      <c r="F18" s="5"/>
      <c r="G18" s="8">
        <f t="shared" si="1"/>
        <v>8</v>
      </c>
    </row>
    <row r="19" spans="1:8" ht="15.5" x14ac:dyDescent="0.35">
      <c r="A19" s="8">
        <f t="shared" si="0"/>
        <v>9</v>
      </c>
      <c r="B19" s="252" t="s">
        <v>11</v>
      </c>
      <c r="C19" s="11"/>
      <c r="D19" s="552">
        <v>12</v>
      </c>
      <c r="E19" s="5"/>
      <c r="F19" s="5"/>
      <c r="G19" s="8">
        <f t="shared" si="1"/>
        <v>9</v>
      </c>
    </row>
    <row r="20" spans="1:8" ht="15.5" x14ac:dyDescent="0.35">
      <c r="A20" s="8">
        <f t="shared" si="0"/>
        <v>10</v>
      </c>
      <c r="B20" s="5"/>
      <c r="C20" s="11"/>
      <c r="D20" s="150"/>
      <c r="E20" s="5"/>
      <c r="F20" s="5"/>
      <c r="G20" s="8">
        <f t="shared" si="1"/>
        <v>10</v>
      </c>
    </row>
    <row r="21" spans="1:8" ht="16" thickBot="1" x14ac:dyDescent="0.4">
      <c r="A21" s="8">
        <f t="shared" si="0"/>
        <v>11</v>
      </c>
      <c r="B21" s="448" t="s">
        <v>12</v>
      </c>
      <c r="C21" s="5"/>
      <c r="D21" s="527">
        <f>D17/12</f>
        <v>1.241308807549814</v>
      </c>
      <c r="E21" s="5"/>
      <c r="F21" s="11" t="s">
        <v>13</v>
      </c>
      <c r="G21" s="8">
        <f t="shared" si="1"/>
        <v>11</v>
      </c>
      <c r="H21" s="726"/>
    </row>
    <row r="22" spans="1:8" ht="16" thickTop="1" x14ac:dyDescent="0.35">
      <c r="A22" s="8"/>
      <c r="B22" s="152"/>
      <c r="C22" s="5"/>
      <c r="D22" s="323"/>
      <c r="E22" s="5"/>
      <c r="F22" s="5"/>
      <c r="G22" s="5"/>
    </row>
    <row r="23" spans="1:8" ht="15.5" x14ac:dyDescent="0.35">
      <c r="B23" s="5"/>
      <c r="C23" s="5"/>
      <c r="D23" s="5"/>
      <c r="E23" s="5"/>
      <c r="F23" s="5"/>
      <c r="G23" s="5"/>
    </row>
    <row r="24" spans="1:8" ht="17" x14ac:dyDescent="0.35">
      <c r="A24" s="16">
        <v>1</v>
      </c>
      <c r="B24" s="17" t="s">
        <v>624</v>
      </c>
      <c r="C24" s="5"/>
      <c r="D24" s="5"/>
      <c r="E24" s="5"/>
      <c r="F24" s="5"/>
      <c r="G24" s="5"/>
    </row>
    <row r="25" spans="1:8" ht="15.5" x14ac:dyDescent="0.35">
      <c r="B25" s="17" t="s">
        <v>648</v>
      </c>
      <c r="C25" s="5"/>
      <c r="D25" s="5"/>
      <c r="E25" s="5"/>
      <c r="F25" s="5"/>
      <c r="G25" s="5"/>
    </row>
    <row r="26" spans="1:8" ht="15.5" x14ac:dyDescent="0.35">
      <c r="B26" s="5"/>
      <c r="C26" s="5"/>
      <c r="D26" s="5"/>
      <c r="E26" s="5"/>
      <c r="F26" s="5"/>
      <c r="G26" s="5"/>
    </row>
    <row r="27" spans="1:8" ht="15.5" x14ac:dyDescent="0.35">
      <c r="B27" s="5"/>
      <c r="C27" s="5"/>
      <c r="D27" s="5"/>
      <c r="E27" s="5"/>
      <c r="F27" s="5"/>
      <c r="G27" s="5"/>
    </row>
    <row r="28" spans="1:8" ht="15.5" x14ac:dyDescent="0.35">
      <c r="B28" s="5"/>
      <c r="C28" s="5"/>
      <c r="D28" s="5"/>
      <c r="E28" s="5"/>
      <c r="F28" s="5"/>
      <c r="G28" s="5"/>
    </row>
    <row r="29" spans="1:8" ht="17" x14ac:dyDescent="0.35">
      <c r="A29" s="16"/>
      <c r="B29" s="5"/>
      <c r="C29" s="5"/>
      <c r="D29" s="5"/>
      <c r="E29" s="5"/>
      <c r="F29" s="5"/>
      <c r="G29" s="5"/>
    </row>
    <row r="30" spans="1:8" ht="15.5" x14ac:dyDescent="0.35">
      <c r="B30" s="5"/>
      <c r="C30" s="5"/>
      <c r="D30" s="5"/>
      <c r="E30" s="5"/>
      <c r="F30" s="5"/>
      <c r="G30" s="5"/>
    </row>
    <row r="31" spans="1:8" ht="15.5" x14ac:dyDescent="0.35">
      <c r="B31" s="5"/>
      <c r="C31" s="5"/>
      <c r="D31" s="5"/>
      <c r="E31" s="5"/>
      <c r="F31" s="5"/>
      <c r="G31" s="5"/>
    </row>
    <row r="32" spans="1:8" ht="15.5" x14ac:dyDescent="0.35">
      <c r="B32" s="5"/>
      <c r="C32" s="5"/>
      <c r="D32" s="5"/>
      <c r="E32" s="5"/>
      <c r="F32" s="5"/>
      <c r="G32" s="5"/>
    </row>
    <row r="33" spans="2:7" ht="15.5" x14ac:dyDescent="0.35">
      <c r="B33" s="5"/>
      <c r="C33" s="5"/>
      <c r="D33" s="5"/>
      <c r="E33" s="5"/>
      <c r="F33" s="5"/>
      <c r="G33" s="5"/>
    </row>
    <row r="34" spans="2:7" ht="15.5" x14ac:dyDescent="0.35">
      <c r="B34" s="5"/>
      <c r="C34" s="5"/>
      <c r="D34" s="5"/>
      <c r="E34" s="5"/>
      <c r="F34" s="5"/>
      <c r="G34" s="5"/>
    </row>
    <row r="35" spans="2:7" ht="15.5" x14ac:dyDescent="0.35">
      <c r="B35" s="5"/>
      <c r="C35" s="5"/>
      <c r="D35" s="5"/>
      <c r="E35" s="5"/>
      <c r="F35" s="5"/>
      <c r="G35" s="5"/>
    </row>
    <row r="36" spans="2:7" ht="15.5" x14ac:dyDescent="0.35">
      <c r="B36" s="5"/>
      <c r="C36" s="5"/>
      <c r="D36" s="5"/>
      <c r="E36" s="5"/>
      <c r="F36" s="5"/>
      <c r="G36" s="5"/>
    </row>
    <row r="37" spans="2:7" ht="15.5" x14ac:dyDescent="0.35">
      <c r="B37" s="5"/>
      <c r="C37" s="5"/>
      <c r="D37" s="5"/>
      <c r="E37" s="5"/>
      <c r="F37" s="5"/>
      <c r="G37" s="5"/>
    </row>
    <row r="38" spans="2:7" ht="15.5" x14ac:dyDescent="0.35">
      <c r="B38" s="5"/>
      <c r="C38" s="5"/>
      <c r="D38" s="5"/>
      <c r="E38" s="5"/>
      <c r="F38" s="5"/>
      <c r="G38" s="5"/>
    </row>
    <row r="39" spans="2:7" ht="15.5" x14ac:dyDescent="0.35">
      <c r="B39" s="5"/>
      <c r="C39" s="5"/>
      <c r="D39" s="5"/>
      <c r="E39" s="5"/>
      <c r="F39" s="5"/>
      <c r="G39" s="5"/>
    </row>
    <row r="40" spans="2:7" ht="15.5" x14ac:dyDescent="0.35">
      <c r="B40" s="5"/>
      <c r="C40" s="5"/>
      <c r="D40" s="5"/>
      <c r="E40" s="5"/>
      <c r="F40" s="5"/>
      <c r="G40" s="5"/>
    </row>
    <row r="41" spans="2:7" ht="15.5" x14ac:dyDescent="0.35">
      <c r="B41" s="5"/>
      <c r="C41" s="5"/>
      <c r="D41" s="5"/>
      <c r="E41" s="5"/>
      <c r="F41" s="5"/>
      <c r="G41" s="5"/>
    </row>
  </sheetData>
  <mergeCells count="2">
    <mergeCell ref="B6:F6"/>
    <mergeCell ref="B4:F4"/>
  </mergeCells>
  <printOptions horizontalCentered="1"/>
  <pageMargins left="0.25" right="0.25" top="0.5" bottom="0.5" header="0.25" footer="0.25"/>
  <pageSetup scale="68" orientation="portrait" r:id="rId1"/>
  <headerFooter scaleWithDoc="0" alignWithMargins="0">
    <oddFooter>&amp;L&amp;F&amp;CPage 1&amp;R&amp;A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55409-8AFD-4739-8EB0-BE49F1F5B5BC}">
  <sheetPr>
    <pageSetUpPr fitToPage="1"/>
  </sheetPr>
  <dimension ref="A1:J73"/>
  <sheetViews>
    <sheetView zoomScale="80" zoomScaleNormal="80" workbookViewId="0"/>
  </sheetViews>
  <sheetFormatPr defaultColWidth="8.81640625" defaultRowHeight="15.5" x14ac:dyDescent="0.35"/>
  <cols>
    <col min="1" max="1" width="5.1796875" style="34" bestFit="1" customWidth="1"/>
    <col min="2" max="2" width="80.54296875" style="35" customWidth="1"/>
    <col min="3" max="3" width="21.1796875" style="35" customWidth="1"/>
    <col min="4" max="4" width="1.54296875" style="35" customWidth="1"/>
    <col min="5" max="5" width="16.81640625" style="35" customWidth="1"/>
    <col min="6" max="6" width="1.54296875" style="35" customWidth="1"/>
    <col min="7" max="7" width="47.54296875" style="35" customWidth="1"/>
    <col min="8" max="8" width="5.1796875" style="35" customWidth="1"/>
    <col min="9" max="9" width="8.81640625" style="35"/>
    <col min="10" max="10" width="20.453125" style="35" bestFit="1" customWidth="1"/>
    <col min="11" max="16384" width="8.81640625" style="35"/>
  </cols>
  <sheetData>
    <row r="1" spans="1:8" x14ac:dyDescent="0.35">
      <c r="A1" s="565" t="s">
        <v>639</v>
      </c>
    </row>
    <row r="2" spans="1:8" x14ac:dyDescent="0.35">
      <c r="G2" s="34"/>
      <c r="H2" s="34"/>
    </row>
    <row r="3" spans="1:8" x14ac:dyDescent="0.35">
      <c r="B3" s="773" t="s">
        <v>14</v>
      </c>
      <c r="C3" s="773"/>
      <c r="D3" s="773"/>
      <c r="E3" s="773"/>
      <c r="F3" s="773"/>
      <c r="G3" s="773"/>
      <c r="H3" s="34"/>
    </row>
    <row r="4" spans="1:8" x14ac:dyDescent="0.35">
      <c r="B4" s="773" t="s">
        <v>176</v>
      </c>
      <c r="C4" s="773"/>
      <c r="D4" s="773"/>
      <c r="E4" s="773"/>
      <c r="F4" s="773"/>
      <c r="G4" s="773"/>
      <c r="H4" s="34"/>
    </row>
    <row r="5" spans="1:8" x14ac:dyDescent="0.35">
      <c r="B5" s="773" t="s">
        <v>177</v>
      </c>
      <c r="C5" s="773"/>
      <c r="D5" s="773"/>
      <c r="E5" s="773"/>
      <c r="F5" s="773"/>
      <c r="G5" s="773"/>
      <c r="H5" s="34"/>
    </row>
    <row r="6" spans="1:8" x14ac:dyDescent="0.35">
      <c r="B6" s="775" t="s">
        <v>496</v>
      </c>
      <c r="C6" s="775"/>
      <c r="D6" s="775"/>
      <c r="E6" s="775"/>
      <c r="F6" s="775"/>
      <c r="G6" s="775"/>
      <c r="H6" s="34"/>
    </row>
    <row r="7" spans="1:8" x14ac:dyDescent="0.35">
      <c r="B7" s="771" t="s">
        <v>1</v>
      </c>
      <c r="C7" s="774"/>
      <c r="D7" s="774"/>
      <c r="E7" s="774"/>
      <c r="F7" s="774"/>
      <c r="G7" s="774"/>
      <c r="H7" s="34"/>
    </row>
    <row r="8" spans="1:8" x14ac:dyDescent="0.35">
      <c r="B8" s="34"/>
      <c r="C8" s="34"/>
      <c r="D8" s="34"/>
      <c r="E8" s="37"/>
      <c r="F8" s="37"/>
      <c r="G8" s="34"/>
      <c r="H8" s="34"/>
    </row>
    <row r="9" spans="1:8" x14ac:dyDescent="0.35">
      <c r="A9" s="34" t="s">
        <v>2</v>
      </c>
      <c r="B9" s="324"/>
      <c r="C9" s="34" t="s">
        <v>178</v>
      </c>
      <c r="D9" s="324"/>
      <c r="E9" s="38"/>
      <c r="F9" s="38"/>
      <c r="G9" s="34"/>
      <c r="H9" s="34" t="s">
        <v>2</v>
      </c>
    </row>
    <row r="10" spans="1:8" x14ac:dyDescent="0.35">
      <c r="A10" s="34" t="s">
        <v>3</v>
      </c>
      <c r="C10" s="566" t="s">
        <v>179</v>
      </c>
      <c r="D10" s="324"/>
      <c r="E10" s="567" t="s">
        <v>5</v>
      </c>
      <c r="F10" s="38"/>
      <c r="G10" s="566" t="s">
        <v>6</v>
      </c>
      <c r="H10" s="34" t="s">
        <v>3</v>
      </c>
    </row>
    <row r="11" spans="1:8" x14ac:dyDescent="0.35">
      <c r="C11" s="324"/>
      <c r="D11" s="324"/>
      <c r="E11" s="38"/>
      <c r="F11" s="38"/>
      <c r="G11" s="34"/>
      <c r="H11" s="34"/>
    </row>
    <row r="12" spans="1:8" x14ac:dyDescent="0.35">
      <c r="A12" s="34">
        <v>1</v>
      </c>
      <c r="B12" s="292" t="s">
        <v>180</v>
      </c>
      <c r="C12" s="324"/>
      <c r="D12" s="324"/>
      <c r="E12" s="38"/>
      <c r="F12" s="38"/>
      <c r="G12" s="34"/>
      <c r="H12" s="34">
        <f>A12</f>
        <v>1</v>
      </c>
    </row>
    <row r="13" spans="1:8" x14ac:dyDescent="0.35">
      <c r="A13" s="34">
        <f>+A12+1</f>
        <v>2</v>
      </c>
      <c r="B13" s="252" t="s">
        <v>181</v>
      </c>
      <c r="C13" s="324"/>
      <c r="D13" s="324"/>
      <c r="E13" s="40">
        <v>0</v>
      </c>
      <c r="F13" s="38"/>
      <c r="G13" s="34" t="s">
        <v>637</v>
      </c>
      <c r="H13" s="34">
        <f>H12+1</f>
        <v>2</v>
      </c>
    </row>
    <row r="14" spans="1:8" x14ac:dyDescent="0.35">
      <c r="A14" s="34">
        <f t="shared" ref="A14:A69" si="0">+A13+1</f>
        <v>3</v>
      </c>
      <c r="C14" s="324"/>
      <c r="D14" s="324"/>
      <c r="E14" s="38"/>
      <c r="F14" s="38"/>
      <c r="G14" s="34"/>
      <c r="H14" s="34">
        <f t="shared" ref="H14:H69" si="1">H13+1</f>
        <v>3</v>
      </c>
    </row>
    <row r="15" spans="1:8" x14ac:dyDescent="0.35">
      <c r="A15" s="34">
        <f t="shared" si="0"/>
        <v>4</v>
      </c>
      <c r="B15" s="292" t="s">
        <v>182</v>
      </c>
      <c r="G15" s="34"/>
      <c r="H15" s="34">
        <f t="shared" si="1"/>
        <v>4</v>
      </c>
    </row>
    <row r="16" spans="1:8" x14ac:dyDescent="0.35">
      <c r="A16" s="34">
        <f t="shared" si="0"/>
        <v>5</v>
      </c>
      <c r="B16" s="18" t="s">
        <v>183</v>
      </c>
      <c r="C16" s="34"/>
      <c r="E16" s="40">
        <v>109950.11891999999</v>
      </c>
      <c r="G16" s="34" t="s">
        <v>184</v>
      </c>
      <c r="H16" s="34">
        <f t="shared" si="1"/>
        <v>5</v>
      </c>
    </row>
    <row r="17" spans="1:8" x14ac:dyDescent="0.35">
      <c r="A17" s="34">
        <f t="shared" si="0"/>
        <v>6</v>
      </c>
      <c r="B17" s="23" t="s">
        <v>185</v>
      </c>
      <c r="E17" s="42"/>
      <c r="G17" s="34"/>
      <c r="H17" s="34">
        <f t="shared" si="1"/>
        <v>6</v>
      </c>
    </row>
    <row r="18" spans="1:8" x14ac:dyDescent="0.35">
      <c r="A18" s="34">
        <f t="shared" si="0"/>
        <v>7</v>
      </c>
      <c r="B18" s="18" t="s">
        <v>186</v>
      </c>
      <c r="C18" s="34"/>
      <c r="E18" s="43">
        <v>-3844.3684500000004</v>
      </c>
      <c r="G18" s="34" t="s">
        <v>591</v>
      </c>
      <c r="H18" s="34">
        <f t="shared" si="1"/>
        <v>7</v>
      </c>
    </row>
    <row r="19" spans="1:8" x14ac:dyDescent="0.35">
      <c r="A19" s="34">
        <f t="shared" si="0"/>
        <v>8</v>
      </c>
      <c r="B19" s="18" t="s">
        <v>188</v>
      </c>
      <c r="E19" s="43">
        <v>-1815.5599299999999</v>
      </c>
      <c r="G19" s="34" t="s">
        <v>592</v>
      </c>
      <c r="H19" s="34">
        <f t="shared" si="1"/>
        <v>8</v>
      </c>
    </row>
    <row r="20" spans="1:8" x14ac:dyDescent="0.35">
      <c r="A20" s="34">
        <f t="shared" si="0"/>
        <v>9</v>
      </c>
      <c r="B20" s="252" t="s">
        <v>190</v>
      </c>
      <c r="E20" s="43">
        <v>-8258.6720000000005</v>
      </c>
      <c r="G20" s="34" t="s">
        <v>187</v>
      </c>
      <c r="H20" s="34">
        <f t="shared" si="1"/>
        <v>9</v>
      </c>
    </row>
    <row r="21" spans="1:8" x14ac:dyDescent="0.35">
      <c r="A21" s="34">
        <f t="shared" si="0"/>
        <v>10</v>
      </c>
      <c r="B21" s="252" t="s">
        <v>633</v>
      </c>
      <c r="E21" s="43">
        <v>-10149.41</v>
      </c>
      <c r="G21" s="34" t="s">
        <v>189</v>
      </c>
      <c r="H21" s="34">
        <f t="shared" si="1"/>
        <v>10</v>
      </c>
    </row>
    <row r="22" spans="1:8" x14ac:dyDescent="0.35">
      <c r="A22" s="34">
        <f t="shared" si="0"/>
        <v>11</v>
      </c>
      <c r="B22" s="18" t="s">
        <v>192</v>
      </c>
      <c r="E22" s="43">
        <v>0</v>
      </c>
      <c r="G22" s="34" t="s">
        <v>191</v>
      </c>
      <c r="H22" s="34">
        <f t="shared" si="1"/>
        <v>11</v>
      </c>
    </row>
    <row r="23" spans="1:8" x14ac:dyDescent="0.35">
      <c r="A23" s="34">
        <f t="shared" si="0"/>
        <v>12</v>
      </c>
      <c r="B23" s="18" t="s">
        <v>193</v>
      </c>
      <c r="E23" s="43">
        <v>-3708.41851</v>
      </c>
      <c r="G23" s="34" t="s">
        <v>593</v>
      </c>
      <c r="H23" s="34">
        <f t="shared" si="1"/>
        <v>12</v>
      </c>
    </row>
    <row r="24" spans="1:8" x14ac:dyDescent="0.35">
      <c r="A24" s="34">
        <f t="shared" si="0"/>
        <v>13</v>
      </c>
      <c r="B24" s="252" t="s">
        <v>194</v>
      </c>
      <c r="E24" s="43">
        <v>-19573.862000000001</v>
      </c>
      <c r="G24" s="34" t="s">
        <v>594</v>
      </c>
      <c r="H24" s="34">
        <f t="shared" si="1"/>
        <v>13</v>
      </c>
    </row>
    <row r="25" spans="1:8" x14ac:dyDescent="0.35">
      <c r="A25" s="34">
        <f t="shared" si="0"/>
        <v>14</v>
      </c>
      <c r="B25" s="252" t="s">
        <v>195</v>
      </c>
      <c r="E25" s="43">
        <v>-24432.907999999999</v>
      </c>
      <c r="G25" s="34" t="s">
        <v>595</v>
      </c>
      <c r="H25" s="34">
        <f t="shared" si="1"/>
        <v>14</v>
      </c>
    </row>
    <row r="26" spans="1:8" x14ac:dyDescent="0.35">
      <c r="A26" s="34">
        <f t="shared" si="0"/>
        <v>15</v>
      </c>
      <c r="B26" s="252" t="s">
        <v>196</v>
      </c>
      <c r="E26" s="43">
        <v>-423.899</v>
      </c>
      <c r="G26" s="34" t="s">
        <v>638</v>
      </c>
      <c r="H26" s="34">
        <f t="shared" si="1"/>
        <v>15</v>
      </c>
    </row>
    <row r="27" spans="1:8" x14ac:dyDescent="0.35">
      <c r="A27" s="34">
        <f t="shared" si="0"/>
        <v>16</v>
      </c>
      <c r="B27" s="18" t="s">
        <v>197</v>
      </c>
      <c r="E27" s="44">
        <v>-105.63984000000001</v>
      </c>
      <c r="G27" s="34" t="s">
        <v>486</v>
      </c>
      <c r="H27" s="34">
        <f t="shared" si="1"/>
        <v>16</v>
      </c>
    </row>
    <row r="28" spans="1:8" x14ac:dyDescent="0.35">
      <c r="A28" s="34">
        <f t="shared" si="0"/>
        <v>17</v>
      </c>
      <c r="B28" s="18" t="s">
        <v>198</v>
      </c>
      <c r="E28" s="97">
        <f>SUM(E16:E27)</f>
        <v>37637.381189999978</v>
      </c>
      <c r="G28" s="29" t="s">
        <v>596</v>
      </c>
      <c r="H28" s="34">
        <f t="shared" si="1"/>
        <v>17</v>
      </c>
    </row>
    <row r="29" spans="1:8" x14ac:dyDescent="0.35">
      <c r="A29" s="34">
        <f t="shared" si="0"/>
        <v>18</v>
      </c>
      <c r="E29" s="33"/>
      <c r="H29" s="34">
        <f t="shared" si="1"/>
        <v>18</v>
      </c>
    </row>
    <row r="30" spans="1:8" x14ac:dyDescent="0.35">
      <c r="A30" s="34">
        <f t="shared" si="0"/>
        <v>19</v>
      </c>
      <c r="B30" s="293" t="s">
        <v>199</v>
      </c>
      <c r="E30" s="45"/>
      <c r="G30" s="34"/>
      <c r="H30" s="34">
        <f t="shared" si="1"/>
        <v>19</v>
      </c>
    </row>
    <row r="31" spans="1:8" x14ac:dyDescent="0.35">
      <c r="A31" s="34">
        <f t="shared" si="0"/>
        <v>20</v>
      </c>
      <c r="B31" s="23" t="s">
        <v>200</v>
      </c>
      <c r="C31" s="34"/>
      <c r="E31" s="40">
        <v>656998.86427999998</v>
      </c>
      <c r="G31" s="34" t="s">
        <v>597</v>
      </c>
      <c r="H31" s="34">
        <f t="shared" si="1"/>
        <v>20</v>
      </c>
    </row>
    <row r="32" spans="1:8" x14ac:dyDescent="0.35">
      <c r="A32" s="34">
        <f t="shared" si="0"/>
        <v>21</v>
      </c>
      <c r="B32" s="23" t="s">
        <v>201</v>
      </c>
      <c r="E32" s="45" t="s">
        <v>202</v>
      </c>
      <c r="G32" s="34"/>
      <c r="H32" s="34">
        <f t="shared" si="1"/>
        <v>21</v>
      </c>
    </row>
    <row r="33" spans="1:10" x14ac:dyDescent="0.35">
      <c r="A33" s="34">
        <f t="shared" si="0"/>
        <v>22</v>
      </c>
      <c r="B33" s="41" t="s">
        <v>203</v>
      </c>
      <c r="E33" s="43">
        <v>-5025.3662400000003</v>
      </c>
      <c r="G33" s="34" t="s">
        <v>487</v>
      </c>
      <c r="H33" s="34">
        <f t="shared" si="1"/>
        <v>22</v>
      </c>
      <c r="I33" s="294"/>
      <c r="J33" s="47"/>
    </row>
    <row r="34" spans="1:10" ht="31" x14ac:dyDescent="0.35">
      <c r="A34" s="34">
        <f t="shared" si="0"/>
        <v>23</v>
      </c>
      <c r="B34" s="41" t="s">
        <v>204</v>
      </c>
      <c r="E34" s="43">
        <v>-13176.468442261001</v>
      </c>
      <c r="G34" s="46" t="s">
        <v>634</v>
      </c>
      <c r="H34" s="34">
        <f t="shared" si="1"/>
        <v>23</v>
      </c>
      <c r="I34" s="294"/>
      <c r="J34" s="47"/>
    </row>
    <row r="35" spans="1:10" x14ac:dyDescent="0.35">
      <c r="A35" s="34">
        <f t="shared" si="0"/>
        <v>24</v>
      </c>
      <c r="B35" s="41" t="s">
        <v>205</v>
      </c>
      <c r="E35" s="43">
        <v>0</v>
      </c>
      <c r="G35" s="34" t="s">
        <v>488</v>
      </c>
      <c r="H35" s="34">
        <f t="shared" si="1"/>
        <v>24</v>
      </c>
    </row>
    <row r="36" spans="1:10" x14ac:dyDescent="0.35">
      <c r="A36" s="34">
        <f t="shared" si="0"/>
        <v>25</v>
      </c>
      <c r="B36" s="41" t="s">
        <v>206</v>
      </c>
      <c r="E36" s="43">
        <v>-617.17561999999998</v>
      </c>
      <c r="G36" s="34" t="s">
        <v>489</v>
      </c>
      <c r="H36" s="34">
        <f t="shared" si="1"/>
        <v>25</v>
      </c>
      <c r="J36" s="47"/>
    </row>
    <row r="37" spans="1:10" x14ac:dyDescent="0.35">
      <c r="A37" s="34">
        <f t="shared" si="0"/>
        <v>26</v>
      </c>
      <c r="B37" s="41" t="s">
        <v>635</v>
      </c>
      <c r="E37" s="43">
        <v>-22235.548999999999</v>
      </c>
      <c r="G37" s="34" t="s">
        <v>490</v>
      </c>
      <c r="H37" s="34">
        <f t="shared" si="1"/>
        <v>26</v>
      </c>
      <c r="J37" s="47"/>
    </row>
    <row r="38" spans="1:10" x14ac:dyDescent="0.35">
      <c r="A38" s="34">
        <f t="shared" si="0"/>
        <v>27</v>
      </c>
      <c r="B38" s="41" t="s">
        <v>207</v>
      </c>
      <c r="E38" s="43">
        <v>0</v>
      </c>
      <c r="G38" s="497" t="s">
        <v>491</v>
      </c>
      <c r="H38" s="34">
        <f t="shared" si="1"/>
        <v>27</v>
      </c>
      <c r="J38" s="47"/>
    </row>
    <row r="39" spans="1:10" x14ac:dyDescent="0.35">
      <c r="A39" s="34">
        <f t="shared" si="0"/>
        <v>28</v>
      </c>
      <c r="B39" s="41" t="s">
        <v>208</v>
      </c>
      <c r="E39" s="43">
        <v>-66.134640000000005</v>
      </c>
      <c r="G39" s="46" t="s">
        <v>492</v>
      </c>
      <c r="H39" s="34">
        <f t="shared" si="1"/>
        <v>28</v>
      </c>
      <c r="I39" s="294"/>
    </row>
    <row r="40" spans="1:10" x14ac:dyDescent="0.35">
      <c r="A40" s="34">
        <f t="shared" si="0"/>
        <v>29</v>
      </c>
      <c r="B40" s="41" t="s">
        <v>209</v>
      </c>
      <c r="E40" s="43">
        <v>-128579.84063999999</v>
      </c>
      <c r="G40" s="34" t="s">
        <v>493</v>
      </c>
      <c r="H40" s="34">
        <f t="shared" si="1"/>
        <v>29</v>
      </c>
      <c r="I40" s="294"/>
      <c r="J40" s="47"/>
    </row>
    <row r="41" spans="1:10" x14ac:dyDescent="0.35">
      <c r="A41" s="34">
        <f t="shared" si="0"/>
        <v>30</v>
      </c>
      <c r="B41" s="41" t="s">
        <v>210</v>
      </c>
      <c r="E41" s="43">
        <v>-25.724845446</v>
      </c>
      <c r="G41" s="46" t="s">
        <v>494</v>
      </c>
      <c r="H41" s="34">
        <f t="shared" si="1"/>
        <v>30</v>
      </c>
    </row>
    <row r="42" spans="1:10" x14ac:dyDescent="0.35">
      <c r="A42" s="34">
        <f t="shared" si="0"/>
        <v>31</v>
      </c>
      <c r="B42" s="41" t="s">
        <v>211</v>
      </c>
      <c r="E42" s="43">
        <v>-964.92977000000019</v>
      </c>
      <c r="G42" s="46" t="s">
        <v>495</v>
      </c>
      <c r="H42" s="34">
        <f t="shared" si="1"/>
        <v>31</v>
      </c>
    </row>
    <row r="43" spans="1:10" ht="31" x14ac:dyDescent="0.35">
      <c r="A43" s="34">
        <f t="shared" si="0"/>
        <v>32</v>
      </c>
      <c r="B43" s="41" t="s">
        <v>212</v>
      </c>
      <c r="E43" s="634">
        <v>-9748.0802954320006</v>
      </c>
      <c r="G43" s="46" t="s">
        <v>636</v>
      </c>
      <c r="H43" s="34">
        <f t="shared" si="1"/>
        <v>32</v>
      </c>
    </row>
    <row r="44" spans="1:10" x14ac:dyDescent="0.35">
      <c r="A44" s="34">
        <f t="shared" si="0"/>
        <v>33</v>
      </c>
      <c r="B44" s="23" t="s">
        <v>214</v>
      </c>
      <c r="E44" s="635">
        <f>SUM(E31:E43)</f>
        <v>476559.59478686104</v>
      </c>
      <c r="G44" s="34" t="s">
        <v>598</v>
      </c>
      <c r="H44" s="34">
        <f t="shared" si="1"/>
        <v>33</v>
      </c>
      <c r="J44" s="48"/>
    </row>
    <row r="45" spans="1:10" x14ac:dyDescent="0.35">
      <c r="A45" s="34">
        <f t="shared" si="0"/>
        <v>34</v>
      </c>
      <c r="B45" s="23" t="s">
        <v>215</v>
      </c>
      <c r="E45" s="634">
        <v>-8615.7170000000006</v>
      </c>
      <c r="G45" s="34" t="s">
        <v>216</v>
      </c>
      <c r="H45" s="34">
        <f t="shared" si="1"/>
        <v>34</v>
      </c>
    </row>
    <row r="46" spans="1:10" x14ac:dyDescent="0.35">
      <c r="A46" s="34">
        <f t="shared" si="0"/>
        <v>35</v>
      </c>
      <c r="B46" s="23" t="s">
        <v>217</v>
      </c>
      <c r="E46" s="635">
        <f>SUM(E44:E45)</f>
        <v>467943.87778686103</v>
      </c>
      <c r="G46" s="34" t="s">
        <v>599</v>
      </c>
      <c r="H46" s="34">
        <f t="shared" si="1"/>
        <v>35</v>
      </c>
    </row>
    <row r="47" spans="1:10" x14ac:dyDescent="0.35">
      <c r="A47" s="34">
        <f t="shared" si="0"/>
        <v>36</v>
      </c>
      <c r="B47" s="18" t="s">
        <v>218</v>
      </c>
      <c r="E47" s="636">
        <v>0.10978650001623282</v>
      </c>
      <c r="G47" s="29" t="s">
        <v>219</v>
      </c>
      <c r="H47" s="34">
        <f t="shared" si="1"/>
        <v>36</v>
      </c>
    </row>
    <row r="48" spans="1:10" x14ac:dyDescent="0.35">
      <c r="A48" s="34">
        <f t="shared" si="0"/>
        <v>37</v>
      </c>
      <c r="B48" s="23" t="s">
        <v>220</v>
      </c>
      <c r="E48" s="637">
        <f>E46*E47</f>
        <v>51373.920546243266</v>
      </c>
      <c r="G48" s="34" t="s">
        <v>600</v>
      </c>
      <c r="H48" s="34">
        <f t="shared" si="1"/>
        <v>37</v>
      </c>
    </row>
    <row r="49" spans="1:9" x14ac:dyDescent="0.35">
      <c r="A49" s="34">
        <f t="shared" si="0"/>
        <v>38</v>
      </c>
      <c r="B49" s="35" t="s">
        <v>221</v>
      </c>
      <c r="E49" s="748">
        <f>E69*(-E45)</f>
        <v>3397.2150926655927</v>
      </c>
      <c r="G49" s="34" t="s">
        <v>601</v>
      </c>
      <c r="H49" s="34">
        <f t="shared" si="1"/>
        <v>38</v>
      </c>
    </row>
    <row r="50" spans="1:9" ht="16" thickBot="1" x14ac:dyDescent="0.4">
      <c r="A50" s="34">
        <f t="shared" si="0"/>
        <v>39</v>
      </c>
      <c r="B50" s="41" t="s">
        <v>222</v>
      </c>
      <c r="E50" s="638">
        <f>E49+E48</f>
        <v>54771.135638908861</v>
      </c>
      <c r="G50" s="34" t="s">
        <v>602</v>
      </c>
      <c r="H50" s="34">
        <f t="shared" si="1"/>
        <v>39</v>
      </c>
      <c r="I50" s="41"/>
    </row>
    <row r="51" spans="1:9" ht="16" thickTop="1" x14ac:dyDescent="0.35">
      <c r="A51" s="34">
        <f t="shared" si="0"/>
        <v>40</v>
      </c>
      <c r="B51" s="51"/>
      <c r="E51" s="52"/>
      <c r="G51" s="34"/>
      <c r="H51" s="34">
        <f t="shared" si="1"/>
        <v>40</v>
      </c>
    </row>
    <row r="52" spans="1:9" x14ac:dyDescent="0.35">
      <c r="A52" s="34">
        <f t="shared" si="0"/>
        <v>41</v>
      </c>
      <c r="B52" s="25" t="s">
        <v>223</v>
      </c>
      <c r="E52" s="53"/>
      <c r="G52" s="34"/>
      <c r="H52" s="34">
        <f t="shared" si="1"/>
        <v>41</v>
      </c>
    </row>
    <row r="53" spans="1:9" x14ac:dyDescent="0.35">
      <c r="A53" s="34">
        <f t="shared" si="0"/>
        <v>42</v>
      </c>
      <c r="B53" s="23" t="s">
        <v>224</v>
      </c>
      <c r="E53" s="30">
        <v>7121919.3161269231</v>
      </c>
      <c r="G53" s="34" t="s">
        <v>225</v>
      </c>
      <c r="H53" s="34">
        <f t="shared" si="1"/>
        <v>42</v>
      </c>
    </row>
    <row r="54" spans="1:9" x14ac:dyDescent="0.35">
      <c r="A54" s="34">
        <f t="shared" si="0"/>
        <v>43</v>
      </c>
      <c r="B54" s="23" t="s">
        <v>226</v>
      </c>
      <c r="E54" s="54">
        <v>0</v>
      </c>
      <c r="G54" s="34" t="s">
        <v>227</v>
      </c>
      <c r="H54" s="34">
        <f t="shared" si="1"/>
        <v>43</v>
      </c>
    </row>
    <row r="55" spans="1:9" x14ac:dyDescent="0.35">
      <c r="A55" s="34">
        <f t="shared" si="0"/>
        <v>44</v>
      </c>
      <c r="B55" s="23" t="s">
        <v>228</v>
      </c>
      <c r="E55" s="55">
        <v>55230.055232987666</v>
      </c>
      <c r="G55" s="56" t="s">
        <v>229</v>
      </c>
      <c r="H55" s="34">
        <f t="shared" si="1"/>
        <v>44</v>
      </c>
    </row>
    <row r="56" spans="1:9" x14ac:dyDescent="0.35">
      <c r="A56" s="34">
        <f t="shared" si="0"/>
        <v>45</v>
      </c>
      <c r="B56" s="23" t="s">
        <v>230</v>
      </c>
      <c r="E56" s="639">
        <v>149909.32883735534</v>
      </c>
      <c r="G56" s="56" t="s">
        <v>231</v>
      </c>
      <c r="H56" s="34">
        <f t="shared" si="1"/>
        <v>45</v>
      </c>
    </row>
    <row r="57" spans="1:9" ht="16" thickBot="1" x14ac:dyDescent="0.4">
      <c r="A57" s="34">
        <f t="shared" si="0"/>
        <v>46</v>
      </c>
      <c r="B57" s="23" t="s">
        <v>232</v>
      </c>
      <c r="E57" s="57">
        <f>SUM(E53:E56)</f>
        <v>7327058.7001972664</v>
      </c>
      <c r="G57" s="34" t="s">
        <v>603</v>
      </c>
      <c r="H57" s="34">
        <f t="shared" si="1"/>
        <v>46</v>
      </c>
      <c r="I57" s="41"/>
    </row>
    <row r="58" spans="1:9" ht="16" thickTop="1" x14ac:dyDescent="0.35">
      <c r="A58" s="34">
        <f t="shared" si="0"/>
        <v>47</v>
      </c>
      <c r="B58" s="51"/>
      <c r="E58" s="33"/>
      <c r="G58" s="34"/>
      <c r="H58" s="34">
        <f t="shared" si="1"/>
        <v>47</v>
      </c>
    </row>
    <row r="59" spans="1:9" x14ac:dyDescent="0.35">
      <c r="A59" s="34">
        <f t="shared" si="0"/>
        <v>48</v>
      </c>
      <c r="B59" s="23" t="s">
        <v>233</v>
      </c>
      <c r="E59" s="58">
        <f>E53</f>
        <v>7121919.3161269231</v>
      </c>
      <c r="G59" s="59" t="s">
        <v>604</v>
      </c>
      <c r="H59" s="34">
        <f t="shared" si="1"/>
        <v>48</v>
      </c>
    </row>
    <row r="60" spans="1:9" x14ac:dyDescent="0.35">
      <c r="A60" s="34">
        <f t="shared" si="0"/>
        <v>49</v>
      </c>
      <c r="B60" s="23" t="s">
        <v>234</v>
      </c>
      <c r="E60" s="31">
        <v>566175.05046153837</v>
      </c>
      <c r="G60" s="56" t="s">
        <v>235</v>
      </c>
      <c r="H60" s="34">
        <f t="shared" si="1"/>
        <v>49</v>
      </c>
    </row>
    <row r="61" spans="1:9" x14ac:dyDescent="0.35">
      <c r="A61" s="34">
        <f t="shared" si="0"/>
        <v>50</v>
      </c>
      <c r="B61" s="23" t="s">
        <v>236</v>
      </c>
      <c r="E61" s="54">
        <v>0</v>
      </c>
      <c r="G61" s="34" t="s">
        <v>227</v>
      </c>
      <c r="H61" s="34">
        <f t="shared" si="1"/>
        <v>50</v>
      </c>
    </row>
    <row r="62" spans="1:9" x14ac:dyDescent="0.35">
      <c r="A62" s="34">
        <f t="shared" si="0"/>
        <v>51</v>
      </c>
      <c r="B62" s="23" t="s">
        <v>237</v>
      </c>
      <c r="E62" s="31">
        <v>542749.88971846167</v>
      </c>
      <c r="G62" s="56" t="s">
        <v>238</v>
      </c>
      <c r="H62" s="34">
        <f t="shared" si="1"/>
        <v>51</v>
      </c>
    </row>
    <row r="63" spans="1:9" x14ac:dyDescent="0.35">
      <c r="A63" s="34">
        <f t="shared" si="0"/>
        <v>52</v>
      </c>
      <c r="B63" s="23" t="s">
        <v>239</v>
      </c>
      <c r="E63" s="31">
        <v>8482865.0223850012</v>
      </c>
      <c r="G63" s="56" t="s">
        <v>240</v>
      </c>
      <c r="H63" s="34">
        <f t="shared" si="1"/>
        <v>52</v>
      </c>
    </row>
    <row r="64" spans="1:9" x14ac:dyDescent="0.35">
      <c r="A64" s="34">
        <f t="shared" si="0"/>
        <v>53</v>
      </c>
      <c r="B64" s="41" t="s">
        <v>226</v>
      </c>
      <c r="E64" s="54">
        <v>0</v>
      </c>
      <c r="G64" s="34" t="s">
        <v>227</v>
      </c>
      <c r="H64" s="34">
        <f t="shared" si="1"/>
        <v>53</v>
      </c>
    </row>
    <row r="65" spans="1:9" x14ac:dyDescent="0.35">
      <c r="A65" s="34">
        <f t="shared" si="0"/>
        <v>54</v>
      </c>
      <c r="B65" s="23" t="s">
        <v>241</v>
      </c>
      <c r="E65" s="31">
        <v>503067.82004000002</v>
      </c>
      <c r="G65" s="56" t="s">
        <v>242</v>
      </c>
      <c r="H65" s="34">
        <f t="shared" si="1"/>
        <v>54</v>
      </c>
    </row>
    <row r="66" spans="1:9" x14ac:dyDescent="0.35">
      <c r="A66" s="34">
        <f t="shared" si="0"/>
        <v>55</v>
      </c>
      <c r="B66" s="23" t="s">
        <v>243</v>
      </c>
      <c r="E66" s="640">
        <v>1365462.3183650998</v>
      </c>
      <c r="G66" s="56" t="s">
        <v>244</v>
      </c>
      <c r="H66" s="34">
        <f t="shared" si="1"/>
        <v>55</v>
      </c>
    </row>
    <row r="67" spans="1:9" ht="16" thickBot="1" x14ac:dyDescent="0.4">
      <c r="A67" s="34">
        <f t="shared" si="0"/>
        <v>56</v>
      </c>
      <c r="B67" s="23" t="s">
        <v>245</v>
      </c>
      <c r="E67" s="60">
        <f>SUM(E59:E66)</f>
        <v>18582239.417097025</v>
      </c>
      <c r="G67" s="34" t="s">
        <v>605</v>
      </c>
      <c r="H67" s="34">
        <f t="shared" si="1"/>
        <v>56</v>
      </c>
      <c r="I67" s="41"/>
    </row>
    <row r="68" spans="1:9" ht="16" thickTop="1" x14ac:dyDescent="0.35">
      <c r="A68" s="34">
        <f t="shared" si="0"/>
        <v>57</v>
      </c>
      <c r="E68" s="61"/>
      <c r="G68" s="34"/>
      <c r="H68" s="34">
        <f t="shared" si="1"/>
        <v>57</v>
      </c>
    </row>
    <row r="69" spans="1:9" ht="19" thickBot="1" x14ac:dyDescent="0.4">
      <c r="A69" s="34">
        <f t="shared" si="0"/>
        <v>58</v>
      </c>
      <c r="B69" s="23" t="s">
        <v>246</v>
      </c>
      <c r="E69" s="62">
        <f>E57/E67</f>
        <v>0.3943043965656709</v>
      </c>
      <c r="G69" s="34" t="s">
        <v>606</v>
      </c>
      <c r="H69" s="34">
        <f t="shared" si="1"/>
        <v>58</v>
      </c>
      <c r="I69" s="41"/>
    </row>
    <row r="70" spans="1:9" ht="16" thickTop="1" x14ac:dyDescent="0.35">
      <c r="B70" s="41" t="s">
        <v>202</v>
      </c>
      <c r="E70" s="63"/>
      <c r="G70" s="34"/>
      <c r="H70" s="34"/>
    </row>
    <row r="71" spans="1:9" x14ac:dyDescent="0.35">
      <c r="B71" s="23"/>
      <c r="E71" s="63"/>
      <c r="F71" s="63"/>
      <c r="G71" s="34"/>
      <c r="H71" s="34"/>
    </row>
    <row r="72" spans="1:9" ht="18" x14ac:dyDescent="0.35">
      <c r="A72" s="65">
        <v>1</v>
      </c>
      <c r="B72" s="23" t="s">
        <v>247</v>
      </c>
      <c r="H72" s="34"/>
    </row>
    <row r="73" spans="1:9" x14ac:dyDescent="0.35">
      <c r="B73" s="41"/>
      <c r="E73" s="61"/>
      <c r="F73" s="61"/>
      <c r="G73" s="34"/>
      <c r="H73" s="34"/>
    </row>
  </sheetData>
  <mergeCells count="5">
    <mergeCell ref="B3:G3"/>
    <mergeCell ref="B4:G4"/>
    <mergeCell ref="B5:G5"/>
    <mergeCell ref="B6:G6"/>
    <mergeCell ref="B7:G7"/>
  </mergeCells>
  <printOptions horizontalCentered="1"/>
  <pageMargins left="0.25" right="0.25" top="0.5" bottom="0.5" header="0.35" footer="0.25"/>
  <pageSetup scale="56" orientation="portrait" r:id="rId1"/>
  <headerFooter scaleWithDoc="0" alignWithMargins="0">
    <oddHeader>&amp;C&amp;"Times New Roman,Bold"&amp;7AS FILED</oddHeader>
    <oddFooter>&amp;L&amp;F&amp;CPage 8.1&amp;R&amp;A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68B7B-11AC-4A06-8AF1-90580E0BC2C7}">
  <sheetPr>
    <pageSetUpPr fitToPage="1"/>
  </sheetPr>
  <dimension ref="A2:O96"/>
  <sheetViews>
    <sheetView zoomScale="80" zoomScaleNormal="80" workbookViewId="0"/>
  </sheetViews>
  <sheetFormatPr defaultColWidth="9.1796875" defaultRowHeight="15.5" x14ac:dyDescent="0.35"/>
  <cols>
    <col min="1" max="1" width="5.1796875" style="453" customWidth="1"/>
    <col min="2" max="2" width="8.54296875" style="454" customWidth="1"/>
    <col min="3" max="3" width="68.54296875" style="454" customWidth="1"/>
    <col min="4" max="6" width="16.81640625" style="454" customWidth="1"/>
    <col min="7" max="7" width="2" style="454" bestFit="1" customWidth="1"/>
    <col min="8" max="8" width="11.54296875" style="454" bestFit="1" customWidth="1"/>
    <col min="9" max="9" width="2.453125" style="454" bestFit="1" customWidth="1"/>
    <col min="10" max="10" width="20.1796875" style="454" bestFit="1" customWidth="1"/>
    <col min="11" max="11" width="34.54296875" style="454" customWidth="1"/>
    <col min="12" max="12" width="5.1796875" style="453" customWidth="1"/>
    <col min="13" max="13" width="4" style="454" customWidth="1"/>
    <col min="14" max="14" width="13.453125" style="454" bestFit="1" customWidth="1"/>
    <col min="15" max="15" width="9.1796875" style="454"/>
    <col min="16" max="16" width="9.54296875" style="454" customWidth="1"/>
    <col min="17" max="17" width="10" style="454" customWidth="1"/>
    <col min="18" max="16384" width="9.1796875" style="454"/>
  </cols>
  <sheetData>
    <row r="2" spans="1:15" x14ac:dyDescent="0.35">
      <c r="B2" s="777" t="s">
        <v>14</v>
      </c>
      <c r="C2" s="777"/>
      <c r="D2" s="777"/>
      <c r="E2" s="777"/>
      <c r="F2" s="777"/>
      <c r="G2" s="777"/>
      <c r="H2" s="777"/>
      <c r="I2" s="777"/>
      <c r="J2" s="777"/>
      <c r="K2" s="777"/>
      <c r="L2" s="529"/>
    </row>
    <row r="3" spans="1:15" x14ac:dyDescent="0.35">
      <c r="B3" s="777" t="s">
        <v>248</v>
      </c>
      <c r="C3" s="777"/>
      <c r="D3" s="777"/>
      <c r="E3" s="777"/>
      <c r="F3" s="777"/>
      <c r="G3" s="777"/>
      <c r="H3" s="777"/>
      <c r="I3" s="777"/>
      <c r="J3" s="777"/>
      <c r="K3" s="777"/>
      <c r="L3" s="529"/>
    </row>
    <row r="4" spans="1:15" x14ac:dyDescent="0.35">
      <c r="B4" s="777" t="s">
        <v>521</v>
      </c>
      <c r="C4" s="777"/>
      <c r="D4" s="777"/>
      <c r="E4" s="777"/>
      <c r="F4" s="777"/>
      <c r="G4" s="777"/>
      <c r="H4" s="777"/>
      <c r="I4" s="777"/>
      <c r="J4" s="777"/>
      <c r="K4" s="777"/>
      <c r="L4" s="529"/>
      <c r="N4" s="641"/>
    </row>
    <row r="5" spans="1:15" x14ac:dyDescent="0.35">
      <c r="B5" s="776" t="s">
        <v>1</v>
      </c>
      <c r="C5" s="776"/>
      <c r="D5" s="776"/>
      <c r="E5" s="776"/>
      <c r="F5" s="776"/>
      <c r="G5" s="776"/>
      <c r="H5" s="776"/>
      <c r="I5" s="776"/>
      <c r="J5" s="776"/>
      <c r="K5" s="776"/>
      <c r="L5" s="529"/>
    </row>
    <row r="6" spans="1:15" ht="16" thickBot="1" x14ac:dyDescent="0.4">
      <c r="D6" s="455"/>
      <c r="E6" s="455"/>
      <c r="F6" s="455"/>
      <c r="G6" s="455"/>
      <c r="H6" s="455"/>
      <c r="I6" s="455"/>
      <c r="J6" s="455"/>
      <c r="K6" s="455"/>
      <c r="N6" s="35"/>
    </row>
    <row r="7" spans="1:15" x14ac:dyDescent="0.3">
      <c r="A7" s="529"/>
      <c r="B7" s="456"/>
      <c r="C7" s="457"/>
      <c r="D7" s="458" t="s">
        <v>249</v>
      </c>
      <c r="E7" s="459" t="s">
        <v>250</v>
      </c>
      <c r="F7" s="67" t="s">
        <v>251</v>
      </c>
      <c r="G7" s="68"/>
      <c r="H7" s="528" t="s">
        <v>649</v>
      </c>
      <c r="I7" s="69"/>
      <c r="J7" s="69" t="s">
        <v>650</v>
      </c>
      <c r="K7" s="460"/>
      <c r="L7" s="529"/>
    </row>
    <row r="8" spans="1:15" x14ac:dyDescent="0.3">
      <c r="A8" s="453" t="s">
        <v>2</v>
      </c>
      <c r="B8" s="461" t="s">
        <v>252</v>
      </c>
      <c r="C8" s="462"/>
      <c r="D8" s="463" t="s">
        <v>253</v>
      </c>
      <c r="E8" s="529" t="s">
        <v>254</v>
      </c>
      <c r="F8" s="463" t="s">
        <v>253</v>
      </c>
      <c r="G8" s="659"/>
      <c r="H8" s="153" t="s">
        <v>478</v>
      </c>
      <c r="I8" s="70"/>
      <c r="J8" s="70" t="s">
        <v>258</v>
      </c>
      <c r="K8" s="464"/>
      <c r="L8" s="453" t="s">
        <v>2</v>
      </c>
    </row>
    <row r="9" spans="1:15" ht="16" thickBot="1" x14ac:dyDescent="0.35">
      <c r="A9" s="453" t="s">
        <v>3</v>
      </c>
      <c r="B9" s="465" t="s">
        <v>255</v>
      </c>
      <c r="C9" s="466" t="s">
        <v>4</v>
      </c>
      <c r="D9" s="467" t="s">
        <v>256</v>
      </c>
      <c r="E9" s="466" t="s">
        <v>257</v>
      </c>
      <c r="F9" s="467" t="s">
        <v>258</v>
      </c>
      <c r="G9" s="468"/>
      <c r="H9" s="469" t="s">
        <v>660</v>
      </c>
      <c r="I9" s="470"/>
      <c r="J9" s="470" t="s">
        <v>661</v>
      </c>
      <c r="K9" s="471" t="s">
        <v>6</v>
      </c>
      <c r="L9" s="453" t="s">
        <v>3</v>
      </c>
      <c r="M9" s="453"/>
    </row>
    <row r="10" spans="1:15" x14ac:dyDescent="0.35">
      <c r="B10" s="472"/>
      <c r="C10" s="473" t="s">
        <v>259</v>
      </c>
      <c r="D10" s="474"/>
      <c r="E10" s="540"/>
      <c r="F10" s="475"/>
      <c r="G10" s="660"/>
      <c r="H10" s="660"/>
      <c r="I10" s="660"/>
      <c r="J10" s="541"/>
      <c r="K10" s="476"/>
    </row>
    <row r="11" spans="1:15" ht="18" x14ac:dyDescent="0.35">
      <c r="A11" s="453">
        <v>1</v>
      </c>
      <c r="B11" s="461">
        <v>920</v>
      </c>
      <c r="C11" s="477" t="s">
        <v>260</v>
      </c>
      <c r="D11" s="72">
        <v>62282.646999999997</v>
      </c>
      <c r="E11" s="72">
        <f>E34</f>
        <v>880.90825143900008</v>
      </c>
      <c r="F11" s="72">
        <f>D11-E11</f>
        <v>61401.738748560994</v>
      </c>
      <c r="G11" s="24" t="s">
        <v>24</v>
      </c>
      <c r="H11" s="75">
        <f>H35</f>
        <v>880.90824999999995</v>
      </c>
      <c r="I11" s="661">
        <v>3</v>
      </c>
      <c r="J11" s="76">
        <f>F11+H11</f>
        <v>62282.646998560995</v>
      </c>
      <c r="K11" s="71" t="s">
        <v>497</v>
      </c>
      <c r="L11" s="453">
        <f>A11</f>
        <v>1</v>
      </c>
      <c r="M11" s="454" t="s">
        <v>202</v>
      </c>
      <c r="N11" s="479"/>
    </row>
    <row r="12" spans="1:15" ht="18" x14ac:dyDescent="0.35">
      <c r="A12" s="453">
        <f t="shared" ref="A12:A76" si="0">A11+1</f>
        <v>2</v>
      </c>
      <c r="B12" s="461">
        <v>921</v>
      </c>
      <c r="C12" s="477" t="s">
        <v>261</v>
      </c>
      <c r="D12" s="73">
        <v>33307.565000000002</v>
      </c>
      <c r="E12" s="73">
        <f>E36</f>
        <v>7379.4532107689993</v>
      </c>
      <c r="F12" s="73">
        <f>D12-E12</f>
        <v>25928.111789231003</v>
      </c>
      <c r="G12" s="24" t="s">
        <v>24</v>
      </c>
      <c r="H12" s="558">
        <f>H37</f>
        <v>7379.4532099999997</v>
      </c>
      <c r="I12" s="661">
        <v>3</v>
      </c>
      <c r="J12" s="548">
        <f>F12+H12</f>
        <v>33307.564999231006</v>
      </c>
      <c r="K12" s="71" t="s">
        <v>498</v>
      </c>
      <c r="L12" s="453">
        <f t="shared" ref="L12:L76" si="1">L11+1</f>
        <v>2</v>
      </c>
      <c r="N12" s="479"/>
      <c r="O12" s="480"/>
    </row>
    <row r="13" spans="1:15" ht="18" x14ac:dyDescent="0.35">
      <c r="A13" s="453">
        <f t="shared" si="0"/>
        <v>3</v>
      </c>
      <c r="B13" s="472">
        <v>922</v>
      </c>
      <c r="C13" s="477" t="s">
        <v>262</v>
      </c>
      <c r="D13" s="73">
        <v>-20277.082999999999</v>
      </c>
      <c r="E13" s="73"/>
      <c r="F13" s="73">
        <f t="shared" ref="F13:F23" si="2">D13-E13</f>
        <v>-20277.082999999999</v>
      </c>
      <c r="G13" s="558"/>
      <c r="H13" s="558"/>
      <c r="I13" s="661"/>
      <c r="J13" s="73">
        <f t="shared" ref="J13:J24" si="3">F13+H13</f>
        <v>-20277.082999999999</v>
      </c>
      <c r="K13" s="71" t="s">
        <v>499</v>
      </c>
      <c r="L13" s="453">
        <f t="shared" si="1"/>
        <v>3</v>
      </c>
      <c r="N13" s="479"/>
    </row>
    <row r="14" spans="1:15" ht="18" x14ac:dyDescent="0.35">
      <c r="A14" s="453">
        <f t="shared" si="0"/>
        <v>4</v>
      </c>
      <c r="B14" s="461">
        <v>923</v>
      </c>
      <c r="C14" s="477" t="s">
        <v>263</v>
      </c>
      <c r="D14" s="73">
        <v>108586.773</v>
      </c>
      <c r="E14" s="73">
        <f>E39</f>
        <v>10897.358875796001</v>
      </c>
      <c r="F14" s="73">
        <f t="shared" si="2"/>
        <v>97689.414124204006</v>
      </c>
      <c r="G14" s="24" t="s">
        <v>24</v>
      </c>
      <c r="H14" s="558">
        <f>H40</f>
        <v>1396.4498799999999</v>
      </c>
      <c r="I14" s="661">
        <v>3</v>
      </c>
      <c r="J14" s="548">
        <f t="shared" si="3"/>
        <v>99085.864004204006</v>
      </c>
      <c r="K14" s="71" t="s">
        <v>500</v>
      </c>
      <c r="L14" s="453">
        <f t="shared" si="1"/>
        <v>4</v>
      </c>
      <c r="N14" s="479"/>
    </row>
    <row r="15" spans="1:15" ht="18" x14ac:dyDescent="0.35">
      <c r="A15" s="453">
        <f t="shared" si="0"/>
        <v>5</v>
      </c>
      <c r="B15" s="472">
        <v>924</v>
      </c>
      <c r="C15" s="477" t="s">
        <v>264</v>
      </c>
      <c r="D15" s="73">
        <v>8615.7170000000006</v>
      </c>
      <c r="E15" s="73"/>
      <c r="F15" s="73">
        <f t="shared" si="2"/>
        <v>8615.7170000000006</v>
      </c>
      <c r="G15" s="558"/>
      <c r="H15" s="558"/>
      <c r="I15" s="661"/>
      <c r="J15" s="73">
        <f t="shared" si="3"/>
        <v>8615.7170000000006</v>
      </c>
      <c r="K15" s="71" t="s">
        <v>501</v>
      </c>
      <c r="L15" s="453">
        <f t="shared" si="1"/>
        <v>5</v>
      </c>
      <c r="N15" s="479"/>
    </row>
    <row r="16" spans="1:15" ht="18" x14ac:dyDescent="0.35">
      <c r="A16" s="453">
        <f t="shared" si="0"/>
        <v>6</v>
      </c>
      <c r="B16" s="461">
        <v>925</v>
      </c>
      <c r="C16" s="477" t="s">
        <v>265</v>
      </c>
      <c r="D16" s="73">
        <v>215579.21799999999</v>
      </c>
      <c r="E16" s="73">
        <f>E45</f>
        <v>1418.4390198959995</v>
      </c>
      <c r="F16" s="73">
        <f t="shared" si="2"/>
        <v>214160.77898010399</v>
      </c>
      <c r="G16" s="24" t="s">
        <v>24</v>
      </c>
      <c r="H16" s="558">
        <f>H46</f>
        <v>995.92452000000003</v>
      </c>
      <c r="I16" s="661">
        <v>3</v>
      </c>
      <c r="J16" s="548">
        <f t="shared" si="3"/>
        <v>215156.70350010399</v>
      </c>
      <c r="K16" s="71" t="s">
        <v>502</v>
      </c>
      <c r="L16" s="453">
        <f t="shared" si="1"/>
        <v>6</v>
      </c>
      <c r="N16" s="479"/>
    </row>
    <row r="17" spans="1:14" ht="18" x14ac:dyDescent="0.35">
      <c r="A17" s="453">
        <f t="shared" si="0"/>
        <v>7</v>
      </c>
      <c r="B17" s="461">
        <v>926</v>
      </c>
      <c r="C17" s="477" t="s">
        <v>266</v>
      </c>
      <c r="D17" s="73">
        <v>56506.010999999999</v>
      </c>
      <c r="E17" s="73">
        <f>E50</f>
        <v>2076.6261635540004</v>
      </c>
      <c r="F17" s="73">
        <f t="shared" si="2"/>
        <v>54429.384836445999</v>
      </c>
      <c r="G17" s="24" t="s">
        <v>24</v>
      </c>
      <c r="H17" s="558">
        <f>H51</f>
        <v>1510.53378</v>
      </c>
      <c r="I17" s="661">
        <v>3</v>
      </c>
      <c r="J17" s="548">
        <f t="shared" si="3"/>
        <v>55939.918616445997</v>
      </c>
      <c r="K17" s="71" t="s">
        <v>503</v>
      </c>
      <c r="L17" s="453">
        <f t="shared" si="1"/>
        <v>7</v>
      </c>
      <c r="N17" s="642"/>
    </row>
    <row r="18" spans="1:14" x14ac:dyDescent="0.35">
      <c r="A18" s="453">
        <f t="shared" si="0"/>
        <v>8</v>
      </c>
      <c r="B18" s="472">
        <v>927</v>
      </c>
      <c r="C18" s="477" t="s">
        <v>267</v>
      </c>
      <c r="D18" s="73">
        <v>128579.841</v>
      </c>
      <c r="E18" s="73">
        <f>E52</f>
        <v>128579.84063999999</v>
      </c>
      <c r="F18" s="73">
        <f t="shared" si="2"/>
        <v>3.6000000545755029E-4</v>
      </c>
      <c r="G18" s="558"/>
      <c r="H18" s="558"/>
      <c r="I18" s="558"/>
      <c r="J18" s="73">
        <f t="shared" si="3"/>
        <v>3.6000000545755029E-4</v>
      </c>
      <c r="K18" s="71" t="s">
        <v>504</v>
      </c>
      <c r="L18" s="453">
        <f t="shared" si="1"/>
        <v>8</v>
      </c>
      <c r="N18" s="481"/>
    </row>
    <row r="19" spans="1:14" x14ac:dyDescent="0.35">
      <c r="A19" s="453">
        <f t="shared" si="0"/>
        <v>9</v>
      </c>
      <c r="B19" s="472">
        <v>928</v>
      </c>
      <c r="C19" s="477" t="s">
        <v>268</v>
      </c>
      <c r="D19" s="73">
        <v>35379.656000000003</v>
      </c>
      <c r="E19" s="73">
        <f>E57</f>
        <v>24075.693879999999</v>
      </c>
      <c r="F19" s="73">
        <f t="shared" si="2"/>
        <v>11303.962120000004</v>
      </c>
      <c r="G19" s="558"/>
      <c r="H19" s="558"/>
      <c r="I19" s="558"/>
      <c r="J19" s="73">
        <f t="shared" si="3"/>
        <v>11303.962120000004</v>
      </c>
      <c r="K19" s="71" t="s">
        <v>505</v>
      </c>
      <c r="L19" s="453">
        <f t="shared" si="1"/>
        <v>9</v>
      </c>
      <c r="N19" s="481"/>
    </row>
    <row r="20" spans="1:14" x14ac:dyDescent="0.35">
      <c r="A20" s="453">
        <f t="shared" si="0"/>
        <v>10</v>
      </c>
      <c r="B20" s="472">
        <v>929</v>
      </c>
      <c r="C20" s="477" t="s">
        <v>269</v>
      </c>
      <c r="D20" s="73">
        <v>-12933.800999999999</v>
      </c>
      <c r="E20" s="73"/>
      <c r="F20" s="73">
        <f t="shared" si="2"/>
        <v>-12933.800999999999</v>
      </c>
      <c r="G20" s="558"/>
      <c r="H20" s="558"/>
      <c r="I20" s="558"/>
      <c r="J20" s="73">
        <f t="shared" si="3"/>
        <v>-12933.800999999999</v>
      </c>
      <c r="K20" s="71" t="s">
        <v>506</v>
      </c>
      <c r="L20" s="453">
        <f t="shared" si="1"/>
        <v>10</v>
      </c>
      <c r="N20" s="479"/>
    </row>
    <row r="21" spans="1:14" x14ac:dyDescent="0.35">
      <c r="A21" s="453">
        <f t="shared" si="0"/>
        <v>11</v>
      </c>
      <c r="B21" s="482">
        <v>930.1</v>
      </c>
      <c r="C21" s="477" t="s">
        <v>270</v>
      </c>
      <c r="D21" s="73">
        <v>66.135000000000005</v>
      </c>
      <c r="E21" s="73">
        <f>E58</f>
        <v>66.134640000000005</v>
      </c>
      <c r="F21" s="73">
        <f t="shared" si="2"/>
        <v>3.6000000000058208E-4</v>
      </c>
      <c r="G21" s="558"/>
      <c r="H21" s="558"/>
      <c r="I21" s="558"/>
      <c r="J21" s="73">
        <f t="shared" si="3"/>
        <v>3.6000000000058208E-4</v>
      </c>
      <c r="K21" s="71" t="s">
        <v>507</v>
      </c>
      <c r="L21" s="453">
        <f t="shared" si="1"/>
        <v>11</v>
      </c>
      <c r="N21" s="479"/>
    </row>
    <row r="22" spans="1:14" ht="18" x14ac:dyDescent="0.35">
      <c r="A22" s="453">
        <f t="shared" si="0"/>
        <v>12</v>
      </c>
      <c r="B22" s="559">
        <v>930.2</v>
      </c>
      <c r="C22" s="477" t="s">
        <v>271</v>
      </c>
      <c r="D22" s="73">
        <v>10538.715</v>
      </c>
      <c r="E22" s="73">
        <f>E60</f>
        <v>5025.3699585660006</v>
      </c>
      <c r="F22" s="73">
        <f t="shared" si="2"/>
        <v>5513.3450414339995</v>
      </c>
      <c r="G22" s="24" t="s">
        <v>24</v>
      </c>
      <c r="H22" s="558">
        <f>H61</f>
        <v>3.7200000000000002E-3</v>
      </c>
      <c r="I22" s="661">
        <v>3</v>
      </c>
      <c r="J22" s="548">
        <f t="shared" si="3"/>
        <v>5513.3487614339992</v>
      </c>
      <c r="K22" s="71" t="s">
        <v>508</v>
      </c>
      <c r="L22" s="453">
        <f t="shared" si="1"/>
        <v>12</v>
      </c>
      <c r="N22" s="483"/>
    </row>
    <row r="23" spans="1:14" ht="18" x14ac:dyDescent="0.35">
      <c r="A23" s="453">
        <f t="shared" si="0"/>
        <v>13</v>
      </c>
      <c r="B23" s="461">
        <v>931</v>
      </c>
      <c r="C23" s="477" t="s">
        <v>272</v>
      </c>
      <c r="D23" s="73">
        <v>12351.503000000001</v>
      </c>
      <c r="E23" s="73">
        <f>E62</f>
        <v>13.720007673000001</v>
      </c>
      <c r="F23" s="73">
        <f t="shared" si="2"/>
        <v>12337.782992327</v>
      </c>
      <c r="G23" s="24" t="s">
        <v>24</v>
      </c>
      <c r="H23" s="558">
        <f>H63</f>
        <v>13.72001</v>
      </c>
      <c r="I23" s="661">
        <v>3</v>
      </c>
      <c r="J23" s="548">
        <f t="shared" si="3"/>
        <v>12351.503002326999</v>
      </c>
      <c r="K23" s="71" t="s">
        <v>509</v>
      </c>
      <c r="L23" s="453">
        <f t="shared" si="1"/>
        <v>13</v>
      </c>
      <c r="N23" s="479"/>
    </row>
    <row r="24" spans="1:14" x14ac:dyDescent="0.35">
      <c r="A24" s="453">
        <f t="shared" si="0"/>
        <v>14</v>
      </c>
      <c r="B24" s="472">
        <v>935</v>
      </c>
      <c r="C24" s="477" t="s">
        <v>273</v>
      </c>
      <c r="D24" s="404">
        <v>18209.169000000002</v>
      </c>
      <c r="E24" s="404">
        <f>E64</f>
        <v>25.724845446</v>
      </c>
      <c r="F24" s="404">
        <f>D24-E24</f>
        <v>18183.444154554003</v>
      </c>
      <c r="G24" s="560"/>
      <c r="H24" s="562"/>
      <c r="I24" s="562"/>
      <c r="J24" s="404">
        <f t="shared" si="3"/>
        <v>18183.444154554003</v>
      </c>
      <c r="K24" s="71" t="s">
        <v>510</v>
      </c>
      <c r="L24" s="453">
        <f t="shared" si="1"/>
        <v>14</v>
      </c>
      <c r="M24" s="454" t="s">
        <v>202</v>
      </c>
      <c r="N24" s="479"/>
    </row>
    <row r="25" spans="1:14" x14ac:dyDescent="0.35">
      <c r="A25" s="453">
        <f t="shared" si="0"/>
        <v>15</v>
      </c>
      <c r="B25" s="472"/>
      <c r="D25" s="484"/>
      <c r="E25" s="484"/>
      <c r="F25" s="484"/>
      <c r="J25" s="484"/>
      <c r="K25" s="485"/>
      <c r="L25" s="453">
        <f t="shared" si="1"/>
        <v>15</v>
      </c>
    </row>
    <row r="26" spans="1:14" ht="16" thickBot="1" x14ac:dyDescent="0.4">
      <c r="A26" s="453">
        <f t="shared" si="0"/>
        <v>16</v>
      </c>
      <c r="B26" s="472"/>
      <c r="C26" s="462" t="s">
        <v>274</v>
      </c>
      <c r="D26" s="486">
        <f>SUM(D11:D24)</f>
        <v>656792.06599999999</v>
      </c>
      <c r="E26" s="77">
        <f>SUM(E11:E24)</f>
        <v>180439.269493139</v>
      </c>
      <c r="F26" s="77">
        <f>SUM(F11:F24)</f>
        <v>476352.79650686105</v>
      </c>
      <c r="G26" s="78" t="s">
        <v>24</v>
      </c>
      <c r="H26" s="487">
        <f>SUM(H11:H24)</f>
        <v>12176.99337</v>
      </c>
      <c r="I26" s="79"/>
      <c r="J26" s="77">
        <f>SUM(J11:J24)</f>
        <v>488529.78987686103</v>
      </c>
      <c r="K26" s="81" t="str">
        <f>"Sum Lines "&amp;A11&amp;" thru "&amp;A24</f>
        <v>Sum Lines 1 thru 14</v>
      </c>
      <c r="L26" s="453">
        <f t="shared" si="1"/>
        <v>16</v>
      </c>
    </row>
    <row r="27" spans="1:14" ht="16" thickTop="1" x14ac:dyDescent="0.35">
      <c r="A27" s="453">
        <f t="shared" si="0"/>
        <v>17</v>
      </c>
      <c r="B27" s="472"/>
      <c r="C27" s="462"/>
      <c r="D27" s="488"/>
      <c r="E27" s="478"/>
      <c r="F27" s="76"/>
      <c r="G27" s="75"/>
      <c r="H27" s="75"/>
      <c r="I27" s="75"/>
      <c r="J27" s="76"/>
      <c r="K27" s="81"/>
      <c r="L27" s="453">
        <f t="shared" si="1"/>
        <v>17</v>
      </c>
    </row>
    <row r="28" spans="1:14" ht="18" x14ac:dyDescent="0.35">
      <c r="A28" s="453">
        <f t="shared" si="0"/>
        <v>18</v>
      </c>
      <c r="B28" s="472">
        <v>413</v>
      </c>
      <c r="C28" s="454" t="s">
        <v>275</v>
      </c>
      <c r="D28" s="404">
        <v>206.79828000000001</v>
      </c>
      <c r="E28" s="564">
        <v>0</v>
      </c>
      <c r="F28" s="404">
        <f>D28-E28</f>
        <v>206.79828000000001</v>
      </c>
      <c r="G28" s="560"/>
      <c r="H28" s="562"/>
      <c r="I28" s="564"/>
      <c r="J28" s="404">
        <f t="shared" ref="J28" si="4">F28+H28</f>
        <v>206.79828000000001</v>
      </c>
      <c r="K28" s="81"/>
      <c r="L28" s="453">
        <f t="shared" si="1"/>
        <v>18</v>
      </c>
      <c r="N28" s="644"/>
    </row>
    <row r="29" spans="1:14" x14ac:dyDescent="0.35">
      <c r="A29" s="453">
        <f t="shared" si="0"/>
        <v>19</v>
      </c>
      <c r="B29" s="472"/>
      <c r="C29" s="462"/>
      <c r="D29" s="488"/>
      <c r="E29" s="478"/>
      <c r="F29" s="76"/>
      <c r="G29" s="75"/>
      <c r="H29" s="75"/>
      <c r="I29" s="75"/>
      <c r="J29" s="76"/>
      <c r="K29" s="81"/>
      <c r="L29" s="453">
        <f t="shared" si="1"/>
        <v>19</v>
      </c>
    </row>
    <row r="30" spans="1:14" ht="16" thickBot="1" x14ac:dyDescent="0.4">
      <c r="A30" s="453">
        <f t="shared" si="0"/>
        <v>20</v>
      </c>
      <c r="B30" s="472"/>
      <c r="C30" s="462" t="s">
        <v>276</v>
      </c>
      <c r="D30" s="486">
        <f>D26+D28</f>
        <v>656998.86427999998</v>
      </c>
      <c r="E30" s="478">
        <f>E26+E28</f>
        <v>180439.269493139</v>
      </c>
      <c r="F30" s="76">
        <f>F26+F28</f>
        <v>476559.59478686104</v>
      </c>
      <c r="G30" s="78" t="s">
        <v>24</v>
      </c>
      <c r="H30" s="487">
        <f>H26+H28</f>
        <v>12176.99337</v>
      </c>
      <c r="I30" s="487"/>
      <c r="J30" s="77">
        <f>J26+J28</f>
        <v>488736.58815686102</v>
      </c>
      <c r="K30" s="81" t="str">
        <f>"Line "&amp;A26&amp;" + Line "&amp;A28</f>
        <v>Line 16 + Line 18</v>
      </c>
      <c r="L30" s="453">
        <f t="shared" si="1"/>
        <v>20</v>
      </c>
    </row>
    <row r="31" spans="1:14" ht="16.5" thickTop="1" thickBot="1" x14ac:dyDescent="0.4">
      <c r="A31" s="453">
        <f t="shared" si="0"/>
        <v>21</v>
      </c>
      <c r="B31" s="489"/>
      <c r="C31" s="455"/>
      <c r="D31" s="490"/>
      <c r="E31" s="491"/>
      <c r="F31" s="491"/>
      <c r="G31" s="469"/>
      <c r="H31" s="469"/>
      <c r="I31" s="469"/>
      <c r="J31" s="542"/>
      <c r="K31" s="492"/>
      <c r="L31" s="453">
        <f t="shared" si="1"/>
        <v>21</v>
      </c>
    </row>
    <row r="32" spans="1:14" x14ac:dyDescent="0.35">
      <c r="A32" s="453">
        <f t="shared" si="0"/>
        <v>22</v>
      </c>
      <c r="B32" s="715"/>
      <c r="C32" s="716"/>
      <c r="D32" s="717"/>
      <c r="E32" s="718"/>
      <c r="F32" s="717"/>
      <c r="G32" s="717"/>
      <c r="H32" s="717"/>
      <c r="I32" s="717"/>
      <c r="J32" s="717"/>
      <c r="K32" s="719"/>
      <c r="L32" s="453">
        <f t="shared" si="1"/>
        <v>22</v>
      </c>
    </row>
    <row r="33" spans="1:14" x14ac:dyDescent="0.35">
      <c r="A33" s="453">
        <f t="shared" si="0"/>
        <v>23</v>
      </c>
      <c r="B33" s="496" t="s">
        <v>277</v>
      </c>
      <c r="C33" s="453"/>
      <c r="D33" s="453"/>
      <c r="E33" s="453"/>
      <c r="F33" s="453"/>
      <c r="G33" s="453"/>
      <c r="H33" s="453"/>
      <c r="I33" s="453"/>
      <c r="J33" s="453"/>
      <c r="K33" s="485"/>
      <c r="L33" s="453">
        <f t="shared" si="1"/>
        <v>23</v>
      </c>
    </row>
    <row r="34" spans="1:14" x14ac:dyDescent="0.35">
      <c r="A34" s="453">
        <f t="shared" si="0"/>
        <v>24</v>
      </c>
      <c r="B34" s="500">
        <v>920</v>
      </c>
      <c r="C34" s="477" t="s">
        <v>511</v>
      </c>
      <c r="D34" s="52"/>
      <c r="E34" s="645">
        <v>880.90825143900008</v>
      </c>
      <c r="F34" s="453"/>
      <c r="G34" s="453"/>
      <c r="H34" s="453"/>
      <c r="I34" s="453"/>
      <c r="J34" s="453"/>
      <c r="K34" s="485"/>
      <c r="L34" s="453">
        <f t="shared" si="1"/>
        <v>24</v>
      </c>
      <c r="N34" s="644"/>
    </row>
    <row r="35" spans="1:14" ht="18" x14ac:dyDescent="0.3">
      <c r="A35" s="453">
        <f t="shared" si="0"/>
        <v>25</v>
      </c>
      <c r="B35" s="500"/>
      <c r="C35" s="720" t="s">
        <v>480</v>
      </c>
      <c r="D35" s="52"/>
      <c r="E35" s="645"/>
      <c r="F35" s="453"/>
      <c r="G35" s="453"/>
      <c r="H35" s="721">
        <v>880.90824999999995</v>
      </c>
      <c r="I35" s="507">
        <v>3</v>
      </c>
      <c r="J35" s="453"/>
      <c r="K35" s="485"/>
      <c r="L35" s="453">
        <f t="shared" si="1"/>
        <v>25</v>
      </c>
      <c r="N35" s="644"/>
    </row>
    <row r="36" spans="1:14" x14ac:dyDescent="0.35">
      <c r="A36" s="453">
        <f t="shared" si="0"/>
        <v>26</v>
      </c>
      <c r="B36" s="500">
        <v>921</v>
      </c>
      <c r="C36" s="477" t="s">
        <v>511</v>
      </c>
      <c r="D36" s="646"/>
      <c r="E36" s="646">
        <v>7379.4532107689993</v>
      </c>
      <c r="F36" s="453"/>
      <c r="G36" s="453"/>
      <c r="H36" s="453"/>
      <c r="I36" s="453"/>
      <c r="J36" s="453"/>
      <c r="K36" s="485"/>
      <c r="L36" s="453">
        <f t="shared" si="1"/>
        <v>26</v>
      </c>
      <c r="N36" s="644"/>
    </row>
    <row r="37" spans="1:14" ht="18" x14ac:dyDescent="0.3">
      <c r="A37" s="453">
        <f t="shared" si="0"/>
        <v>27</v>
      </c>
      <c r="B37" s="500"/>
      <c r="C37" s="720" t="s">
        <v>480</v>
      </c>
      <c r="D37" s="646"/>
      <c r="E37" s="646"/>
      <c r="F37" s="453"/>
      <c r="G37" s="453"/>
      <c r="H37" s="722">
        <v>7379.4532099999997</v>
      </c>
      <c r="I37" s="507">
        <v>3</v>
      </c>
      <c r="J37" s="453"/>
      <c r="K37" s="485"/>
      <c r="L37" s="453">
        <f t="shared" si="1"/>
        <v>27</v>
      </c>
      <c r="N37" s="644"/>
    </row>
    <row r="38" spans="1:14" x14ac:dyDescent="0.35">
      <c r="A38" s="453">
        <f t="shared" si="0"/>
        <v>28</v>
      </c>
      <c r="B38" s="500">
        <v>923</v>
      </c>
      <c r="C38" s="477" t="s">
        <v>511</v>
      </c>
      <c r="D38" s="241">
        <v>1396.4498757960002</v>
      </c>
      <c r="E38" s="453"/>
      <c r="F38" s="453"/>
      <c r="G38" s="453"/>
      <c r="H38" s="453"/>
      <c r="I38" s="453"/>
      <c r="J38" s="453"/>
      <c r="K38" s="485"/>
      <c r="L38" s="453">
        <f t="shared" si="1"/>
        <v>28</v>
      </c>
    </row>
    <row r="39" spans="1:14" ht="18" x14ac:dyDescent="0.35">
      <c r="A39" s="453">
        <f t="shared" si="0"/>
        <v>29</v>
      </c>
      <c r="B39" s="500"/>
      <c r="C39" s="477" t="s">
        <v>512</v>
      </c>
      <c r="D39" s="647">
        <v>9500.9089999999997</v>
      </c>
      <c r="E39" s="648">
        <f>SUM(D38:D39)</f>
        <v>10897.358875796001</v>
      </c>
      <c r="F39" s="453"/>
      <c r="G39" s="453"/>
      <c r="H39" s="453"/>
      <c r="I39" s="453"/>
      <c r="J39" s="453"/>
      <c r="K39" s="485"/>
      <c r="L39" s="453">
        <f t="shared" si="1"/>
        <v>29</v>
      </c>
    </row>
    <row r="40" spans="1:14" ht="18" x14ac:dyDescent="0.3">
      <c r="A40" s="453">
        <f t="shared" si="0"/>
        <v>30</v>
      </c>
      <c r="B40" s="500"/>
      <c r="C40" s="720" t="s">
        <v>480</v>
      </c>
      <c r="D40" s="646"/>
      <c r="E40" s="648"/>
      <c r="F40" s="453"/>
      <c r="G40" s="453"/>
      <c r="H40" s="722">
        <v>1396.4498799999999</v>
      </c>
      <c r="I40" s="507">
        <v>3</v>
      </c>
      <c r="J40" s="453"/>
      <c r="K40" s="485"/>
      <c r="L40" s="453">
        <f t="shared" si="1"/>
        <v>30</v>
      </c>
    </row>
    <row r="41" spans="1:14" x14ac:dyDescent="0.35">
      <c r="A41" s="453">
        <f t="shared" si="0"/>
        <v>31</v>
      </c>
      <c r="B41" s="500">
        <v>925</v>
      </c>
      <c r="C41" s="477" t="s">
        <v>511</v>
      </c>
      <c r="D41" s="646">
        <v>1299.7870644639997</v>
      </c>
      <c r="E41" s="453"/>
      <c r="F41" s="453"/>
      <c r="G41" s="453"/>
      <c r="H41" s="453"/>
      <c r="I41" s="453"/>
      <c r="J41" s="453"/>
      <c r="K41" s="485"/>
      <c r="L41" s="453">
        <f t="shared" si="1"/>
        <v>31</v>
      </c>
    </row>
    <row r="42" spans="1:14" x14ac:dyDescent="0.35">
      <c r="A42" s="453">
        <f t="shared" si="0"/>
        <v>32</v>
      </c>
      <c r="B42" s="500"/>
      <c r="C42" s="477" t="s">
        <v>278</v>
      </c>
      <c r="D42" s="646">
        <v>56.953900000000012</v>
      </c>
      <c r="E42" s="453"/>
      <c r="F42" s="453"/>
      <c r="G42" s="453"/>
      <c r="H42" s="453"/>
      <c r="I42" s="453"/>
      <c r="J42" s="453"/>
      <c r="K42" s="485"/>
      <c r="L42" s="453">
        <f t="shared" si="1"/>
        <v>32</v>
      </c>
    </row>
    <row r="43" spans="1:14" x14ac:dyDescent="0.35">
      <c r="A43" s="453">
        <f t="shared" si="0"/>
        <v>33</v>
      </c>
      <c r="B43" s="500"/>
      <c r="C43" s="477" t="s">
        <v>513</v>
      </c>
      <c r="D43" s="646">
        <v>51.146999999999998</v>
      </c>
      <c r="E43" s="453"/>
      <c r="F43" s="453"/>
      <c r="G43" s="453"/>
      <c r="H43" s="453"/>
      <c r="I43" s="453"/>
      <c r="J43" s="453"/>
      <c r="K43" s="485"/>
      <c r="L43" s="453">
        <f t="shared" si="1"/>
        <v>33</v>
      </c>
    </row>
    <row r="44" spans="1:14" x14ac:dyDescent="0.35">
      <c r="A44" s="453">
        <f t="shared" si="0"/>
        <v>34</v>
      </c>
      <c r="B44" s="500"/>
      <c r="C44" s="477" t="s">
        <v>514</v>
      </c>
      <c r="D44" s="646">
        <v>7.6603654320000008</v>
      </c>
      <c r="E44" s="453"/>
      <c r="F44" s="453"/>
      <c r="G44" s="453"/>
      <c r="H44" s="453"/>
      <c r="I44" s="453"/>
      <c r="J44" s="453"/>
      <c r="K44" s="485"/>
      <c r="L44" s="453">
        <f t="shared" si="1"/>
        <v>34</v>
      </c>
    </row>
    <row r="45" spans="1:14" x14ac:dyDescent="0.35">
      <c r="A45" s="453">
        <f t="shared" si="0"/>
        <v>35</v>
      </c>
      <c r="B45" s="500"/>
      <c r="C45" s="477" t="s">
        <v>515</v>
      </c>
      <c r="D45" s="647">
        <v>2.8906900000000006</v>
      </c>
      <c r="E45" s="646">
        <f>SUM(D41:D45)</f>
        <v>1418.4390198959995</v>
      </c>
      <c r="F45" s="453"/>
      <c r="G45" s="453"/>
      <c r="H45" s="453"/>
      <c r="I45" s="453"/>
      <c r="J45" s="453"/>
      <c r="K45" s="485"/>
      <c r="L45" s="453">
        <f t="shared" si="1"/>
        <v>35</v>
      </c>
    </row>
    <row r="46" spans="1:14" ht="18" x14ac:dyDescent="0.3">
      <c r="A46" s="453">
        <f t="shared" si="0"/>
        <v>36</v>
      </c>
      <c r="B46" s="500"/>
      <c r="C46" s="720" t="s">
        <v>480</v>
      </c>
      <c r="D46" s="646"/>
      <c r="E46" s="646"/>
      <c r="F46" s="453"/>
      <c r="G46" s="453"/>
      <c r="H46" s="722">
        <v>995.92452000000003</v>
      </c>
      <c r="I46" s="507">
        <v>3</v>
      </c>
      <c r="J46" s="453"/>
      <c r="K46" s="485"/>
      <c r="L46" s="453">
        <f t="shared" si="1"/>
        <v>36</v>
      </c>
    </row>
    <row r="47" spans="1:14" x14ac:dyDescent="0.35">
      <c r="A47" s="453">
        <f t="shared" si="0"/>
        <v>37</v>
      </c>
      <c r="B47" s="500">
        <v>926</v>
      </c>
      <c r="C47" s="498" t="s">
        <v>511</v>
      </c>
      <c r="D47" s="646">
        <v>1948.1068235539999</v>
      </c>
      <c r="E47" s="453"/>
      <c r="F47" s="453"/>
      <c r="G47" s="453"/>
      <c r="H47" s="453"/>
      <c r="I47" s="453"/>
      <c r="J47" s="453"/>
      <c r="K47" s="485"/>
      <c r="L47" s="453">
        <f t="shared" si="1"/>
        <v>37</v>
      </c>
    </row>
    <row r="48" spans="1:14" x14ac:dyDescent="0.35">
      <c r="A48" s="453">
        <f t="shared" si="0"/>
        <v>38</v>
      </c>
      <c r="B48" s="500"/>
      <c r="C48" s="477" t="s">
        <v>278</v>
      </c>
      <c r="D48" s="646">
        <v>87.771760000000015</v>
      </c>
      <c r="E48" s="453"/>
      <c r="F48" s="453"/>
      <c r="G48" s="453"/>
      <c r="H48" s="453"/>
      <c r="I48" s="453"/>
      <c r="J48" s="453"/>
      <c r="K48" s="485"/>
      <c r="L48" s="453">
        <f t="shared" si="1"/>
        <v>38</v>
      </c>
    </row>
    <row r="49" spans="1:12" x14ac:dyDescent="0.35">
      <c r="A49" s="453">
        <f t="shared" si="0"/>
        <v>39</v>
      </c>
      <c r="B49" s="500"/>
      <c r="C49" s="477" t="s">
        <v>516</v>
      </c>
      <c r="D49" s="646">
        <v>36.096990000000005</v>
      </c>
      <c r="F49" s="453"/>
      <c r="G49" s="453"/>
      <c r="H49" s="453"/>
      <c r="I49" s="453"/>
      <c r="J49" s="453"/>
      <c r="K49" s="485"/>
      <c r="L49" s="453">
        <f t="shared" si="1"/>
        <v>39</v>
      </c>
    </row>
    <row r="50" spans="1:12" x14ac:dyDescent="0.35">
      <c r="A50" s="453">
        <f t="shared" si="0"/>
        <v>40</v>
      </c>
      <c r="B50" s="500"/>
      <c r="C50" s="477" t="s">
        <v>515</v>
      </c>
      <c r="D50" s="647">
        <v>4.6505900000000002</v>
      </c>
      <c r="E50" s="646">
        <f>SUM(D47:D50)</f>
        <v>2076.6261635540004</v>
      </c>
      <c r="F50" s="453"/>
      <c r="G50" s="453"/>
      <c r="H50" s="453"/>
      <c r="I50" s="453"/>
      <c r="J50" s="453"/>
      <c r="K50" s="485"/>
      <c r="L50" s="453">
        <f t="shared" si="1"/>
        <v>40</v>
      </c>
    </row>
    <row r="51" spans="1:12" ht="18" x14ac:dyDescent="0.3">
      <c r="A51" s="453">
        <f t="shared" si="0"/>
        <v>41</v>
      </c>
      <c r="B51" s="500"/>
      <c r="C51" s="720" t="s">
        <v>480</v>
      </c>
      <c r="D51" s="646"/>
      <c r="E51" s="646"/>
      <c r="F51" s="453"/>
      <c r="G51" s="453"/>
      <c r="H51" s="722">
        <v>1510.53378</v>
      </c>
      <c r="I51" s="507">
        <v>3</v>
      </c>
      <c r="J51" s="453"/>
      <c r="K51" s="485"/>
      <c r="L51" s="453">
        <f t="shared" si="1"/>
        <v>41</v>
      </c>
    </row>
    <row r="52" spans="1:12" x14ac:dyDescent="0.35">
      <c r="A52" s="453">
        <f t="shared" si="0"/>
        <v>42</v>
      </c>
      <c r="B52" s="649">
        <v>927</v>
      </c>
      <c r="C52" s="498" t="s">
        <v>267</v>
      </c>
      <c r="D52" s="646"/>
      <c r="E52" s="650">
        <v>128579.84063999999</v>
      </c>
      <c r="F52" s="453"/>
      <c r="G52" s="453"/>
      <c r="H52" s="453"/>
      <c r="I52" s="453"/>
      <c r="J52" s="453"/>
      <c r="K52" s="485"/>
      <c r="L52" s="453">
        <f t="shared" si="1"/>
        <v>42</v>
      </c>
    </row>
    <row r="53" spans="1:12" x14ac:dyDescent="0.35">
      <c r="A53" s="453">
        <f t="shared" si="0"/>
        <v>43</v>
      </c>
      <c r="B53" s="500">
        <v>928</v>
      </c>
      <c r="C53" s="41" t="s">
        <v>517</v>
      </c>
      <c r="D53" s="646">
        <v>22235.548999999999</v>
      </c>
      <c r="E53" s="453"/>
      <c r="F53" s="453"/>
      <c r="G53" s="453"/>
      <c r="H53" s="453"/>
      <c r="I53" s="453"/>
      <c r="J53" s="453"/>
      <c r="K53" s="485"/>
      <c r="L53" s="453">
        <f t="shared" si="1"/>
        <v>43</v>
      </c>
    </row>
    <row r="54" spans="1:12" x14ac:dyDescent="0.35">
      <c r="A54" s="453">
        <f t="shared" si="0"/>
        <v>44</v>
      </c>
      <c r="B54" s="500"/>
      <c r="C54" s="477" t="s">
        <v>279</v>
      </c>
      <c r="D54" s="646">
        <v>964.92977000000019</v>
      </c>
      <c r="E54" s="453"/>
      <c r="F54" s="453"/>
      <c r="G54" s="453"/>
      <c r="H54" s="453"/>
      <c r="I54" s="453"/>
      <c r="J54" s="453"/>
      <c r="K54" s="485"/>
      <c r="L54" s="453">
        <f t="shared" si="1"/>
        <v>44</v>
      </c>
    </row>
    <row r="55" spans="1:12" x14ac:dyDescent="0.35">
      <c r="A55" s="453">
        <f t="shared" si="0"/>
        <v>45</v>
      </c>
      <c r="B55" s="500"/>
      <c r="C55" s="477" t="s">
        <v>511</v>
      </c>
      <c r="D55" s="646">
        <v>258.03949000000011</v>
      </c>
      <c r="E55" s="453"/>
      <c r="F55" s="453"/>
      <c r="G55" s="453"/>
      <c r="H55" s="453"/>
      <c r="I55" s="453"/>
      <c r="J55" s="453"/>
      <c r="K55" s="485"/>
      <c r="L55" s="453">
        <f t="shared" si="1"/>
        <v>45</v>
      </c>
    </row>
    <row r="56" spans="1:12" x14ac:dyDescent="0.35">
      <c r="A56" s="453">
        <f t="shared" si="0"/>
        <v>46</v>
      </c>
      <c r="B56" s="500"/>
      <c r="C56" s="19" t="s">
        <v>280</v>
      </c>
      <c r="D56" s="651">
        <v>0</v>
      </c>
      <c r="E56" s="453"/>
      <c r="F56" s="453"/>
      <c r="G56" s="453"/>
      <c r="H56" s="453"/>
      <c r="I56" s="453"/>
      <c r="J56" s="453"/>
      <c r="K56" s="485"/>
      <c r="L56" s="453">
        <f t="shared" si="1"/>
        <v>46</v>
      </c>
    </row>
    <row r="57" spans="1:12" x14ac:dyDescent="0.35">
      <c r="A57" s="453">
        <f t="shared" si="0"/>
        <v>47</v>
      </c>
      <c r="B57" s="500"/>
      <c r="C57" s="19" t="s">
        <v>281</v>
      </c>
      <c r="D57" s="647">
        <v>617.17561999999998</v>
      </c>
      <c r="E57" s="646">
        <f>SUM(D53:D57)</f>
        <v>24075.693879999999</v>
      </c>
      <c r="F57" s="453"/>
      <c r="G57" s="453"/>
      <c r="H57" s="453"/>
      <c r="I57" s="453"/>
      <c r="J57" s="453"/>
      <c r="K57" s="485"/>
      <c r="L57" s="453">
        <f t="shared" si="1"/>
        <v>47</v>
      </c>
    </row>
    <row r="58" spans="1:12" x14ac:dyDescent="0.35">
      <c r="A58" s="453">
        <f t="shared" si="0"/>
        <v>48</v>
      </c>
      <c r="B58" s="652">
        <v>930.1</v>
      </c>
      <c r="C58" s="19" t="s">
        <v>270</v>
      </c>
      <c r="D58" s="646"/>
      <c r="E58" s="648">
        <v>66.134640000000005</v>
      </c>
      <c r="F58" s="453"/>
      <c r="G58" s="453"/>
      <c r="H58" s="453"/>
      <c r="I58" s="453"/>
      <c r="J58" s="453"/>
      <c r="K58" s="485"/>
      <c r="L58" s="453">
        <f t="shared" si="1"/>
        <v>48</v>
      </c>
    </row>
    <row r="59" spans="1:12" x14ac:dyDescent="0.35">
      <c r="A59" s="453">
        <f t="shared" si="0"/>
        <v>49</v>
      </c>
      <c r="B59" s="499">
        <v>930.2</v>
      </c>
      <c r="C59" s="498" t="s">
        <v>282</v>
      </c>
      <c r="D59" s="650">
        <v>5025.3662400000003</v>
      </c>
      <c r="F59" s="453"/>
      <c r="G59" s="453"/>
      <c r="H59" s="453"/>
      <c r="I59" s="453"/>
      <c r="J59" s="453"/>
      <c r="K59" s="485"/>
      <c r="L59" s="453">
        <f t="shared" si="1"/>
        <v>49</v>
      </c>
    </row>
    <row r="60" spans="1:12" x14ac:dyDescent="0.35">
      <c r="A60" s="453">
        <f t="shared" si="0"/>
        <v>50</v>
      </c>
      <c r="B60" s="499"/>
      <c r="C60" s="498" t="s">
        <v>511</v>
      </c>
      <c r="D60" s="647">
        <v>3.7185659999999956E-3</v>
      </c>
      <c r="E60" s="648">
        <f>SUM(D59:D60)</f>
        <v>5025.3699585660006</v>
      </c>
      <c r="F60" s="453"/>
      <c r="G60" s="453"/>
      <c r="H60" s="453"/>
      <c r="I60" s="453"/>
      <c r="J60" s="453"/>
      <c r="K60" s="485"/>
      <c r="L60" s="453">
        <f t="shared" si="1"/>
        <v>50</v>
      </c>
    </row>
    <row r="61" spans="1:12" ht="18" x14ac:dyDescent="0.35">
      <c r="A61" s="453">
        <f t="shared" si="0"/>
        <v>51</v>
      </c>
      <c r="B61" s="499"/>
      <c r="C61" s="720" t="s">
        <v>480</v>
      </c>
      <c r="D61" s="646"/>
      <c r="E61" s="648"/>
      <c r="F61" s="453"/>
      <c r="G61" s="453"/>
      <c r="H61" s="722">
        <v>3.7200000000000002E-3</v>
      </c>
      <c r="I61" s="507">
        <v>3</v>
      </c>
      <c r="J61" s="453"/>
      <c r="K61" s="485"/>
      <c r="L61" s="453">
        <f t="shared" si="1"/>
        <v>51</v>
      </c>
    </row>
    <row r="62" spans="1:12" x14ac:dyDescent="0.35">
      <c r="A62" s="453">
        <f t="shared" si="0"/>
        <v>52</v>
      </c>
      <c r="B62" s="653">
        <v>931</v>
      </c>
      <c r="C62" s="19" t="s">
        <v>511</v>
      </c>
      <c r="D62" s="646"/>
      <c r="E62" s="650">
        <v>13.720007673000001</v>
      </c>
      <c r="F62" s="453"/>
      <c r="G62" s="453"/>
      <c r="H62" s="453"/>
      <c r="I62" s="453"/>
      <c r="J62" s="453"/>
      <c r="K62" s="485"/>
      <c r="L62" s="453">
        <f t="shared" si="1"/>
        <v>52</v>
      </c>
    </row>
    <row r="63" spans="1:12" ht="18" x14ac:dyDescent="0.35">
      <c r="A63" s="453">
        <f t="shared" si="0"/>
        <v>53</v>
      </c>
      <c r="B63" s="653"/>
      <c r="C63" s="720" t="s">
        <v>480</v>
      </c>
      <c r="D63" s="646"/>
      <c r="E63" s="650"/>
      <c r="F63" s="453"/>
      <c r="G63" s="453"/>
      <c r="H63" s="722">
        <v>13.72001</v>
      </c>
      <c r="I63" s="507">
        <v>3</v>
      </c>
      <c r="J63" s="453"/>
      <c r="K63" s="485"/>
      <c r="L63" s="453">
        <f t="shared" si="1"/>
        <v>53</v>
      </c>
    </row>
    <row r="64" spans="1:12" x14ac:dyDescent="0.35">
      <c r="A64" s="453">
        <f t="shared" si="0"/>
        <v>54</v>
      </c>
      <c r="B64" s="500">
        <v>935</v>
      </c>
      <c r="C64" s="477" t="s">
        <v>283</v>
      </c>
      <c r="D64" s="646"/>
      <c r="E64" s="654">
        <v>25.724845446</v>
      </c>
      <c r="F64" s="453"/>
      <c r="G64" s="453"/>
      <c r="H64" s="453"/>
      <c r="I64" s="453"/>
      <c r="J64" s="453"/>
      <c r="K64" s="485"/>
      <c r="L64" s="453">
        <f t="shared" si="1"/>
        <v>54</v>
      </c>
    </row>
    <row r="65" spans="1:12" x14ac:dyDescent="0.35">
      <c r="A65" s="453">
        <f t="shared" si="0"/>
        <v>55</v>
      </c>
      <c r="B65" s="500"/>
      <c r="C65" s="655"/>
      <c r="D65" s="656"/>
      <c r="E65" s="47"/>
      <c r="F65" s="453"/>
      <c r="G65" s="453"/>
      <c r="H65" s="453"/>
      <c r="I65" s="453"/>
      <c r="J65" s="453"/>
      <c r="K65" s="485"/>
      <c r="L65" s="453">
        <f t="shared" si="1"/>
        <v>55</v>
      </c>
    </row>
    <row r="66" spans="1:12" ht="18.5" thickBot="1" x14ac:dyDescent="0.4">
      <c r="A66" s="453">
        <f t="shared" si="0"/>
        <v>56</v>
      </c>
      <c r="B66" s="493"/>
      <c r="C66" s="501" t="s">
        <v>284</v>
      </c>
      <c r="D66" s="657"/>
      <c r="E66" s="658">
        <f>SUM(E34:E64)</f>
        <v>180439.269493139</v>
      </c>
      <c r="F66" s="453"/>
      <c r="G66" s="453"/>
      <c r="H66" s="724"/>
      <c r="I66" s="507"/>
      <c r="J66" s="453"/>
      <c r="K66" s="485"/>
      <c r="L66" s="453">
        <f t="shared" si="1"/>
        <v>56</v>
      </c>
    </row>
    <row r="67" spans="1:12" ht="16" thickTop="1" x14ac:dyDescent="0.35">
      <c r="A67" s="453">
        <f t="shared" si="0"/>
        <v>57</v>
      </c>
      <c r="B67" s="496"/>
      <c r="C67" s="453"/>
      <c r="D67" s="453"/>
      <c r="E67" s="453"/>
      <c r="F67" s="453"/>
      <c r="G67" s="453"/>
      <c r="H67" s="453"/>
      <c r="I67" s="453"/>
      <c r="J67" s="453"/>
      <c r="K67" s="485"/>
      <c r="L67" s="453">
        <f t="shared" si="1"/>
        <v>57</v>
      </c>
    </row>
    <row r="68" spans="1:12" x14ac:dyDescent="0.35">
      <c r="A68" s="453">
        <f t="shared" si="0"/>
        <v>58</v>
      </c>
      <c r="B68" s="496"/>
      <c r="C68" s="453"/>
      <c r="D68" s="453"/>
      <c r="E68" s="453"/>
      <c r="F68" s="453"/>
      <c r="G68" s="453"/>
      <c r="H68" s="453"/>
      <c r="I68" s="453"/>
      <c r="J68" s="453"/>
      <c r="K68" s="485"/>
      <c r="L68" s="453">
        <f t="shared" si="1"/>
        <v>58</v>
      </c>
    </row>
    <row r="69" spans="1:12" x14ac:dyDescent="0.35">
      <c r="A69" s="453">
        <f t="shared" si="0"/>
        <v>59</v>
      </c>
      <c r="B69" s="64" t="s">
        <v>24</v>
      </c>
      <c r="C69" s="501" t="str">
        <f>'Pg2 Appendix XII C5 Comparison'!B57</f>
        <v>Items in BOLD have changed due to A&amp;G adj. on CEMA/WMPMA exclusion corrections compared to the original Appendix XII Cycle 5 per ER23-110.</v>
      </c>
      <c r="D69" s="453"/>
      <c r="E69" s="453"/>
      <c r="F69" s="453"/>
      <c r="G69" s="453"/>
      <c r="H69" s="453"/>
      <c r="I69" s="453"/>
      <c r="J69" s="453"/>
      <c r="K69" s="485"/>
      <c r="L69" s="453">
        <f t="shared" si="1"/>
        <v>59</v>
      </c>
    </row>
    <row r="70" spans="1:12" ht="18.5" x14ac:dyDescent="0.35">
      <c r="A70" s="453">
        <f t="shared" si="0"/>
        <v>60</v>
      </c>
      <c r="B70" s="297">
        <v>1</v>
      </c>
      <c r="C70" s="296" t="s">
        <v>620</v>
      </c>
      <c r="E70" s="502"/>
      <c r="F70" s="511"/>
      <c r="G70" s="511"/>
      <c r="H70" s="511"/>
      <c r="I70" s="511"/>
      <c r="J70" s="511"/>
      <c r="K70" s="485"/>
      <c r="L70" s="453">
        <f t="shared" si="1"/>
        <v>60</v>
      </c>
    </row>
    <row r="71" spans="1:12" ht="18.5" x14ac:dyDescent="0.35">
      <c r="A71" s="453">
        <f t="shared" si="0"/>
        <v>61</v>
      </c>
      <c r="B71" s="503"/>
      <c r="C71" s="18" t="s">
        <v>285</v>
      </c>
      <c r="E71" s="502"/>
      <c r="F71" s="511"/>
      <c r="G71" s="511"/>
      <c r="H71" s="511"/>
      <c r="I71" s="511"/>
      <c r="J71" s="511"/>
      <c r="K71" s="485"/>
      <c r="L71" s="453">
        <f t="shared" si="1"/>
        <v>61</v>
      </c>
    </row>
    <row r="72" spans="1:12" ht="18" x14ac:dyDescent="0.35">
      <c r="A72" s="453">
        <f t="shared" si="0"/>
        <v>62</v>
      </c>
      <c r="B72" s="543" t="s">
        <v>286</v>
      </c>
      <c r="C72" s="35" t="s">
        <v>518</v>
      </c>
      <c r="E72" s="502"/>
      <c r="F72" s="511"/>
      <c r="G72" s="511"/>
      <c r="H72" s="511"/>
      <c r="I72" s="511"/>
      <c r="J72" s="511"/>
      <c r="K72" s="485"/>
      <c r="L72" s="453">
        <f t="shared" si="1"/>
        <v>62</v>
      </c>
    </row>
    <row r="73" spans="1:12" ht="18" x14ac:dyDescent="0.35">
      <c r="A73" s="453">
        <f t="shared" si="0"/>
        <v>63</v>
      </c>
      <c r="B73" s="543"/>
      <c r="C73" s="35" t="s">
        <v>519</v>
      </c>
      <c r="E73" s="502"/>
      <c r="F73" s="511"/>
      <c r="G73" s="511"/>
      <c r="H73" s="511"/>
      <c r="I73" s="511"/>
      <c r="J73" s="511"/>
      <c r="K73" s="485"/>
      <c r="L73" s="453">
        <f t="shared" si="1"/>
        <v>63</v>
      </c>
    </row>
    <row r="74" spans="1:12" ht="18" x14ac:dyDescent="0.35">
      <c r="A74" s="453">
        <f t="shared" si="0"/>
        <v>64</v>
      </c>
      <c r="B74" s="543"/>
      <c r="C74" s="35" t="s">
        <v>520</v>
      </c>
      <c r="E74" s="502"/>
      <c r="F74" s="511"/>
      <c r="G74" s="511"/>
      <c r="H74" s="511"/>
      <c r="I74" s="511"/>
      <c r="J74" s="511"/>
      <c r="K74" s="485"/>
      <c r="L74" s="453">
        <f t="shared" si="1"/>
        <v>64</v>
      </c>
    </row>
    <row r="75" spans="1:12" ht="18" x14ac:dyDescent="0.35">
      <c r="A75" s="453">
        <f t="shared" si="0"/>
        <v>65</v>
      </c>
      <c r="B75" s="544">
        <v>3</v>
      </c>
      <c r="C75" s="18" t="s">
        <v>522</v>
      </c>
      <c r="E75" s="502"/>
      <c r="F75" s="511"/>
      <c r="G75" s="511"/>
      <c r="H75" s="511"/>
      <c r="I75" s="511"/>
      <c r="J75" s="511"/>
      <c r="K75" s="485"/>
      <c r="L75" s="453">
        <f t="shared" si="1"/>
        <v>65</v>
      </c>
    </row>
    <row r="76" spans="1:12" ht="16" thickBot="1" x14ac:dyDescent="0.4">
      <c r="A76" s="453">
        <f t="shared" si="0"/>
        <v>66</v>
      </c>
      <c r="B76" s="504"/>
      <c r="C76" s="505"/>
      <c r="D76" s="455"/>
      <c r="E76" s="455"/>
      <c r="F76" s="455"/>
      <c r="G76" s="455"/>
      <c r="H76" s="455"/>
      <c r="I76" s="455"/>
      <c r="J76" s="455"/>
      <c r="K76" s="492"/>
      <c r="L76" s="453">
        <f t="shared" si="1"/>
        <v>66</v>
      </c>
    </row>
    <row r="77" spans="1:12" x14ac:dyDescent="0.35">
      <c r="C77" s="477"/>
    </row>
    <row r="78" spans="1:12" x14ac:dyDescent="0.35">
      <c r="A78" s="529"/>
      <c r="C78" s="477"/>
      <c r="D78" s="506"/>
      <c r="E78" s="506"/>
    </row>
    <row r="79" spans="1:12" ht="18" x14ac:dyDescent="0.35">
      <c r="A79" s="507"/>
      <c r="B79" s="298"/>
      <c r="C79" s="18"/>
      <c r="D79" s="159"/>
      <c r="E79" s="159"/>
      <c r="F79" s="159"/>
      <c r="G79" s="159"/>
      <c r="H79" s="159"/>
      <c r="I79" s="159"/>
      <c r="J79" s="159"/>
    </row>
    <row r="80" spans="1:12" ht="18" x14ac:dyDescent="0.35">
      <c r="A80" s="507"/>
      <c r="B80" s="298"/>
      <c r="C80" s="252"/>
      <c r="D80" s="159"/>
      <c r="E80" s="159"/>
      <c r="F80" s="159"/>
      <c r="G80" s="159"/>
      <c r="H80" s="159"/>
      <c r="I80" s="159"/>
      <c r="J80" s="159"/>
    </row>
    <row r="81" spans="1:10" ht="18" x14ac:dyDescent="0.35">
      <c r="A81" s="507"/>
      <c r="B81" s="34"/>
      <c r="C81" s="18"/>
      <c r="D81" s="18"/>
      <c r="E81" s="18"/>
      <c r="F81" s="18"/>
      <c r="G81" s="18"/>
      <c r="H81" s="18"/>
      <c r="I81" s="18"/>
      <c r="J81" s="18"/>
    </row>
    <row r="82" spans="1:10" ht="18" x14ac:dyDescent="0.35">
      <c r="A82" s="507"/>
      <c r="C82" s="477"/>
    </row>
    <row r="83" spans="1:10" ht="18" x14ac:dyDescent="0.35">
      <c r="A83" s="507"/>
      <c r="C83" s="477"/>
    </row>
    <row r="84" spans="1:10" ht="18" x14ac:dyDescent="0.35">
      <c r="A84" s="507"/>
      <c r="C84" s="477"/>
    </row>
    <row r="85" spans="1:10" x14ac:dyDescent="0.35">
      <c r="A85" s="529"/>
      <c r="C85" s="477"/>
    </row>
    <row r="86" spans="1:10" ht="18" x14ac:dyDescent="0.35">
      <c r="A86" s="507"/>
      <c r="C86" s="477"/>
    </row>
    <row r="87" spans="1:10" x14ac:dyDescent="0.35">
      <c r="A87" s="529"/>
      <c r="C87" s="477"/>
    </row>
    <row r="88" spans="1:10" ht="18" x14ac:dyDescent="0.35">
      <c r="A88" s="507"/>
      <c r="C88" s="477"/>
    </row>
    <row r="89" spans="1:10" x14ac:dyDescent="0.35">
      <c r="A89" s="529"/>
      <c r="C89" s="477"/>
    </row>
    <row r="90" spans="1:10" ht="18" x14ac:dyDescent="0.35">
      <c r="A90" s="507"/>
      <c r="C90" s="477"/>
    </row>
    <row r="91" spans="1:10" ht="18" x14ac:dyDescent="0.35">
      <c r="A91" s="507"/>
      <c r="B91" s="477"/>
    </row>
    <row r="92" spans="1:10" ht="18" x14ac:dyDescent="0.35">
      <c r="A92" s="507"/>
      <c r="B92" s="477"/>
    </row>
    <row r="93" spans="1:10" x14ac:dyDescent="0.35">
      <c r="B93" s="477"/>
    </row>
    <row r="94" spans="1:10" ht="18" x14ac:dyDescent="0.35">
      <c r="A94" s="507"/>
      <c r="B94" s="477"/>
    </row>
    <row r="95" spans="1:10" x14ac:dyDescent="0.35">
      <c r="A95" s="508"/>
      <c r="B95" s="509"/>
    </row>
    <row r="96" spans="1:10" x14ac:dyDescent="0.35">
      <c r="B96" s="477"/>
    </row>
  </sheetData>
  <mergeCells count="4">
    <mergeCell ref="B5:K5"/>
    <mergeCell ref="B2:K2"/>
    <mergeCell ref="B3:K3"/>
    <mergeCell ref="B4:K4"/>
  </mergeCells>
  <printOptions horizontalCentered="1"/>
  <pageMargins left="0.25" right="0.25" top="0.5" bottom="0.5" header="0.35" footer="0.25"/>
  <pageSetup scale="48" orientation="portrait" r:id="rId1"/>
  <headerFooter scaleWithDoc="0" alignWithMargins="0">
    <oddHeader>&amp;C&amp;"Times New Roman,Bold"&amp;7REVISED</oddHeader>
    <oddFooter>&amp;L&amp;F&amp;CPage 8.2&amp;R&amp;A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9A886-F48A-420C-8F1C-1FCD04112D9F}">
  <sheetPr>
    <pageSetUpPr fitToPage="1"/>
  </sheetPr>
  <dimension ref="A1:K88"/>
  <sheetViews>
    <sheetView zoomScale="80" zoomScaleNormal="80" workbookViewId="0"/>
  </sheetViews>
  <sheetFormatPr defaultColWidth="9.1796875" defaultRowHeight="15.5" x14ac:dyDescent="0.35"/>
  <cols>
    <col min="1" max="1" width="5.1796875" style="453" customWidth="1"/>
    <col min="2" max="2" width="8.54296875" style="454" customWidth="1"/>
    <col min="3" max="3" width="68.54296875" style="454" customWidth="1"/>
    <col min="4" max="6" width="16.81640625" style="454" customWidth="1"/>
    <col min="7" max="7" width="34.54296875" style="454" customWidth="1"/>
    <col min="8" max="8" width="5.1796875" style="453" customWidth="1"/>
    <col min="9" max="9" width="4" style="454" customWidth="1"/>
    <col min="10" max="10" width="13.453125" style="454" bestFit="1" customWidth="1"/>
    <col min="11" max="11" width="9.1796875" style="454"/>
    <col min="12" max="12" width="9.54296875" style="454" customWidth="1"/>
    <col min="13" max="13" width="10" style="454" customWidth="1"/>
    <col min="14" max="16384" width="9.1796875" style="454"/>
  </cols>
  <sheetData>
    <row r="1" spans="1:11" x14ac:dyDescent="0.35">
      <c r="A1" s="565" t="s">
        <v>640</v>
      </c>
    </row>
    <row r="3" spans="1:11" x14ac:dyDescent="0.35">
      <c r="B3" s="777" t="s">
        <v>14</v>
      </c>
      <c r="C3" s="777"/>
      <c r="D3" s="777"/>
      <c r="E3" s="777"/>
      <c r="F3" s="777"/>
      <c r="G3" s="777"/>
      <c r="H3" s="529"/>
    </row>
    <row r="4" spans="1:11" x14ac:dyDescent="0.35">
      <c r="B4" s="777" t="s">
        <v>248</v>
      </c>
      <c r="C4" s="777"/>
      <c r="D4" s="777"/>
      <c r="E4" s="777"/>
      <c r="F4" s="777"/>
      <c r="G4" s="777"/>
      <c r="H4" s="529"/>
    </row>
    <row r="5" spans="1:11" x14ac:dyDescent="0.35">
      <c r="B5" s="777" t="s">
        <v>521</v>
      </c>
      <c r="C5" s="777"/>
      <c r="D5" s="777"/>
      <c r="E5" s="777"/>
      <c r="F5" s="777"/>
      <c r="G5" s="777"/>
      <c r="H5" s="529"/>
      <c r="J5" s="641"/>
    </row>
    <row r="6" spans="1:11" x14ac:dyDescent="0.35">
      <c r="B6" s="776" t="s">
        <v>1</v>
      </c>
      <c r="C6" s="776"/>
      <c r="D6" s="776"/>
      <c r="E6" s="776"/>
      <c r="F6" s="776"/>
      <c r="G6" s="776"/>
      <c r="H6" s="529"/>
    </row>
    <row r="7" spans="1:11" ht="16" thickBot="1" x14ac:dyDescent="0.4">
      <c r="D7" s="455"/>
      <c r="E7" s="455"/>
      <c r="F7" s="455"/>
      <c r="G7" s="455"/>
      <c r="J7" s="35"/>
    </row>
    <row r="8" spans="1:11" x14ac:dyDescent="0.35">
      <c r="A8" s="529"/>
      <c r="B8" s="456"/>
      <c r="C8" s="457"/>
      <c r="D8" s="458" t="s">
        <v>249</v>
      </c>
      <c r="E8" s="459" t="s">
        <v>250</v>
      </c>
      <c r="F8" s="67" t="s">
        <v>251</v>
      </c>
      <c r="G8" s="460"/>
      <c r="H8" s="529"/>
    </row>
    <row r="9" spans="1:11" x14ac:dyDescent="0.35">
      <c r="A9" s="453" t="s">
        <v>2</v>
      </c>
      <c r="B9" s="461" t="s">
        <v>252</v>
      </c>
      <c r="C9" s="462"/>
      <c r="D9" s="463" t="s">
        <v>253</v>
      </c>
      <c r="E9" s="529" t="s">
        <v>254</v>
      </c>
      <c r="F9" s="463" t="s">
        <v>253</v>
      </c>
      <c r="G9" s="464"/>
      <c r="H9" s="453" t="s">
        <v>2</v>
      </c>
    </row>
    <row r="10" spans="1:11" ht="16" thickBot="1" x14ac:dyDescent="0.4">
      <c r="A10" s="453" t="s">
        <v>3</v>
      </c>
      <c r="B10" s="465" t="s">
        <v>255</v>
      </c>
      <c r="C10" s="466" t="s">
        <v>4</v>
      </c>
      <c r="D10" s="467" t="s">
        <v>256</v>
      </c>
      <c r="E10" s="466" t="s">
        <v>257</v>
      </c>
      <c r="F10" s="467" t="s">
        <v>258</v>
      </c>
      <c r="G10" s="471" t="s">
        <v>6</v>
      </c>
      <c r="H10" s="453" t="s">
        <v>3</v>
      </c>
      <c r="I10" s="453"/>
    </row>
    <row r="11" spans="1:11" x14ac:dyDescent="0.35">
      <c r="B11" s="472"/>
      <c r="C11" s="473" t="s">
        <v>259</v>
      </c>
      <c r="D11" s="474"/>
      <c r="E11" s="540"/>
      <c r="F11" s="475"/>
      <c r="G11" s="476"/>
    </row>
    <row r="12" spans="1:11" x14ac:dyDescent="0.35">
      <c r="A12" s="453">
        <v>1</v>
      </c>
      <c r="B12" s="472">
        <v>920</v>
      </c>
      <c r="C12" s="477" t="s">
        <v>260</v>
      </c>
      <c r="D12" s="72">
        <v>62282.646999999997</v>
      </c>
      <c r="E12" s="72">
        <f>E35</f>
        <v>880.90825143900008</v>
      </c>
      <c r="F12" s="72">
        <f>D12-E12</f>
        <v>61401.738748560994</v>
      </c>
      <c r="G12" s="71" t="s">
        <v>497</v>
      </c>
      <c r="H12" s="453">
        <f>A12</f>
        <v>1</v>
      </c>
      <c r="I12" s="454" t="s">
        <v>202</v>
      </c>
      <c r="J12" s="479"/>
    </row>
    <row r="13" spans="1:11" x14ac:dyDescent="0.35">
      <c r="A13" s="453">
        <f t="shared" ref="A13:A68" si="0">A12+1</f>
        <v>2</v>
      </c>
      <c r="B13" s="472">
        <v>921</v>
      </c>
      <c r="C13" s="477" t="s">
        <v>261</v>
      </c>
      <c r="D13" s="73">
        <v>33307.565000000002</v>
      </c>
      <c r="E13" s="73">
        <f>E36</f>
        <v>7379.4532107689993</v>
      </c>
      <c r="F13" s="73">
        <f>D13-E13</f>
        <v>25928.111789231003</v>
      </c>
      <c r="G13" s="71" t="s">
        <v>498</v>
      </c>
      <c r="H13" s="453">
        <f t="shared" ref="H13:H68" si="1">H12+1</f>
        <v>2</v>
      </c>
      <c r="J13" s="479"/>
      <c r="K13" s="480"/>
    </row>
    <row r="14" spans="1:11" x14ac:dyDescent="0.35">
      <c r="A14" s="453">
        <f t="shared" si="0"/>
        <v>3</v>
      </c>
      <c r="B14" s="472">
        <v>922</v>
      </c>
      <c r="C14" s="477" t="s">
        <v>262</v>
      </c>
      <c r="D14" s="73">
        <v>-20277.082999999999</v>
      </c>
      <c r="E14" s="73"/>
      <c r="F14" s="73">
        <f t="shared" ref="F14:F24" si="2">D14-E14</f>
        <v>-20277.082999999999</v>
      </c>
      <c r="G14" s="71" t="s">
        <v>499</v>
      </c>
      <c r="H14" s="453">
        <f t="shared" si="1"/>
        <v>3</v>
      </c>
      <c r="J14" s="479"/>
    </row>
    <row r="15" spans="1:11" x14ac:dyDescent="0.35">
      <c r="A15" s="453">
        <f t="shared" si="0"/>
        <v>4</v>
      </c>
      <c r="B15" s="472">
        <v>923</v>
      </c>
      <c r="C15" s="477" t="s">
        <v>263</v>
      </c>
      <c r="D15" s="73">
        <v>108586.773</v>
      </c>
      <c r="E15" s="73">
        <f>E38</f>
        <v>10897.358875796001</v>
      </c>
      <c r="F15" s="73">
        <f t="shared" si="2"/>
        <v>97689.414124204006</v>
      </c>
      <c r="G15" s="71" t="s">
        <v>500</v>
      </c>
      <c r="H15" s="453">
        <f t="shared" si="1"/>
        <v>4</v>
      </c>
      <c r="J15" s="479"/>
    </row>
    <row r="16" spans="1:11" x14ac:dyDescent="0.35">
      <c r="A16" s="453">
        <f t="shared" si="0"/>
        <v>5</v>
      </c>
      <c r="B16" s="472">
        <v>924</v>
      </c>
      <c r="C16" s="477" t="s">
        <v>264</v>
      </c>
      <c r="D16" s="73">
        <v>8615.7170000000006</v>
      </c>
      <c r="E16" s="73"/>
      <c r="F16" s="73">
        <f t="shared" si="2"/>
        <v>8615.7170000000006</v>
      </c>
      <c r="G16" s="71" t="s">
        <v>501</v>
      </c>
      <c r="H16" s="453">
        <f t="shared" si="1"/>
        <v>5</v>
      </c>
      <c r="J16" s="479"/>
    </row>
    <row r="17" spans="1:10" x14ac:dyDescent="0.35">
      <c r="A17" s="453">
        <f t="shared" si="0"/>
        <v>6</v>
      </c>
      <c r="B17" s="472">
        <v>925</v>
      </c>
      <c r="C17" s="477" t="s">
        <v>265</v>
      </c>
      <c r="D17" s="73">
        <v>215579.21799999999</v>
      </c>
      <c r="E17" s="73">
        <f>E43</f>
        <v>1418.4390198959995</v>
      </c>
      <c r="F17" s="73">
        <f t="shared" si="2"/>
        <v>214160.77898010399</v>
      </c>
      <c r="G17" s="71" t="s">
        <v>502</v>
      </c>
      <c r="H17" s="453">
        <f t="shared" si="1"/>
        <v>6</v>
      </c>
      <c r="J17" s="479"/>
    </row>
    <row r="18" spans="1:10" x14ac:dyDescent="0.35">
      <c r="A18" s="453">
        <f t="shared" si="0"/>
        <v>7</v>
      </c>
      <c r="B18" s="472">
        <v>926</v>
      </c>
      <c r="C18" s="477" t="s">
        <v>266</v>
      </c>
      <c r="D18" s="73">
        <v>56506.010999999999</v>
      </c>
      <c r="E18" s="73">
        <f>E47</f>
        <v>2076.6261635540004</v>
      </c>
      <c r="F18" s="73">
        <f t="shared" si="2"/>
        <v>54429.384836445999</v>
      </c>
      <c r="G18" s="71" t="s">
        <v>503</v>
      </c>
      <c r="H18" s="453">
        <f t="shared" si="1"/>
        <v>7</v>
      </c>
      <c r="J18" s="642"/>
    </row>
    <row r="19" spans="1:10" x14ac:dyDescent="0.35">
      <c r="A19" s="453">
        <f t="shared" si="0"/>
        <v>8</v>
      </c>
      <c r="B19" s="472">
        <v>927</v>
      </c>
      <c r="C19" s="477" t="s">
        <v>267</v>
      </c>
      <c r="D19" s="73">
        <v>128579.841</v>
      </c>
      <c r="E19" s="73">
        <f>E48</f>
        <v>128579.84063999999</v>
      </c>
      <c r="F19" s="73">
        <f t="shared" si="2"/>
        <v>3.6000000545755029E-4</v>
      </c>
      <c r="G19" s="71" t="s">
        <v>504</v>
      </c>
      <c r="H19" s="453">
        <f t="shared" si="1"/>
        <v>8</v>
      </c>
      <c r="J19" s="481"/>
    </row>
    <row r="20" spans="1:10" x14ac:dyDescent="0.35">
      <c r="A20" s="453">
        <f t="shared" si="0"/>
        <v>9</v>
      </c>
      <c r="B20" s="472">
        <v>928</v>
      </c>
      <c r="C20" s="477" t="s">
        <v>268</v>
      </c>
      <c r="D20" s="73">
        <v>35379.656000000003</v>
      </c>
      <c r="E20" s="73">
        <f>E53</f>
        <v>24075.693879999999</v>
      </c>
      <c r="F20" s="73">
        <f t="shared" si="2"/>
        <v>11303.962120000004</v>
      </c>
      <c r="G20" s="71" t="s">
        <v>505</v>
      </c>
      <c r="H20" s="453">
        <f t="shared" si="1"/>
        <v>9</v>
      </c>
      <c r="J20" s="481"/>
    </row>
    <row r="21" spans="1:10" x14ac:dyDescent="0.35">
      <c r="A21" s="453">
        <f t="shared" si="0"/>
        <v>10</v>
      </c>
      <c r="B21" s="472">
        <v>929</v>
      </c>
      <c r="C21" s="477" t="s">
        <v>269</v>
      </c>
      <c r="D21" s="73">
        <v>-12933.800999999999</v>
      </c>
      <c r="E21" s="73"/>
      <c r="F21" s="73">
        <f t="shared" si="2"/>
        <v>-12933.800999999999</v>
      </c>
      <c r="G21" s="71" t="s">
        <v>506</v>
      </c>
      <c r="H21" s="453">
        <f t="shared" si="1"/>
        <v>10</v>
      </c>
      <c r="J21" s="479"/>
    </row>
    <row r="22" spans="1:10" x14ac:dyDescent="0.35">
      <c r="A22" s="453">
        <f t="shared" si="0"/>
        <v>11</v>
      </c>
      <c r="B22" s="482">
        <v>930.1</v>
      </c>
      <c r="C22" s="477" t="s">
        <v>270</v>
      </c>
      <c r="D22" s="73">
        <v>66.135000000000005</v>
      </c>
      <c r="E22" s="73">
        <f>E54</f>
        <v>66.134640000000005</v>
      </c>
      <c r="F22" s="73">
        <f t="shared" si="2"/>
        <v>3.6000000000058208E-4</v>
      </c>
      <c r="G22" s="71" t="s">
        <v>507</v>
      </c>
      <c r="H22" s="453">
        <f t="shared" si="1"/>
        <v>11</v>
      </c>
      <c r="J22" s="479"/>
    </row>
    <row r="23" spans="1:10" x14ac:dyDescent="0.35">
      <c r="A23" s="453">
        <f t="shared" si="0"/>
        <v>12</v>
      </c>
      <c r="B23" s="482">
        <v>930.2</v>
      </c>
      <c r="C23" s="477" t="s">
        <v>271</v>
      </c>
      <c r="D23" s="73">
        <v>10538.715</v>
      </c>
      <c r="E23" s="73">
        <f>E56</f>
        <v>5025.3699585660006</v>
      </c>
      <c r="F23" s="73">
        <f t="shared" si="2"/>
        <v>5513.3450414339995</v>
      </c>
      <c r="G23" s="71" t="s">
        <v>508</v>
      </c>
      <c r="H23" s="453">
        <f t="shared" si="1"/>
        <v>12</v>
      </c>
      <c r="J23" s="483"/>
    </row>
    <row r="24" spans="1:10" x14ac:dyDescent="0.35">
      <c r="A24" s="453">
        <f t="shared" si="0"/>
        <v>13</v>
      </c>
      <c r="B24" s="472">
        <v>931</v>
      </c>
      <c r="C24" s="477" t="s">
        <v>272</v>
      </c>
      <c r="D24" s="73">
        <v>12351.503000000001</v>
      </c>
      <c r="E24" s="73">
        <f>E57</f>
        <v>13.720007673000001</v>
      </c>
      <c r="F24" s="73">
        <f t="shared" si="2"/>
        <v>12337.782992327</v>
      </c>
      <c r="G24" s="71" t="s">
        <v>509</v>
      </c>
      <c r="H24" s="453">
        <f t="shared" si="1"/>
        <v>13</v>
      </c>
      <c r="J24" s="479"/>
    </row>
    <row r="25" spans="1:10" x14ac:dyDescent="0.35">
      <c r="A25" s="453">
        <f t="shared" si="0"/>
        <v>14</v>
      </c>
      <c r="B25" s="472">
        <v>935</v>
      </c>
      <c r="C25" s="477" t="s">
        <v>273</v>
      </c>
      <c r="D25" s="404">
        <v>18209.169000000002</v>
      </c>
      <c r="E25" s="404">
        <f>E58</f>
        <v>25.724845446</v>
      </c>
      <c r="F25" s="404">
        <f>D25-E25</f>
        <v>18183.444154554003</v>
      </c>
      <c r="G25" s="643" t="s">
        <v>510</v>
      </c>
      <c r="H25" s="453">
        <f t="shared" si="1"/>
        <v>14</v>
      </c>
      <c r="I25" s="454" t="s">
        <v>202</v>
      </c>
      <c r="J25" s="479"/>
    </row>
    <row r="26" spans="1:10" x14ac:dyDescent="0.35">
      <c r="A26" s="453">
        <f t="shared" si="0"/>
        <v>15</v>
      </c>
      <c r="B26" s="472"/>
      <c r="D26" s="484"/>
      <c r="E26" s="484"/>
      <c r="F26" s="484"/>
      <c r="G26" s="485"/>
      <c r="H26" s="453">
        <f t="shared" si="1"/>
        <v>15</v>
      </c>
    </row>
    <row r="27" spans="1:10" ht="16" thickBot="1" x14ac:dyDescent="0.4">
      <c r="A27" s="453">
        <f t="shared" si="0"/>
        <v>16</v>
      </c>
      <c r="B27" s="472"/>
      <c r="C27" s="462" t="s">
        <v>274</v>
      </c>
      <c r="D27" s="486">
        <f>SUM(D12:D25)</f>
        <v>656792.06599999999</v>
      </c>
      <c r="E27" s="77">
        <f>SUM(E12:E25)</f>
        <v>180439.269493139</v>
      </c>
      <c r="F27" s="77">
        <f>SUM(F12:F25)</f>
        <v>476352.79650686105</v>
      </c>
      <c r="G27" s="81" t="str">
        <f>"Sum Lines "&amp;A12&amp;" thru "&amp;A25</f>
        <v>Sum Lines 1 thru 14</v>
      </c>
      <c r="H27" s="453">
        <f t="shared" si="1"/>
        <v>16</v>
      </c>
    </row>
    <row r="28" spans="1:10" ht="16" thickTop="1" x14ac:dyDescent="0.35">
      <c r="A28" s="453">
        <f t="shared" si="0"/>
        <v>17</v>
      </c>
      <c r="B28" s="472"/>
      <c r="C28" s="462"/>
      <c r="D28" s="488"/>
      <c r="E28" s="478"/>
      <c r="F28" s="76"/>
      <c r="G28" s="81"/>
      <c r="H28" s="453">
        <f t="shared" si="1"/>
        <v>17</v>
      </c>
    </row>
    <row r="29" spans="1:10" ht="18" x14ac:dyDescent="0.35">
      <c r="A29" s="453">
        <f t="shared" si="0"/>
        <v>18</v>
      </c>
      <c r="B29" s="472">
        <v>413</v>
      </c>
      <c r="C29" s="454" t="s">
        <v>275</v>
      </c>
      <c r="D29" s="404">
        <v>206.79828000000001</v>
      </c>
      <c r="E29" s="564">
        <v>0</v>
      </c>
      <c r="F29" s="404">
        <f>D29-E29</f>
        <v>206.79828000000001</v>
      </c>
      <c r="G29" s="81"/>
      <c r="H29" s="453">
        <f t="shared" si="1"/>
        <v>18</v>
      </c>
      <c r="J29" s="644"/>
    </row>
    <row r="30" spans="1:10" x14ac:dyDescent="0.35">
      <c r="A30" s="453">
        <f t="shared" si="0"/>
        <v>19</v>
      </c>
      <c r="B30" s="472"/>
      <c r="C30" s="462"/>
      <c r="D30" s="488"/>
      <c r="E30" s="478"/>
      <c r="F30" s="76"/>
      <c r="G30" s="81"/>
      <c r="H30" s="453">
        <f t="shared" si="1"/>
        <v>19</v>
      </c>
    </row>
    <row r="31" spans="1:10" ht="16" thickBot="1" x14ac:dyDescent="0.4">
      <c r="A31" s="453">
        <f t="shared" si="0"/>
        <v>20</v>
      </c>
      <c r="B31" s="472"/>
      <c r="C31" s="462" t="s">
        <v>276</v>
      </c>
      <c r="D31" s="486">
        <f>D27+D29</f>
        <v>656998.86427999998</v>
      </c>
      <c r="E31" s="478">
        <f>E27+E29</f>
        <v>180439.269493139</v>
      </c>
      <c r="F31" s="76">
        <f>F27+F29</f>
        <v>476559.59478686104</v>
      </c>
      <c r="G31" s="81" t="str">
        <f>"Line "&amp;A27&amp;" + Line "&amp;A29</f>
        <v>Line 16 + Line 18</v>
      </c>
      <c r="H31" s="453">
        <f t="shared" si="1"/>
        <v>20</v>
      </c>
    </row>
    <row r="32" spans="1:10" ht="16.5" thickTop="1" thickBot="1" x14ac:dyDescent="0.4">
      <c r="A32" s="453">
        <f t="shared" si="0"/>
        <v>21</v>
      </c>
      <c r="B32" s="489"/>
      <c r="C32" s="455"/>
      <c r="D32" s="490"/>
      <c r="E32" s="491"/>
      <c r="F32" s="491"/>
      <c r="G32" s="492"/>
      <c r="H32" s="453">
        <f t="shared" si="1"/>
        <v>21</v>
      </c>
    </row>
    <row r="33" spans="1:10" x14ac:dyDescent="0.35">
      <c r="A33" s="453">
        <f t="shared" si="0"/>
        <v>22</v>
      </c>
      <c r="B33" s="493"/>
      <c r="D33" s="494"/>
      <c r="E33" s="495"/>
      <c r="F33" s="494"/>
      <c r="G33" s="485"/>
      <c r="H33" s="453">
        <f t="shared" si="1"/>
        <v>22</v>
      </c>
    </row>
    <row r="34" spans="1:10" x14ac:dyDescent="0.35">
      <c r="A34" s="453">
        <f t="shared" si="0"/>
        <v>23</v>
      </c>
      <c r="B34" s="496" t="s">
        <v>277</v>
      </c>
      <c r="C34" s="453"/>
      <c r="D34" s="453"/>
      <c r="E34" s="453"/>
      <c r="F34" s="453"/>
      <c r="G34" s="485"/>
      <c r="H34" s="453">
        <f t="shared" si="1"/>
        <v>23</v>
      </c>
    </row>
    <row r="35" spans="1:10" x14ac:dyDescent="0.35">
      <c r="A35" s="453">
        <f t="shared" si="0"/>
        <v>24</v>
      </c>
      <c r="B35" s="500">
        <v>920</v>
      </c>
      <c r="C35" s="477" t="s">
        <v>511</v>
      </c>
      <c r="D35" s="52"/>
      <c r="E35" s="645">
        <v>880.90825143900008</v>
      </c>
      <c r="F35" s="453"/>
      <c r="G35" s="485"/>
      <c r="H35" s="453">
        <f t="shared" si="1"/>
        <v>24</v>
      </c>
      <c r="J35" s="644"/>
    </row>
    <row r="36" spans="1:10" x14ac:dyDescent="0.35">
      <c r="A36" s="453">
        <f t="shared" si="0"/>
        <v>25</v>
      </c>
      <c r="B36" s="500">
        <v>921</v>
      </c>
      <c r="C36" s="477" t="s">
        <v>511</v>
      </c>
      <c r="D36" s="646"/>
      <c r="E36" s="646">
        <v>7379.4532107689993</v>
      </c>
      <c r="F36" s="453"/>
      <c r="G36" s="485"/>
      <c r="H36" s="453">
        <f t="shared" si="1"/>
        <v>25</v>
      </c>
      <c r="J36" s="644"/>
    </row>
    <row r="37" spans="1:10" x14ac:dyDescent="0.35">
      <c r="A37" s="453">
        <f t="shared" si="0"/>
        <v>26</v>
      </c>
      <c r="B37" s="500">
        <v>923</v>
      </c>
      <c r="C37" s="477" t="s">
        <v>511</v>
      </c>
      <c r="D37" s="241">
        <v>1396.4498757960002</v>
      </c>
      <c r="E37" s="453"/>
      <c r="F37" s="453"/>
      <c r="G37" s="485"/>
      <c r="H37" s="453">
        <f t="shared" si="1"/>
        <v>26</v>
      </c>
    </row>
    <row r="38" spans="1:10" ht="18" x14ac:dyDescent="0.35">
      <c r="A38" s="453">
        <f t="shared" si="0"/>
        <v>27</v>
      </c>
      <c r="B38" s="500"/>
      <c r="C38" s="477" t="s">
        <v>512</v>
      </c>
      <c r="D38" s="647">
        <v>9500.9089999999997</v>
      </c>
      <c r="E38" s="648">
        <f>SUM(D37:D38)</f>
        <v>10897.358875796001</v>
      </c>
      <c r="F38" s="453"/>
      <c r="G38" s="485"/>
      <c r="H38" s="453">
        <f t="shared" si="1"/>
        <v>27</v>
      </c>
    </row>
    <row r="39" spans="1:10" x14ac:dyDescent="0.35">
      <c r="A39" s="453">
        <f t="shared" si="0"/>
        <v>28</v>
      </c>
      <c r="B39" s="500">
        <v>925</v>
      </c>
      <c r="C39" s="477" t="s">
        <v>511</v>
      </c>
      <c r="D39" s="646">
        <v>1299.7870644639997</v>
      </c>
      <c r="E39" s="453"/>
      <c r="F39" s="453"/>
      <c r="G39" s="485"/>
      <c r="H39" s="453">
        <f t="shared" si="1"/>
        <v>28</v>
      </c>
    </row>
    <row r="40" spans="1:10" x14ac:dyDescent="0.35">
      <c r="A40" s="453">
        <f t="shared" si="0"/>
        <v>29</v>
      </c>
      <c r="B40" s="500"/>
      <c r="C40" s="477" t="s">
        <v>278</v>
      </c>
      <c r="D40" s="646">
        <v>56.953900000000012</v>
      </c>
      <c r="E40" s="453"/>
      <c r="F40" s="453"/>
      <c r="G40" s="485"/>
      <c r="H40" s="453">
        <f t="shared" si="1"/>
        <v>29</v>
      </c>
    </row>
    <row r="41" spans="1:10" x14ac:dyDescent="0.35">
      <c r="A41" s="453">
        <f t="shared" si="0"/>
        <v>30</v>
      </c>
      <c r="B41" s="500"/>
      <c r="C41" s="477" t="s">
        <v>513</v>
      </c>
      <c r="D41" s="646">
        <v>51.146999999999998</v>
      </c>
      <c r="E41" s="453"/>
      <c r="F41" s="453"/>
      <c r="G41" s="485"/>
      <c r="H41" s="453">
        <f t="shared" si="1"/>
        <v>30</v>
      </c>
    </row>
    <row r="42" spans="1:10" x14ac:dyDescent="0.35">
      <c r="A42" s="453">
        <f t="shared" si="0"/>
        <v>31</v>
      </c>
      <c r="B42" s="500"/>
      <c r="C42" s="477" t="s">
        <v>514</v>
      </c>
      <c r="D42" s="646">
        <v>7.6603654320000008</v>
      </c>
      <c r="E42" s="453"/>
      <c r="F42" s="453"/>
      <c r="G42" s="485"/>
      <c r="H42" s="453">
        <f t="shared" si="1"/>
        <v>31</v>
      </c>
    </row>
    <row r="43" spans="1:10" x14ac:dyDescent="0.35">
      <c r="A43" s="453">
        <f t="shared" si="0"/>
        <v>32</v>
      </c>
      <c r="B43" s="500"/>
      <c r="C43" s="477" t="s">
        <v>515</v>
      </c>
      <c r="D43" s="647">
        <v>2.8906900000000006</v>
      </c>
      <c r="E43" s="646">
        <f>SUM(D39:D43)</f>
        <v>1418.4390198959995</v>
      </c>
      <c r="F43" s="453"/>
      <c r="G43" s="485"/>
      <c r="H43" s="453">
        <f t="shared" si="1"/>
        <v>32</v>
      </c>
    </row>
    <row r="44" spans="1:10" x14ac:dyDescent="0.35">
      <c r="A44" s="453">
        <f t="shared" si="0"/>
        <v>33</v>
      </c>
      <c r="B44" s="500">
        <v>926</v>
      </c>
      <c r="C44" s="498" t="s">
        <v>511</v>
      </c>
      <c r="D44" s="646">
        <v>1948.1068235539999</v>
      </c>
      <c r="E44" s="453"/>
      <c r="F44" s="453"/>
      <c r="G44" s="485"/>
      <c r="H44" s="453">
        <f t="shared" si="1"/>
        <v>33</v>
      </c>
    </row>
    <row r="45" spans="1:10" x14ac:dyDescent="0.35">
      <c r="A45" s="453">
        <f t="shared" si="0"/>
        <v>34</v>
      </c>
      <c r="B45" s="500"/>
      <c r="C45" s="477" t="s">
        <v>278</v>
      </c>
      <c r="D45" s="646">
        <v>87.771760000000015</v>
      </c>
      <c r="E45" s="453"/>
      <c r="F45" s="453"/>
      <c r="G45" s="485"/>
      <c r="H45" s="453">
        <f t="shared" si="1"/>
        <v>34</v>
      </c>
    </row>
    <row r="46" spans="1:10" x14ac:dyDescent="0.35">
      <c r="A46" s="453">
        <f t="shared" si="0"/>
        <v>35</v>
      </c>
      <c r="B46" s="500"/>
      <c r="C46" s="477" t="s">
        <v>516</v>
      </c>
      <c r="D46" s="646">
        <v>36.096990000000005</v>
      </c>
      <c r="F46" s="453"/>
      <c r="G46" s="485"/>
      <c r="H46" s="453">
        <f t="shared" si="1"/>
        <v>35</v>
      </c>
    </row>
    <row r="47" spans="1:10" x14ac:dyDescent="0.35">
      <c r="A47" s="453">
        <f t="shared" si="0"/>
        <v>36</v>
      </c>
      <c r="B47" s="500"/>
      <c r="C47" s="477" t="s">
        <v>515</v>
      </c>
      <c r="D47" s="647">
        <v>4.6505900000000002</v>
      </c>
      <c r="E47" s="646">
        <f>SUM(D44:D47)</f>
        <v>2076.6261635540004</v>
      </c>
      <c r="F47" s="453"/>
      <c r="G47" s="485"/>
      <c r="H47" s="453">
        <f t="shared" si="1"/>
        <v>36</v>
      </c>
    </row>
    <row r="48" spans="1:10" x14ac:dyDescent="0.35">
      <c r="A48" s="453">
        <f t="shared" si="0"/>
        <v>37</v>
      </c>
      <c r="B48" s="649">
        <v>927</v>
      </c>
      <c r="C48" s="498" t="s">
        <v>267</v>
      </c>
      <c r="D48" s="646"/>
      <c r="E48" s="650">
        <v>128579.84063999999</v>
      </c>
      <c r="F48" s="453"/>
      <c r="G48" s="485"/>
      <c r="H48" s="453">
        <f t="shared" si="1"/>
        <v>37</v>
      </c>
    </row>
    <row r="49" spans="1:8" x14ac:dyDescent="0.35">
      <c r="A49" s="453">
        <f t="shared" si="0"/>
        <v>38</v>
      </c>
      <c r="B49" s="500">
        <v>928</v>
      </c>
      <c r="C49" s="41" t="s">
        <v>517</v>
      </c>
      <c r="D49" s="646">
        <v>22235.548999999999</v>
      </c>
      <c r="E49" s="453"/>
      <c r="F49" s="453"/>
      <c r="G49" s="485"/>
      <c r="H49" s="453">
        <f t="shared" si="1"/>
        <v>38</v>
      </c>
    </row>
    <row r="50" spans="1:8" x14ac:dyDescent="0.35">
      <c r="A50" s="453">
        <f t="shared" si="0"/>
        <v>39</v>
      </c>
      <c r="B50" s="500"/>
      <c r="C50" s="477" t="s">
        <v>279</v>
      </c>
      <c r="D50" s="646">
        <v>964.92977000000019</v>
      </c>
      <c r="E50" s="453"/>
      <c r="F50" s="453"/>
      <c r="G50" s="485"/>
      <c r="H50" s="453">
        <f t="shared" si="1"/>
        <v>39</v>
      </c>
    </row>
    <row r="51" spans="1:8" x14ac:dyDescent="0.35">
      <c r="A51" s="453">
        <f t="shared" si="0"/>
        <v>40</v>
      </c>
      <c r="B51" s="500"/>
      <c r="C51" s="477" t="s">
        <v>511</v>
      </c>
      <c r="D51" s="646">
        <v>258.03949000000011</v>
      </c>
      <c r="E51" s="453"/>
      <c r="F51" s="453"/>
      <c r="G51" s="485"/>
      <c r="H51" s="453">
        <f t="shared" si="1"/>
        <v>40</v>
      </c>
    </row>
    <row r="52" spans="1:8" x14ac:dyDescent="0.35">
      <c r="A52" s="453">
        <f t="shared" si="0"/>
        <v>41</v>
      </c>
      <c r="B52" s="500"/>
      <c r="C52" s="19" t="s">
        <v>280</v>
      </c>
      <c r="D52" s="651">
        <v>0</v>
      </c>
      <c r="E52" s="453"/>
      <c r="F52" s="453"/>
      <c r="G52" s="485"/>
      <c r="H52" s="453">
        <f t="shared" si="1"/>
        <v>41</v>
      </c>
    </row>
    <row r="53" spans="1:8" x14ac:dyDescent="0.35">
      <c r="A53" s="453">
        <f t="shared" si="0"/>
        <v>42</v>
      </c>
      <c r="B53" s="500"/>
      <c r="C53" s="19" t="s">
        <v>281</v>
      </c>
      <c r="D53" s="647">
        <v>617.17561999999998</v>
      </c>
      <c r="E53" s="646">
        <f>SUM(D49:D53)</f>
        <v>24075.693879999999</v>
      </c>
      <c r="F53" s="453"/>
      <c r="G53" s="485"/>
      <c r="H53" s="453">
        <f t="shared" si="1"/>
        <v>42</v>
      </c>
    </row>
    <row r="54" spans="1:8" x14ac:dyDescent="0.35">
      <c r="A54" s="453">
        <f t="shared" si="0"/>
        <v>43</v>
      </c>
      <c r="B54" s="652">
        <v>930.1</v>
      </c>
      <c r="C54" s="19" t="s">
        <v>270</v>
      </c>
      <c r="D54" s="646"/>
      <c r="E54" s="648">
        <v>66.134640000000005</v>
      </c>
      <c r="F54" s="453"/>
      <c r="G54" s="485"/>
      <c r="H54" s="453">
        <f t="shared" si="1"/>
        <v>43</v>
      </c>
    </row>
    <row r="55" spans="1:8" x14ac:dyDescent="0.35">
      <c r="A55" s="453">
        <f t="shared" si="0"/>
        <v>44</v>
      </c>
      <c r="B55" s="499">
        <v>930.2</v>
      </c>
      <c r="C55" s="498" t="s">
        <v>282</v>
      </c>
      <c r="D55" s="650">
        <v>5025.3662400000003</v>
      </c>
      <c r="F55" s="453"/>
      <c r="G55" s="485"/>
      <c r="H55" s="453">
        <f t="shared" si="1"/>
        <v>44</v>
      </c>
    </row>
    <row r="56" spans="1:8" x14ac:dyDescent="0.35">
      <c r="A56" s="453">
        <f t="shared" si="0"/>
        <v>45</v>
      </c>
      <c r="B56" s="499"/>
      <c r="C56" s="498" t="s">
        <v>511</v>
      </c>
      <c r="D56" s="647">
        <v>3.7185659999999956E-3</v>
      </c>
      <c r="E56" s="648">
        <f>SUM(D55:D56)</f>
        <v>5025.3699585660006</v>
      </c>
      <c r="F56" s="453"/>
      <c r="G56" s="485"/>
      <c r="H56" s="453">
        <f t="shared" si="1"/>
        <v>45</v>
      </c>
    </row>
    <row r="57" spans="1:8" x14ac:dyDescent="0.35">
      <c r="A57" s="453">
        <f t="shared" si="0"/>
        <v>46</v>
      </c>
      <c r="B57" s="653">
        <v>931</v>
      </c>
      <c r="C57" s="19" t="s">
        <v>511</v>
      </c>
      <c r="D57" s="646"/>
      <c r="E57" s="650">
        <v>13.720007673000001</v>
      </c>
      <c r="F57" s="453"/>
      <c r="G57" s="485"/>
      <c r="H57" s="453">
        <f t="shared" si="1"/>
        <v>46</v>
      </c>
    </row>
    <row r="58" spans="1:8" x14ac:dyDescent="0.35">
      <c r="A58" s="453">
        <f t="shared" si="0"/>
        <v>47</v>
      </c>
      <c r="B58" s="500">
        <v>935</v>
      </c>
      <c r="C58" s="477" t="s">
        <v>283</v>
      </c>
      <c r="D58" s="646"/>
      <c r="E58" s="654">
        <v>25.724845446</v>
      </c>
      <c r="F58" s="453"/>
      <c r="G58" s="485"/>
      <c r="H58" s="453">
        <f t="shared" si="1"/>
        <v>47</v>
      </c>
    </row>
    <row r="59" spans="1:8" x14ac:dyDescent="0.35">
      <c r="A59" s="453">
        <f t="shared" si="0"/>
        <v>48</v>
      </c>
      <c r="B59" s="500"/>
      <c r="C59" s="655"/>
      <c r="D59" s="656"/>
      <c r="E59" s="47"/>
      <c r="F59" s="453"/>
      <c r="G59" s="485"/>
      <c r="H59" s="453">
        <f t="shared" si="1"/>
        <v>48</v>
      </c>
    </row>
    <row r="60" spans="1:8" ht="16" thickBot="1" x14ac:dyDescent="0.4">
      <c r="A60" s="453">
        <f t="shared" si="0"/>
        <v>49</v>
      </c>
      <c r="B60" s="493"/>
      <c r="C60" s="501" t="s">
        <v>284</v>
      </c>
      <c r="D60" s="657"/>
      <c r="E60" s="658">
        <f>SUM(E35:E58)</f>
        <v>180439.269493139</v>
      </c>
      <c r="F60" s="453"/>
      <c r="G60" s="485"/>
      <c r="H60" s="453">
        <f t="shared" si="1"/>
        <v>49</v>
      </c>
    </row>
    <row r="61" spans="1:8" ht="16" thickTop="1" x14ac:dyDescent="0.35">
      <c r="A61" s="453">
        <f t="shared" si="0"/>
        <v>50</v>
      </c>
      <c r="B61" s="496"/>
      <c r="C61" s="453"/>
      <c r="D61" s="453"/>
      <c r="E61" s="453"/>
      <c r="F61" s="453"/>
      <c r="G61" s="485"/>
      <c r="H61" s="453">
        <f t="shared" si="1"/>
        <v>50</v>
      </c>
    </row>
    <row r="62" spans="1:8" x14ac:dyDescent="0.35">
      <c r="A62" s="453">
        <f t="shared" si="0"/>
        <v>51</v>
      </c>
      <c r="B62" s="496"/>
      <c r="C62" s="453"/>
      <c r="D62" s="453"/>
      <c r="E62" s="453"/>
      <c r="F62" s="453"/>
      <c r="G62" s="485"/>
      <c r="H62" s="453">
        <f t="shared" si="1"/>
        <v>51</v>
      </c>
    </row>
    <row r="63" spans="1:8" ht="18.5" x14ac:dyDescent="0.35">
      <c r="A63" s="453">
        <f t="shared" si="0"/>
        <v>52</v>
      </c>
      <c r="B63" s="297">
        <v>1</v>
      </c>
      <c r="C63" s="296" t="s">
        <v>620</v>
      </c>
      <c r="E63" s="502"/>
      <c r="F63" s="511"/>
      <c r="G63" s="485"/>
      <c r="H63" s="453">
        <f t="shared" si="1"/>
        <v>52</v>
      </c>
    </row>
    <row r="64" spans="1:8" ht="18.5" x14ac:dyDescent="0.35">
      <c r="A64" s="453">
        <f t="shared" si="0"/>
        <v>53</v>
      </c>
      <c r="B64" s="503"/>
      <c r="C64" s="18" t="s">
        <v>285</v>
      </c>
      <c r="E64" s="502"/>
      <c r="F64" s="511"/>
      <c r="G64" s="485"/>
      <c r="H64" s="453">
        <f t="shared" si="1"/>
        <v>53</v>
      </c>
    </row>
    <row r="65" spans="1:8" ht="18" x14ac:dyDescent="0.35">
      <c r="A65" s="453">
        <f t="shared" si="0"/>
        <v>54</v>
      </c>
      <c r="B65" s="543" t="s">
        <v>286</v>
      </c>
      <c r="C65" s="35" t="s">
        <v>518</v>
      </c>
      <c r="E65" s="502"/>
      <c r="F65" s="511"/>
      <c r="G65" s="485"/>
      <c r="H65" s="453">
        <f t="shared" si="1"/>
        <v>54</v>
      </c>
    </row>
    <row r="66" spans="1:8" ht="18" x14ac:dyDescent="0.35">
      <c r="A66" s="453">
        <f t="shared" si="0"/>
        <v>55</v>
      </c>
      <c r="B66" s="543"/>
      <c r="C66" s="35" t="s">
        <v>519</v>
      </c>
      <c r="E66" s="502"/>
      <c r="F66" s="511"/>
      <c r="G66" s="485"/>
      <c r="H66" s="453">
        <f t="shared" si="1"/>
        <v>55</v>
      </c>
    </row>
    <row r="67" spans="1:8" ht="18" x14ac:dyDescent="0.35">
      <c r="A67" s="453">
        <f t="shared" si="0"/>
        <v>56</v>
      </c>
      <c r="B67" s="543"/>
      <c r="C67" s="35" t="s">
        <v>520</v>
      </c>
      <c r="E67" s="502"/>
      <c r="F67" s="511"/>
      <c r="G67" s="485"/>
      <c r="H67" s="453">
        <f t="shared" si="1"/>
        <v>56</v>
      </c>
    </row>
    <row r="68" spans="1:8" ht="16" thickBot="1" x14ac:dyDescent="0.4">
      <c r="A68" s="453">
        <f t="shared" si="0"/>
        <v>57</v>
      </c>
      <c r="B68" s="504"/>
      <c r="C68" s="505"/>
      <c r="D68" s="455"/>
      <c r="E68" s="455"/>
      <c r="F68" s="455"/>
      <c r="G68" s="492"/>
      <c r="H68" s="453">
        <f t="shared" si="1"/>
        <v>57</v>
      </c>
    </row>
    <row r="69" spans="1:8" x14ac:dyDescent="0.35">
      <c r="C69" s="477"/>
    </row>
    <row r="70" spans="1:8" x14ac:dyDescent="0.35">
      <c r="A70" s="529"/>
      <c r="C70" s="477"/>
      <c r="D70" s="506"/>
      <c r="E70" s="506"/>
    </row>
    <row r="71" spans="1:8" ht="18" x14ac:dyDescent="0.35">
      <c r="A71" s="507"/>
      <c r="B71" s="298"/>
      <c r="C71" s="18"/>
      <c r="D71" s="159"/>
      <c r="E71" s="159"/>
      <c r="F71" s="159"/>
    </row>
    <row r="72" spans="1:8" ht="18" x14ac:dyDescent="0.35">
      <c r="A72" s="507"/>
      <c r="B72" s="298"/>
      <c r="C72" s="252"/>
      <c r="D72" s="159"/>
      <c r="E72" s="159"/>
      <c r="F72" s="159"/>
    </row>
    <row r="73" spans="1:8" ht="18" x14ac:dyDescent="0.35">
      <c r="A73" s="507"/>
      <c r="B73" s="34"/>
      <c r="C73" s="18"/>
      <c r="D73" s="18"/>
      <c r="E73" s="18"/>
      <c r="F73" s="18"/>
    </row>
    <row r="74" spans="1:8" ht="18" x14ac:dyDescent="0.35">
      <c r="A74" s="507"/>
      <c r="C74" s="477"/>
    </row>
    <row r="75" spans="1:8" ht="18" x14ac:dyDescent="0.35">
      <c r="A75" s="507"/>
      <c r="C75" s="477"/>
    </row>
    <row r="76" spans="1:8" ht="18" x14ac:dyDescent="0.35">
      <c r="A76" s="507"/>
      <c r="C76" s="477"/>
    </row>
    <row r="77" spans="1:8" x14ac:dyDescent="0.35">
      <c r="A77" s="529"/>
      <c r="C77" s="477"/>
    </row>
    <row r="78" spans="1:8" ht="18" x14ac:dyDescent="0.35">
      <c r="A78" s="507"/>
      <c r="C78" s="477"/>
    </row>
    <row r="79" spans="1:8" x14ac:dyDescent="0.35">
      <c r="A79" s="529"/>
      <c r="C79" s="477"/>
    </row>
    <row r="80" spans="1:8" ht="18" x14ac:dyDescent="0.35">
      <c r="A80" s="507"/>
      <c r="C80" s="477"/>
    </row>
    <row r="81" spans="1:3" x14ac:dyDescent="0.35">
      <c r="A81" s="529"/>
      <c r="C81" s="477"/>
    </row>
    <row r="82" spans="1:3" ht="18" x14ac:dyDescent="0.35">
      <c r="A82" s="507"/>
      <c r="C82" s="477"/>
    </row>
    <row r="83" spans="1:3" ht="18" x14ac:dyDescent="0.35">
      <c r="A83" s="507"/>
      <c r="B83" s="477"/>
    </row>
    <row r="84" spans="1:3" ht="18" x14ac:dyDescent="0.35">
      <c r="A84" s="507"/>
      <c r="B84" s="477"/>
    </row>
    <row r="85" spans="1:3" x14ac:dyDescent="0.35">
      <c r="B85" s="477"/>
    </row>
    <row r="86" spans="1:3" ht="18" x14ac:dyDescent="0.35">
      <c r="A86" s="507"/>
      <c r="B86" s="477"/>
    </row>
    <row r="87" spans="1:3" x14ac:dyDescent="0.35">
      <c r="A87" s="508"/>
      <c r="B87" s="509"/>
    </row>
    <row r="88" spans="1:3" x14ac:dyDescent="0.35">
      <c r="B88" s="477"/>
    </row>
  </sheetData>
  <mergeCells count="4">
    <mergeCell ref="B3:G3"/>
    <mergeCell ref="B4:G4"/>
    <mergeCell ref="B5:G5"/>
    <mergeCell ref="B6:G6"/>
  </mergeCells>
  <printOptions horizontalCentered="1"/>
  <pageMargins left="0.25" right="0.25" top="0.5" bottom="0.5" header="0.35" footer="0.25"/>
  <pageSetup scale="59" orientation="portrait" r:id="rId1"/>
  <headerFooter scaleWithDoc="0" alignWithMargins="0">
    <oddHeader>&amp;C&amp;"Times New Roman,Bold"&amp;7AS FILED</oddHeader>
    <oddFooter>&amp;L&amp;F&amp;CPage 8.3&amp;R&amp;A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4C083-0807-43E6-B5CD-7EC58C5B2545}">
  <sheetPr>
    <pageSetUpPr fitToPage="1"/>
  </sheetPr>
  <dimension ref="A1:L36"/>
  <sheetViews>
    <sheetView zoomScale="80" zoomScaleNormal="80" workbookViewId="0"/>
  </sheetViews>
  <sheetFormatPr defaultColWidth="8.81640625" defaultRowHeight="15.5" x14ac:dyDescent="0.35"/>
  <cols>
    <col min="1" max="1" width="5.453125" style="155" bestFit="1" customWidth="1"/>
    <col min="2" max="2" width="68.81640625" style="82" customWidth="1"/>
    <col min="3" max="3" width="25.453125" style="83" bestFit="1" customWidth="1"/>
    <col min="4" max="4" width="1.54296875" style="82" customWidth="1"/>
    <col min="5" max="5" width="16.81640625" style="82" customWidth="1"/>
    <col min="6" max="6" width="1.54296875" style="82" customWidth="1"/>
    <col min="7" max="7" width="16.81640625" style="82" customWidth="1"/>
    <col min="8" max="8" width="1.54296875" style="82" customWidth="1"/>
    <col min="9" max="9" width="40.453125" style="82" customWidth="1"/>
    <col min="10" max="10" width="5.453125" style="82" customWidth="1"/>
    <col min="11" max="16384" width="8.81640625" style="82"/>
  </cols>
  <sheetData>
    <row r="1" spans="1:12" x14ac:dyDescent="0.35">
      <c r="H1" s="155"/>
      <c r="I1" s="155"/>
      <c r="J1" s="155"/>
    </row>
    <row r="2" spans="1:12" x14ac:dyDescent="0.35">
      <c r="B2" s="778" t="s">
        <v>14</v>
      </c>
      <c r="C2" s="779"/>
      <c r="D2" s="779"/>
      <c r="E2" s="779"/>
      <c r="F2" s="779"/>
      <c r="G2" s="779"/>
      <c r="H2" s="779"/>
      <c r="I2" s="779"/>
      <c r="J2" s="154"/>
    </row>
    <row r="3" spans="1:12" x14ac:dyDescent="0.35">
      <c r="B3" s="778" t="s">
        <v>287</v>
      </c>
      <c r="C3" s="779"/>
      <c r="D3" s="779"/>
      <c r="E3" s="779"/>
      <c r="F3" s="779"/>
      <c r="G3" s="779"/>
      <c r="H3" s="779"/>
      <c r="I3" s="779"/>
      <c r="J3" s="154"/>
    </row>
    <row r="4" spans="1:12" x14ac:dyDescent="0.35">
      <c r="B4" s="778" t="s">
        <v>288</v>
      </c>
      <c r="C4" s="779"/>
      <c r="D4" s="779"/>
      <c r="E4" s="779"/>
      <c r="F4" s="779"/>
      <c r="G4" s="779"/>
      <c r="H4" s="779"/>
      <c r="I4" s="779"/>
      <c r="J4" s="154"/>
    </row>
    <row r="5" spans="1:12" x14ac:dyDescent="0.35">
      <c r="B5" s="780" t="s">
        <v>496</v>
      </c>
      <c r="C5" s="780"/>
      <c r="D5" s="780"/>
      <c r="E5" s="780"/>
      <c r="F5" s="780"/>
      <c r="G5" s="780"/>
      <c r="H5" s="780"/>
      <c r="I5" s="780"/>
      <c r="J5" s="154"/>
      <c r="L5" s="662"/>
    </row>
    <row r="6" spans="1:12" x14ac:dyDescent="0.35">
      <c r="B6" s="781" t="s">
        <v>1</v>
      </c>
      <c r="C6" s="781"/>
      <c r="D6" s="781"/>
      <c r="E6" s="781"/>
      <c r="F6" s="781"/>
      <c r="G6" s="781"/>
      <c r="H6" s="781"/>
      <c r="I6" s="781"/>
      <c r="J6" s="84"/>
    </row>
    <row r="7" spans="1:12" x14ac:dyDescent="0.35">
      <c r="B7" s="155"/>
      <c r="D7" s="155"/>
      <c r="E7" s="155"/>
      <c r="F7" s="155"/>
      <c r="G7" s="155"/>
      <c r="H7" s="154"/>
      <c r="I7" s="154"/>
      <c r="J7" s="154"/>
    </row>
    <row r="8" spans="1:12" x14ac:dyDescent="0.35">
      <c r="A8" s="155" t="s">
        <v>2</v>
      </c>
      <c r="B8" s="154"/>
      <c r="C8" s="34" t="s">
        <v>178</v>
      </c>
      <c r="D8" s="155"/>
      <c r="E8" s="155" t="s">
        <v>289</v>
      </c>
      <c r="F8" s="155"/>
      <c r="G8" s="155" t="s">
        <v>290</v>
      </c>
      <c r="H8" s="154"/>
      <c r="I8" s="154"/>
      <c r="J8" s="155" t="s">
        <v>2</v>
      </c>
    </row>
    <row r="9" spans="1:12" x14ac:dyDescent="0.35">
      <c r="A9" s="155" t="s">
        <v>3</v>
      </c>
      <c r="B9" s="154"/>
      <c r="C9" s="566" t="s">
        <v>179</v>
      </c>
      <c r="D9" s="154"/>
      <c r="E9" s="663" t="s">
        <v>291</v>
      </c>
      <c r="F9" s="154"/>
      <c r="G9" s="663" t="s">
        <v>292</v>
      </c>
      <c r="H9" s="154"/>
      <c r="I9" s="664" t="s">
        <v>6</v>
      </c>
      <c r="J9" s="155" t="s">
        <v>3</v>
      </c>
    </row>
    <row r="10" spans="1:12" x14ac:dyDescent="0.35">
      <c r="B10" s="155"/>
      <c r="D10" s="155"/>
      <c r="E10" s="155"/>
      <c r="F10" s="155"/>
      <c r="G10" s="155"/>
      <c r="H10" s="155"/>
      <c r="I10" s="155"/>
      <c r="J10" s="155"/>
    </row>
    <row r="11" spans="1:12" ht="18" x14ac:dyDescent="0.35">
      <c r="A11" s="155">
        <v>1</v>
      </c>
      <c r="B11" s="82" t="s">
        <v>523</v>
      </c>
      <c r="C11" s="155"/>
      <c r="E11" s="299"/>
      <c r="F11" s="85"/>
      <c r="G11" s="272">
        <v>121247.3026923077</v>
      </c>
      <c r="H11" s="85"/>
      <c r="I11" s="59" t="s">
        <v>293</v>
      </c>
      <c r="J11" s="155">
        <f>A11</f>
        <v>1</v>
      </c>
      <c r="L11" s="662"/>
    </row>
    <row r="12" spans="1:12" x14ac:dyDescent="0.35">
      <c r="A12" s="155">
        <f>+A11+1</f>
        <v>2</v>
      </c>
      <c r="C12" s="155"/>
      <c r="E12" s="86"/>
      <c r="F12" s="87"/>
      <c r="G12" s="87"/>
      <c r="H12" s="87"/>
      <c r="I12" s="59"/>
      <c r="J12" s="155">
        <f>+J11+1</f>
        <v>2</v>
      </c>
    </row>
    <row r="13" spans="1:12" x14ac:dyDescent="0.35">
      <c r="A13" s="155">
        <f t="shared" ref="A13:A29" si="0">+A12+1</f>
        <v>3</v>
      </c>
      <c r="B13" s="82" t="s">
        <v>294</v>
      </c>
      <c r="C13" s="155"/>
      <c r="E13" s="88"/>
      <c r="F13" s="89"/>
      <c r="G13" s="665">
        <v>0.39140043344218822</v>
      </c>
      <c r="H13" s="85"/>
      <c r="I13" s="59" t="s">
        <v>295</v>
      </c>
      <c r="J13" s="155">
        <f t="shared" ref="J13:J29" si="1">+J12+1</f>
        <v>3</v>
      </c>
    </row>
    <row r="14" spans="1:12" x14ac:dyDescent="0.35">
      <c r="A14" s="155">
        <f t="shared" si="0"/>
        <v>4</v>
      </c>
      <c r="C14" s="155"/>
      <c r="E14" s="86"/>
      <c r="F14" s="87"/>
      <c r="G14" s="86"/>
      <c r="H14" s="87"/>
      <c r="I14" s="59"/>
      <c r="J14" s="155">
        <f t="shared" si="1"/>
        <v>4</v>
      </c>
    </row>
    <row r="15" spans="1:12" ht="16" thickBot="1" x14ac:dyDescent="0.4">
      <c r="A15" s="155">
        <f t="shared" si="0"/>
        <v>5</v>
      </c>
      <c r="B15" s="82" t="s">
        <v>296</v>
      </c>
      <c r="C15" s="155"/>
      <c r="E15" s="300"/>
      <c r="F15" s="87"/>
      <c r="G15" s="301">
        <f>G11*G13</f>
        <v>47456.246827465431</v>
      </c>
      <c r="H15" s="85"/>
      <c r="I15" s="59" t="s">
        <v>297</v>
      </c>
      <c r="J15" s="155">
        <f t="shared" si="1"/>
        <v>5</v>
      </c>
    </row>
    <row r="16" spans="1:12" ht="16" thickTop="1" x14ac:dyDescent="0.35">
      <c r="A16" s="155">
        <f t="shared" si="0"/>
        <v>6</v>
      </c>
      <c r="C16" s="155"/>
      <c r="E16" s="302"/>
      <c r="F16" s="155"/>
      <c r="G16" s="155"/>
      <c r="H16" s="155"/>
      <c r="I16" s="59"/>
      <c r="J16" s="155">
        <f t="shared" si="1"/>
        <v>6</v>
      </c>
    </row>
    <row r="17" spans="1:10" ht="18" x14ac:dyDescent="0.35">
      <c r="A17" s="155">
        <f t="shared" si="0"/>
        <v>7</v>
      </c>
      <c r="B17" s="82" t="s">
        <v>524</v>
      </c>
      <c r="C17" s="155" t="s">
        <v>525</v>
      </c>
      <c r="D17" s="303"/>
      <c r="E17" s="299"/>
      <c r="F17" s="87"/>
      <c r="G17" s="666">
        <v>104600.50423076922</v>
      </c>
      <c r="H17" s="85"/>
      <c r="I17" s="59" t="s">
        <v>298</v>
      </c>
      <c r="J17" s="155">
        <f t="shared" si="1"/>
        <v>7</v>
      </c>
    </row>
    <row r="18" spans="1:10" x14ac:dyDescent="0.35">
      <c r="A18" s="155">
        <f t="shared" si="0"/>
        <v>8</v>
      </c>
      <c r="C18" s="155"/>
      <c r="E18" s="304"/>
      <c r="F18" s="87"/>
      <c r="G18" s="87"/>
      <c r="H18" s="87"/>
      <c r="I18" s="59"/>
      <c r="J18" s="155">
        <f t="shared" si="1"/>
        <v>8</v>
      </c>
    </row>
    <row r="19" spans="1:10" ht="16" thickBot="1" x14ac:dyDescent="0.4">
      <c r="A19" s="155">
        <f t="shared" si="0"/>
        <v>9</v>
      </c>
      <c r="B19" s="82" t="s">
        <v>299</v>
      </c>
      <c r="E19" s="299"/>
      <c r="F19" s="87"/>
      <c r="G19" s="301">
        <f>G13*G17</f>
        <v>40940.682694194518</v>
      </c>
      <c r="H19" s="85"/>
      <c r="I19" s="59" t="s">
        <v>300</v>
      </c>
      <c r="J19" s="155">
        <f t="shared" si="1"/>
        <v>9</v>
      </c>
    </row>
    <row r="20" spans="1:10" ht="16" thickTop="1" x14ac:dyDescent="0.35">
      <c r="A20" s="155">
        <f t="shared" si="0"/>
        <v>10</v>
      </c>
      <c r="E20" s="305"/>
      <c r="F20" s="87"/>
      <c r="G20" s="87"/>
      <c r="H20" s="87"/>
      <c r="I20" s="59"/>
      <c r="J20" s="155">
        <f t="shared" si="1"/>
        <v>10</v>
      </c>
    </row>
    <row r="21" spans="1:10" x14ac:dyDescent="0.35">
      <c r="A21" s="155">
        <f t="shared" si="0"/>
        <v>11</v>
      </c>
      <c r="B21" s="90" t="s">
        <v>301</v>
      </c>
      <c r="E21" s="305"/>
      <c r="F21" s="87"/>
      <c r="G21" s="87"/>
      <c r="H21" s="87"/>
      <c r="I21" s="59"/>
      <c r="J21" s="155">
        <f t="shared" si="1"/>
        <v>11</v>
      </c>
    </row>
    <row r="22" spans="1:10" x14ac:dyDescent="0.35">
      <c r="A22" s="155">
        <f t="shared" si="0"/>
        <v>12</v>
      </c>
      <c r="B22" s="82" t="s">
        <v>302</v>
      </c>
      <c r="E22" s="545">
        <v>37637.381189999978</v>
      </c>
      <c r="F22" s="87"/>
      <c r="G22" s="273"/>
      <c r="H22" s="87"/>
      <c r="I22" s="59" t="s">
        <v>528</v>
      </c>
      <c r="J22" s="155">
        <f t="shared" si="1"/>
        <v>12</v>
      </c>
    </row>
    <row r="23" spans="1:10" x14ac:dyDescent="0.35">
      <c r="A23" s="155">
        <f t="shared" si="0"/>
        <v>13</v>
      </c>
      <c r="B23" s="82" t="s">
        <v>303</v>
      </c>
      <c r="E23" s="306">
        <f>'Pg8 Rev Stmt AH'!E50</f>
        <v>56108.005121722032</v>
      </c>
      <c r="F23" s="24" t="s">
        <v>24</v>
      </c>
      <c r="G23" s="307"/>
      <c r="H23" s="87"/>
      <c r="I23" s="59" t="s">
        <v>615</v>
      </c>
      <c r="J23" s="155">
        <f t="shared" si="1"/>
        <v>13</v>
      </c>
    </row>
    <row r="24" spans="1:10" x14ac:dyDescent="0.35">
      <c r="A24" s="155">
        <f t="shared" si="0"/>
        <v>14</v>
      </c>
      <c r="B24" s="82" t="s">
        <v>205</v>
      </c>
      <c r="E24" s="750">
        <v>0</v>
      </c>
      <c r="F24" s="87"/>
      <c r="G24" s="307"/>
      <c r="H24" s="87"/>
      <c r="I24" s="59" t="s">
        <v>304</v>
      </c>
      <c r="J24" s="155">
        <f t="shared" si="1"/>
        <v>14</v>
      </c>
    </row>
    <row r="25" spans="1:10" x14ac:dyDescent="0.35">
      <c r="A25" s="155">
        <f t="shared" si="0"/>
        <v>15</v>
      </c>
      <c r="B25" s="82" t="s">
        <v>305</v>
      </c>
      <c r="E25" s="308">
        <f>SUM(E22:E24)</f>
        <v>93745.386311722017</v>
      </c>
      <c r="F25" s="24" t="s">
        <v>24</v>
      </c>
      <c r="G25" s="303"/>
      <c r="H25" s="59"/>
      <c r="I25" s="59" t="s">
        <v>306</v>
      </c>
      <c r="J25" s="155">
        <f t="shared" si="1"/>
        <v>15</v>
      </c>
    </row>
    <row r="26" spans="1:10" x14ac:dyDescent="0.35">
      <c r="A26" s="155">
        <f t="shared" si="0"/>
        <v>16</v>
      </c>
      <c r="F26" s="155"/>
      <c r="H26" s="155"/>
      <c r="I26" s="59"/>
      <c r="J26" s="155">
        <f t="shared" si="1"/>
        <v>16</v>
      </c>
    </row>
    <row r="27" spans="1:10" x14ac:dyDescent="0.35">
      <c r="A27" s="155">
        <f t="shared" si="0"/>
        <v>17</v>
      </c>
      <c r="B27" s="82" t="s">
        <v>307</v>
      </c>
      <c r="E27" s="669">
        <f>1/8</f>
        <v>0.125</v>
      </c>
      <c r="F27" s="155"/>
      <c r="G27" s="309"/>
      <c r="H27" s="155"/>
      <c r="I27" s="59" t="s">
        <v>308</v>
      </c>
      <c r="J27" s="155">
        <f t="shared" si="1"/>
        <v>17</v>
      </c>
    </row>
    <row r="28" spans="1:10" x14ac:dyDescent="0.35">
      <c r="A28" s="155">
        <f t="shared" si="0"/>
        <v>18</v>
      </c>
      <c r="E28" s="86" t="s">
        <v>202</v>
      </c>
      <c r="F28" s="87"/>
      <c r="G28" s="86"/>
      <c r="H28" s="87"/>
      <c r="I28" s="59"/>
      <c r="J28" s="155">
        <f t="shared" si="1"/>
        <v>18</v>
      </c>
    </row>
    <row r="29" spans="1:10" ht="16" thickBot="1" x14ac:dyDescent="0.4">
      <c r="A29" s="155">
        <f t="shared" si="0"/>
        <v>19</v>
      </c>
      <c r="B29" s="82" t="s">
        <v>309</v>
      </c>
      <c r="E29" s="310">
        <f>E25*E27</f>
        <v>11718.173288965252</v>
      </c>
      <c r="F29" s="24" t="s">
        <v>24</v>
      </c>
      <c r="G29" s="300"/>
      <c r="H29" s="87"/>
      <c r="I29" s="155" t="s">
        <v>310</v>
      </c>
      <c r="J29" s="155">
        <f t="shared" si="1"/>
        <v>19</v>
      </c>
    </row>
    <row r="30" spans="1:10" ht="16" thickTop="1" x14ac:dyDescent="0.35">
      <c r="B30" s="311"/>
    </row>
    <row r="31" spans="1:10" x14ac:dyDescent="0.35">
      <c r="B31" s="311"/>
    </row>
    <row r="32" spans="1:10" x14ac:dyDescent="0.35">
      <c r="A32" s="24" t="s">
        <v>24</v>
      </c>
      <c r="B32" s="761" t="str">
        <f>'Pg8.2 Rev AH-3'!C69</f>
        <v>Items in BOLD have changed due to A&amp;G adj. on CEMA/WMPMA exclusion corrections compared to the original Appendix XII Cycle 5 per ER23-110.</v>
      </c>
    </row>
    <row r="33" spans="1:2" ht="18" x14ac:dyDescent="0.35">
      <c r="A33" s="93">
        <v>1</v>
      </c>
      <c r="B33" s="82" t="s">
        <v>311</v>
      </c>
    </row>
    <row r="34" spans="1:2" ht="18" x14ac:dyDescent="0.35">
      <c r="A34" s="93">
        <v>2</v>
      </c>
      <c r="B34" s="546" t="s">
        <v>526</v>
      </c>
    </row>
    <row r="35" spans="1:2" x14ac:dyDescent="0.35">
      <c r="B35" s="547" t="s">
        <v>527</v>
      </c>
    </row>
    <row r="36" spans="1:2" ht="18" x14ac:dyDescent="0.35">
      <c r="A36" s="93"/>
    </row>
  </sheetData>
  <mergeCells count="5">
    <mergeCell ref="B2:I2"/>
    <mergeCell ref="B3:I3"/>
    <mergeCell ref="B4:I4"/>
    <mergeCell ref="B5:I5"/>
    <mergeCell ref="B6:I6"/>
  </mergeCells>
  <printOptions horizontalCentered="1"/>
  <pageMargins left="0.25" right="0.25" top="0.5" bottom="0.5" header="0.35" footer="0.25"/>
  <pageSetup scale="55" orientation="portrait" r:id="rId1"/>
  <headerFooter scaleWithDoc="0" alignWithMargins="0">
    <oddHeader>&amp;C&amp;"Times New Roman,Bold"&amp;7REVISED</oddHeader>
    <oddFooter>&amp;L&amp;F&amp;CPage 9&amp;R&amp;A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CC59D-B342-4AD9-963B-8FBB49E95519}">
  <sheetPr>
    <pageSetUpPr fitToPage="1"/>
  </sheetPr>
  <dimension ref="A1:L36"/>
  <sheetViews>
    <sheetView zoomScale="80" zoomScaleNormal="80" workbookViewId="0"/>
  </sheetViews>
  <sheetFormatPr defaultColWidth="8.81640625" defaultRowHeight="15.5" x14ac:dyDescent="0.35"/>
  <cols>
    <col min="1" max="1" width="5.453125" style="155" bestFit="1" customWidth="1"/>
    <col min="2" max="2" width="68.81640625" style="82" customWidth="1"/>
    <col min="3" max="3" width="25.453125" style="83" bestFit="1" customWidth="1"/>
    <col min="4" max="4" width="1.54296875" style="82" customWidth="1"/>
    <col min="5" max="5" width="16.81640625" style="82" customWidth="1"/>
    <col min="6" max="6" width="1.54296875" style="82" customWidth="1"/>
    <col min="7" max="7" width="16.81640625" style="82" customWidth="1"/>
    <col min="8" max="8" width="1.54296875" style="82" customWidth="1"/>
    <col min="9" max="9" width="40.453125" style="82" customWidth="1"/>
    <col min="10" max="10" width="5.453125" style="82" customWidth="1"/>
    <col min="11" max="16384" width="8.81640625" style="82"/>
  </cols>
  <sheetData>
    <row r="1" spans="1:12" x14ac:dyDescent="0.35">
      <c r="A1" s="565" t="s">
        <v>641</v>
      </c>
    </row>
    <row r="2" spans="1:12" x14ac:dyDescent="0.35">
      <c r="H2" s="155"/>
      <c r="I2" s="155"/>
      <c r="J2" s="155"/>
    </row>
    <row r="3" spans="1:12" x14ac:dyDescent="0.35">
      <c r="B3" s="778" t="s">
        <v>14</v>
      </c>
      <c r="C3" s="779"/>
      <c r="D3" s="779"/>
      <c r="E3" s="779"/>
      <c r="F3" s="779"/>
      <c r="G3" s="779"/>
      <c r="H3" s="779"/>
      <c r="I3" s="779"/>
      <c r="J3" s="154"/>
    </row>
    <row r="4" spans="1:12" x14ac:dyDescent="0.35">
      <c r="B4" s="778" t="s">
        <v>287</v>
      </c>
      <c r="C4" s="779"/>
      <c r="D4" s="779"/>
      <c r="E4" s="779"/>
      <c r="F4" s="779"/>
      <c r="G4" s="779"/>
      <c r="H4" s="779"/>
      <c r="I4" s="779"/>
      <c r="J4" s="154"/>
    </row>
    <row r="5" spans="1:12" x14ac:dyDescent="0.35">
      <c r="B5" s="778" t="s">
        <v>288</v>
      </c>
      <c r="C5" s="779"/>
      <c r="D5" s="779"/>
      <c r="E5" s="779"/>
      <c r="F5" s="779"/>
      <c r="G5" s="779"/>
      <c r="H5" s="779"/>
      <c r="I5" s="779"/>
      <c r="J5" s="154"/>
    </row>
    <row r="6" spans="1:12" x14ac:dyDescent="0.35">
      <c r="B6" s="780" t="s">
        <v>496</v>
      </c>
      <c r="C6" s="780"/>
      <c r="D6" s="780"/>
      <c r="E6" s="780"/>
      <c r="F6" s="780"/>
      <c r="G6" s="780"/>
      <c r="H6" s="780"/>
      <c r="I6" s="780"/>
      <c r="J6" s="154"/>
      <c r="L6" s="662"/>
    </row>
    <row r="7" spans="1:12" x14ac:dyDescent="0.35">
      <c r="B7" s="781" t="s">
        <v>1</v>
      </c>
      <c r="C7" s="781"/>
      <c r="D7" s="781"/>
      <c r="E7" s="781"/>
      <c r="F7" s="781"/>
      <c r="G7" s="781"/>
      <c r="H7" s="781"/>
      <c r="I7" s="781"/>
      <c r="J7" s="84"/>
    </row>
    <row r="8" spans="1:12" x14ac:dyDescent="0.35">
      <c r="B8" s="155"/>
      <c r="D8" s="155"/>
      <c r="E8" s="155"/>
      <c r="F8" s="155"/>
      <c r="G8" s="155"/>
      <c r="H8" s="154"/>
      <c r="I8" s="154"/>
      <c r="J8" s="154"/>
    </row>
    <row r="9" spans="1:12" x14ac:dyDescent="0.35">
      <c r="A9" s="155" t="s">
        <v>2</v>
      </c>
      <c r="B9" s="154"/>
      <c r="C9" s="34" t="s">
        <v>178</v>
      </c>
      <c r="D9" s="155"/>
      <c r="E9" s="155" t="s">
        <v>289</v>
      </c>
      <c r="F9" s="155"/>
      <c r="G9" s="155" t="s">
        <v>290</v>
      </c>
      <c r="H9" s="154"/>
      <c r="I9" s="154"/>
      <c r="J9" s="155" t="s">
        <v>2</v>
      </c>
    </row>
    <row r="10" spans="1:12" x14ac:dyDescent="0.35">
      <c r="A10" s="155" t="s">
        <v>3</v>
      </c>
      <c r="B10" s="154"/>
      <c r="C10" s="566" t="s">
        <v>179</v>
      </c>
      <c r="D10" s="154"/>
      <c r="E10" s="663" t="s">
        <v>291</v>
      </c>
      <c r="F10" s="154"/>
      <c r="G10" s="663" t="s">
        <v>292</v>
      </c>
      <c r="H10" s="154"/>
      <c r="I10" s="664" t="s">
        <v>6</v>
      </c>
      <c r="J10" s="155" t="s">
        <v>3</v>
      </c>
    </row>
    <row r="11" spans="1:12" x14ac:dyDescent="0.35">
      <c r="B11" s="155"/>
      <c r="D11" s="155"/>
      <c r="E11" s="155"/>
      <c r="F11" s="155"/>
      <c r="G11" s="155"/>
      <c r="H11" s="155"/>
      <c r="I11" s="155"/>
      <c r="J11" s="155"/>
    </row>
    <row r="12" spans="1:12" ht="18" x14ac:dyDescent="0.35">
      <c r="A12" s="155">
        <v>1</v>
      </c>
      <c r="B12" s="82" t="s">
        <v>523</v>
      </c>
      <c r="C12" s="155"/>
      <c r="E12" s="299"/>
      <c r="F12" s="85"/>
      <c r="G12" s="272">
        <v>121247.3026923077</v>
      </c>
      <c r="H12" s="85"/>
      <c r="I12" s="59" t="s">
        <v>293</v>
      </c>
      <c r="J12" s="155">
        <f>A12</f>
        <v>1</v>
      </c>
      <c r="L12" s="662"/>
    </row>
    <row r="13" spans="1:12" x14ac:dyDescent="0.35">
      <c r="A13" s="155">
        <f>+A12+1</f>
        <v>2</v>
      </c>
      <c r="C13" s="155"/>
      <c r="E13" s="86"/>
      <c r="F13" s="87"/>
      <c r="G13" s="87"/>
      <c r="H13" s="87"/>
      <c r="I13" s="59"/>
      <c r="J13" s="155">
        <f>+J12+1</f>
        <v>2</v>
      </c>
    </row>
    <row r="14" spans="1:12" x14ac:dyDescent="0.35">
      <c r="A14" s="155">
        <f t="shared" ref="A14:A30" si="0">+A13+1</f>
        <v>3</v>
      </c>
      <c r="B14" s="82" t="s">
        <v>294</v>
      </c>
      <c r="C14" s="155"/>
      <c r="E14" s="88"/>
      <c r="F14" s="89"/>
      <c r="G14" s="665">
        <v>0.39140043344218822</v>
      </c>
      <c r="H14" s="85"/>
      <c r="I14" s="59" t="s">
        <v>295</v>
      </c>
      <c r="J14" s="155">
        <f t="shared" ref="J14:J30" si="1">+J13+1</f>
        <v>3</v>
      </c>
    </row>
    <row r="15" spans="1:12" x14ac:dyDescent="0.35">
      <c r="A15" s="155">
        <f t="shared" si="0"/>
        <v>4</v>
      </c>
      <c r="C15" s="155"/>
      <c r="E15" s="86"/>
      <c r="F15" s="87"/>
      <c r="G15" s="86"/>
      <c r="H15" s="87"/>
      <c r="I15" s="59"/>
      <c r="J15" s="155">
        <f t="shared" si="1"/>
        <v>4</v>
      </c>
    </row>
    <row r="16" spans="1:12" ht="16" thickBot="1" x14ac:dyDescent="0.4">
      <c r="A16" s="155">
        <f t="shared" si="0"/>
        <v>5</v>
      </c>
      <c r="B16" s="82" t="s">
        <v>296</v>
      </c>
      <c r="C16" s="155"/>
      <c r="E16" s="300"/>
      <c r="F16" s="87"/>
      <c r="G16" s="301">
        <f>G12*G14</f>
        <v>47456.246827465431</v>
      </c>
      <c r="H16" s="85"/>
      <c r="I16" s="59" t="s">
        <v>297</v>
      </c>
      <c r="J16" s="155">
        <f t="shared" si="1"/>
        <v>5</v>
      </c>
    </row>
    <row r="17" spans="1:10" ht="16" thickTop="1" x14ac:dyDescent="0.35">
      <c r="A17" s="155">
        <f t="shared" si="0"/>
        <v>6</v>
      </c>
      <c r="C17" s="155"/>
      <c r="E17" s="302"/>
      <c r="F17" s="155"/>
      <c r="G17" s="155"/>
      <c r="H17" s="155"/>
      <c r="I17" s="59"/>
      <c r="J17" s="155">
        <f t="shared" si="1"/>
        <v>6</v>
      </c>
    </row>
    <row r="18" spans="1:10" ht="18" x14ac:dyDescent="0.35">
      <c r="A18" s="155">
        <f t="shared" si="0"/>
        <v>7</v>
      </c>
      <c r="B18" s="82" t="s">
        <v>524</v>
      </c>
      <c r="C18" s="155" t="s">
        <v>525</v>
      </c>
      <c r="D18" s="303"/>
      <c r="E18" s="299"/>
      <c r="F18" s="87"/>
      <c r="G18" s="666">
        <v>104600.50423076922</v>
      </c>
      <c r="H18" s="85"/>
      <c r="I18" s="59" t="s">
        <v>298</v>
      </c>
      <c r="J18" s="155">
        <f t="shared" si="1"/>
        <v>7</v>
      </c>
    </row>
    <row r="19" spans="1:10" x14ac:dyDescent="0.35">
      <c r="A19" s="155">
        <f t="shared" si="0"/>
        <v>8</v>
      </c>
      <c r="C19" s="155"/>
      <c r="E19" s="304"/>
      <c r="F19" s="87"/>
      <c r="G19" s="87"/>
      <c r="H19" s="87"/>
      <c r="I19" s="59"/>
      <c r="J19" s="155">
        <f t="shared" si="1"/>
        <v>8</v>
      </c>
    </row>
    <row r="20" spans="1:10" ht="16" thickBot="1" x14ac:dyDescent="0.4">
      <c r="A20" s="155">
        <f t="shared" si="0"/>
        <v>9</v>
      </c>
      <c r="B20" s="82" t="s">
        <v>299</v>
      </c>
      <c r="E20" s="299"/>
      <c r="F20" s="87"/>
      <c r="G20" s="301">
        <f>G14*G18</f>
        <v>40940.682694194518</v>
      </c>
      <c r="H20" s="85"/>
      <c r="I20" s="59" t="s">
        <v>300</v>
      </c>
      <c r="J20" s="155">
        <f t="shared" si="1"/>
        <v>9</v>
      </c>
    </row>
    <row r="21" spans="1:10" ht="16" thickTop="1" x14ac:dyDescent="0.35">
      <c r="A21" s="155">
        <f t="shared" si="0"/>
        <v>10</v>
      </c>
      <c r="E21" s="305"/>
      <c r="F21" s="87"/>
      <c r="G21" s="87"/>
      <c r="H21" s="87"/>
      <c r="I21" s="59"/>
      <c r="J21" s="155">
        <f t="shared" si="1"/>
        <v>10</v>
      </c>
    </row>
    <row r="22" spans="1:10" x14ac:dyDescent="0.35">
      <c r="A22" s="155">
        <f t="shared" si="0"/>
        <v>11</v>
      </c>
      <c r="B22" s="90" t="s">
        <v>301</v>
      </c>
      <c r="E22" s="305"/>
      <c r="F22" s="87"/>
      <c r="G22" s="87"/>
      <c r="H22" s="87"/>
      <c r="I22" s="59"/>
      <c r="J22" s="155">
        <f t="shared" si="1"/>
        <v>11</v>
      </c>
    </row>
    <row r="23" spans="1:10" x14ac:dyDescent="0.35">
      <c r="A23" s="155">
        <f t="shared" si="0"/>
        <v>12</v>
      </c>
      <c r="B23" s="82" t="s">
        <v>302</v>
      </c>
      <c r="E23" s="545">
        <v>37637.381189999978</v>
      </c>
      <c r="F23" s="87"/>
      <c r="G23" s="273"/>
      <c r="H23" s="87"/>
      <c r="I23" s="59" t="s">
        <v>528</v>
      </c>
      <c r="J23" s="155">
        <f t="shared" si="1"/>
        <v>12</v>
      </c>
    </row>
    <row r="24" spans="1:10" x14ac:dyDescent="0.35">
      <c r="A24" s="155">
        <f t="shared" si="0"/>
        <v>13</v>
      </c>
      <c r="B24" s="82" t="s">
        <v>303</v>
      </c>
      <c r="E24" s="411">
        <v>54771.135638908861</v>
      </c>
      <c r="F24" s="84"/>
      <c r="G24" s="307"/>
      <c r="H24" s="87"/>
      <c r="I24" s="59" t="s">
        <v>529</v>
      </c>
      <c r="J24" s="155">
        <f t="shared" si="1"/>
        <v>13</v>
      </c>
    </row>
    <row r="25" spans="1:10" x14ac:dyDescent="0.35">
      <c r="A25" s="155">
        <f t="shared" si="0"/>
        <v>14</v>
      </c>
      <c r="B25" s="82" t="s">
        <v>205</v>
      </c>
      <c r="E25" s="667">
        <v>0</v>
      </c>
      <c r="F25" s="87"/>
      <c r="G25" s="307"/>
      <c r="H25" s="87"/>
      <c r="I25" s="59" t="s">
        <v>304</v>
      </c>
      <c r="J25" s="155">
        <f t="shared" si="1"/>
        <v>14</v>
      </c>
    </row>
    <row r="26" spans="1:10" x14ac:dyDescent="0.35">
      <c r="A26" s="155">
        <f t="shared" si="0"/>
        <v>15</v>
      </c>
      <c r="B26" s="82" t="s">
        <v>305</v>
      </c>
      <c r="E26" s="668">
        <f>SUM(E23:E25)</f>
        <v>92408.516828908847</v>
      </c>
      <c r="F26" s="84"/>
      <c r="G26" s="303"/>
      <c r="H26" s="59"/>
      <c r="I26" s="59" t="s">
        <v>306</v>
      </c>
      <c r="J26" s="155">
        <f t="shared" si="1"/>
        <v>15</v>
      </c>
    </row>
    <row r="27" spans="1:10" x14ac:dyDescent="0.35">
      <c r="A27" s="155">
        <f t="shared" si="0"/>
        <v>16</v>
      </c>
      <c r="F27" s="155"/>
      <c r="H27" s="155"/>
      <c r="I27" s="59"/>
      <c r="J27" s="155">
        <f t="shared" si="1"/>
        <v>16</v>
      </c>
    </row>
    <row r="28" spans="1:10" x14ac:dyDescent="0.35">
      <c r="A28" s="155">
        <f t="shared" si="0"/>
        <v>17</v>
      </c>
      <c r="B28" s="82" t="s">
        <v>307</v>
      </c>
      <c r="E28" s="669">
        <f>1/8</f>
        <v>0.125</v>
      </c>
      <c r="F28" s="155"/>
      <c r="G28" s="309"/>
      <c r="H28" s="155"/>
      <c r="I28" s="59" t="s">
        <v>308</v>
      </c>
      <c r="J28" s="155">
        <f t="shared" si="1"/>
        <v>17</v>
      </c>
    </row>
    <row r="29" spans="1:10" x14ac:dyDescent="0.35">
      <c r="A29" s="155">
        <f t="shared" si="0"/>
        <v>18</v>
      </c>
      <c r="E29" s="86" t="s">
        <v>202</v>
      </c>
      <c r="F29" s="87"/>
      <c r="G29" s="86"/>
      <c r="H29" s="87"/>
      <c r="I29" s="59"/>
      <c r="J29" s="155">
        <f t="shared" si="1"/>
        <v>18</v>
      </c>
    </row>
    <row r="30" spans="1:10" ht="16" thickBot="1" x14ac:dyDescent="0.4">
      <c r="A30" s="155">
        <f t="shared" si="0"/>
        <v>19</v>
      </c>
      <c r="B30" s="82" t="s">
        <v>309</v>
      </c>
      <c r="E30" s="301">
        <f>E26*E28</f>
        <v>11551.064603613606</v>
      </c>
      <c r="F30" s="84"/>
      <c r="G30" s="300"/>
      <c r="H30" s="87"/>
      <c r="I30" s="155" t="s">
        <v>310</v>
      </c>
      <c r="J30" s="155">
        <f t="shared" si="1"/>
        <v>19</v>
      </c>
    </row>
    <row r="31" spans="1:10" ht="16" thickTop="1" x14ac:dyDescent="0.35">
      <c r="B31" s="311"/>
    </row>
    <row r="33" spans="1:2" ht="18" x14ac:dyDescent="0.35">
      <c r="A33" s="93">
        <v>1</v>
      </c>
      <c r="B33" s="82" t="s">
        <v>311</v>
      </c>
    </row>
    <row r="34" spans="1:2" ht="18" x14ac:dyDescent="0.35">
      <c r="A34" s="93">
        <v>2</v>
      </c>
      <c r="B34" s="546" t="s">
        <v>526</v>
      </c>
    </row>
    <row r="35" spans="1:2" x14ac:dyDescent="0.35">
      <c r="B35" s="547" t="s">
        <v>527</v>
      </c>
    </row>
    <row r="36" spans="1:2" ht="18" x14ac:dyDescent="0.35">
      <c r="A36" s="93"/>
    </row>
  </sheetData>
  <mergeCells count="5">
    <mergeCell ref="B3:I3"/>
    <mergeCell ref="B4:I4"/>
    <mergeCell ref="B5:I5"/>
    <mergeCell ref="B6:I6"/>
    <mergeCell ref="B7:I7"/>
  </mergeCells>
  <printOptions horizontalCentered="1"/>
  <pageMargins left="0.25" right="0.25" top="0.5" bottom="0.5" header="0.35" footer="0.25"/>
  <pageSetup scale="55" orientation="portrait" r:id="rId1"/>
  <headerFooter scaleWithDoc="0" alignWithMargins="0">
    <oddHeader>&amp;C&amp;"Times New Roman,Bold"&amp;7AS FILED</oddHeader>
    <oddFooter>&amp;L&amp;F&amp;CPage 9.1&amp;R&amp;A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82688-7ED5-421D-AD82-B5DE25D5B956}">
  <dimension ref="A1:M159"/>
  <sheetViews>
    <sheetView zoomScale="80" zoomScaleNormal="80" workbookViewId="0"/>
  </sheetViews>
  <sheetFormatPr defaultColWidth="8.81640625" defaultRowHeight="15.5" x14ac:dyDescent="0.35"/>
  <cols>
    <col min="1" max="1" width="5.453125" style="34" customWidth="1"/>
    <col min="2" max="2" width="55.453125" style="35" customWidth="1"/>
    <col min="3" max="5" width="15.54296875" style="35" customWidth="1"/>
    <col min="6" max="6" width="1.54296875" style="35" customWidth="1"/>
    <col min="7" max="7" width="16.81640625" style="35" customWidth="1"/>
    <col min="8" max="8" width="1.54296875" style="35" customWidth="1"/>
    <col min="9" max="9" width="38.54296875" style="94" customWidth="1"/>
    <col min="10" max="10" width="5.453125" style="35" customWidth="1"/>
    <col min="11" max="11" width="27" style="35" bestFit="1" customWidth="1"/>
    <col min="12" max="12" width="15" style="35" bestFit="1" customWidth="1"/>
    <col min="13" max="13" width="10.453125" style="35" bestFit="1" customWidth="1"/>
    <col min="14" max="16384" width="8.81640625" style="35"/>
  </cols>
  <sheetData>
    <row r="1" spans="1:10" x14ac:dyDescent="0.35">
      <c r="A1" s="312"/>
      <c r="G1" s="61"/>
      <c r="H1" s="61"/>
      <c r="I1" s="118"/>
      <c r="J1" s="34"/>
    </row>
    <row r="2" spans="1:10" x14ac:dyDescent="0.35">
      <c r="B2" s="773" t="s">
        <v>312</v>
      </c>
      <c r="C2" s="773"/>
      <c r="D2" s="773"/>
      <c r="E2" s="773"/>
      <c r="F2" s="773"/>
      <c r="G2" s="773"/>
      <c r="H2" s="773"/>
      <c r="I2" s="773"/>
      <c r="J2" s="34"/>
    </row>
    <row r="3" spans="1:10" x14ac:dyDescent="0.35">
      <c r="B3" s="773" t="s">
        <v>313</v>
      </c>
      <c r="C3" s="773"/>
      <c r="D3" s="773"/>
      <c r="E3" s="773"/>
      <c r="F3" s="773"/>
      <c r="G3" s="773"/>
      <c r="H3" s="773"/>
      <c r="I3" s="773"/>
      <c r="J3" s="34"/>
    </row>
    <row r="4" spans="1:10" x14ac:dyDescent="0.35">
      <c r="B4" s="773" t="s">
        <v>314</v>
      </c>
      <c r="C4" s="773"/>
      <c r="D4" s="773"/>
      <c r="E4" s="773"/>
      <c r="F4" s="773"/>
      <c r="G4" s="773"/>
      <c r="H4" s="773"/>
      <c r="I4" s="773"/>
      <c r="J4" s="34"/>
    </row>
    <row r="5" spans="1:10" x14ac:dyDescent="0.35">
      <c r="B5" s="775" t="s">
        <v>496</v>
      </c>
      <c r="C5" s="775"/>
      <c r="D5" s="775"/>
      <c r="E5" s="775"/>
      <c r="F5" s="775"/>
      <c r="G5" s="775"/>
      <c r="H5" s="775"/>
      <c r="I5" s="775"/>
      <c r="J5" s="34"/>
    </row>
    <row r="6" spans="1:10" x14ac:dyDescent="0.35">
      <c r="B6" s="771" t="s">
        <v>1</v>
      </c>
      <c r="C6" s="774"/>
      <c r="D6" s="774"/>
      <c r="E6" s="774"/>
      <c r="F6" s="774"/>
      <c r="G6" s="774"/>
      <c r="H6" s="774"/>
      <c r="I6" s="774"/>
      <c r="J6" s="34"/>
    </row>
    <row r="7" spans="1:10" x14ac:dyDescent="0.35">
      <c r="B7" s="34"/>
      <c r="C7" s="34"/>
      <c r="D7" s="34"/>
      <c r="E7" s="34"/>
      <c r="F7" s="34"/>
      <c r="G7" s="34"/>
      <c r="H7" s="34"/>
      <c r="I7" s="46"/>
      <c r="J7" s="34"/>
    </row>
    <row r="8" spans="1:10" x14ac:dyDescent="0.35">
      <c r="A8" s="34" t="s">
        <v>2</v>
      </c>
      <c r="B8" s="324"/>
      <c r="C8" s="324"/>
      <c r="D8" s="324"/>
      <c r="E8" s="34" t="s">
        <v>178</v>
      </c>
      <c r="F8" s="324"/>
      <c r="G8" s="324"/>
      <c r="H8" s="324"/>
      <c r="I8" s="46"/>
      <c r="J8" s="34" t="s">
        <v>2</v>
      </c>
    </row>
    <row r="9" spans="1:10" x14ac:dyDescent="0.35">
      <c r="A9" s="34" t="s">
        <v>3</v>
      </c>
      <c r="B9" s="34"/>
      <c r="C9" s="34"/>
      <c r="D9" s="34"/>
      <c r="E9" s="566" t="s">
        <v>179</v>
      </c>
      <c r="F9" s="34"/>
      <c r="G9" s="567" t="s">
        <v>5</v>
      </c>
      <c r="H9" s="324"/>
      <c r="I9" s="580" t="s">
        <v>6</v>
      </c>
      <c r="J9" s="34" t="s">
        <v>3</v>
      </c>
    </row>
    <row r="10" spans="1:10" x14ac:dyDescent="0.35">
      <c r="B10" s="34"/>
      <c r="C10" s="34"/>
      <c r="D10" s="34"/>
      <c r="E10" s="34"/>
      <c r="F10" s="34"/>
      <c r="G10" s="34"/>
      <c r="H10" s="34"/>
      <c r="I10" s="46"/>
      <c r="J10" s="34"/>
    </row>
    <row r="11" spans="1:10" x14ac:dyDescent="0.35">
      <c r="A11" s="34">
        <v>1</v>
      </c>
      <c r="B11" s="39" t="s">
        <v>315</v>
      </c>
      <c r="I11" s="46"/>
      <c r="J11" s="34">
        <f>A11</f>
        <v>1</v>
      </c>
    </row>
    <row r="12" spans="1:10" x14ac:dyDescent="0.35">
      <c r="A12" s="34">
        <f>A11+1</f>
        <v>2</v>
      </c>
      <c r="B12" s="35" t="s">
        <v>316</v>
      </c>
      <c r="E12" s="34" t="s">
        <v>530</v>
      </c>
      <c r="G12" s="95">
        <v>6417859</v>
      </c>
      <c r="H12" s="324"/>
      <c r="I12" s="98"/>
      <c r="J12" s="34">
        <f>J11+1</f>
        <v>2</v>
      </c>
    </row>
    <row r="13" spans="1:10" x14ac:dyDescent="0.35">
      <c r="A13" s="34">
        <f t="shared" ref="A13:A65" si="0">A12+1</f>
        <v>3</v>
      </c>
      <c r="B13" s="35" t="s">
        <v>317</v>
      </c>
      <c r="E13" s="34" t="s">
        <v>531</v>
      </c>
      <c r="G13" s="96">
        <v>0</v>
      </c>
      <c r="H13" s="324"/>
      <c r="I13" s="98"/>
      <c r="J13" s="34">
        <f t="shared" ref="J13:J65" si="1">J12+1</f>
        <v>3</v>
      </c>
    </row>
    <row r="14" spans="1:10" x14ac:dyDescent="0.35">
      <c r="A14" s="34">
        <f t="shared" si="0"/>
        <v>4</v>
      </c>
      <c r="B14" s="35" t="s">
        <v>318</v>
      </c>
      <c r="E14" s="34" t="s">
        <v>532</v>
      </c>
      <c r="G14" s="96">
        <v>0</v>
      </c>
      <c r="H14" s="324"/>
      <c r="I14" s="98"/>
      <c r="J14" s="34">
        <f t="shared" si="1"/>
        <v>4</v>
      </c>
    </row>
    <row r="15" spans="1:10" x14ac:dyDescent="0.35">
      <c r="A15" s="34">
        <f t="shared" si="0"/>
        <v>5</v>
      </c>
      <c r="B15" s="35" t="s">
        <v>319</v>
      </c>
      <c r="E15" s="34" t="s">
        <v>533</v>
      </c>
      <c r="G15" s="96">
        <v>0</v>
      </c>
      <c r="H15" s="324"/>
      <c r="I15" s="98"/>
      <c r="J15" s="34">
        <f t="shared" si="1"/>
        <v>5</v>
      </c>
    </row>
    <row r="16" spans="1:10" x14ac:dyDescent="0.35">
      <c r="A16" s="34">
        <f t="shared" si="0"/>
        <v>6</v>
      </c>
      <c r="B16" s="35" t="s">
        <v>320</v>
      </c>
      <c r="E16" s="34" t="s">
        <v>534</v>
      </c>
      <c r="G16" s="96">
        <v>-16893.71</v>
      </c>
      <c r="H16" s="324"/>
      <c r="I16" s="98"/>
      <c r="J16" s="34">
        <f t="shared" si="1"/>
        <v>6</v>
      </c>
    </row>
    <row r="17" spans="1:10" x14ac:dyDescent="0.35">
      <c r="A17" s="34">
        <f t="shared" si="0"/>
        <v>7</v>
      </c>
      <c r="B17" s="35" t="s">
        <v>321</v>
      </c>
      <c r="G17" s="97">
        <f>SUM(G12:G16)</f>
        <v>6400965.29</v>
      </c>
      <c r="H17" s="91"/>
      <c r="I17" s="46" t="s">
        <v>545</v>
      </c>
      <c r="J17" s="34">
        <f t="shared" si="1"/>
        <v>7</v>
      </c>
    </row>
    <row r="18" spans="1:10" x14ac:dyDescent="0.35">
      <c r="A18" s="34">
        <f t="shared" si="0"/>
        <v>8</v>
      </c>
      <c r="I18" s="46"/>
      <c r="J18" s="34">
        <f t="shared" si="1"/>
        <v>8</v>
      </c>
    </row>
    <row r="19" spans="1:10" x14ac:dyDescent="0.35">
      <c r="A19" s="34">
        <f t="shared" si="0"/>
        <v>9</v>
      </c>
      <c r="B19" s="39" t="s">
        <v>322</v>
      </c>
      <c r="G19" s="33"/>
      <c r="H19" s="33"/>
      <c r="I19" s="46"/>
      <c r="J19" s="34">
        <f t="shared" si="1"/>
        <v>9</v>
      </c>
    </row>
    <row r="20" spans="1:10" x14ac:dyDescent="0.35">
      <c r="A20" s="34">
        <f t="shared" si="0"/>
        <v>10</v>
      </c>
      <c r="B20" s="35" t="s">
        <v>323</v>
      </c>
      <c r="E20" s="34" t="s">
        <v>535</v>
      </c>
      <c r="G20" s="95">
        <v>237653.59599999999</v>
      </c>
      <c r="H20" s="324"/>
      <c r="I20" s="98"/>
      <c r="J20" s="34">
        <f t="shared" si="1"/>
        <v>10</v>
      </c>
    </row>
    <row r="21" spans="1:10" x14ac:dyDescent="0.35">
      <c r="A21" s="34">
        <f t="shared" si="0"/>
        <v>11</v>
      </c>
      <c r="B21" s="35" t="s">
        <v>324</v>
      </c>
      <c r="E21" s="34" t="s">
        <v>536</v>
      </c>
      <c r="G21" s="96">
        <v>4408.152</v>
      </c>
      <c r="H21" s="324"/>
      <c r="I21" s="98"/>
      <c r="J21" s="34">
        <f t="shared" si="1"/>
        <v>11</v>
      </c>
    </row>
    <row r="22" spans="1:10" x14ac:dyDescent="0.35">
      <c r="A22" s="34">
        <f t="shared" si="0"/>
        <v>12</v>
      </c>
      <c r="B22" s="35" t="s">
        <v>325</v>
      </c>
      <c r="E22" s="34" t="s">
        <v>537</v>
      </c>
      <c r="G22" s="96">
        <v>1275.181</v>
      </c>
      <c r="H22" s="324"/>
      <c r="I22" s="98"/>
      <c r="J22" s="34">
        <f t="shared" si="1"/>
        <v>12</v>
      </c>
    </row>
    <row r="23" spans="1:10" x14ac:dyDescent="0.35">
      <c r="A23" s="34">
        <f t="shared" si="0"/>
        <v>13</v>
      </c>
      <c r="B23" s="35" t="s">
        <v>326</v>
      </c>
      <c r="E23" s="34" t="s">
        <v>538</v>
      </c>
      <c r="G23" s="96">
        <v>0</v>
      </c>
      <c r="H23" s="324"/>
      <c r="I23" s="98"/>
      <c r="J23" s="34">
        <f t="shared" si="1"/>
        <v>13</v>
      </c>
    </row>
    <row r="24" spans="1:10" x14ac:dyDescent="0.35">
      <c r="A24" s="34">
        <f t="shared" si="0"/>
        <v>14</v>
      </c>
      <c r="B24" s="35" t="s">
        <v>327</v>
      </c>
      <c r="E24" s="34" t="s">
        <v>539</v>
      </c>
      <c r="G24" s="96">
        <v>0</v>
      </c>
      <c r="H24" s="324"/>
      <c r="I24" s="98"/>
      <c r="J24" s="34">
        <f t="shared" si="1"/>
        <v>14</v>
      </c>
    </row>
    <row r="25" spans="1:10" x14ac:dyDescent="0.35">
      <c r="A25" s="34">
        <f t="shared" si="0"/>
        <v>15</v>
      </c>
      <c r="B25" s="35" t="s">
        <v>328</v>
      </c>
      <c r="G25" s="99">
        <f>SUM(G20:G24)</f>
        <v>243336.929</v>
      </c>
      <c r="H25" s="100"/>
      <c r="I25" s="46" t="s">
        <v>546</v>
      </c>
      <c r="J25" s="34">
        <f t="shared" si="1"/>
        <v>15</v>
      </c>
    </row>
    <row r="26" spans="1:10" x14ac:dyDescent="0.35">
      <c r="A26" s="34">
        <f t="shared" si="0"/>
        <v>16</v>
      </c>
      <c r="I26" s="46"/>
      <c r="J26" s="34">
        <f t="shared" si="1"/>
        <v>16</v>
      </c>
    </row>
    <row r="27" spans="1:10" ht="16" thickBot="1" x14ac:dyDescent="0.4">
      <c r="A27" s="34">
        <f t="shared" si="0"/>
        <v>17</v>
      </c>
      <c r="B27" s="39" t="s">
        <v>329</v>
      </c>
      <c r="G27" s="101">
        <f>G25/G17</f>
        <v>3.8015661384722177E-2</v>
      </c>
      <c r="H27" s="102"/>
      <c r="I27" s="46" t="s">
        <v>547</v>
      </c>
      <c r="J27" s="34">
        <f t="shared" si="1"/>
        <v>17</v>
      </c>
    </row>
    <row r="28" spans="1:10" ht="16" thickTop="1" x14ac:dyDescent="0.35">
      <c r="A28" s="34">
        <f t="shared" si="0"/>
        <v>18</v>
      </c>
      <c r="I28" s="46"/>
      <c r="J28" s="34">
        <f t="shared" si="1"/>
        <v>18</v>
      </c>
    </row>
    <row r="29" spans="1:10" x14ac:dyDescent="0.35">
      <c r="A29" s="34">
        <f t="shared" si="0"/>
        <v>19</v>
      </c>
      <c r="B29" s="39" t="s">
        <v>330</v>
      </c>
      <c r="I29" s="46"/>
      <c r="J29" s="34">
        <f t="shared" si="1"/>
        <v>19</v>
      </c>
    </row>
    <row r="30" spans="1:10" x14ac:dyDescent="0.35">
      <c r="A30" s="34">
        <f t="shared" si="0"/>
        <v>20</v>
      </c>
      <c r="B30" s="35" t="s">
        <v>331</v>
      </c>
      <c r="E30" s="34" t="s">
        <v>540</v>
      </c>
      <c r="G30" s="95">
        <v>0</v>
      </c>
      <c r="H30" s="324"/>
      <c r="I30" s="98"/>
      <c r="J30" s="34">
        <f t="shared" si="1"/>
        <v>20</v>
      </c>
    </row>
    <row r="31" spans="1:10" x14ac:dyDescent="0.35">
      <c r="A31" s="34">
        <f t="shared" si="0"/>
        <v>21</v>
      </c>
      <c r="B31" s="35" t="s">
        <v>332</v>
      </c>
      <c r="E31" s="34" t="s">
        <v>541</v>
      </c>
      <c r="G31" s="581">
        <v>0</v>
      </c>
      <c r="H31" s="324"/>
      <c r="I31" s="98"/>
      <c r="J31" s="34">
        <f t="shared" si="1"/>
        <v>21</v>
      </c>
    </row>
    <row r="32" spans="1:10" ht="16" thickBot="1" x14ac:dyDescent="0.4">
      <c r="A32" s="34">
        <f t="shared" si="0"/>
        <v>22</v>
      </c>
      <c r="B32" s="35" t="s">
        <v>333</v>
      </c>
      <c r="G32" s="101">
        <f>IFERROR((G31/G30),0)</f>
        <v>0</v>
      </c>
      <c r="H32" s="102"/>
      <c r="I32" s="46" t="s">
        <v>548</v>
      </c>
      <c r="J32" s="34">
        <f t="shared" si="1"/>
        <v>22</v>
      </c>
    </row>
    <row r="33" spans="1:12" ht="16" thickTop="1" x14ac:dyDescent="0.35">
      <c r="A33" s="34">
        <f t="shared" si="0"/>
        <v>23</v>
      </c>
      <c r="I33" s="46"/>
      <c r="J33" s="34">
        <f t="shared" si="1"/>
        <v>23</v>
      </c>
    </row>
    <row r="34" spans="1:12" x14ac:dyDescent="0.35">
      <c r="A34" s="34">
        <f t="shared" si="0"/>
        <v>24</v>
      </c>
      <c r="B34" s="39" t="s">
        <v>334</v>
      </c>
      <c r="I34" s="46"/>
      <c r="J34" s="34">
        <f t="shared" si="1"/>
        <v>24</v>
      </c>
    </row>
    <row r="35" spans="1:12" x14ac:dyDescent="0.35">
      <c r="A35" s="34">
        <f t="shared" si="0"/>
        <v>25</v>
      </c>
      <c r="B35" s="35" t="s">
        <v>335</v>
      </c>
      <c r="E35" s="34" t="s">
        <v>542</v>
      </c>
      <c r="G35" s="95">
        <v>8248583.6459999997</v>
      </c>
      <c r="H35" s="324"/>
      <c r="I35" s="98"/>
      <c r="J35" s="34">
        <f t="shared" si="1"/>
        <v>25</v>
      </c>
      <c r="K35" s="42"/>
      <c r="L35" s="313"/>
    </row>
    <row r="36" spans="1:12" x14ac:dyDescent="0.35">
      <c r="A36" s="34">
        <f t="shared" si="0"/>
        <v>26</v>
      </c>
      <c r="B36" s="35" t="s">
        <v>336</v>
      </c>
      <c r="E36" s="34" t="s">
        <v>540</v>
      </c>
      <c r="G36" s="103">
        <v>0</v>
      </c>
      <c r="H36" s="103"/>
      <c r="I36" s="46" t="s">
        <v>549</v>
      </c>
      <c r="J36" s="34">
        <f t="shared" si="1"/>
        <v>26</v>
      </c>
    </row>
    <row r="37" spans="1:12" x14ac:dyDescent="0.35">
      <c r="A37" s="34">
        <f t="shared" si="0"/>
        <v>27</v>
      </c>
      <c r="B37" s="35" t="s">
        <v>337</v>
      </c>
      <c r="E37" s="34" t="s">
        <v>543</v>
      </c>
      <c r="G37" s="96">
        <v>0</v>
      </c>
      <c r="H37" s="324"/>
      <c r="I37" s="98"/>
      <c r="J37" s="34">
        <f t="shared" si="1"/>
        <v>27</v>
      </c>
    </row>
    <row r="38" spans="1:12" x14ac:dyDescent="0.35">
      <c r="A38" s="34">
        <f t="shared" si="0"/>
        <v>28</v>
      </c>
      <c r="B38" s="35" t="s">
        <v>338</v>
      </c>
      <c r="E38" s="34" t="s">
        <v>544</v>
      </c>
      <c r="G38" s="96">
        <v>10117.040000000001</v>
      </c>
      <c r="H38" s="324"/>
      <c r="I38" s="98"/>
      <c r="J38" s="34">
        <f t="shared" si="1"/>
        <v>28</v>
      </c>
    </row>
    <row r="39" spans="1:12" ht="16" thickBot="1" x14ac:dyDescent="0.4">
      <c r="A39" s="34">
        <f t="shared" si="0"/>
        <v>29</v>
      </c>
      <c r="B39" s="35" t="s">
        <v>339</v>
      </c>
      <c r="G39" s="104">
        <f>SUM(G35:G38)</f>
        <v>8258700.6859999998</v>
      </c>
      <c r="H39" s="105"/>
      <c r="I39" s="46" t="s">
        <v>550</v>
      </c>
      <c r="J39" s="34">
        <f t="shared" si="1"/>
        <v>29</v>
      </c>
    </row>
    <row r="40" spans="1:12" ht="16.5" thickTop="1" thickBot="1" x14ac:dyDescent="0.4">
      <c r="A40" s="106">
        <f t="shared" si="0"/>
        <v>30</v>
      </c>
      <c r="B40" s="80"/>
      <c r="C40" s="80"/>
      <c r="D40" s="80"/>
      <c r="E40" s="80"/>
      <c r="F40" s="80"/>
      <c r="G40" s="80"/>
      <c r="H40" s="80"/>
      <c r="I40" s="107"/>
      <c r="J40" s="106">
        <f t="shared" si="1"/>
        <v>30</v>
      </c>
    </row>
    <row r="41" spans="1:12" x14ac:dyDescent="0.35">
      <c r="A41" s="34">
        <f>A40+1</f>
        <v>31</v>
      </c>
      <c r="I41" s="46"/>
      <c r="J41" s="34">
        <f>J40+1</f>
        <v>31</v>
      </c>
    </row>
    <row r="42" spans="1:12" ht="16" thickBot="1" x14ac:dyDescent="0.4">
      <c r="A42" s="34">
        <f>A41+1</f>
        <v>32</v>
      </c>
      <c r="B42" s="39" t="s">
        <v>340</v>
      </c>
      <c r="G42" s="108">
        <v>0.106</v>
      </c>
      <c r="H42" s="324"/>
      <c r="I42" s="34" t="s">
        <v>341</v>
      </c>
      <c r="J42" s="34">
        <f>J41+1</f>
        <v>32</v>
      </c>
    </row>
    <row r="43" spans="1:12" ht="16" thickTop="1" x14ac:dyDescent="0.35">
      <c r="A43" s="34">
        <f t="shared" si="0"/>
        <v>33</v>
      </c>
      <c r="C43" s="66" t="s">
        <v>249</v>
      </c>
      <c r="D43" s="66" t="s">
        <v>250</v>
      </c>
      <c r="E43" s="66" t="s">
        <v>342</v>
      </c>
      <c r="F43" s="66"/>
      <c r="G43" s="66" t="s">
        <v>343</v>
      </c>
      <c r="H43" s="66"/>
      <c r="I43" s="46"/>
      <c r="J43" s="34">
        <f t="shared" si="1"/>
        <v>33</v>
      </c>
    </row>
    <row r="44" spans="1:12" x14ac:dyDescent="0.35">
      <c r="A44" s="34">
        <f t="shared" si="0"/>
        <v>34</v>
      </c>
      <c r="D44" s="34" t="s">
        <v>344</v>
      </c>
      <c r="E44" s="34" t="s">
        <v>345</v>
      </c>
      <c r="F44" s="34"/>
      <c r="G44" s="34" t="s">
        <v>346</v>
      </c>
      <c r="H44" s="34"/>
      <c r="I44" s="46"/>
      <c r="J44" s="34">
        <f t="shared" si="1"/>
        <v>34</v>
      </c>
    </row>
    <row r="45" spans="1:12" ht="18" x14ac:dyDescent="0.35">
      <c r="A45" s="34">
        <f t="shared" si="0"/>
        <v>35</v>
      </c>
      <c r="B45" s="39" t="s">
        <v>347</v>
      </c>
      <c r="C45" s="566" t="s">
        <v>348</v>
      </c>
      <c r="D45" s="566" t="s">
        <v>349</v>
      </c>
      <c r="E45" s="566" t="s">
        <v>350</v>
      </c>
      <c r="F45" s="566"/>
      <c r="G45" s="566" t="s">
        <v>351</v>
      </c>
      <c r="H45" s="34"/>
      <c r="I45" s="46"/>
      <c r="J45" s="34">
        <f t="shared" si="1"/>
        <v>35</v>
      </c>
    </row>
    <row r="46" spans="1:12" x14ac:dyDescent="0.35">
      <c r="A46" s="34">
        <f t="shared" si="0"/>
        <v>36</v>
      </c>
      <c r="I46" s="46"/>
      <c r="J46" s="34">
        <f t="shared" si="1"/>
        <v>36</v>
      </c>
    </row>
    <row r="47" spans="1:12" x14ac:dyDescent="0.35">
      <c r="A47" s="34">
        <f t="shared" si="0"/>
        <v>37</v>
      </c>
      <c r="B47" s="35" t="s">
        <v>352</v>
      </c>
      <c r="C47" s="58">
        <f>G17</f>
        <v>6400965.29</v>
      </c>
      <c r="D47" s="109">
        <f>C47/C$50</f>
        <v>0.43663786749843475</v>
      </c>
      <c r="E47" s="110">
        <f>G27</f>
        <v>3.8015661384722177E-2</v>
      </c>
      <c r="G47" s="111">
        <f>D47*E47</f>
        <v>1.6599077318567683E-2</v>
      </c>
      <c r="H47" s="111"/>
      <c r="I47" s="46" t="s">
        <v>551</v>
      </c>
      <c r="J47" s="34">
        <f t="shared" si="1"/>
        <v>37</v>
      </c>
    </row>
    <row r="48" spans="1:12" x14ac:dyDescent="0.35">
      <c r="A48" s="34">
        <f t="shared" si="0"/>
        <v>38</v>
      </c>
      <c r="B48" s="35" t="s">
        <v>353</v>
      </c>
      <c r="C48" s="112">
        <f>G30</f>
        <v>0</v>
      </c>
      <c r="D48" s="109">
        <f>C48/C$50</f>
        <v>0</v>
      </c>
      <c r="E48" s="110">
        <f>G32</f>
        <v>0</v>
      </c>
      <c r="G48" s="111">
        <f>D48*E48</f>
        <v>0</v>
      </c>
      <c r="H48" s="111"/>
      <c r="I48" s="46" t="s">
        <v>552</v>
      </c>
      <c r="J48" s="34">
        <f t="shared" si="1"/>
        <v>38</v>
      </c>
    </row>
    <row r="49" spans="1:10" x14ac:dyDescent="0.35">
      <c r="A49" s="34">
        <f t="shared" si="0"/>
        <v>39</v>
      </c>
      <c r="B49" s="35" t="s">
        <v>354</v>
      </c>
      <c r="C49" s="112">
        <f>G39</f>
        <v>8258700.6859999998</v>
      </c>
      <c r="D49" s="582">
        <f>C49/C$50</f>
        <v>0.5633621325015653</v>
      </c>
      <c r="E49" s="113">
        <f>G42</f>
        <v>0.106</v>
      </c>
      <c r="G49" s="583">
        <f>D49*E49</f>
        <v>5.9716386045165923E-2</v>
      </c>
      <c r="H49" s="102"/>
      <c r="I49" s="46" t="s">
        <v>553</v>
      </c>
      <c r="J49" s="34">
        <f t="shared" si="1"/>
        <v>39</v>
      </c>
    </row>
    <row r="50" spans="1:10" ht="16" thickBot="1" x14ac:dyDescent="0.4">
      <c r="A50" s="34">
        <f t="shared" si="0"/>
        <v>40</v>
      </c>
      <c r="B50" s="35" t="s">
        <v>355</v>
      </c>
      <c r="C50" s="114">
        <f>SUM(C47:C49)</f>
        <v>14659665.976</v>
      </c>
      <c r="D50" s="115">
        <f>SUM(D47:D49)</f>
        <v>1</v>
      </c>
      <c r="G50" s="101">
        <f>SUM(G47:G49)</f>
        <v>7.6315463363733599E-2</v>
      </c>
      <c r="H50" s="102"/>
      <c r="I50" s="46" t="s">
        <v>554</v>
      </c>
      <c r="J50" s="34">
        <f t="shared" si="1"/>
        <v>40</v>
      </c>
    </row>
    <row r="51" spans="1:10" ht="16" thickTop="1" x14ac:dyDescent="0.35">
      <c r="A51" s="34">
        <f t="shared" si="0"/>
        <v>41</v>
      </c>
      <c r="I51" s="46"/>
      <c r="J51" s="34">
        <f t="shared" si="1"/>
        <v>41</v>
      </c>
    </row>
    <row r="52" spans="1:10" ht="16" thickBot="1" x14ac:dyDescent="0.4">
      <c r="A52" s="34">
        <f t="shared" si="0"/>
        <v>42</v>
      </c>
      <c r="B52" s="39" t="s">
        <v>356</v>
      </c>
      <c r="G52" s="101">
        <f>G48+G49</f>
        <v>5.9716386045165923E-2</v>
      </c>
      <c r="H52" s="102"/>
      <c r="I52" s="46" t="s">
        <v>555</v>
      </c>
      <c r="J52" s="34">
        <f t="shared" si="1"/>
        <v>42</v>
      </c>
    </row>
    <row r="53" spans="1:10" ht="16.5" thickTop="1" thickBot="1" x14ac:dyDescent="0.4">
      <c r="A53" s="106">
        <f t="shared" si="0"/>
        <v>43</v>
      </c>
      <c r="B53" s="119"/>
      <c r="C53" s="80"/>
      <c r="D53" s="80"/>
      <c r="E53" s="80"/>
      <c r="F53" s="80"/>
      <c r="G53" s="314"/>
      <c r="H53" s="314"/>
      <c r="I53" s="107"/>
      <c r="J53" s="106">
        <f t="shared" si="1"/>
        <v>43</v>
      </c>
    </row>
    <row r="54" spans="1:10" x14ac:dyDescent="0.35">
      <c r="A54" s="34">
        <f t="shared" si="0"/>
        <v>44</v>
      </c>
      <c r="B54" s="39"/>
      <c r="G54" s="113"/>
      <c r="H54" s="113"/>
      <c r="I54" s="46"/>
      <c r="J54" s="34">
        <f t="shared" si="1"/>
        <v>44</v>
      </c>
    </row>
    <row r="55" spans="1:10" ht="16" thickBot="1" x14ac:dyDescent="0.4">
      <c r="A55" s="34">
        <f t="shared" si="0"/>
        <v>45</v>
      </c>
      <c r="B55" s="39" t="s">
        <v>357</v>
      </c>
      <c r="G55" s="315">
        <v>0</v>
      </c>
      <c r="H55" s="113"/>
      <c r="I55" s="46" t="s">
        <v>227</v>
      </c>
      <c r="J55" s="34">
        <f t="shared" si="1"/>
        <v>45</v>
      </c>
    </row>
    <row r="56" spans="1:10" ht="16" thickTop="1" x14ac:dyDescent="0.35">
      <c r="A56" s="34">
        <f t="shared" si="0"/>
        <v>46</v>
      </c>
      <c r="C56" s="66" t="s">
        <v>249</v>
      </c>
      <c r="D56" s="66" t="s">
        <v>250</v>
      </c>
      <c r="E56" s="66" t="s">
        <v>342</v>
      </c>
      <c r="F56" s="66"/>
      <c r="G56" s="66" t="s">
        <v>343</v>
      </c>
      <c r="H56" s="113"/>
      <c r="I56" s="46"/>
      <c r="J56" s="34">
        <f t="shared" si="1"/>
        <v>46</v>
      </c>
    </row>
    <row r="57" spans="1:10" x14ac:dyDescent="0.35">
      <c r="A57" s="34">
        <f t="shared" si="0"/>
        <v>47</v>
      </c>
      <c r="D57" s="34" t="s">
        <v>344</v>
      </c>
      <c r="E57" s="34" t="s">
        <v>345</v>
      </c>
      <c r="F57" s="34"/>
      <c r="G57" s="34" t="s">
        <v>346</v>
      </c>
      <c r="H57" s="113"/>
      <c r="I57" s="46"/>
      <c r="J57" s="34">
        <f t="shared" si="1"/>
        <v>47</v>
      </c>
    </row>
    <row r="58" spans="1:10" ht="18" x14ac:dyDescent="0.35">
      <c r="A58" s="34">
        <f t="shared" si="0"/>
        <v>48</v>
      </c>
      <c r="B58" s="39" t="s">
        <v>358</v>
      </c>
      <c r="C58" s="566" t="s">
        <v>348</v>
      </c>
      <c r="D58" s="566" t="s">
        <v>349</v>
      </c>
      <c r="E58" s="566" t="s">
        <v>350</v>
      </c>
      <c r="F58" s="566"/>
      <c r="G58" s="566" t="s">
        <v>351</v>
      </c>
      <c r="H58" s="113"/>
      <c r="I58" s="46"/>
      <c r="J58" s="34">
        <f t="shared" si="1"/>
        <v>48</v>
      </c>
    </row>
    <row r="59" spans="1:10" x14ac:dyDescent="0.35">
      <c r="A59" s="34">
        <f t="shared" si="0"/>
        <v>49</v>
      </c>
      <c r="G59" s="113"/>
      <c r="H59" s="113"/>
      <c r="I59" s="46"/>
      <c r="J59" s="34">
        <f t="shared" si="1"/>
        <v>49</v>
      </c>
    </row>
    <row r="60" spans="1:10" x14ac:dyDescent="0.35">
      <c r="A60" s="34">
        <f t="shared" si="0"/>
        <v>50</v>
      </c>
      <c r="B60" s="35" t="s">
        <v>352</v>
      </c>
      <c r="C60" s="316">
        <v>0</v>
      </c>
      <c r="D60" s="317">
        <v>0</v>
      </c>
      <c r="E60" s="116">
        <v>0</v>
      </c>
      <c r="G60" s="111">
        <f>D60*E60</f>
        <v>0</v>
      </c>
      <c r="H60" s="113"/>
      <c r="I60" s="46" t="s">
        <v>227</v>
      </c>
      <c r="J60" s="34">
        <f t="shared" si="1"/>
        <v>50</v>
      </c>
    </row>
    <row r="61" spans="1:10" x14ac:dyDescent="0.35">
      <c r="A61" s="34">
        <f t="shared" si="0"/>
        <v>51</v>
      </c>
      <c r="B61" s="35" t="s">
        <v>353</v>
      </c>
      <c r="C61" s="318">
        <v>0</v>
      </c>
      <c r="D61" s="317">
        <v>0</v>
      </c>
      <c r="E61" s="116">
        <v>0</v>
      </c>
      <c r="G61" s="111">
        <f>D61*E61</f>
        <v>0</v>
      </c>
      <c r="H61" s="113"/>
      <c r="I61" s="46" t="s">
        <v>227</v>
      </c>
      <c r="J61" s="34">
        <f t="shared" si="1"/>
        <v>51</v>
      </c>
    </row>
    <row r="62" spans="1:10" x14ac:dyDescent="0.35">
      <c r="A62" s="34">
        <f t="shared" si="0"/>
        <v>52</v>
      </c>
      <c r="B62" s="35" t="s">
        <v>354</v>
      </c>
      <c r="C62" s="318">
        <v>0</v>
      </c>
      <c r="D62" s="584">
        <v>0</v>
      </c>
      <c r="E62" s="319">
        <v>0</v>
      </c>
      <c r="G62" s="583">
        <f>D62*E62</f>
        <v>0</v>
      </c>
      <c r="H62" s="113"/>
      <c r="I62" s="46" t="s">
        <v>227</v>
      </c>
      <c r="J62" s="34">
        <f t="shared" si="1"/>
        <v>52</v>
      </c>
    </row>
    <row r="63" spans="1:10" ht="16" thickBot="1" x14ac:dyDescent="0.4">
      <c r="A63" s="34">
        <f t="shared" si="0"/>
        <v>53</v>
      </c>
      <c r="B63" s="35" t="s">
        <v>355</v>
      </c>
      <c r="C63" s="114">
        <f>SUM(C60:C62)</f>
        <v>0</v>
      </c>
      <c r="D63" s="101">
        <f>SUM(D60:D62)</f>
        <v>0</v>
      </c>
      <c r="G63" s="101">
        <f>SUM(G60:G62)</f>
        <v>0</v>
      </c>
      <c r="H63" s="113"/>
      <c r="I63" s="46" t="s">
        <v>556</v>
      </c>
      <c r="J63" s="34">
        <f t="shared" si="1"/>
        <v>53</v>
      </c>
    </row>
    <row r="64" spans="1:10" ht="16" thickTop="1" x14ac:dyDescent="0.35">
      <c r="A64" s="34">
        <f t="shared" si="0"/>
        <v>54</v>
      </c>
      <c r="H64" s="113"/>
      <c r="I64" s="46"/>
      <c r="J64" s="34">
        <f t="shared" si="1"/>
        <v>54</v>
      </c>
    </row>
    <row r="65" spans="1:10" ht="16" thickBot="1" x14ac:dyDescent="0.4">
      <c r="A65" s="34">
        <f t="shared" si="0"/>
        <v>55</v>
      </c>
      <c r="B65" s="39" t="s">
        <v>359</v>
      </c>
      <c r="G65" s="101">
        <f>G61+G62</f>
        <v>0</v>
      </c>
      <c r="H65" s="113"/>
      <c r="I65" s="46" t="s">
        <v>557</v>
      </c>
      <c r="J65" s="34">
        <f t="shared" si="1"/>
        <v>55</v>
      </c>
    </row>
    <row r="66" spans="1:10" ht="16" thickTop="1" x14ac:dyDescent="0.35">
      <c r="B66" s="39"/>
      <c r="G66" s="113"/>
      <c r="H66" s="113"/>
      <c r="I66" s="46"/>
      <c r="J66" s="34"/>
    </row>
    <row r="67" spans="1:10" x14ac:dyDescent="0.35">
      <c r="B67" s="39"/>
      <c r="G67" s="113"/>
      <c r="H67" s="113"/>
      <c r="I67" s="46"/>
      <c r="J67" s="34"/>
    </row>
    <row r="68" spans="1:10" ht="18" x14ac:dyDescent="0.35">
      <c r="A68" s="65">
        <v>1</v>
      </c>
      <c r="B68" s="18" t="s">
        <v>360</v>
      </c>
      <c r="G68" s="61"/>
      <c r="H68" s="61"/>
      <c r="J68" s="34" t="s">
        <v>202</v>
      </c>
    </row>
    <row r="69" spans="1:10" ht="18" x14ac:dyDescent="0.35">
      <c r="A69" s="65"/>
      <c r="B69" s="18"/>
      <c r="G69" s="61"/>
      <c r="H69" s="61"/>
      <c r="J69" s="34"/>
    </row>
    <row r="70" spans="1:10" ht="18" x14ac:dyDescent="0.35">
      <c r="A70" s="65"/>
      <c r="B70" s="18"/>
      <c r="D70" s="34"/>
      <c r="G70" s="61"/>
      <c r="H70" s="61"/>
      <c r="J70" s="34"/>
    </row>
    <row r="71" spans="1:10" x14ac:dyDescent="0.35">
      <c r="B71" s="773" t="s">
        <v>312</v>
      </c>
      <c r="C71" s="773"/>
      <c r="D71" s="773"/>
      <c r="E71" s="773"/>
      <c r="F71" s="773"/>
      <c r="G71" s="773"/>
      <c r="H71" s="773"/>
      <c r="I71" s="773"/>
      <c r="J71" s="34"/>
    </row>
    <row r="72" spans="1:10" x14ac:dyDescent="0.35">
      <c r="B72" s="773" t="s">
        <v>313</v>
      </c>
      <c r="C72" s="773"/>
      <c r="D72" s="773"/>
      <c r="E72" s="773"/>
      <c r="F72" s="773"/>
      <c r="G72" s="773"/>
      <c r="H72" s="773"/>
      <c r="I72" s="773"/>
      <c r="J72" s="34"/>
    </row>
    <row r="73" spans="1:10" x14ac:dyDescent="0.35">
      <c r="B73" s="773" t="s">
        <v>314</v>
      </c>
      <c r="C73" s="773"/>
      <c r="D73" s="773"/>
      <c r="E73" s="773"/>
      <c r="F73" s="773"/>
      <c r="G73" s="773"/>
      <c r="H73" s="773"/>
      <c r="I73" s="773"/>
      <c r="J73" s="34"/>
    </row>
    <row r="74" spans="1:10" x14ac:dyDescent="0.35">
      <c r="B74" s="775" t="str">
        <f>B5</f>
        <v>Base Period &amp; True-Up Period 12 - Months Ending December 31, 2021</v>
      </c>
      <c r="C74" s="775"/>
      <c r="D74" s="775"/>
      <c r="E74" s="775"/>
      <c r="F74" s="775"/>
      <c r="G74" s="775"/>
      <c r="H74" s="775"/>
      <c r="I74" s="775"/>
      <c r="J74" s="34"/>
    </row>
    <row r="75" spans="1:10" x14ac:dyDescent="0.35">
      <c r="B75" s="771" t="s">
        <v>1</v>
      </c>
      <c r="C75" s="774"/>
      <c r="D75" s="774"/>
      <c r="E75" s="774"/>
      <c r="F75" s="774"/>
      <c r="G75" s="774"/>
      <c r="H75" s="774"/>
      <c r="I75" s="774"/>
      <c r="J75" s="34"/>
    </row>
    <row r="76" spans="1:10" x14ac:dyDescent="0.35">
      <c r="B76" s="34"/>
      <c r="C76" s="34"/>
      <c r="D76" s="34"/>
      <c r="E76" s="34"/>
      <c r="F76" s="34"/>
      <c r="G76" s="34"/>
      <c r="H76" s="34"/>
      <c r="I76" s="46"/>
      <c r="J76" s="34"/>
    </row>
    <row r="77" spans="1:10" x14ac:dyDescent="0.35">
      <c r="A77" s="34" t="s">
        <v>2</v>
      </c>
      <c r="B77" s="324"/>
      <c r="C77" s="324"/>
      <c r="D77" s="324"/>
      <c r="E77" s="324"/>
      <c r="F77" s="324"/>
      <c r="G77" s="324"/>
      <c r="H77" s="324"/>
      <c r="I77" s="46"/>
      <c r="J77" s="34" t="s">
        <v>2</v>
      </c>
    </row>
    <row r="78" spans="1:10" x14ac:dyDescent="0.35">
      <c r="A78" s="34" t="s">
        <v>3</v>
      </c>
      <c r="B78" s="34"/>
      <c r="C78" s="34"/>
      <c r="D78" s="34"/>
      <c r="E78" s="34"/>
      <c r="F78" s="34"/>
      <c r="G78" s="566" t="s">
        <v>5</v>
      </c>
      <c r="H78" s="324"/>
      <c r="I78" s="580" t="s">
        <v>6</v>
      </c>
      <c r="J78" s="34" t="s">
        <v>3</v>
      </c>
    </row>
    <row r="79" spans="1:10" x14ac:dyDescent="0.35">
      <c r="G79" s="34"/>
      <c r="H79" s="34"/>
      <c r="I79" s="46"/>
      <c r="J79" s="34"/>
    </row>
    <row r="80" spans="1:10" ht="17.5" x14ac:dyDescent="0.35">
      <c r="A80" s="34">
        <v>1</v>
      </c>
      <c r="B80" s="39" t="s">
        <v>361</v>
      </c>
      <c r="E80" s="324"/>
      <c r="F80" s="324"/>
      <c r="G80" s="120"/>
      <c r="H80" s="120"/>
      <c r="I80" s="46"/>
      <c r="J80" s="34">
        <v>1</v>
      </c>
    </row>
    <row r="81" spans="1:13" x14ac:dyDescent="0.35">
      <c r="A81" s="34">
        <f>A80+1</f>
        <v>2</v>
      </c>
      <c r="B81" s="121"/>
      <c r="E81" s="324"/>
      <c r="F81" s="324"/>
      <c r="G81" s="120"/>
      <c r="H81" s="120"/>
      <c r="I81" s="46"/>
      <c r="J81" s="34">
        <f>J80+1</f>
        <v>2</v>
      </c>
    </row>
    <row r="82" spans="1:13" x14ac:dyDescent="0.35">
      <c r="A82" s="34">
        <f>A81+1</f>
        <v>3</v>
      </c>
      <c r="B82" s="39" t="s">
        <v>362</v>
      </c>
      <c r="E82" s="324"/>
      <c r="F82" s="324"/>
      <c r="G82" s="120"/>
      <c r="H82" s="120"/>
      <c r="I82" s="46"/>
      <c r="J82" s="34">
        <f>J81+1</f>
        <v>3</v>
      </c>
    </row>
    <row r="83" spans="1:13" x14ac:dyDescent="0.35">
      <c r="A83" s="34">
        <f>A82+1</f>
        <v>4</v>
      </c>
      <c r="B83" s="324"/>
      <c r="C83" s="324"/>
      <c r="D83" s="324"/>
      <c r="E83" s="324"/>
      <c r="F83" s="324"/>
      <c r="G83" s="120"/>
      <c r="H83" s="120"/>
      <c r="I83" s="46"/>
      <c r="J83" s="34">
        <f>J82+1</f>
        <v>4</v>
      </c>
    </row>
    <row r="84" spans="1:13" x14ac:dyDescent="0.35">
      <c r="A84" s="34">
        <f t="shared" ref="A84:A110" si="2">A83+1</f>
        <v>5</v>
      </c>
      <c r="B84" s="41" t="s">
        <v>363</v>
      </c>
      <c r="C84" s="324"/>
      <c r="D84" s="324"/>
      <c r="E84" s="324"/>
      <c r="F84" s="324"/>
      <c r="G84" s="120"/>
      <c r="H84" s="120"/>
      <c r="I84" s="122"/>
      <c r="J84" s="34">
        <f t="shared" ref="J84:J110" si="3">J83+1</f>
        <v>5</v>
      </c>
    </row>
    <row r="85" spans="1:13" x14ac:dyDescent="0.35">
      <c r="A85" s="34">
        <f t="shared" si="2"/>
        <v>6</v>
      </c>
      <c r="B85" s="35" t="s">
        <v>364</v>
      </c>
      <c r="D85" s="324"/>
      <c r="E85" s="324"/>
      <c r="F85" s="324"/>
      <c r="G85" s="123">
        <f>G52</f>
        <v>5.9716386045165923E-2</v>
      </c>
      <c r="H85" s="324"/>
      <c r="I85" s="46" t="s">
        <v>365</v>
      </c>
      <c r="J85" s="34">
        <f t="shared" si="3"/>
        <v>6</v>
      </c>
      <c r="L85" s="34"/>
    </row>
    <row r="86" spans="1:13" x14ac:dyDescent="0.35">
      <c r="A86" s="34">
        <f t="shared" si="2"/>
        <v>7</v>
      </c>
      <c r="B86" s="35" t="s">
        <v>366</v>
      </c>
      <c r="D86" s="324"/>
      <c r="E86" s="324"/>
      <c r="F86" s="324"/>
      <c r="G86" s="124">
        <v>264.76299999999998</v>
      </c>
      <c r="H86" s="324"/>
      <c r="I86" s="46" t="s">
        <v>367</v>
      </c>
      <c r="J86" s="34">
        <f t="shared" si="3"/>
        <v>7</v>
      </c>
      <c r="L86" s="34"/>
    </row>
    <row r="87" spans="1:13" ht="18" x14ac:dyDescent="0.35">
      <c r="A87" s="34">
        <f t="shared" si="2"/>
        <v>8</v>
      </c>
      <c r="B87" s="35" t="s">
        <v>368</v>
      </c>
      <c r="D87" s="324"/>
      <c r="E87" s="324"/>
      <c r="F87" s="324"/>
      <c r="G87" s="125">
        <v>9230.8399599999993</v>
      </c>
      <c r="H87" s="324"/>
      <c r="I87" s="118" t="s">
        <v>558</v>
      </c>
      <c r="J87" s="34">
        <f t="shared" si="3"/>
        <v>8</v>
      </c>
      <c r="L87" s="324"/>
    </row>
    <row r="88" spans="1:13" x14ac:dyDescent="0.35">
      <c r="A88" s="34">
        <f t="shared" si="2"/>
        <v>9</v>
      </c>
      <c r="B88" s="35" t="s">
        <v>369</v>
      </c>
      <c r="D88" s="324"/>
      <c r="E88" s="126"/>
      <c r="F88" s="324"/>
      <c r="G88" s="127">
        <f>'Pg12 Rev AV-4'!C36</f>
        <v>4794593.7122053131</v>
      </c>
      <c r="H88" s="24" t="s">
        <v>24</v>
      </c>
      <c r="I88" s="118" t="s">
        <v>483</v>
      </c>
      <c r="J88" s="34">
        <f t="shared" si="3"/>
        <v>9</v>
      </c>
    </row>
    <row r="89" spans="1:13" x14ac:dyDescent="0.35">
      <c r="A89" s="34">
        <f t="shared" si="2"/>
        <v>10</v>
      </c>
      <c r="B89" s="35" t="s">
        <v>371</v>
      </c>
      <c r="D89" s="128"/>
      <c r="E89" s="324"/>
      <c r="F89" s="324"/>
      <c r="G89" s="585">
        <v>0.21</v>
      </c>
      <c r="H89" s="324"/>
      <c r="I89" s="46" t="s">
        <v>372</v>
      </c>
      <c r="J89" s="34">
        <f t="shared" si="3"/>
        <v>10</v>
      </c>
      <c r="M89" s="129"/>
    </row>
    <row r="90" spans="1:13" x14ac:dyDescent="0.35">
      <c r="A90" s="34">
        <f t="shared" si="2"/>
        <v>11</v>
      </c>
      <c r="G90" s="34"/>
      <c r="H90" s="34"/>
      <c r="J90" s="34">
        <f t="shared" si="3"/>
        <v>11</v>
      </c>
    </row>
    <row r="91" spans="1:13" x14ac:dyDescent="0.35">
      <c r="A91" s="34">
        <f t="shared" si="2"/>
        <v>12</v>
      </c>
      <c r="B91" s="35" t="s">
        <v>373</v>
      </c>
      <c r="D91" s="324"/>
      <c r="E91" s="324"/>
      <c r="F91" s="324"/>
      <c r="G91" s="130">
        <f>(((G85)+(G87/G88))*G89-(G86/G88))/(1-G89)</f>
        <v>1.6315853842513016E-2</v>
      </c>
      <c r="H91" s="130"/>
      <c r="I91" s="46" t="s">
        <v>374</v>
      </c>
      <c r="J91" s="34">
        <f t="shared" si="3"/>
        <v>12</v>
      </c>
      <c r="M91" s="131"/>
    </row>
    <row r="92" spans="1:13" x14ac:dyDescent="0.35">
      <c r="A92" s="34">
        <f t="shared" si="2"/>
        <v>13</v>
      </c>
      <c r="B92" s="132" t="s">
        <v>375</v>
      </c>
      <c r="G92" s="34"/>
      <c r="H92" s="34"/>
      <c r="J92" s="34">
        <f t="shared" si="3"/>
        <v>13</v>
      </c>
    </row>
    <row r="93" spans="1:13" x14ac:dyDescent="0.35">
      <c r="A93" s="34">
        <f t="shared" si="2"/>
        <v>14</v>
      </c>
      <c r="G93" s="34"/>
      <c r="H93" s="34"/>
      <c r="J93" s="34">
        <f t="shared" si="3"/>
        <v>14</v>
      </c>
    </row>
    <row r="94" spans="1:13" x14ac:dyDescent="0.35">
      <c r="A94" s="34">
        <f t="shared" si="2"/>
        <v>15</v>
      </c>
      <c r="B94" s="39" t="s">
        <v>376</v>
      </c>
      <c r="C94" s="324"/>
      <c r="D94" s="324"/>
      <c r="E94" s="324"/>
      <c r="F94" s="324"/>
      <c r="G94" s="133"/>
      <c r="H94" s="133"/>
      <c r="I94" s="134"/>
      <c r="J94" s="34">
        <f t="shared" si="3"/>
        <v>15</v>
      </c>
      <c r="L94" s="135"/>
    </row>
    <row r="95" spans="1:13" x14ac:dyDescent="0.35">
      <c r="A95" s="34">
        <f t="shared" si="2"/>
        <v>16</v>
      </c>
      <c r="B95" s="51"/>
      <c r="C95" s="324"/>
      <c r="D95" s="324"/>
      <c r="E95" s="324"/>
      <c r="F95" s="324"/>
      <c r="G95" s="133"/>
      <c r="H95" s="133"/>
      <c r="I95" s="136"/>
      <c r="J95" s="34">
        <f t="shared" si="3"/>
        <v>16</v>
      </c>
      <c r="L95" s="324"/>
    </row>
    <row r="96" spans="1:13" x14ac:dyDescent="0.35">
      <c r="A96" s="34">
        <f t="shared" si="2"/>
        <v>17</v>
      </c>
      <c r="B96" s="41" t="s">
        <v>363</v>
      </c>
      <c r="C96" s="324"/>
      <c r="D96" s="324"/>
      <c r="E96" s="324"/>
      <c r="F96" s="324"/>
      <c r="G96" s="133"/>
      <c r="H96" s="133"/>
      <c r="I96" s="136"/>
      <c r="J96" s="34">
        <f t="shared" si="3"/>
        <v>17</v>
      </c>
      <c r="L96" s="324"/>
    </row>
    <row r="97" spans="1:13" x14ac:dyDescent="0.35">
      <c r="A97" s="34">
        <f t="shared" si="2"/>
        <v>18</v>
      </c>
      <c r="B97" s="35" t="s">
        <v>364</v>
      </c>
      <c r="D97" s="324"/>
      <c r="E97" s="324"/>
      <c r="F97" s="324"/>
      <c r="G97" s="109">
        <f>G85</f>
        <v>5.9716386045165923E-2</v>
      </c>
      <c r="H97" s="109"/>
      <c r="I97" s="46" t="s">
        <v>559</v>
      </c>
      <c r="J97" s="34">
        <f t="shared" si="3"/>
        <v>18</v>
      </c>
      <c r="L97" s="34"/>
    </row>
    <row r="98" spans="1:13" x14ac:dyDescent="0.35">
      <c r="A98" s="34">
        <f t="shared" si="2"/>
        <v>19</v>
      </c>
      <c r="B98" s="35" t="s">
        <v>377</v>
      </c>
      <c r="D98" s="324"/>
      <c r="E98" s="324"/>
      <c r="F98" s="324"/>
      <c r="G98" s="137">
        <f>G87</f>
        <v>9230.8399599999993</v>
      </c>
      <c r="H98" s="137"/>
      <c r="I98" s="46" t="s">
        <v>560</v>
      </c>
      <c r="J98" s="34">
        <f t="shared" si="3"/>
        <v>19</v>
      </c>
      <c r="L98" s="34"/>
    </row>
    <row r="99" spans="1:13" x14ac:dyDescent="0.35">
      <c r="A99" s="34">
        <f t="shared" si="2"/>
        <v>20</v>
      </c>
      <c r="B99" s="35" t="s">
        <v>378</v>
      </c>
      <c r="D99" s="324"/>
      <c r="E99" s="324"/>
      <c r="F99" s="324"/>
      <c r="G99" s="138">
        <f>G88</f>
        <v>4794593.7122053131</v>
      </c>
      <c r="H99" s="24" t="s">
        <v>24</v>
      </c>
      <c r="I99" s="46" t="s">
        <v>561</v>
      </c>
      <c r="J99" s="34">
        <f t="shared" si="3"/>
        <v>20</v>
      </c>
      <c r="L99" s="34"/>
    </row>
    <row r="100" spans="1:13" x14ac:dyDescent="0.35">
      <c r="A100" s="34">
        <f t="shared" si="2"/>
        <v>21</v>
      </c>
      <c r="B100" s="35" t="s">
        <v>379</v>
      </c>
      <c r="D100" s="324"/>
      <c r="E100" s="324"/>
      <c r="F100" s="324"/>
      <c r="G100" s="139">
        <f>G91</f>
        <v>1.6315853842513016E-2</v>
      </c>
      <c r="H100" s="139"/>
      <c r="I100" s="46" t="s">
        <v>562</v>
      </c>
      <c r="J100" s="34">
        <f t="shared" si="3"/>
        <v>21</v>
      </c>
    </row>
    <row r="101" spans="1:13" x14ac:dyDescent="0.35">
      <c r="A101" s="34">
        <f t="shared" si="2"/>
        <v>22</v>
      </c>
      <c r="B101" s="35" t="s">
        <v>380</v>
      </c>
      <c r="D101" s="324"/>
      <c r="E101" s="324"/>
      <c r="F101" s="324"/>
      <c r="G101" s="586">
        <v>8.8400000000000006E-2</v>
      </c>
      <c r="H101" s="324"/>
      <c r="I101" s="46" t="s">
        <v>381</v>
      </c>
      <c r="J101" s="34">
        <f t="shared" si="3"/>
        <v>22</v>
      </c>
    </row>
    <row r="102" spans="1:13" x14ac:dyDescent="0.35">
      <c r="A102" s="34">
        <f t="shared" si="2"/>
        <v>23</v>
      </c>
      <c r="B102" s="511"/>
      <c r="D102" s="324"/>
      <c r="E102" s="324"/>
      <c r="F102" s="324"/>
      <c r="G102" s="140"/>
      <c r="H102" s="140"/>
      <c r="I102" s="136"/>
      <c r="J102" s="34">
        <f t="shared" si="3"/>
        <v>23</v>
      </c>
    </row>
    <row r="103" spans="1:13" x14ac:dyDescent="0.35">
      <c r="A103" s="34">
        <f t="shared" si="2"/>
        <v>24</v>
      </c>
      <c r="B103" s="35" t="s">
        <v>382</v>
      </c>
      <c r="C103" s="34"/>
      <c r="D103" s="34"/>
      <c r="E103" s="324"/>
      <c r="F103" s="324"/>
      <c r="G103" s="590">
        <f>((G97)+(G98/G99)+G91)*G101/(1-G101)</f>
        <v>7.5597224646004463E-3</v>
      </c>
      <c r="H103" s="141"/>
      <c r="I103" s="46" t="s">
        <v>383</v>
      </c>
      <c r="J103" s="34">
        <f t="shared" si="3"/>
        <v>24</v>
      </c>
    </row>
    <row r="104" spans="1:13" x14ac:dyDescent="0.35">
      <c r="A104" s="34">
        <f t="shared" si="2"/>
        <v>25</v>
      </c>
      <c r="B104" s="132" t="s">
        <v>384</v>
      </c>
      <c r="G104" s="34"/>
      <c r="H104" s="34"/>
      <c r="I104" s="46"/>
      <c r="J104" s="34">
        <f t="shared" si="3"/>
        <v>25</v>
      </c>
      <c r="L104" s="34"/>
    </row>
    <row r="105" spans="1:13" x14ac:dyDescent="0.35">
      <c r="A105" s="34">
        <f t="shared" si="2"/>
        <v>26</v>
      </c>
      <c r="G105" s="34"/>
      <c r="H105" s="34"/>
      <c r="I105" s="46"/>
      <c r="J105" s="34">
        <f t="shared" si="3"/>
        <v>26</v>
      </c>
      <c r="L105" s="34"/>
    </row>
    <row r="106" spans="1:13" x14ac:dyDescent="0.35">
      <c r="A106" s="34">
        <f t="shared" si="2"/>
        <v>27</v>
      </c>
      <c r="B106" s="39" t="s">
        <v>385</v>
      </c>
      <c r="G106" s="130">
        <f>G103+G91</f>
        <v>2.3875576307113462E-2</v>
      </c>
      <c r="H106" s="130"/>
      <c r="I106" s="46" t="s">
        <v>563</v>
      </c>
      <c r="J106" s="34">
        <f t="shared" si="3"/>
        <v>27</v>
      </c>
      <c r="L106" s="34"/>
    </row>
    <row r="107" spans="1:13" x14ac:dyDescent="0.35">
      <c r="A107" s="34">
        <f t="shared" si="2"/>
        <v>28</v>
      </c>
      <c r="G107" s="34"/>
      <c r="H107" s="34"/>
      <c r="I107" s="46"/>
      <c r="J107" s="34">
        <f t="shared" si="3"/>
        <v>28</v>
      </c>
      <c r="L107" s="34"/>
    </row>
    <row r="108" spans="1:13" x14ac:dyDescent="0.35">
      <c r="A108" s="34">
        <f t="shared" si="2"/>
        <v>29</v>
      </c>
      <c r="B108" s="39" t="s">
        <v>386</v>
      </c>
      <c r="G108" s="587">
        <f>G50</f>
        <v>7.6315463363733599E-2</v>
      </c>
      <c r="H108" s="324"/>
      <c r="I108" s="46" t="s">
        <v>564</v>
      </c>
      <c r="J108" s="34">
        <f t="shared" si="3"/>
        <v>29</v>
      </c>
      <c r="L108" s="34"/>
    </row>
    <row r="109" spans="1:13" x14ac:dyDescent="0.35">
      <c r="A109" s="34">
        <f t="shared" si="2"/>
        <v>30</v>
      </c>
      <c r="G109" s="109"/>
      <c r="H109" s="109"/>
      <c r="I109" s="46"/>
      <c r="J109" s="34">
        <f t="shared" si="3"/>
        <v>30</v>
      </c>
      <c r="L109" s="34"/>
    </row>
    <row r="110" spans="1:13" ht="18" thickBot="1" x14ac:dyDescent="0.4">
      <c r="A110" s="34">
        <f t="shared" si="2"/>
        <v>31</v>
      </c>
      <c r="B110" s="39" t="s">
        <v>387</v>
      </c>
      <c r="G110" s="142">
        <f>G106+G108</f>
        <v>0.10019103967084705</v>
      </c>
      <c r="H110" s="141"/>
      <c r="I110" s="46" t="s">
        <v>565</v>
      </c>
      <c r="J110" s="34">
        <f t="shared" si="3"/>
        <v>31</v>
      </c>
      <c r="L110" s="143"/>
      <c r="M110" s="131"/>
    </row>
    <row r="111" spans="1:13" ht="16" thickTop="1" x14ac:dyDescent="0.35">
      <c r="B111" s="39"/>
      <c r="G111" s="145"/>
      <c r="H111" s="145"/>
      <c r="I111" s="46"/>
      <c r="J111" s="34"/>
      <c r="L111" s="143"/>
      <c r="M111" s="131"/>
    </row>
    <row r="112" spans="1:13" x14ac:dyDescent="0.35">
      <c r="B112" s="39"/>
      <c r="G112" s="145"/>
      <c r="H112" s="145"/>
      <c r="I112" s="46"/>
      <c r="J112" s="34"/>
      <c r="L112" s="143"/>
      <c r="M112" s="131"/>
    </row>
    <row r="113" spans="1:13" x14ac:dyDescent="0.35">
      <c r="A113" s="24" t="s">
        <v>24</v>
      </c>
      <c r="B113" s="511" t="str">
        <f>'Pg2 Appendix XII C5 Comparison'!B57</f>
        <v>Items in BOLD have changed due to A&amp;G adj. on CEMA/WMPMA exclusion corrections compared to the original Appendix XII Cycle 5 per ER23-110.</v>
      </c>
      <c r="G113" s="145"/>
      <c r="H113" s="145"/>
      <c r="I113" s="46"/>
      <c r="J113" s="34"/>
      <c r="L113" s="143"/>
      <c r="M113" s="131"/>
    </row>
    <row r="114" spans="1:13" ht="18.5" x14ac:dyDescent="0.35">
      <c r="A114" s="320">
        <v>1</v>
      </c>
      <c r="B114" s="18" t="s">
        <v>388</v>
      </c>
      <c r="G114" s="145"/>
      <c r="H114" s="145"/>
      <c r="I114" s="46"/>
      <c r="J114" s="34"/>
      <c r="L114" s="143"/>
      <c r="M114" s="131"/>
    </row>
    <row r="115" spans="1:13" ht="18.5" x14ac:dyDescent="0.35">
      <c r="A115" s="320"/>
      <c r="B115" s="18"/>
      <c r="G115" s="145"/>
      <c r="H115" s="145"/>
      <c r="I115" s="46"/>
      <c r="J115" s="34"/>
      <c r="L115" s="143"/>
      <c r="M115" s="131"/>
    </row>
    <row r="116" spans="1:13" x14ac:dyDescent="0.35">
      <c r="A116" s="146"/>
      <c r="B116" s="511"/>
      <c r="C116" s="36"/>
      <c r="D116" s="36"/>
      <c r="E116" s="36"/>
      <c r="F116" s="36"/>
      <c r="G116" s="147"/>
      <c r="H116" s="147"/>
      <c r="I116" s="321"/>
      <c r="J116" s="34"/>
    </row>
    <row r="117" spans="1:13" x14ac:dyDescent="0.35">
      <c r="B117" s="773" t="s">
        <v>14</v>
      </c>
      <c r="C117" s="773"/>
      <c r="D117" s="773"/>
      <c r="E117" s="773"/>
      <c r="F117" s="773"/>
      <c r="G117" s="773"/>
      <c r="H117" s="773"/>
      <c r="I117" s="773"/>
    </row>
    <row r="118" spans="1:13" x14ac:dyDescent="0.35">
      <c r="B118" s="773" t="s">
        <v>313</v>
      </c>
      <c r="C118" s="773"/>
      <c r="D118" s="773"/>
      <c r="E118" s="773"/>
      <c r="F118" s="773"/>
      <c r="G118" s="773"/>
      <c r="H118" s="773"/>
      <c r="I118" s="773"/>
    </row>
    <row r="119" spans="1:13" x14ac:dyDescent="0.35">
      <c r="B119" s="773" t="s">
        <v>314</v>
      </c>
      <c r="C119" s="773"/>
      <c r="D119" s="773"/>
      <c r="E119" s="773"/>
      <c r="F119" s="773"/>
      <c r="G119" s="773"/>
      <c r="H119" s="773"/>
      <c r="I119" s="773"/>
    </row>
    <row r="120" spans="1:13" x14ac:dyDescent="0.35">
      <c r="B120" s="775" t="str">
        <f>B5</f>
        <v>Base Period &amp; True-Up Period 12 - Months Ending December 31, 2021</v>
      </c>
      <c r="C120" s="775"/>
      <c r="D120" s="775"/>
      <c r="E120" s="775"/>
      <c r="F120" s="775"/>
      <c r="G120" s="775"/>
      <c r="H120" s="775"/>
      <c r="I120" s="775"/>
    </row>
    <row r="121" spans="1:13" x14ac:dyDescent="0.35">
      <c r="B121" s="771" t="s">
        <v>1</v>
      </c>
      <c r="C121" s="774"/>
      <c r="D121" s="774"/>
      <c r="E121" s="774"/>
      <c r="F121" s="774"/>
      <c r="G121" s="774"/>
      <c r="H121" s="774"/>
      <c r="I121" s="774"/>
    </row>
    <row r="123" spans="1:13" x14ac:dyDescent="0.35">
      <c r="A123" s="34" t="s">
        <v>2</v>
      </c>
      <c r="B123" s="324"/>
      <c r="C123" s="324"/>
      <c r="D123" s="324"/>
      <c r="E123" s="324"/>
      <c r="F123" s="324"/>
      <c r="G123" s="324"/>
      <c r="H123" s="324"/>
      <c r="I123" s="46"/>
      <c r="J123" s="34" t="s">
        <v>2</v>
      </c>
    </row>
    <row r="124" spans="1:13" x14ac:dyDescent="0.35">
      <c r="A124" s="34" t="s">
        <v>3</v>
      </c>
      <c r="B124" s="34"/>
      <c r="C124" s="34"/>
      <c r="D124" s="34"/>
      <c r="E124" s="34"/>
      <c r="F124" s="34"/>
      <c r="G124" s="566" t="s">
        <v>5</v>
      </c>
      <c r="H124" s="324"/>
      <c r="I124" s="580" t="s">
        <v>6</v>
      </c>
      <c r="J124" s="34" t="s">
        <v>3</v>
      </c>
    </row>
    <row r="126" spans="1:13" ht="17.5" x14ac:dyDescent="0.35">
      <c r="A126" s="34">
        <v>1</v>
      </c>
      <c r="B126" s="39" t="s">
        <v>389</v>
      </c>
      <c r="J126" s="34">
        <v>1</v>
      </c>
    </row>
    <row r="127" spans="1:13" x14ac:dyDescent="0.35">
      <c r="A127" s="34">
        <f>A126+1</f>
        <v>2</v>
      </c>
      <c r="B127" s="121"/>
      <c r="J127" s="34">
        <f>J126+1</f>
        <v>2</v>
      </c>
    </row>
    <row r="128" spans="1:13" x14ac:dyDescent="0.35">
      <c r="A128" s="34">
        <f>A127+1</f>
        <v>3</v>
      </c>
      <c r="B128" s="39" t="s">
        <v>362</v>
      </c>
      <c r="J128" s="34">
        <f>J127+1</f>
        <v>3</v>
      </c>
    </row>
    <row r="129" spans="1:10" x14ac:dyDescent="0.35">
      <c r="A129" s="34">
        <f>A128+1</f>
        <v>4</v>
      </c>
      <c r="B129" s="324"/>
      <c r="J129" s="34">
        <f>J128+1</f>
        <v>4</v>
      </c>
    </row>
    <row r="130" spans="1:10" x14ac:dyDescent="0.35">
      <c r="A130" s="34">
        <f t="shared" ref="A130:A156" si="4">A129+1</f>
        <v>5</v>
      </c>
      <c r="B130" s="41" t="s">
        <v>363</v>
      </c>
      <c r="J130" s="34">
        <f t="shared" ref="J130:J156" si="5">J129+1</f>
        <v>5</v>
      </c>
    </row>
    <row r="131" spans="1:10" x14ac:dyDescent="0.35">
      <c r="A131" s="34">
        <f t="shared" si="4"/>
        <v>6</v>
      </c>
      <c r="B131" s="35" t="str">
        <f>B85</f>
        <v xml:space="preserve">     A = Sum of Preferred Stock and Return on Equity Component</v>
      </c>
      <c r="G131" s="123">
        <f>G65</f>
        <v>0</v>
      </c>
      <c r="I131" s="46" t="s">
        <v>566</v>
      </c>
      <c r="J131" s="34">
        <f t="shared" si="5"/>
        <v>6</v>
      </c>
    </row>
    <row r="132" spans="1:10" x14ac:dyDescent="0.35">
      <c r="A132" s="34">
        <f t="shared" si="4"/>
        <v>7</v>
      </c>
      <c r="B132" s="35" t="str">
        <f>B86</f>
        <v xml:space="preserve">     B = Transmission Total Federal Tax Adjustments</v>
      </c>
      <c r="G132" s="144">
        <v>0</v>
      </c>
      <c r="I132" s="118" t="s">
        <v>227</v>
      </c>
      <c r="J132" s="34">
        <f t="shared" si="5"/>
        <v>7</v>
      </c>
    </row>
    <row r="133" spans="1:10" x14ac:dyDescent="0.35">
      <c r="A133" s="34">
        <f t="shared" si="4"/>
        <v>8</v>
      </c>
      <c r="B133" s="35" t="s">
        <v>390</v>
      </c>
      <c r="G133" s="322">
        <v>0</v>
      </c>
      <c r="I133" s="118" t="s">
        <v>227</v>
      </c>
      <c r="J133" s="34">
        <f t="shared" si="5"/>
        <v>8</v>
      </c>
    </row>
    <row r="134" spans="1:10" x14ac:dyDescent="0.35">
      <c r="A134" s="34">
        <f t="shared" si="4"/>
        <v>9</v>
      </c>
      <c r="B134" s="35" t="s">
        <v>391</v>
      </c>
      <c r="G134" s="322">
        <v>0</v>
      </c>
      <c r="I134" s="118" t="s">
        <v>227</v>
      </c>
      <c r="J134" s="34">
        <f t="shared" si="5"/>
        <v>9</v>
      </c>
    </row>
    <row r="135" spans="1:10" x14ac:dyDescent="0.35">
      <c r="A135" s="34">
        <f t="shared" si="4"/>
        <v>10</v>
      </c>
      <c r="B135" s="35" t="str">
        <f>B89</f>
        <v xml:space="preserve">     FT = Federal Income Tax Rate for Rate Effective Period</v>
      </c>
      <c r="G135" s="588">
        <f>G89</f>
        <v>0.21</v>
      </c>
      <c r="I135" s="46" t="s">
        <v>567</v>
      </c>
      <c r="J135" s="34">
        <f t="shared" si="5"/>
        <v>10</v>
      </c>
    </row>
    <row r="136" spans="1:10" x14ac:dyDescent="0.35">
      <c r="A136" s="34">
        <f t="shared" si="4"/>
        <v>11</v>
      </c>
      <c r="G136" s="34"/>
      <c r="J136" s="34">
        <f t="shared" si="5"/>
        <v>11</v>
      </c>
    </row>
    <row r="137" spans="1:10" x14ac:dyDescent="0.35">
      <c r="A137" s="34">
        <f t="shared" si="4"/>
        <v>12</v>
      </c>
      <c r="B137" s="35" t="s">
        <v>392</v>
      </c>
      <c r="G137" s="130">
        <f>IFERROR((((G131)+(G133/G134))*G135-(G132/G134))/(1-G135),0)</f>
        <v>0</v>
      </c>
      <c r="I137" s="46" t="s">
        <v>393</v>
      </c>
      <c r="J137" s="34">
        <f t="shared" si="5"/>
        <v>12</v>
      </c>
    </row>
    <row r="138" spans="1:10" x14ac:dyDescent="0.35">
      <c r="A138" s="34">
        <f t="shared" si="4"/>
        <v>13</v>
      </c>
      <c r="B138" s="132" t="s">
        <v>375</v>
      </c>
      <c r="G138" s="117"/>
      <c r="J138" s="34">
        <f t="shared" si="5"/>
        <v>13</v>
      </c>
    </row>
    <row r="139" spans="1:10" x14ac:dyDescent="0.35">
      <c r="A139" s="34">
        <f t="shared" si="4"/>
        <v>14</v>
      </c>
      <c r="G139" s="34"/>
      <c r="J139" s="34">
        <f t="shared" si="5"/>
        <v>14</v>
      </c>
    </row>
    <row r="140" spans="1:10" x14ac:dyDescent="0.35">
      <c r="A140" s="34">
        <f t="shared" si="4"/>
        <v>15</v>
      </c>
      <c r="B140" s="39" t="s">
        <v>376</v>
      </c>
      <c r="G140" s="133"/>
      <c r="I140" s="134"/>
      <c r="J140" s="34">
        <f t="shared" si="5"/>
        <v>15</v>
      </c>
    </row>
    <row r="141" spans="1:10" x14ac:dyDescent="0.35">
      <c r="A141" s="34">
        <f t="shared" si="4"/>
        <v>16</v>
      </c>
      <c r="B141" s="51"/>
      <c r="G141" s="133"/>
      <c r="I141" s="122"/>
      <c r="J141" s="34">
        <f t="shared" si="5"/>
        <v>16</v>
      </c>
    </row>
    <row r="142" spans="1:10" x14ac:dyDescent="0.35">
      <c r="A142" s="34">
        <f t="shared" si="4"/>
        <v>17</v>
      </c>
      <c r="B142" s="41" t="s">
        <v>363</v>
      </c>
      <c r="G142" s="133"/>
      <c r="I142" s="122"/>
      <c r="J142" s="34">
        <f t="shared" si="5"/>
        <v>17</v>
      </c>
    </row>
    <row r="143" spans="1:10" x14ac:dyDescent="0.35">
      <c r="A143" s="34">
        <f t="shared" si="4"/>
        <v>18</v>
      </c>
      <c r="B143" s="35" t="str">
        <f>B97</f>
        <v xml:space="preserve">     A = Sum of Preferred Stock and Return on Equity Component</v>
      </c>
      <c r="G143" s="109">
        <f>G131</f>
        <v>0</v>
      </c>
      <c r="I143" s="46" t="s">
        <v>559</v>
      </c>
      <c r="J143" s="34">
        <f t="shared" si="5"/>
        <v>18</v>
      </c>
    </row>
    <row r="144" spans="1:10" x14ac:dyDescent="0.35">
      <c r="A144" s="34">
        <f t="shared" si="4"/>
        <v>19</v>
      </c>
      <c r="B144" s="35" t="str">
        <f>B98</f>
        <v xml:space="preserve">     B = Equity AFUDC Component of Transmission Depreciation Expense</v>
      </c>
      <c r="G144" s="137">
        <f>G133</f>
        <v>0</v>
      </c>
      <c r="I144" s="46" t="s">
        <v>560</v>
      </c>
      <c r="J144" s="34">
        <f t="shared" si="5"/>
        <v>19</v>
      </c>
    </row>
    <row r="145" spans="1:10" x14ac:dyDescent="0.35">
      <c r="A145" s="34">
        <f t="shared" si="4"/>
        <v>20</v>
      </c>
      <c r="B145" s="35" t="s">
        <v>394</v>
      </c>
      <c r="G145" s="137">
        <f>G134</f>
        <v>0</v>
      </c>
      <c r="I145" s="46" t="s">
        <v>561</v>
      </c>
      <c r="J145" s="34">
        <f t="shared" si="5"/>
        <v>20</v>
      </c>
    </row>
    <row r="146" spans="1:10" x14ac:dyDescent="0.35">
      <c r="A146" s="34">
        <f t="shared" si="4"/>
        <v>21</v>
      </c>
      <c r="B146" s="35" t="str">
        <f>B100</f>
        <v xml:space="preserve">     FT = Federal Income Tax Expense</v>
      </c>
      <c r="G146" s="139">
        <f>G137</f>
        <v>0</v>
      </c>
      <c r="I146" s="46" t="s">
        <v>562</v>
      </c>
      <c r="J146" s="34">
        <f t="shared" si="5"/>
        <v>21</v>
      </c>
    </row>
    <row r="147" spans="1:10" x14ac:dyDescent="0.35">
      <c r="A147" s="34">
        <f t="shared" si="4"/>
        <v>22</v>
      </c>
      <c r="B147" s="35" t="str">
        <f>B101</f>
        <v xml:space="preserve">     ST = State Income Tax Rate for Rate Effective Period</v>
      </c>
      <c r="G147" s="589">
        <f>G101</f>
        <v>8.8400000000000006E-2</v>
      </c>
      <c r="I147" s="46" t="s">
        <v>568</v>
      </c>
      <c r="J147" s="34">
        <f t="shared" si="5"/>
        <v>22</v>
      </c>
    </row>
    <row r="148" spans="1:10" x14ac:dyDescent="0.35">
      <c r="A148" s="34">
        <f t="shared" si="4"/>
        <v>23</v>
      </c>
      <c r="B148" s="511"/>
      <c r="G148" s="140"/>
      <c r="I148" s="136"/>
      <c r="J148" s="34">
        <f t="shared" si="5"/>
        <v>23</v>
      </c>
    </row>
    <row r="149" spans="1:10" x14ac:dyDescent="0.35">
      <c r="A149" s="34">
        <f t="shared" si="4"/>
        <v>24</v>
      </c>
      <c r="B149" s="35" t="s">
        <v>382</v>
      </c>
      <c r="G149" s="590">
        <f>IFERROR(((G143)+(G144/G145)+G137)*G147/(1-G147),0)</f>
        <v>0</v>
      </c>
      <c r="I149" s="46" t="s">
        <v>383</v>
      </c>
      <c r="J149" s="34">
        <f t="shared" si="5"/>
        <v>24</v>
      </c>
    </row>
    <row r="150" spans="1:10" x14ac:dyDescent="0.35">
      <c r="A150" s="34">
        <f t="shared" si="4"/>
        <v>25</v>
      </c>
      <c r="B150" s="132" t="s">
        <v>384</v>
      </c>
      <c r="G150" s="34"/>
      <c r="I150" s="46"/>
      <c r="J150" s="34">
        <f t="shared" si="5"/>
        <v>25</v>
      </c>
    </row>
    <row r="151" spans="1:10" x14ac:dyDescent="0.35">
      <c r="A151" s="34">
        <f t="shared" si="4"/>
        <v>26</v>
      </c>
      <c r="G151" s="34"/>
      <c r="I151" s="46"/>
      <c r="J151" s="34">
        <f t="shared" si="5"/>
        <v>26</v>
      </c>
    </row>
    <row r="152" spans="1:10" x14ac:dyDescent="0.35">
      <c r="A152" s="34">
        <f t="shared" si="4"/>
        <v>27</v>
      </c>
      <c r="B152" s="39" t="s">
        <v>385</v>
      </c>
      <c r="G152" s="130">
        <f>G149+G137</f>
        <v>0</v>
      </c>
      <c r="I152" s="46" t="s">
        <v>563</v>
      </c>
      <c r="J152" s="34">
        <f t="shared" si="5"/>
        <v>27</v>
      </c>
    </row>
    <row r="153" spans="1:10" x14ac:dyDescent="0.35">
      <c r="A153" s="34">
        <f t="shared" si="4"/>
        <v>28</v>
      </c>
      <c r="G153" s="34"/>
      <c r="I153" s="46"/>
      <c r="J153" s="34">
        <f t="shared" si="5"/>
        <v>28</v>
      </c>
    </row>
    <row r="154" spans="1:10" x14ac:dyDescent="0.35">
      <c r="A154" s="34">
        <f t="shared" si="4"/>
        <v>29</v>
      </c>
      <c r="B154" s="39" t="s">
        <v>395</v>
      </c>
      <c r="G154" s="591">
        <f>G63</f>
        <v>0</v>
      </c>
      <c r="I154" s="46" t="s">
        <v>569</v>
      </c>
      <c r="J154" s="34">
        <f t="shared" si="5"/>
        <v>29</v>
      </c>
    </row>
    <row r="155" spans="1:10" x14ac:dyDescent="0.35">
      <c r="A155" s="34">
        <f t="shared" si="4"/>
        <v>30</v>
      </c>
      <c r="G155" s="34"/>
      <c r="I155" s="46"/>
      <c r="J155" s="34">
        <f t="shared" si="5"/>
        <v>30</v>
      </c>
    </row>
    <row r="156" spans="1:10" ht="18" thickBot="1" x14ac:dyDescent="0.4">
      <c r="A156" s="34">
        <f t="shared" si="4"/>
        <v>31</v>
      </c>
      <c r="B156" s="39" t="s">
        <v>396</v>
      </c>
      <c r="G156" s="148">
        <f>G152+G154</f>
        <v>0</v>
      </c>
      <c r="I156" s="46" t="s">
        <v>565</v>
      </c>
      <c r="J156" s="34">
        <f t="shared" si="5"/>
        <v>31</v>
      </c>
    </row>
    <row r="157" spans="1:10" ht="16" thickTop="1" x14ac:dyDescent="0.35"/>
    <row r="159" spans="1:10" ht="18" x14ac:dyDescent="0.35">
      <c r="A159" s="65"/>
      <c r="B159" s="18"/>
    </row>
  </sheetData>
  <mergeCells count="15">
    <mergeCell ref="B119:I119"/>
    <mergeCell ref="B120:I120"/>
    <mergeCell ref="B121:I121"/>
    <mergeCell ref="B71:I71"/>
    <mergeCell ref="B72:I72"/>
    <mergeCell ref="B73:I73"/>
    <mergeCell ref="B75:I75"/>
    <mergeCell ref="B117:I117"/>
    <mergeCell ref="B118:I118"/>
    <mergeCell ref="B74:I74"/>
    <mergeCell ref="B2:I2"/>
    <mergeCell ref="B3:I3"/>
    <mergeCell ref="B4:I4"/>
    <mergeCell ref="B5:I5"/>
    <mergeCell ref="B6:I6"/>
  </mergeCells>
  <printOptions horizontalCentered="1"/>
  <pageMargins left="0.25" right="0.25" top="0.5" bottom="0.5" header="0.35" footer="0.25"/>
  <pageSetup scale="59" orientation="portrait" r:id="rId1"/>
  <headerFooter scaleWithDoc="0" alignWithMargins="0">
    <oddHeader>&amp;C&amp;"Times New Roman,Bold"&amp;7REVISED</oddHeader>
    <oddFooter>&amp;L&amp;F&amp;CPage 10.&amp;P&amp;R&amp;A</oddFooter>
  </headerFooter>
  <rowBreaks count="2" manualBreakCount="2">
    <brk id="69" max="16383" man="1"/>
    <brk id="115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E88DB-251C-4F81-834A-B3F42AAF36A7}">
  <dimension ref="A1:M159"/>
  <sheetViews>
    <sheetView zoomScale="80" zoomScaleNormal="80" workbookViewId="0"/>
  </sheetViews>
  <sheetFormatPr defaultColWidth="8.81640625" defaultRowHeight="15.5" x14ac:dyDescent="0.35"/>
  <cols>
    <col min="1" max="1" width="5.453125" style="34" customWidth="1"/>
    <col min="2" max="2" width="55.453125" style="35" customWidth="1"/>
    <col min="3" max="5" width="15.54296875" style="35" customWidth="1"/>
    <col min="6" max="6" width="1.54296875" style="35" customWidth="1"/>
    <col min="7" max="7" width="16.81640625" style="35" customWidth="1"/>
    <col min="8" max="8" width="1.54296875" style="35" customWidth="1"/>
    <col min="9" max="9" width="38.54296875" style="94" customWidth="1"/>
    <col min="10" max="10" width="5.453125" style="35" customWidth="1"/>
    <col min="11" max="11" width="27" style="35" bestFit="1" customWidth="1"/>
    <col min="12" max="12" width="15" style="35" bestFit="1" customWidth="1"/>
    <col min="13" max="13" width="10.453125" style="35" bestFit="1" customWidth="1"/>
    <col min="14" max="16384" width="8.81640625" style="35"/>
  </cols>
  <sheetData>
    <row r="1" spans="1:10" x14ac:dyDescent="0.35">
      <c r="A1" s="565" t="s">
        <v>642</v>
      </c>
    </row>
    <row r="2" spans="1:10" x14ac:dyDescent="0.35">
      <c r="A2" s="312"/>
      <c r="G2" s="61"/>
      <c r="H2" s="61"/>
      <c r="I2" s="118"/>
      <c r="J2" s="34"/>
    </row>
    <row r="3" spans="1:10" x14ac:dyDescent="0.35">
      <c r="B3" s="773" t="s">
        <v>312</v>
      </c>
      <c r="C3" s="773"/>
      <c r="D3" s="773"/>
      <c r="E3" s="773"/>
      <c r="F3" s="773"/>
      <c r="G3" s="773"/>
      <c r="H3" s="773"/>
      <c r="I3" s="773"/>
      <c r="J3" s="34"/>
    </row>
    <row r="4" spans="1:10" x14ac:dyDescent="0.35">
      <c r="B4" s="773" t="s">
        <v>313</v>
      </c>
      <c r="C4" s="773"/>
      <c r="D4" s="773"/>
      <c r="E4" s="773"/>
      <c r="F4" s="773"/>
      <c r="G4" s="773"/>
      <c r="H4" s="773"/>
      <c r="I4" s="773"/>
      <c r="J4" s="34"/>
    </row>
    <row r="5" spans="1:10" x14ac:dyDescent="0.35">
      <c r="B5" s="773" t="s">
        <v>314</v>
      </c>
      <c r="C5" s="773"/>
      <c r="D5" s="773"/>
      <c r="E5" s="773"/>
      <c r="F5" s="773"/>
      <c r="G5" s="773"/>
      <c r="H5" s="773"/>
      <c r="I5" s="773"/>
      <c r="J5" s="34"/>
    </row>
    <row r="6" spans="1:10" x14ac:dyDescent="0.35">
      <c r="B6" s="775" t="s">
        <v>496</v>
      </c>
      <c r="C6" s="775"/>
      <c r="D6" s="775"/>
      <c r="E6" s="775"/>
      <c r="F6" s="775"/>
      <c r="G6" s="775"/>
      <c r="H6" s="775"/>
      <c r="I6" s="775"/>
      <c r="J6" s="34"/>
    </row>
    <row r="7" spans="1:10" x14ac:dyDescent="0.35">
      <c r="B7" s="771" t="s">
        <v>1</v>
      </c>
      <c r="C7" s="774"/>
      <c r="D7" s="774"/>
      <c r="E7" s="774"/>
      <c r="F7" s="774"/>
      <c r="G7" s="774"/>
      <c r="H7" s="774"/>
      <c r="I7" s="774"/>
      <c r="J7" s="34"/>
    </row>
    <row r="8" spans="1:10" x14ac:dyDescent="0.35">
      <c r="B8" s="34"/>
      <c r="C8" s="34"/>
      <c r="D8" s="34"/>
      <c r="E8" s="34"/>
      <c r="F8" s="34"/>
      <c r="G8" s="34"/>
      <c r="H8" s="34"/>
      <c r="I8" s="46"/>
      <c r="J8" s="34"/>
    </row>
    <row r="9" spans="1:10" x14ac:dyDescent="0.35">
      <c r="A9" s="34" t="s">
        <v>2</v>
      </c>
      <c r="B9" s="324"/>
      <c r="C9" s="324"/>
      <c r="D9" s="324"/>
      <c r="E9" s="34" t="s">
        <v>178</v>
      </c>
      <c r="F9" s="324"/>
      <c r="G9" s="324"/>
      <c r="H9" s="324"/>
      <c r="I9" s="46"/>
      <c r="J9" s="34" t="s">
        <v>2</v>
      </c>
    </row>
    <row r="10" spans="1:10" x14ac:dyDescent="0.35">
      <c r="A10" s="34" t="s">
        <v>3</v>
      </c>
      <c r="B10" s="34"/>
      <c r="C10" s="34"/>
      <c r="D10" s="34"/>
      <c r="E10" s="566" t="s">
        <v>179</v>
      </c>
      <c r="F10" s="34"/>
      <c r="G10" s="567" t="s">
        <v>5</v>
      </c>
      <c r="H10" s="324"/>
      <c r="I10" s="580" t="s">
        <v>6</v>
      </c>
      <c r="J10" s="34" t="s">
        <v>3</v>
      </c>
    </row>
    <row r="11" spans="1:10" x14ac:dyDescent="0.35">
      <c r="B11" s="34"/>
      <c r="C11" s="34"/>
      <c r="D11" s="34"/>
      <c r="E11" s="34"/>
      <c r="F11" s="34"/>
      <c r="G11" s="34"/>
      <c r="H11" s="34"/>
      <c r="I11" s="46"/>
      <c r="J11" s="34"/>
    </row>
    <row r="12" spans="1:10" x14ac:dyDescent="0.35">
      <c r="A12" s="34">
        <v>1</v>
      </c>
      <c r="B12" s="39" t="s">
        <v>315</v>
      </c>
      <c r="I12" s="46"/>
      <c r="J12" s="34">
        <f>A12</f>
        <v>1</v>
      </c>
    </row>
    <row r="13" spans="1:10" x14ac:dyDescent="0.35">
      <c r="A13" s="34">
        <f>A12+1</f>
        <v>2</v>
      </c>
      <c r="B13" s="35" t="s">
        <v>316</v>
      </c>
      <c r="E13" s="34" t="s">
        <v>530</v>
      </c>
      <c r="G13" s="95">
        <v>6417859</v>
      </c>
      <c r="H13" s="324"/>
      <c r="I13" s="98"/>
      <c r="J13" s="34">
        <f>J12+1</f>
        <v>2</v>
      </c>
    </row>
    <row r="14" spans="1:10" x14ac:dyDescent="0.35">
      <c r="A14" s="34">
        <f t="shared" ref="A14:A66" si="0">A13+1</f>
        <v>3</v>
      </c>
      <c r="B14" s="35" t="s">
        <v>317</v>
      </c>
      <c r="E14" s="34" t="s">
        <v>531</v>
      </c>
      <c r="G14" s="96">
        <v>0</v>
      </c>
      <c r="H14" s="324"/>
      <c r="I14" s="98"/>
      <c r="J14" s="34">
        <f t="shared" ref="J14:J66" si="1">J13+1</f>
        <v>3</v>
      </c>
    </row>
    <row r="15" spans="1:10" x14ac:dyDescent="0.35">
      <c r="A15" s="34">
        <f t="shared" si="0"/>
        <v>4</v>
      </c>
      <c r="B15" s="35" t="s">
        <v>318</v>
      </c>
      <c r="E15" s="34" t="s">
        <v>532</v>
      </c>
      <c r="G15" s="96">
        <v>0</v>
      </c>
      <c r="H15" s="324"/>
      <c r="I15" s="98"/>
      <c r="J15" s="34">
        <f t="shared" si="1"/>
        <v>4</v>
      </c>
    </row>
    <row r="16" spans="1:10" x14ac:dyDescent="0.35">
      <c r="A16" s="34">
        <f t="shared" si="0"/>
        <v>5</v>
      </c>
      <c r="B16" s="35" t="s">
        <v>319</v>
      </c>
      <c r="E16" s="34" t="s">
        <v>533</v>
      </c>
      <c r="G16" s="96">
        <v>0</v>
      </c>
      <c r="H16" s="324"/>
      <c r="I16" s="98"/>
      <c r="J16" s="34">
        <f t="shared" si="1"/>
        <v>5</v>
      </c>
    </row>
    <row r="17" spans="1:10" x14ac:dyDescent="0.35">
      <c r="A17" s="34">
        <f t="shared" si="0"/>
        <v>6</v>
      </c>
      <c r="B17" s="35" t="s">
        <v>320</v>
      </c>
      <c r="E17" s="34" t="s">
        <v>534</v>
      </c>
      <c r="G17" s="96">
        <v>-16893.71</v>
      </c>
      <c r="H17" s="324"/>
      <c r="I17" s="98"/>
      <c r="J17" s="34">
        <f t="shared" si="1"/>
        <v>6</v>
      </c>
    </row>
    <row r="18" spans="1:10" x14ac:dyDescent="0.35">
      <c r="A18" s="34">
        <f t="shared" si="0"/>
        <v>7</v>
      </c>
      <c r="B18" s="35" t="s">
        <v>321</v>
      </c>
      <c r="G18" s="97">
        <f>SUM(G13:G17)</f>
        <v>6400965.29</v>
      </c>
      <c r="H18" s="91"/>
      <c r="I18" s="46" t="s">
        <v>545</v>
      </c>
      <c r="J18" s="34">
        <f t="shared" si="1"/>
        <v>7</v>
      </c>
    </row>
    <row r="19" spans="1:10" x14ac:dyDescent="0.35">
      <c r="A19" s="34">
        <f t="shared" si="0"/>
        <v>8</v>
      </c>
      <c r="I19" s="46"/>
      <c r="J19" s="34">
        <f t="shared" si="1"/>
        <v>8</v>
      </c>
    </row>
    <row r="20" spans="1:10" x14ac:dyDescent="0.35">
      <c r="A20" s="34">
        <f t="shared" si="0"/>
        <v>9</v>
      </c>
      <c r="B20" s="39" t="s">
        <v>322</v>
      </c>
      <c r="G20" s="33"/>
      <c r="H20" s="33"/>
      <c r="I20" s="46"/>
      <c r="J20" s="34">
        <f t="shared" si="1"/>
        <v>9</v>
      </c>
    </row>
    <row r="21" spans="1:10" x14ac:dyDescent="0.35">
      <c r="A21" s="34">
        <f t="shared" si="0"/>
        <v>10</v>
      </c>
      <c r="B21" s="35" t="s">
        <v>323</v>
      </c>
      <c r="E21" s="34" t="s">
        <v>535</v>
      </c>
      <c r="G21" s="95">
        <v>237653.59599999999</v>
      </c>
      <c r="H21" s="324"/>
      <c r="I21" s="98"/>
      <c r="J21" s="34">
        <f t="shared" si="1"/>
        <v>10</v>
      </c>
    </row>
    <row r="22" spans="1:10" x14ac:dyDescent="0.35">
      <c r="A22" s="34">
        <f t="shared" si="0"/>
        <v>11</v>
      </c>
      <c r="B22" s="35" t="s">
        <v>324</v>
      </c>
      <c r="E22" s="34" t="s">
        <v>536</v>
      </c>
      <c r="G22" s="96">
        <v>4408.152</v>
      </c>
      <c r="H22" s="324"/>
      <c r="I22" s="98"/>
      <c r="J22" s="34">
        <f t="shared" si="1"/>
        <v>11</v>
      </c>
    </row>
    <row r="23" spans="1:10" x14ac:dyDescent="0.35">
      <c r="A23" s="34">
        <f t="shared" si="0"/>
        <v>12</v>
      </c>
      <c r="B23" s="35" t="s">
        <v>325</v>
      </c>
      <c r="E23" s="34" t="s">
        <v>537</v>
      </c>
      <c r="G23" s="96">
        <v>1275.181</v>
      </c>
      <c r="H23" s="324"/>
      <c r="I23" s="98"/>
      <c r="J23" s="34">
        <f t="shared" si="1"/>
        <v>12</v>
      </c>
    </row>
    <row r="24" spans="1:10" x14ac:dyDescent="0.35">
      <c r="A24" s="34">
        <f t="shared" si="0"/>
        <v>13</v>
      </c>
      <c r="B24" s="35" t="s">
        <v>326</v>
      </c>
      <c r="E24" s="34" t="s">
        <v>538</v>
      </c>
      <c r="G24" s="96">
        <v>0</v>
      </c>
      <c r="H24" s="324"/>
      <c r="I24" s="98"/>
      <c r="J24" s="34">
        <f t="shared" si="1"/>
        <v>13</v>
      </c>
    </row>
    <row r="25" spans="1:10" x14ac:dyDescent="0.35">
      <c r="A25" s="34">
        <f t="shared" si="0"/>
        <v>14</v>
      </c>
      <c r="B25" s="35" t="s">
        <v>327</v>
      </c>
      <c r="E25" s="34" t="s">
        <v>539</v>
      </c>
      <c r="G25" s="96">
        <v>0</v>
      </c>
      <c r="H25" s="324"/>
      <c r="I25" s="98"/>
      <c r="J25" s="34">
        <f t="shared" si="1"/>
        <v>14</v>
      </c>
    </row>
    <row r="26" spans="1:10" x14ac:dyDescent="0.35">
      <c r="A26" s="34">
        <f t="shared" si="0"/>
        <v>15</v>
      </c>
      <c r="B26" s="35" t="s">
        <v>328</v>
      </c>
      <c r="G26" s="99">
        <f>SUM(G21:G25)</f>
        <v>243336.929</v>
      </c>
      <c r="H26" s="100"/>
      <c r="I26" s="46" t="s">
        <v>546</v>
      </c>
      <c r="J26" s="34">
        <f t="shared" si="1"/>
        <v>15</v>
      </c>
    </row>
    <row r="27" spans="1:10" x14ac:dyDescent="0.35">
      <c r="A27" s="34">
        <f t="shared" si="0"/>
        <v>16</v>
      </c>
      <c r="I27" s="46"/>
      <c r="J27" s="34">
        <f t="shared" si="1"/>
        <v>16</v>
      </c>
    </row>
    <row r="28" spans="1:10" ht="16" thickBot="1" x14ac:dyDescent="0.4">
      <c r="A28" s="34">
        <f t="shared" si="0"/>
        <v>17</v>
      </c>
      <c r="B28" s="39" t="s">
        <v>329</v>
      </c>
      <c r="G28" s="101">
        <f>G26/G18</f>
        <v>3.8015661384722177E-2</v>
      </c>
      <c r="H28" s="102"/>
      <c r="I28" s="46" t="s">
        <v>547</v>
      </c>
      <c r="J28" s="34">
        <f t="shared" si="1"/>
        <v>17</v>
      </c>
    </row>
    <row r="29" spans="1:10" ht="16" thickTop="1" x14ac:dyDescent="0.35">
      <c r="A29" s="34">
        <f t="shared" si="0"/>
        <v>18</v>
      </c>
      <c r="I29" s="46"/>
      <c r="J29" s="34">
        <f t="shared" si="1"/>
        <v>18</v>
      </c>
    </row>
    <row r="30" spans="1:10" x14ac:dyDescent="0.35">
      <c r="A30" s="34">
        <f t="shared" si="0"/>
        <v>19</v>
      </c>
      <c r="B30" s="39" t="s">
        <v>330</v>
      </c>
      <c r="I30" s="46"/>
      <c r="J30" s="34">
        <f t="shared" si="1"/>
        <v>19</v>
      </c>
    </row>
    <row r="31" spans="1:10" x14ac:dyDescent="0.35">
      <c r="A31" s="34">
        <f t="shared" si="0"/>
        <v>20</v>
      </c>
      <c r="B31" s="35" t="s">
        <v>331</v>
      </c>
      <c r="E31" s="34" t="s">
        <v>540</v>
      </c>
      <c r="G31" s="95">
        <v>0</v>
      </c>
      <c r="H31" s="324"/>
      <c r="I31" s="98"/>
      <c r="J31" s="34">
        <f t="shared" si="1"/>
        <v>20</v>
      </c>
    </row>
    <row r="32" spans="1:10" x14ac:dyDescent="0.35">
      <c r="A32" s="34">
        <f t="shared" si="0"/>
        <v>21</v>
      </c>
      <c r="B32" s="35" t="s">
        <v>332</v>
      </c>
      <c r="E32" s="34" t="s">
        <v>541</v>
      </c>
      <c r="G32" s="581">
        <v>0</v>
      </c>
      <c r="H32" s="324"/>
      <c r="I32" s="98"/>
      <c r="J32" s="34">
        <f t="shared" si="1"/>
        <v>21</v>
      </c>
    </row>
    <row r="33" spans="1:12" ht="16" thickBot="1" x14ac:dyDescent="0.4">
      <c r="A33" s="34">
        <f t="shared" si="0"/>
        <v>22</v>
      </c>
      <c r="B33" s="35" t="s">
        <v>333</v>
      </c>
      <c r="G33" s="101">
        <f>IFERROR((G32/G31),0)</f>
        <v>0</v>
      </c>
      <c r="H33" s="102"/>
      <c r="I33" s="46" t="s">
        <v>548</v>
      </c>
      <c r="J33" s="34">
        <f t="shared" si="1"/>
        <v>22</v>
      </c>
    </row>
    <row r="34" spans="1:12" ht="16" thickTop="1" x14ac:dyDescent="0.35">
      <c r="A34" s="34">
        <f t="shared" si="0"/>
        <v>23</v>
      </c>
      <c r="I34" s="46"/>
      <c r="J34" s="34">
        <f t="shared" si="1"/>
        <v>23</v>
      </c>
    </row>
    <row r="35" spans="1:12" x14ac:dyDescent="0.35">
      <c r="A35" s="34">
        <f t="shared" si="0"/>
        <v>24</v>
      </c>
      <c r="B35" s="39" t="s">
        <v>334</v>
      </c>
      <c r="I35" s="46"/>
      <c r="J35" s="34">
        <f t="shared" si="1"/>
        <v>24</v>
      </c>
    </row>
    <row r="36" spans="1:12" x14ac:dyDescent="0.35">
      <c r="A36" s="34">
        <f t="shared" si="0"/>
        <v>25</v>
      </c>
      <c r="B36" s="35" t="s">
        <v>335</v>
      </c>
      <c r="E36" s="34" t="s">
        <v>542</v>
      </c>
      <c r="G36" s="95">
        <v>8248583.6459999997</v>
      </c>
      <c r="H36" s="324"/>
      <c r="I36" s="98"/>
      <c r="J36" s="34">
        <f t="shared" si="1"/>
        <v>25</v>
      </c>
      <c r="K36" s="42"/>
      <c r="L36" s="313"/>
    </row>
    <row r="37" spans="1:12" x14ac:dyDescent="0.35">
      <c r="A37" s="34">
        <f t="shared" si="0"/>
        <v>26</v>
      </c>
      <c r="B37" s="35" t="s">
        <v>336</v>
      </c>
      <c r="E37" s="34" t="s">
        <v>540</v>
      </c>
      <c r="G37" s="103">
        <v>0</v>
      </c>
      <c r="H37" s="103"/>
      <c r="I37" s="46" t="s">
        <v>549</v>
      </c>
      <c r="J37" s="34">
        <f t="shared" si="1"/>
        <v>26</v>
      </c>
    </row>
    <row r="38" spans="1:12" x14ac:dyDescent="0.35">
      <c r="A38" s="34">
        <f t="shared" si="0"/>
        <v>27</v>
      </c>
      <c r="B38" s="35" t="s">
        <v>337</v>
      </c>
      <c r="E38" s="34" t="s">
        <v>543</v>
      </c>
      <c r="G38" s="96">
        <v>0</v>
      </c>
      <c r="H38" s="324"/>
      <c r="I38" s="98"/>
      <c r="J38" s="34">
        <f t="shared" si="1"/>
        <v>27</v>
      </c>
    </row>
    <row r="39" spans="1:12" x14ac:dyDescent="0.35">
      <c r="A39" s="34">
        <f t="shared" si="0"/>
        <v>28</v>
      </c>
      <c r="B39" s="35" t="s">
        <v>338</v>
      </c>
      <c r="E39" s="34" t="s">
        <v>544</v>
      </c>
      <c r="G39" s="96">
        <v>10117.040000000001</v>
      </c>
      <c r="H39" s="324"/>
      <c r="I39" s="98"/>
      <c r="J39" s="34">
        <f t="shared" si="1"/>
        <v>28</v>
      </c>
    </row>
    <row r="40" spans="1:12" ht="16" thickBot="1" x14ac:dyDescent="0.4">
      <c r="A40" s="34">
        <f t="shared" si="0"/>
        <v>29</v>
      </c>
      <c r="B40" s="35" t="s">
        <v>339</v>
      </c>
      <c r="G40" s="104">
        <f>SUM(G36:G39)</f>
        <v>8258700.6859999998</v>
      </c>
      <c r="H40" s="105"/>
      <c r="I40" s="46" t="s">
        <v>550</v>
      </c>
      <c r="J40" s="34">
        <f t="shared" si="1"/>
        <v>29</v>
      </c>
    </row>
    <row r="41" spans="1:12" ht="16.5" thickTop="1" thickBot="1" x14ac:dyDescent="0.4">
      <c r="A41" s="106">
        <f t="shared" si="0"/>
        <v>30</v>
      </c>
      <c r="B41" s="80"/>
      <c r="C41" s="80"/>
      <c r="D41" s="80"/>
      <c r="E41" s="80"/>
      <c r="F41" s="80"/>
      <c r="G41" s="80"/>
      <c r="H41" s="80"/>
      <c r="I41" s="107"/>
      <c r="J41" s="106">
        <f t="shared" si="1"/>
        <v>30</v>
      </c>
    </row>
    <row r="42" spans="1:12" x14ac:dyDescent="0.35">
      <c r="A42" s="34">
        <f>A41+1</f>
        <v>31</v>
      </c>
      <c r="I42" s="46"/>
      <c r="J42" s="34">
        <f>J41+1</f>
        <v>31</v>
      </c>
    </row>
    <row r="43" spans="1:12" ht="16" thickBot="1" x14ac:dyDescent="0.4">
      <c r="A43" s="34">
        <f>A42+1</f>
        <v>32</v>
      </c>
      <c r="B43" s="39" t="s">
        <v>340</v>
      </c>
      <c r="G43" s="108">
        <v>0.106</v>
      </c>
      <c r="H43" s="324"/>
      <c r="I43" s="34" t="s">
        <v>341</v>
      </c>
      <c r="J43" s="34">
        <f>J42+1</f>
        <v>32</v>
      </c>
    </row>
    <row r="44" spans="1:12" ht="16" thickTop="1" x14ac:dyDescent="0.35">
      <c r="A44" s="34">
        <f t="shared" si="0"/>
        <v>33</v>
      </c>
      <c r="C44" s="66" t="s">
        <v>249</v>
      </c>
      <c r="D44" s="66" t="s">
        <v>250</v>
      </c>
      <c r="E44" s="66" t="s">
        <v>342</v>
      </c>
      <c r="F44" s="66"/>
      <c r="G44" s="66" t="s">
        <v>343</v>
      </c>
      <c r="H44" s="66"/>
      <c r="I44" s="46"/>
      <c r="J44" s="34">
        <f t="shared" si="1"/>
        <v>33</v>
      </c>
    </row>
    <row r="45" spans="1:12" x14ac:dyDescent="0.35">
      <c r="A45" s="34">
        <f t="shared" si="0"/>
        <v>34</v>
      </c>
      <c r="D45" s="34" t="s">
        <v>344</v>
      </c>
      <c r="E45" s="34" t="s">
        <v>345</v>
      </c>
      <c r="F45" s="34"/>
      <c r="G45" s="34" t="s">
        <v>346</v>
      </c>
      <c r="H45" s="34"/>
      <c r="I45" s="46"/>
      <c r="J45" s="34">
        <f t="shared" si="1"/>
        <v>34</v>
      </c>
    </row>
    <row r="46" spans="1:12" ht="18" x14ac:dyDescent="0.35">
      <c r="A46" s="34">
        <f t="shared" si="0"/>
        <v>35</v>
      </c>
      <c r="B46" s="39" t="s">
        <v>347</v>
      </c>
      <c r="C46" s="566" t="s">
        <v>348</v>
      </c>
      <c r="D46" s="566" t="s">
        <v>349</v>
      </c>
      <c r="E46" s="566" t="s">
        <v>350</v>
      </c>
      <c r="F46" s="566"/>
      <c r="G46" s="566" t="s">
        <v>351</v>
      </c>
      <c r="H46" s="34"/>
      <c r="I46" s="46"/>
      <c r="J46" s="34">
        <f t="shared" si="1"/>
        <v>35</v>
      </c>
    </row>
    <row r="47" spans="1:12" x14ac:dyDescent="0.35">
      <c r="A47" s="34">
        <f t="shared" si="0"/>
        <v>36</v>
      </c>
      <c r="I47" s="46"/>
      <c r="J47" s="34">
        <f t="shared" si="1"/>
        <v>36</v>
      </c>
    </row>
    <row r="48" spans="1:12" x14ac:dyDescent="0.35">
      <c r="A48" s="34">
        <f t="shared" si="0"/>
        <v>37</v>
      </c>
      <c r="B48" s="35" t="s">
        <v>352</v>
      </c>
      <c r="C48" s="58">
        <f>G18</f>
        <v>6400965.29</v>
      </c>
      <c r="D48" s="109">
        <f>C48/C$51</f>
        <v>0.43663786749843475</v>
      </c>
      <c r="E48" s="110">
        <f>G28</f>
        <v>3.8015661384722177E-2</v>
      </c>
      <c r="G48" s="111">
        <f>D48*E48</f>
        <v>1.6599077318567683E-2</v>
      </c>
      <c r="H48" s="111"/>
      <c r="I48" s="46" t="s">
        <v>551</v>
      </c>
      <c r="J48" s="34">
        <f t="shared" si="1"/>
        <v>37</v>
      </c>
    </row>
    <row r="49" spans="1:10" x14ac:dyDescent="0.35">
      <c r="A49" s="34">
        <f t="shared" si="0"/>
        <v>38</v>
      </c>
      <c r="B49" s="35" t="s">
        <v>353</v>
      </c>
      <c r="C49" s="112">
        <f>G31</f>
        <v>0</v>
      </c>
      <c r="D49" s="109">
        <f>C49/C$51</f>
        <v>0</v>
      </c>
      <c r="E49" s="110">
        <f>G33</f>
        <v>0</v>
      </c>
      <c r="G49" s="111">
        <f>D49*E49</f>
        <v>0</v>
      </c>
      <c r="H49" s="111"/>
      <c r="I49" s="46" t="s">
        <v>552</v>
      </c>
      <c r="J49" s="34">
        <f t="shared" si="1"/>
        <v>38</v>
      </c>
    </row>
    <row r="50" spans="1:10" x14ac:dyDescent="0.35">
      <c r="A50" s="34">
        <f t="shared" si="0"/>
        <v>39</v>
      </c>
      <c r="B50" s="35" t="s">
        <v>354</v>
      </c>
      <c r="C50" s="112">
        <f>G40</f>
        <v>8258700.6859999998</v>
      </c>
      <c r="D50" s="582">
        <f>C50/C$51</f>
        <v>0.5633621325015653</v>
      </c>
      <c r="E50" s="113">
        <f>G43</f>
        <v>0.106</v>
      </c>
      <c r="G50" s="583">
        <f>D50*E50</f>
        <v>5.9716386045165923E-2</v>
      </c>
      <c r="H50" s="102"/>
      <c r="I50" s="46" t="s">
        <v>553</v>
      </c>
      <c r="J50" s="34">
        <f t="shared" si="1"/>
        <v>39</v>
      </c>
    </row>
    <row r="51" spans="1:10" ht="16" thickBot="1" x14ac:dyDescent="0.4">
      <c r="A51" s="34">
        <f t="shared" si="0"/>
        <v>40</v>
      </c>
      <c r="B51" s="35" t="s">
        <v>355</v>
      </c>
      <c r="C51" s="114">
        <f>SUM(C48:C50)</f>
        <v>14659665.976</v>
      </c>
      <c r="D51" s="115">
        <f>SUM(D48:D50)</f>
        <v>1</v>
      </c>
      <c r="G51" s="101">
        <f>SUM(G48:G50)</f>
        <v>7.6315463363733599E-2</v>
      </c>
      <c r="H51" s="102"/>
      <c r="I51" s="46" t="s">
        <v>554</v>
      </c>
      <c r="J51" s="34">
        <f t="shared" si="1"/>
        <v>40</v>
      </c>
    </row>
    <row r="52" spans="1:10" ht="16" thickTop="1" x14ac:dyDescent="0.35">
      <c r="A52" s="34">
        <f t="shared" si="0"/>
        <v>41</v>
      </c>
      <c r="I52" s="46"/>
      <c r="J52" s="34">
        <f t="shared" si="1"/>
        <v>41</v>
      </c>
    </row>
    <row r="53" spans="1:10" ht="16" thickBot="1" x14ac:dyDescent="0.4">
      <c r="A53" s="34">
        <f t="shared" si="0"/>
        <v>42</v>
      </c>
      <c r="B53" s="39" t="s">
        <v>356</v>
      </c>
      <c r="G53" s="101">
        <f>G49+G50</f>
        <v>5.9716386045165923E-2</v>
      </c>
      <c r="H53" s="102"/>
      <c r="I53" s="46" t="s">
        <v>555</v>
      </c>
      <c r="J53" s="34">
        <f t="shared" si="1"/>
        <v>42</v>
      </c>
    </row>
    <row r="54" spans="1:10" ht="16.5" thickTop="1" thickBot="1" x14ac:dyDescent="0.4">
      <c r="A54" s="106">
        <f t="shared" si="0"/>
        <v>43</v>
      </c>
      <c r="B54" s="119"/>
      <c r="C54" s="80"/>
      <c r="D54" s="80"/>
      <c r="E54" s="80"/>
      <c r="F54" s="80"/>
      <c r="G54" s="314"/>
      <c r="H54" s="314"/>
      <c r="I54" s="107"/>
      <c r="J54" s="106">
        <f t="shared" si="1"/>
        <v>43</v>
      </c>
    </row>
    <row r="55" spans="1:10" x14ac:dyDescent="0.35">
      <c r="A55" s="34">
        <f t="shared" si="0"/>
        <v>44</v>
      </c>
      <c r="B55" s="39"/>
      <c r="G55" s="113"/>
      <c r="H55" s="113"/>
      <c r="I55" s="46"/>
      <c r="J55" s="34">
        <f t="shared" si="1"/>
        <v>44</v>
      </c>
    </row>
    <row r="56" spans="1:10" ht="16" thickBot="1" x14ac:dyDescent="0.4">
      <c r="A56" s="34">
        <f t="shared" si="0"/>
        <v>45</v>
      </c>
      <c r="B56" s="39" t="s">
        <v>357</v>
      </c>
      <c r="G56" s="315">
        <v>0</v>
      </c>
      <c r="H56" s="113"/>
      <c r="I56" s="46" t="s">
        <v>227</v>
      </c>
      <c r="J56" s="34">
        <f t="shared" si="1"/>
        <v>45</v>
      </c>
    </row>
    <row r="57" spans="1:10" ht="16" thickTop="1" x14ac:dyDescent="0.35">
      <c r="A57" s="34">
        <f t="shared" si="0"/>
        <v>46</v>
      </c>
      <c r="C57" s="66" t="s">
        <v>249</v>
      </c>
      <c r="D57" s="66" t="s">
        <v>250</v>
      </c>
      <c r="E57" s="66" t="s">
        <v>342</v>
      </c>
      <c r="F57" s="66"/>
      <c r="G57" s="66" t="s">
        <v>343</v>
      </c>
      <c r="H57" s="113"/>
      <c r="I57" s="46"/>
      <c r="J57" s="34">
        <f t="shared" si="1"/>
        <v>46</v>
      </c>
    </row>
    <row r="58" spans="1:10" x14ac:dyDescent="0.35">
      <c r="A58" s="34">
        <f t="shared" si="0"/>
        <v>47</v>
      </c>
      <c r="D58" s="34" t="s">
        <v>344</v>
      </c>
      <c r="E58" s="34" t="s">
        <v>345</v>
      </c>
      <c r="F58" s="34"/>
      <c r="G58" s="34" t="s">
        <v>346</v>
      </c>
      <c r="H58" s="113"/>
      <c r="I58" s="46"/>
      <c r="J58" s="34">
        <f t="shared" si="1"/>
        <v>47</v>
      </c>
    </row>
    <row r="59" spans="1:10" ht="18" x14ac:dyDescent="0.35">
      <c r="A59" s="34">
        <f t="shared" si="0"/>
        <v>48</v>
      </c>
      <c r="B59" s="39" t="s">
        <v>358</v>
      </c>
      <c r="C59" s="566" t="s">
        <v>348</v>
      </c>
      <c r="D59" s="566" t="s">
        <v>349</v>
      </c>
      <c r="E59" s="566" t="s">
        <v>350</v>
      </c>
      <c r="F59" s="566"/>
      <c r="G59" s="566" t="s">
        <v>351</v>
      </c>
      <c r="H59" s="113"/>
      <c r="I59" s="46"/>
      <c r="J59" s="34">
        <f t="shared" si="1"/>
        <v>48</v>
      </c>
    </row>
    <row r="60" spans="1:10" x14ac:dyDescent="0.35">
      <c r="A60" s="34">
        <f t="shared" si="0"/>
        <v>49</v>
      </c>
      <c r="G60" s="113"/>
      <c r="H60" s="113"/>
      <c r="I60" s="46"/>
      <c r="J60" s="34">
        <f t="shared" si="1"/>
        <v>49</v>
      </c>
    </row>
    <row r="61" spans="1:10" x14ac:dyDescent="0.35">
      <c r="A61" s="34">
        <f t="shared" si="0"/>
        <v>50</v>
      </c>
      <c r="B61" s="35" t="s">
        <v>352</v>
      </c>
      <c r="C61" s="316">
        <v>0</v>
      </c>
      <c r="D61" s="317">
        <v>0</v>
      </c>
      <c r="E61" s="116">
        <v>0</v>
      </c>
      <c r="G61" s="111">
        <f>D61*E61</f>
        <v>0</v>
      </c>
      <c r="H61" s="113"/>
      <c r="I61" s="46" t="s">
        <v>227</v>
      </c>
      <c r="J61" s="34">
        <f t="shared" si="1"/>
        <v>50</v>
      </c>
    </row>
    <row r="62" spans="1:10" x14ac:dyDescent="0.35">
      <c r="A62" s="34">
        <f t="shared" si="0"/>
        <v>51</v>
      </c>
      <c r="B62" s="35" t="s">
        <v>353</v>
      </c>
      <c r="C62" s="318">
        <v>0</v>
      </c>
      <c r="D62" s="317">
        <v>0</v>
      </c>
      <c r="E62" s="116">
        <v>0</v>
      </c>
      <c r="G62" s="111">
        <f>D62*E62</f>
        <v>0</v>
      </c>
      <c r="H62" s="113"/>
      <c r="I62" s="46" t="s">
        <v>227</v>
      </c>
      <c r="J62" s="34">
        <f t="shared" si="1"/>
        <v>51</v>
      </c>
    </row>
    <row r="63" spans="1:10" x14ac:dyDescent="0.35">
      <c r="A63" s="34">
        <f t="shared" si="0"/>
        <v>52</v>
      </c>
      <c r="B63" s="35" t="s">
        <v>354</v>
      </c>
      <c r="C63" s="318">
        <v>0</v>
      </c>
      <c r="D63" s="584">
        <v>0</v>
      </c>
      <c r="E63" s="319">
        <v>0</v>
      </c>
      <c r="G63" s="583">
        <f>D63*E63</f>
        <v>0</v>
      </c>
      <c r="H63" s="113"/>
      <c r="I63" s="46" t="s">
        <v>227</v>
      </c>
      <c r="J63" s="34">
        <f t="shared" si="1"/>
        <v>52</v>
      </c>
    </row>
    <row r="64" spans="1:10" ht="16" thickBot="1" x14ac:dyDescent="0.4">
      <c r="A64" s="34">
        <f t="shared" si="0"/>
        <v>53</v>
      </c>
      <c r="B64" s="35" t="s">
        <v>355</v>
      </c>
      <c r="C64" s="114">
        <f>SUM(C61:C63)</f>
        <v>0</v>
      </c>
      <c r="D64" s="101">
        <f>SUM(D61:D63)</f>
        <v>0</v>
      </c>
      <c r="G64" s="101">
        <f>SUM(G61:G63)</f>
        <v>0</v>
      </c>
      <c r="H64" s="113"/>
      <c r="I64" s="46" t="s">
        <v>556</v>
      </c>
      <c r="J64" s="34">
        <f t="shared" si="1"/>
        <v>53</v>
      </c>
    </row>
    <row r="65" spans="1:10" ht="16" thickTop="1" x14ac:dyDescent="0.35">
      <c r="A65" s="34">
        <f t="shared" si="0"/>
        <v>54</v>
      </c>
      <c r="H65" s="113"/>
      <c r="I65" s="46"/>
      <c r="J65" s="34">
        <f t="shared" si="1"/>
        <v>54</v>
      </c>
    </row>
    <row r="66" spans="1:10" ht="16" thickBot="1" x14ac:dyDescent="0.4">
      <c r="A66" s="34">
        <f t="shared" si="0"/>
        <v>55</v>
      </c>
      <c r="B66" s="39" t="s">
        <v>359</v>
      </c>
      <c r="G66" s="101">
        <f>G62+G63</f>
        <v>0</v>
      </c>
      <c r="H66" s="113"/>
      <c r="I66" s="46" t="s">
        <v>557</v>
      </c>
      <c r="J66" s="34">
        <f t="shared" si="1"/>
        <v>55</v>
      </c>
    </row>
    <row r="67" spans="1:10" ht="16" thickTop="1" x14ac:dyDescent="0.35">
      <c r="B67" s="39"/>
      <c r="G67" s="113"/>
      <c r="H67" s="113"/>
      <c r="I67" s="46"/>
      <c r="J67" s="34"/>
    </row>
    <row r="68" spans="1:10" x14ac:dyDescent="0.35">
      <c r="B68" s="39"/>
      <c r="G68" s="113"/>
      <c r="H68" s="113"/>
      <c r="I68" s="46"/>
      <c r="J68" s="34"/>
    </row>
    <row r="69" spans="1:10" ht="18" x14ac:dyDescent="0.35">
      <c r="A69" s="65">
        <v>1</v>
      </c>
      <c r="B69" s="18" t="s">
        <v>360</v>
      </c>
      <c r="G69" s="61"/>
      <c r="H69" s="61"/>
      <c r="J69" s="34" t="s">
        <v>202</v>
      </c>
    </row>
    <row r="70" spans="1:10" ht="18" x14ac:dyDescent="0.35">
      <c r="A70" s="65"/>
      <c r="B70" s="18"/>
      <c r="G70" s="61"/>
      <c r="H70" s="61"/>
      <c r="J70" s="34"/>
    </row>
    <row r="71" spans="1:10" ht="18" x14ac:dyDescent="0.35">
      <c r="A71" s="65"/>
      <c r="B71" s="18"/>
      <c r="D71" s="34"/>
      <c r="G71" s="61"/>
      <c r="H71" s="61"/>
      <c r="J71" s="34"/>
    </row>
    <row r="72" spans="1:10" x14ac:dyDescent="0.35">
      <c r="B72" s="773" t="s">
        <v>312</v>
      </c>
      <c r="C72" s="773"/>
      <c r="D72" s="773"/>
      <c r="E72" s="773"/>
      <c r="F72" s="773"/>
      <c r="G72" s="773"/>
      <c r="H72" s="773"/>
      <c r="I72" s="773"/>
      <c r="J72" s="34"/>
    </row>
    <row r="73" spans="1:10" x14ac:dyDescent="0.35">
      <c r="B73" s="773" t="s">
        <v>313</v>
      </c>
      <c r="C73" s="773"/>
      <c r="D73" s="773"/>
      <c r="E73" s="773"/>
      <c r="F73" s="773"/>
      <c r="G73" s="773"/>
      <c r="H73" s="773"/>
      <c r="I73" s="773"/>
      <c r="J73" s="34"/>
    </row>
    <row r="74" spans="1:10" x14ac:dyDescent="0.35">
      <c r="B74" s="773" t="s">
        <v>314</v>
      </c>
      <c r="C74" s="773"/>
      <c r="D74" s="773"/>
      <c r="E74" s="773"/>
      <c r="F74" s="773"/>
      <c r="G74" s="773"/>
      <c r="H74" s="773"/>
      <c r="I74" s="773"/>
      <c r="J74" s="34"/>
    </row>
    <row r="75" spans="1:10" x14ac:dyDescent="0.35">
      <c r="B75" s="775" t="str">
        <f>B6</f>
        <v>Base Period &amp; True-Up Period 12 - Months Ending December 31, 2021</v>
      </c>
      <c r="C75" s="775"/>
      <c r="D75" s="775"/>
      <c r="E75" s="775"/>
      <c r="F75" s="775"/>
      <c r="G75" s="775"/>
      <c r="H75" s="775"/>
      <c r="I75" s="775"/>
      <c r="J75" s="34"/>
    </row>
    <row r="76" spans="1:10" x14ac:dyDescent="0.35">
      <c r="B76" s="771" t="s">
        <v>1</v>
      </c>
      <c r="C76" s="774"/>
      <c r="D76" s="774"/>
      <c r="E76" s="774"/>
      <c r="F76" s="774"/>
      <c r="G76" s="774"/>
      <c r="H76" s="774"/>
      <c r="I76" s="774"/>
      <c r="J76" s="34"/>
    </row>
    <row r="77" spans="1:10" x14ac:dyDescent="0.35">
      <c r="B77" s="34"/>
      <c r="C77" s="34"/>
      <c r="D77" s="34"/>
      <c r="E77" s="34"/>
      <c r="F77" s="34"/>
      <c r="G77" s="34"/>
      <c r="H77" s="34"/>
      <c r="I77" s="46"/>
      <c r="J77" s="34"/>
    </row>
    <row r="78" spans="1:10" x14ac:dyDescent="0.35">
      <c r="A78" s="34" t="s">
        <v>2</v>
      </c>
      <c r="B78" s="324"/>
      <c r="C78" s="324"/>
      <c r="D78" s="324"/>
      <c r="E78" s="324"/>
      <c r="F78" s="324"/>
      <c r="G78" s="324"/>
      <c r="H78" s="324"/>
      <c r="I78" s="46"/>
      <c r="J78" s="34" t="s">
        <v>2</v>
      </c>
    </row>
    <row r="79" spans="1:10" x14ac:dyDescent="0.35">
      <c r="A79" s="34" t="s">
        <v>3</v>
      </c>
      <c r="B79" s="34"/>
      <c r="C79" s="34"/>
      <c r="D79" s="34"/>
      <c r="E79" s="34"/>
      <c r="F79" s="34"/>
      <c r="G79" s="566" t="s">
        <v>5</v>
      </c>
      <c r="H79" s="324"/>
      <c r="I79" s="580" t="s">
        <v>6</v>
      </c>
      <c r="J79" s="34" t="s">
        <v>3</v>
      </c>
    </row>
    <row r="80" spans="1:10" x14ac:dyDescent="0.35">
      <c r="G80" s="34"/>
      <c r="H80" s="34"/>
      <c r="I80" s="46"/>
      <c r="J80" s="34"/>
    </row>
    <row r="81" spans="1:13" ht="17.5" x14ac:dyDescent="0.35">
      <c r="A81" s="34">
        <v>1</v>
      </c>
      <c r="B81" s="39" t="s">
        <v>361</v>
      </c>
      <c r="E81" s="324"/>
      <c r="F81" s="324"/>
      <c r="G81" s="120"/>
      <c r="H81" s="120"/>
      <c r="I81" s="46"/>
      <c r="J81" s="34">
        <v>1</v>
      </c>
    </row>
    <row r="82" spans="1:13" x14ac:dyDescent="0.35">
      <c r="A82" s="34">
        <f>A81+1</f>
        <v>2</v>
      </c>
      <c r="B82" s="121"/>
      <c r="E82" s="324"/>
      <c r="F82" s="324"/>
      <c r="G82" s="120"/>
      <c r="H82" s="120"/>
      <c r="I82" s="46"/>
      <c r="J82" s="34">
        <f>J81+1</f>
        <v>2</v>
      </c>
    </row>
    <row r="83" spans="1:13" x14ac:dyDescent="0.35">
      <c r="A83" s="34">
        <f>A82+1</f>
        <v>3</v>
      </c>
      <c r="B83" s="39" t="s">
        <v>362</v>
      </c>
      <c r="E83" s="324"/>
      <c r="F83" s="324"/>
      <c r="G83" s="120"/>
      <c r="H83" s="120"/>
      <c r="I83" s="46"/>
      <c r="J83" s="34">
        <f>J82+1</f>
        <v>3</v>
      </c>
    </row>
    <row r="84" spans="1:13" x14ac:dyDescent="0.35">
      <c r="A84" s="34">
        <f>A83+1</f>
        <v>4</v>
      </c>
      <c r="B84" s="324"/>
      <c r="C84" s="324"/>
      <c r="D84" s="324"/>
      <c r="E84" s="324"/>
      <c r="F84" s="324"/>
      <c r="G84" s="120"/>
      <c r="H84" s="120"/>
      <c r="I84" s="46"/>
      <c r="J84" s="34">
        <f>J83+1</f>
        <v>4</v>
      </c>
    </row>
    <row r="85" spans="1:13" x14ac:dyDescent="0.35">
      <c r="A85" s="34">
        <f t="shared" ref="A85:A111" si="2">A84+1</f>
        <v>5</v>
      </c>
      <c r="B85" s="41" t="s">
        <v>363</v>
      </c>
      <c r="C85" s="324"/>
      <c r="D85" s="324"/>
      <c r="E85" s="324"/>
      <c r="F85" s="324"/>
      <c r="G85" s="120"/>
      <c r="H85" s="120"/>
      <c r="I85" s="122"/>
      <c r="J85" s="34">
        <f t="shared" ref="J85:J111" si="3">J84+1</f>
        <v>5</v>
      </c>
    </row>
    <row r="86" spans="1:13" x14ac:dyDescent="0.35">
      <c r="A86" s="34">
        <f t="shared" si="2"/>
        <v>6</v>
      </c>
      <c r="B86" s="35" t="s">
        <v>364</v>
      </c>
      <c r="D86" s="324"/>
      <c r="E86" s="324"/>
      <c r="F86" s="324"/>
      <c r="G86" s="123">
        <f>G53</f>
        <v>5.9716386045165923E-2</v>
      </c>
      <c r="H86" s="324"/>
      <c r="I86" s="46" t="s">
        <v>365</v>
      </c>
      <c r="J86" s="34">
        <f t="shared" si="3"/>
        <v>6</v>
      </c>
      <c r="L86" s="34"/>
    </row>
    <row r="87" spans="1:13" x14ac:dyDescent="0.35">
      <c r="A87" s="34">
        <f t="shared" si="2"/>
        <v>7</v>
      </c>
      <c r="B87" s="35" t="s">
        <v>366</v>
      </c>
      <c r="D87" s="324"/>
      <c r="E87" s="324"/>
      <c r="F87" s="324"/>
      <c r="G87" s="124">
        <v>264.76299999999998</v>
      </c>
      <c r="H87" s="324"/>
      <c r="I87" s="46" t="s">
        <v>367</v>
      </c>
      <c r="J87" s="34">
        <f t="shared" si="3"/>
        <v>7</v>
      </c>
      <c r="L87" s="34"/>
    </row>
    <row r="88" spans="1:13" ht="18" x14ac:dyDescent="0.35">
      <c r="A88" s="34">
        <f t="shared" si="2"/>
        <v>8</v>
      </c>
      <c r="B88" s="35" t="s">
        <v>368</v>
      </c>
      <c r="D88" s="324"/>
      <c r="E88" s="324"/>
      <c r="F88" s="324"/>
      <c r="G88" s="125">
        <v>9230.8399599999993</v>
      </c>
      <c r="H88" s="324"/>
      <c r="I88" s="118" t="s">
        <v>558</v>
      </c>
      <c r="J88" s="34">
        <f t="shared" si="3"/>
        <v>8</v>
      </c>
      <c r="L88" s="324"/>
    </row>
    <row r="89" spans="1:13" x14ac:dyDescent="0.35">
      <c r="A89" s="34">
        <f t="shared" si="2"/>
        <v>9</v>
      </c>
      <c r="B89" s="35" t="s">
        <v>369</v>
      </c>
      <c r="D89" s="324"/>
      <c r="E89" s="126"/>
      <c r="F89" s="324"/>
      <c r="G89" s="30">
        <v>4794426.6035199612</v>
      </c>
      <c r="H89" s="324"/>
      <c r="I89" s="118" t="s">
        <v>370</v>
      </c>
      <c r="J89" s="34">
        <f t="shared" si="3"/>
        <v>9</v>
      </c>
    </row>
    <row r="90" spans="1:13" x14ac:dyDescent="0.35">
      <c r="A90" s="34">
        <f t="shared" si="2"/>
        <v>10</v>
      </c>
      <c r="B90" s="35" t="s">
        <v>371</v>
      </c>
      <c r="D90" s="128"/>
      <c r="E90" s="324"/>
      <c r="F90" s="324"/>
      <c r="G90" s="585">
        <v>0.21</v>
      </c>
      <c r="H90" s="324"/>
      <c r="I90" s="46" t="s">
        <v>372</v>
      </c>
      <c r="J90" s="34">
        <f t="shared" si="3"/>
        <v>10</v>
      </c>
      <c r="M90" s="129"/>
    </row>
    <row r="91" spans="1:13" x14ac:dyDescent="0.35">
      <c r="A91" s="34">
        <f t="shared" si="2"/>
        <v>11</v>
      </c>
      <c r="G91" s="34"/>
      <c r="H91" s="34"/>
      <c r="J91" s="34">
        <f t="shared" si="3"/>
        <v>11</v>
      </c>
    </row>
    <row r="92" spans="1:13" x14ac:dyDescent="0.35">
      <c r="A92" s="34">
        <f t="shared" si="2"/>
        <v>12</v>
      </c>
      <c r="B92" s="35" t="s">
        <v>373</v>
      </c>
      <c r="D92" s="324"/>
      <c r="E92" s="324"/>
      <c r="F92" s="324"/>
      <c r="G92" s="130">
        <f>(((G86)+(G88/G89))*G90-(G87/G89))/(1-G90)</f>
        <v>1.6315869244066777E-2</v>
      </c>
      <c r="H92" s="130"/>
      <c r="I92" s="46" t="s">
        <v>374</v>
      </c>
      <c r="J92" s="34">
        <f t="shared" si="3"/>
        <v>12</v>
      </c>
      <c r="M92" s="131"/>
    </row>
    <row r="93" spans="1:13" x14ac:dyDescent="0.35">
      <c r="A93" s="34">
        <f t="shared" si="2"/>
        <v>13</v>
      </c>
      <c r="B93" s="132" t="s">
        <v>375</v>
      </c>
      <c r="G93" s="34"/>
      <c r="H93" s="34"/>
      <c r="J93" s="34">
        <f t="shared" si="3"/>
        <v>13</v>
      </c>
    </row>
    <row r="94" spans="1:13" x14ac:dyDescent="0.35">
      <c r="A94" s="34">
        <f t="shared" si="2"/>
        <v>14</v>
      </c>
      <c r="G94" s="34"/>
      <c r="H94" s="34"/>
      <c r="J94" s="34">
        <f t="shared" si="3"/>
        <v>14</v>
      </c>
    </row>
    <row r="95" spans="1:13" x14ac:dyDescent="0.35">
      <c r="A95" s="34">
        <f t="shared" si="2"/>
        <v>15</v>
      </c>
      <c r="B95" s="39" t="s">
        <v>376</v>
      </c>
      <c r="C95" s="324"/>
      <c r="D95" s="324"/>
      <c r="E95" s="324"/>
      <c r="F95" s="324"/>
      <c r="G95" s="133"/>
      <c r="H95" s="133"/>
      <c r="I95" s="134"/>
      <c r="J95" s="34">
        <f t="shared" si="3"/>
        <v>15</v>
      </c>
      <c r="L95" s="135"/>
    </row>
    <row r="96" spans="1:13" x14ac:dyDescent="0.35">
      <c r="A96" s="34">
        <f t="shared" si="2"/>
        <v>16</v>
      </c>
      <c r="B96" s="51"/>
      <c r="C96" s="324"/>
      <c r="D96" s="324"/>
      <c r="E96" s="324"/>
      <c r="F96" s="324"/>
      <c r="G96" s="133"/>
      <c r="H96" s="133"/>
      <c r="I96" s="136"/>
      <c r="J96" s="34">
        <f t="shared" si="3"/>
        <v>16</v>
      </c>
      <c r="L96" s="324"/>
    </row>
    <row r="97" spans="1:13" x14ac:dyDescent="0.35">
      <c r="A97" s="34">
        <f t="shared" si="2"/>
        <v>17</v>
      </c>
      <c r="B97" s="41" t="s">
        <v>363</v>
      </c>
      <c r="C97" s="324"/>
      <c r="D97" s="324"/>
      <c r="E97" s="324"/>
      <c r="F97" s="324"/>
      <c r="G97" s="133"/>
      <c r="H97" s="133"/>
      <c r="I97" s="136"/>
      <c r="J97" s="34">
        <f t="shared" si="3"/>
        <v>17</v>
      </c>
      <c r="L97" s="324"/>
    </row>
    <row r="98" spans="1:13" x14ac:dyDescent="0.35">
      <c r="A98" s="34">
        <f t="shared" si="2"/>
        <v>18</v>
      </c>
      <c r="B98" s="35" t="s">
        <v>364</v>
      </c>
      <c r="D98" s="324"/>
      <c r="E98" s="324"/>
      <c r="F98" s="324"/>
      <c r="G98" s="109">
        <f>G86</f>
        <v>5.9716386045165923E-2</v>
      </c>
      <c r="H98" s="109"/>
      <c r="I98" s="46" t="s">
        <v>559</v>
      </c>
      <c r="J98" s="34">
        <f t="shared" si="3"/>
        <v>18</v>
      </c>
      <c r="L98" s="34"/>
    </row>
    <row r="99" spans="1:13" x14ac:dyDescent="0.35">
      <c r="A99" s="34">
        <f t="shared" si="2"/>
        <v>19</v>
      </c>
      <c r="B99" s="35" t="s">
        <v>377</v>
      </c>
      <c r="D99" s="324"/>
      <c r="E99" s="324"/>
      <c r="F99" s="324"/>
      <c r="G99" s="137">
        <f>G88</f>
        <v>9230.8399599999993</v>
      </c>
      <c r="H99" s="137"/>
      <c r="I99" s="46" t="s">
        <v>560</v>
      </c>
      <c r="J99" s="34">
        <f t="shared" si="3"/>
        <v>19</v>
      </c>
      <c r="L99" s="34"/>
    </row>
    <row r="100" spans="1:13" x14ac:dyDescent="0.35">
      <c r="A100" s="34">
        <f t="shared" si="2"/>
        <v>20</v>
      </c>
      <c r="B100" s="35" t="s">
        <v>378</v>
      </c>
      <c r="D100" s="324"/>
      <c r="E100" s="324"/>
      <c r="F100" s="324"/>
      <c r="G100" s="670">
        <f>G89</f>
        <v>4794426.6035199612</v>
      </c>
      <c r="H100" s="670"/>
      <c r="I100" s="46" t="s">
        <v>561</v>
      </c>
      <c r="J100" s="34">
        <f t="shared" si="3"/>
        <v>20</v>
      </c>
      <c r="L100" s="34"/>
    </row>
    <row r="101" spans="1:13" x14ac:dyDescent="0.35">
      <c r="A101" s="34">
        <f t="shared" si="2"/>
        <v>21</v>
      </c>
      <c r="B101" s="35" t="s">
        <v>379</v>
      </c>
      <c r="D101" s="324"/>
      <c r="E101" s="324"/>
      <c r="F101" s="324"/>
      <c r="G101" s="139">
        <f>G92</f>
        <v>1.6315869244066777E-2</v>
      </c>
      <c r="H101" s="139"/>
      <c r="I101" s="46" t="s">
        <v>562</v>
      </c>
      <c r="J101" s="34">
        <f t="shared" si="3"/>
        <v>21</v>
      </c>
    </row>
    <row r="102" spans="1:13" x14ac:dyDescent="0.35">
      <c r="A102" s="34">
        <f t="shared" si="2"/>
        <v>22</v>
      </c>
      <c r="B102" s="35" t="s">
        <v>380</v>
      </c>
      <c r="D102" s="324"/>
      <c r="E102" s="324"/>
      <c r="F102" s="324"/>
      <c r="G102" s="586">
        <v>8.8400000000000006E-2</v>
      </c>
      <c r="H102" s="324"/>
      <c r="I102" s="46" t="s">
        <v>381</v>
      </c>
      <c r="J102" s="34">
        <f t="shared" si="3"/>
        <v>22</v>
      </c>
    </row>
    <row r="103" spans="1:13" x14ac:dyDescent="0.35">
      <c r="A103" s="34">
        <f t="shared" si="2"/>
        <v>23</v>
      </c>
      <c r="B103" s="511"/>
      <c r="D103" s="324"/>
      <c r="E103" s="324"/>
      <c r="F103" s="324"/>
      <c r="G103" s="140"/>
      <c r="H103" s="140"/>
      <c r="I103" s="136"/>
      <c r="J103" s="34">
        <f t="shared" si="3"/>
        <v>23</v>
      </c>
    </row>
    <row r="104" spans="1:13" x14ac:dyDescent="0.35">
      <c r="A104" s="34">
        <f t="shared" si="2"/>
        <v>24</v>
      </c>
      <c r="B104" s="35" t="s">
        <v>382</v>
      </c>
      <c r="C104" s="34"/>
      <c r="D104" s="34"/>
      <c r="E104" s="324"/>
      <c r="F104" s="324"/>
      <c r="G104" s="590">
        <f>((G98)+(G99/G100)+G92)*G102/(1-G102)</f>
        <v>7.5597304654085856E-3</v>
      </c>
      <c r="H104" s="141"/>
      <c r="I104" s="46" t="s">
        <v>383</v>
      </c>
      <c r="J104" s="34">
        <f t="shared" si="3"/>
        <v>24</v>
      </c>
    </row>
    <row r="105" spans="1:13" x14ac:dyDescent="0.35">
      <c r="A105" s="34">
        <f t="shared" si="2"/>
        <v>25</v>
      </c>
      <c r="B105" s="132" t="s">
        <v>384</v>
      </c>
      <c r="G105" s="34"/>
      <c r="H105" s="34"/>
      <c r="I105" s="46"/>
      <c r="J105" s="34">
        <f t="shared" si="3"/>
        <v>25</v>
      </c>
      <c r="L105" s="34"/>
    </row>
    <row r="106" spans="1:13" x14ac:dyDescent="0.35">
      <c r="A106" s="34">
        <f t="shared" si="2"/>
        <v>26</v>
      </c>
      <c r="G106" s="34"/>
      <c r="H106" s="34"/>
      <c r="I106" s="46"/>
      <c r="J106" s="34">
        <f t="shared" si="3"/>
        <v>26</v>
      </c>
      <c r="L106" s="34"/>
    </row>
    <row r="107" spans="1:13" x14ac:dyDescent="0.35">
      <c r="A107" s="34">
        <f t="shared" si="2"/>
        <v>27</v>
      </c>
      <c r="B107" s="39" t="s">
        <v>385</v>
      </c>
      <c r="G107" s="130">
        <f>G104+G92</f>
        <v>2.3875599709475365E-2</v>
      </c>
      <c r="H107" s="130"/>
      <c r="I107" s="46" t="s">
        <v>563</v>
      </c>
      <c r="J107" s="34">
        <f t="shared" si="3"/>
        <v>27</v>
      </c>
      <c r="L107" s="34"/>
    </row>
    <row r="108" spans="1:13" x14ac:dyDescent="0.35">
      <c r="A108" s="34">
        <f t="shared" si="2"/>
        <v>28</v>
      </c>
      <c r="G108" s="34"/>
      <c r="H108" s="34"/>
      <c r="I108" s="46"/>
      <c r="J108" s="34">
        <f t="shared" si="3"/>
        <v>28</v>
      </c>
      <c r="L108" s="34"/>
    </row>
    <row r="109" spans="1:13" x14ac:dyDescent="0.35">
      <c r="A109" s="34">
        <f t="shared" si="2"/>
        <v>29</v>
      </c>
      <c r="B109" s="39" t="s">
        <v>386</v>
      </c>
      <c r="G109" s="587">
        <f>G51</f>
        <v>7.6315463363733599E-2</v>
      </c>
      <c r="H109" s="324"/>
      <c r="I109" s="46" t="s">
        <v>564</v>
      </c>
      <c r="J109" s="34">
        <f t="shared" si="3"/>
        <v>29</v>
      </c>
      <c r="L109" s="34"/>
    </row>
    <row r="110" spans="1:13" x14ac:dyDescent="0.35">
      <c r="A110" s="34">
        <f t="shared" si="2"/>
        <v>30</v>
      </c>
      <c r="G110" s="109"/>
      <c r="H110" s="109"/>
      <c r="I110" s="46"/>
      <c r="J110" s="34">
        <f t="shared" si="3"/>
        <v>30</v>
      </c>
      <c r="L110" s="34"/>
    </row>
    <row r="111" spans="1:13" ht="18" thickBot="1" x14ac:dyDescent="0.4">
      <c r="A111" s="34">
        <f t="shared" si="2"/>
        <v>31</v>
      </c>
      <c r="B111" s="39" t="s">
        <v>387</v>
      </c>
      <c r="G111" s="142">
        <f>G107+G109</f>
        <v>0.10019106307320896</v>
      </c>
      <c r="H111" s="141"/>
      <c r="I111" s="46" t="s">
        <v>565</v>
      </c>
      <c r="J111" s="34">
        <f t="shared" si="3"/>
        <v>31</v>
      </c>
      <c r="L111" s="143"/>
      <c r="M111" s="131"/>
    </row>
    <row r="112" spans="1:13" ht="16" thickTop="1" x14ac:dyDescent="0.35">
      <c r="B112" s="39"/>
      <c r="G112" s="145"/>
      <c r="H112" s="145"/>
      <c r="I112" s="46"/>
      <c r="J112" s="34"/>
      <c r="L112" s="143"/>
      <c r="M112" s="131"/>
    </row>
    <row r="113" spans="1:13" x14ac:dyDescent="0.35">
      <c r="B113" s="39"/>
      <c r="G113" s="145"/>
      <c r="H113" s="145"/>
      <c r="I113" s="46"/>
      <c r="J113" s="34"/>
      <c r="L113" s="143"/>
      <c r="M113" s="131"/>
    </row>
    <row r="114" spans="1:13" ht="18.5" x14ac:dyDescent="0.35">
      <c r="A114" s="320">
        <v>1</v>
      </c>
      <c r="B114" s="18" t="s">
        <v>388</v>
      </c>
      <c r="G114" s="145"/>
      <c r="H114" s="145"/>
      <c r="I114" s="46"/>
      <c r="J114" s="34"/>
      <c r="L114" s="143"/>
      <c r="M114" s="131"/>
    </row>
    <row r="115" spans="1:13" ht="18.5" x14ac:dyDescent="0.35">
      <c r="A115" s="320"/>
      <c r="B115" s="18"/>
      <c r="G115" s="145"/>
      <c r="H115" s="145"/>
      <c r="I115" s="46"/>
      <c r="J115" s="34"/>
      <c r="L115" s="143"/>
      <c r="M115" s="131"/>
    </row>
    <row r="116" spans="1:13" x14ac:dyDescent="0.35">
      <c r="A116" s="146"/>
      <c r="B116" s="511"/>
      <c r="C116" s="36"/>
      <c r="D116" s="36"/>
      <c r="E116" s="36"/>
      <c r="F116" s="36"/>
      <c r="G116" s="147"/>
      <c r="H116" s="147"/>
      <c r="I116" s="321"/>
      <c r="J116" s="34"/>
    </row>
    <row r="117" spans="1:13" x14ac:dyDescent="0.35">
      <c r="B117" s="773" t="s">
        <v>14</v>
      </c>
      <c r="C117" s="773"/>
      <c r="D117" s="773"/>
      <c r="E117" s="773"/>
      <c r="F117" s="773"/>
      <c r="G117" s="773"/>
      <c r="H117" s="773"/>
      <c r="I117" s="773"/>
    </row>
    <row r="118" spans="1:13" x14ac:dyDescent="0.35">
      <c r="B118" s="773" t="s">
        <v>313</v>
      </c>
      <c r="C118" s="773"/>
      <c r="D118" s="773"/>
      <c r="E118" s="773"/>
      <c r="F118" s="773"/>
      <c r="G118" s="773"/>
      <c r="H118" s="773"/>
      <c r="I118" s="773"/>
    </row>
    <row r="119" spans="1:13" x14ac:dyDescent="0.35">
      <c r="B119" s="773" t="s">
        <v>314</v>
      </c>
      <c r="C119" s="773"/>
      <c r="D119" s="773"/>
      <c r="E119" s="773"/>
      <c r="F119" s="773"/>
      <c r="G119" s="773"/>
      <c r="H119" s="773"/>
      <c r="I119" s="773"/>
    </row>
    <row r="120" spans="1:13" x14ac:dyDescent="0.35">
      <c r="B120" s="775" t="str">
        <f>B6</f>
        <v>Base Period &amp; True-Up Period 12 - Months Ending December 31, 2021</v>
      </c>
      <c r="C120" s="775"/>
      <c r="D120" s="775"/>
      <c r="E120" s="775"/>
      <c r="F120" s="775"/>
      <c r="G120" s="775"/>
      <c r="H120" s="775"/>
      <c r="I120" s="775"/>
    </row>
    <row r="121" spans="1:13" x14ac:dyDescent="0.35">
      <c r="B121" s="771" t="s">
        <v>1</v>
      </c>
      <c r="C121" s="774"/>
      <c r="D121" s="774"/>
      <c r="E121" s="774"/>
      <c r="F121" s="774"/>
      <c r="G121" s="774"/>
      <c r="H121" s="774"/>
      <c r="I121" s="774"/>
    </row>
    <row r="123" spans="1:13" x14ac:dyDescent="0.35">
      <c r="A123" s="34" t="s">
        <v>2</v>
      </c>
      <c r="B123" s="324"/>
      <c r="C123" s="324"/>
      <c r="D123" s="324"/>
      <c r="E123" s="324"/>
      <c r="F123" s="324"/>
      <c r="G123" s="324"/>
      <c r="H123" s="324"/>
      <c r="I123" s="46"/>
      <c r="J123" s="34" t="s">
        <v>2</v>
      </c>
    </row>
    <row r="124" spans="1:13" x14ac:dyDescent="0.35">
      <c r="A124" s="34" t="s">
        <v>3</v>
      </c>
      <c r="B124" s="34"/>
      <c r="C124" s="34"/>
      <c r="D124" s="34"/>
      <c r="E124" s="34"/>
      <c r="F124" s="34"/>
      <c r="G124" s="566" t="s">
        <v>5</v>
      </c>
      <c r="H124" s="324"/>
      <c r="I124" s="580" t="s">
        <v>6</v>
      </c>
      <c r="J124" s="34" t="s">
        <v>3</v>
      </c>
    </row>
    <row r="126" spans="1:13" ht="17.5" x14ac:dyDescent="0.35">
      <c r="A126" s="34">
        <v>1</v>
      </c>
      <c r="B126" s="39" t="s">
        <v>389</v>
      </c>
      <c r="J126" s="34">
        <v>1</v>
      </c>
    </row>
    <row r="127" spans="1:13" x14ac:dyDescent="0.35">
      <c r="A127" s="34">
        <f>A126+1</f>
        <v>2</v>
      </c>
      <c r="B127" s="121"/>
      <c r="J127" s="34">
        <f>J126+1</f>
        <v>2</v>
      </c>
    </row>
    <row r="128" spans="1:13" x14ac:dyDescent="0.35">
      <c r="A128" s="34">
        <f>A127+1</f>
        <v>3</v>
      </c>
      <c r="B128" s="39" t="s">
        <v>362</v>
      </c>
      <c r="J128" s="34">
        <f>J127+1</f>
        <v>3</v>
      </c>
    </row>
    <row r="129" spans="1:10" x14ac:dyDescent="0.35">
      <c r="A129" s="34">
        <f>A128+1</f>
        <v>4</v>
      </c>
      <c r="B129" s="324"/>
      <c r="J129" s="34">
        <f>J128+1</f>
        <v>4</v>
      </c>
    </row>
    <row r="130" spans="1:10" x14ac:dyDescent="0.35">
      <c r="A130" s="34">
        <f t="shared" ref="A130:A156" si="4">A129+1</f>
        <v>5</v>
      </c>
      <c r="B130" s="41" t="s">
        <v>363</v>
      </c>
      <c r="J130" s="34">
        <f t="shared" ref="J130:J156" si="5">J129+1</f>
        <v>5</v>
      </c>
    </row>
    <row r="131" spans="1:10" x14ac:dyDescent="0.35">
      <c r="A131" s="34">
        <f t="shared" si="4"/>
        <v>6</v>
      </c>
      <c r="B131" s="35" t="str">
        <f>B86</f>
        <v xml:space="preserve">     A = Sum of Preferred Stock and Return on Equity Component</v>
      </c>
      <c r="G131" s="123">
        <f>G66</f>
        <v>0</v>
      </c>
      <c r="I131" s="46" t="s">
        <v>566</v>
      </c>
      <c r="J131" s="34">
        <f t="shared" si="5"/>
        <v>6</v>
      </c>
    </row>
    <row r="132" spans="1:10" x14ac:dyDescent="0.35">
      <c r="A132" s="34">
        <f t="shared" si="4"/>
        <v>7</v>
      </c>
      <c r="B132" s="35" t="str">
        <f>B87</f>
        <v xml:space="preserve">     B = Transmission Total Federal Tax Adjustments</v>
      </c>
      <c r="G132" s="144">
        <v>0</v>
      </c>
      <c r="I132" s="118" t="s">
        <v>227</v>
      </c>
      <c r="J132" s="34">
        <f t="shared" si="5"/>
        <v>7</v>
      </c>
    </row>
    <row r="133" spans="1:10" x14ac:dyDescent="0.35">
      <c r="A133" s="34">
        <f t="shared" si="4"/>
        <v>8</v>
      </c>
      <c r="B133" s="35" t="s">
        <v>390</v>
      </c>
      <c r="G133" s="322">
        <v>0</v>
      </c>
      <c r="I133" s="118" t="s">
        <v>227</v>
      </c>
      <c r="J133" s="34">
        <f t="shared" si="5"/>
        <v>8</v>
      </c>
    </row>
    <row r="134" spans="1:10" x14ac:dyDescent="0.35">
      <c r="A134" s="34">
        <f t="shared" si="4"/>
        <v>9</v>
      </c>
      <c r="B134" s="35" t="s">
        <v>391</v>
      </c>
      <c r="G134" s="322">
        <v>0</v>
      </c>
      <c r="I134" s="118" t="s">
        <v>227</v>
      </c>
      <c r="J134" s="34">
        <f t="shared" si="5"/>
        <v>9</v>
      </c>
    </row>
    <row r="135" spans="1:10" x14ac:dyDescent="0.35">
      <c r="A135" s="34">
        <f t="shared" si="4"/>
        <v>10</v>
      </c>
      <c r="B135" s="35" t="str">
        <f>B90</f>
        <v xml:space="preserve">     FT = Federal Income Tax Rate for Rate Effective Period</v>
      </c>
      <c r="G135" s="588">
        <f>G90</f>
        <v>0.21</v>
      </c>
      <c r="I135" s="46" t="s">
        <v>567</v>
      </c>
      <c r="J135" s="34">
        <f t="shared" si="5"/>
        <v>10</v>
      </c>
    </row>
    <row r="136" spans="1:10" x14ac:dyDescent="0.35">
      <c r="A136" s="34">
        <f t="shared" si="4"/>
        <v>11</v>
      </c>
      <c r="G136" s="34"/>
      <c r="J136" s="34">
        <f t="shared" si="5"/>
        <v>11</v>
      </c>
    </row>
    <row r="137" spans="1:10" x14ac:dyDescent="0.35">
      <c r="A137" s="34">
        <f t="shared" si="4"/>
        <v>12</v>
      </c>
      <c r="B137" s="35" t="s">
        <v>392</v>
      </c>
      <c r="G137" s="130">
        <f>IFERROR((((G131)+(G133/G134))*G135-(G132/G134))/(1-G135),0)</f>
        <v>0</v>
      </c>
      <c r="I137" s="46" t="s">
        <v>393</v>
      </c>
      <c r="J137" s="34">
        <f t="shared" si="5"/>
        <v>12</v>
      </c>
    </row>
    <row r="138" spans="1:10" x14ac:dyDescent="0.35">
      <c r="A138" s="34">
        <f t="shared" si="4"/>
        <v>13</v>
      </c>
      <c r="B138" s="132" t="s">
        <v>375</v>
      </c>
      <c r="G138" s="117"/>
      <c r="J138" s="34">
        <f t="shared" si="5"/>
        <v>13</v>
      </c>
    </row>
    <row r="139" spans="1:10" x14ac:dyDescent="0.35">
      <c r="A139" s="34">
        <f t="shared" si="4"/>
        <v>14</v>
      </c>
      <c r="G139" s="34"/>
      <c r="J139" s="34">
        <f t="shared" si="5"/>
        <v>14</v>
      </c>
    </row>
    <row r="140" spans="1:10" x14ac:dyDescent="0.35">
      <c r="A140" s="34">
        <f t="shared" si="4"/>
        <v>15</v>
      </c>
      <c r="B140" s="39" t="s">
        <v>376</v>
      </c>
      <c r="G140" s="133"/>
      <c r="I140" s="134"/>
      <c r="J140" s="34">
        <f t="shared" si="5"/>
        <v>15</v>
      </c>
    </row>
    <row r="141" spans="1:10" x14ac:dyDescent="0.35">
      <c r="A141" s="34">
        <f t="shared" si="4"/>
        <v>16</v>
      </c>
      <c r="B141" s="51"/>
      <c r="G141" s="133"/>
      <c r="I141" s="122"/>
      <c r="J141" s="34">
        <f t="shared" si="5"/>
        <v>16</v>
      </c>
    </row>
    <row r="142" spans="1:10" x14ac:dyDescent="0.35">
      <c r="A142" s="34">
        <f t="shared" si="4"/>
        <v>17</v>
      </c>
      <c r="B142" s="41" t="s">
        <v>363</v>
      </c>
      <c r="G142" s="133"/>
      <c r="I142" s="122"/>
      <c r="J142" s="34">
        <f t="shared" si="5"/>
        <v>17</v>
      </c>
    </row>
    <row r="143" spans="1:10" x14ac:dyDescent="0.35">
      <c r="A143" s="34">
        <f t="shared" si="4"/>
        <v>18</v>
      </c>
      <c r="B143" s="35" t="str">
        <f>B98</f>
        <v xml:space="preserve">     A = Sum of Preferred Stock and Return on Equity Component</v>
      </c>
      <c r="G143" s="109">
        <f>G131</f>
        <v>0</v>
      </c>
      <c r="I143" s="46" t="s">
        <v>559</v>
      </c>
      <c r="J143" s="34">
        <f t="shared" si="5"/>
        <v>18</v>
      </c>
    </row>
    <row r="144" spans="1:10" x14ac:dyDescent="0.35">
      <c r="A144" s="34">
        <f t="shared" si="4"/>
        <v>19</v>
      </c>
      <c r="B144" s="35" t="str">
        <f>B99</f>
        <v xml:space="preserve">     B = Equity AFUDC Component of Transmission Depreciation Expense</v>
      </c>
      <c r="G144" s="137">
        <f>G133</f>
        <v>0</v>
      </c>
      <c r="I144" s="46" t="s">
        <v>560</v>
      </c>
      <c r="J144" s="34">
        <f t="shared" si="5"/>
        <v>19</v>
      </c>
    </row>
    <row r="145" spans="1:10" x14ac:dyDescent="0.35">
      <c r="A145" s="34">
        <f t="shared" si="4"/>
        <v>20</v>
      </c>
      <c r="B145" s="35" t="s">
        <v>394</v>
      </c>
      <c r="G145" s="137">
        <f>G134</f>
        <v>0</v>
      </c>
      <c r="I145" s="46" t="s">
        <v>561</v>
      </c>
      <c r="J145" s="34">
        <f t="shared" si="5"/>
        <v>20</v>
      </c>
    </row>
    <row r="146" spans="1:10" x14ac:dyDescent="0.35">
      <c r="A146" s="34">
        <f t="shared" si="4"/>
        <v>21</v>
      </c>
      <c r="B146" s="35" t="str">
        <f>B101</f>
        <v xml:space="preserve">     FT = Federal Income Tax Expense</v>
      </c>
      <c r="G146" s="139">
        <f>G137</f>
        <v>0</v>
      </c>
      <c r="I146" s="46" t="s">
        <v>562</v>
      </c>
      <c r="J146" s="34">
        <f t="shared" si="5"/>
        <v>21</v>
      </c>
    </row>
    <row r="147" spans="1:10" x14ac:dyDescent="0.35">
      <c r="A147" s="34">
        <f t="shared" si="4"/>
        <v>22</v>
      </c>
      <c r="B147" s="35" t="str">
        <f>B102</f>
        <v xml:space="preserve">     ST = State Income Tax Rate for Rate Effective Period</v>
      </c>
      <c r="G147" s="589">
        <f>G102</f>
        <v>8.8400000000000006E-2</v>
      </c>
      <c r="I147" s="46" t="s">
        <v>568</v>
      </c>
      <c r="J147" s="34">
        <f t="shared" si="5"/>
        <v>22</v>
      </c>
    </row>
    <row r="148" spans="1:10" x14ac:dyDescent="0.35">
      <c r="A148" s="34">
        <f t="shared" si="4"/>
        <v>23</v>
      </c>
      <c r="B148" s="511"/>
      <c r="G148" s="140"/>
      <c r="I148" s="136"/>
      <c r="J148" s="34">
        <f t="shared" si="5"/>
        <v>23</v>
      </c>
    </row>
    <row r="149" spans="1:10" x14ac:dyDescent="0.35">
      <c r="A149" s="34">
        <f t="shared" si="4"/>
        <v>24</v>
      </c>
      <c r="B149" s="35" t="s">
        <v>382</v>
      </c>
      <c r="G149" s="590">
        <f>IFERROR(((G143)+(G144/G145)+G137)*G147/(1-G147),0)</f>
        <v>0</v>
      </c>
      <c r="I149" s="46" t="s">
        <v>383</v>
      </c>
      <c r="J149" s="34">
        <f t="shared" si="5"/>
        <v>24</v>
      </c>
    </row>
    <row r="150" spans="1:10" x14ac:dyDescent="0.35">
      <c r="A150" s="34">
        <f t="shared" si="4"/>
        <v>25</v>
      </c>
      <c r="B150" s="132" t="s">
        <v>384</v>
      </c>
      <c r="G150" s="34"/>
      <c r="I150" s="46"/>
      <c r="J150" s="34">
        <f t="shared" si="5"/>
        <v>25</v>
      </c>
    </row>
    <row r="151" spans="1:10" x14ac:dyDescent="0.35">
      <c r="A151" s="34">
        <f t="shared" si="4"/>
        <v>26</v>
      </c>
      <c r="G151" s="34"/>
      <c r="I151" s="46"/>
      <c r="J151" s="34">
        <f t="shared" si="5"/>
        <v>26</v>
      </c>
    </row>
    <row r="152" spans="1:10" x14ac:dyDescent="0.35">
      <c r="A152" s="34">
        <f t="shared" si="4"/>
        <v>27</v>
      </c>
      <c r="B152" s="39" t="s">
        <v>385</v>
      </c>
      <c r="G152" s="130">
        <f>G149+G137</f>
        <v>0</v>
      </c>
      <c r="I152" s="46" t="s">
        <v>563</v>
      </c>
      <c r="J152" s="34">
        <f t="shared" si="5"/>
        <v>27</v>
      </c>
    </row>
    <row r="153" spans="1:10" x14ac:dyDescent="0.35">
      <c r="A153" s="34">
        <f t="shared" si="4"/>
        <v>28</v>
      </c>
      <c r="G153" s="34"/>
      <c r="I153" s="46"/>
      <c r="J153" s="34">
        <f t="shared" si="5"/>
        <v>28</v>
      </c>
    </row>
    <row r="154" spans="1:10" x14ac:dyDescent="0.35">
      <c r="A154" s="34">
        <f t="shared" si="4"/>
        <v>29</v>
      </c>
      <c r="B154" s="39" t="s">
        <v>395</v>
      </c>
      <c r="G154" s="591">
        <f>G64</f>
        <v>0</v>
      </c>
      <c r="I154" s="46" t="s">
        <v>569</v>
      </c>
      <c r="J154" s="34">
        <f t="shared" si="5"/>
        <v>29</v>
      </c>
    </row>
    <row r="155" spans="1:10" x14ac:dyDescent="0.35">
      <c r="A155" s="34">
        <f t="shared" si="4"/>
        <v>30</v>
      </c>
      <c r="G155" s="34"/>
      <c r="I155" s="46"/>
      <c r="J155" s="34">
        <f t="shared" si="5"/>
        <v>30</v>
      </c>
    </row>
    <row r="156" spans="1:10" ht="18" thickBot="1" x14ac:dyDescent="0.4">
      <c r="A156" s="34">
        <f t="shared" si="4"/>
        <v>31</v>
      </c>
      <c r="B156" s="39" t="s">
        <v>396</v>
      </c>
      <c r="G156" s="148">
        <f>G152+G154</f>
        <v>0</v>
      </c>
      <c r="I156" s="46" t="s">
        <v>565</v>
      </c>
      <c r="J156" s="34">
        <f t="shared" si="5"/>
        <v>31</v>
      </c>
    </row>
    <row r="157" spans="1:10" ht="16" thickTop="1" x14ac:dyDescent="0.35"/>
    <row r="159" spans="1:10" ht="18" x14ac:dyDescent="0.35">
      <c r="A159" s="65"/>
      <c r="B159" s="18"/>
    </row>
  </sheetData>
  <mergeCells count="15">
    <mergeCell ref="B72:I72"/>
    <mergeCell ref="B3:I3"/>
    <mergeCell ref="B4:I4"/>
    <mergeCell ref="B5:I5"/>
    <mergeCell ref="B6:I6"/>
    <mergeCell ref="B7:I7"/>
    <mergeCell ref="B119:I119"/>
    <mergeCell ref="B120:I120"/>
    <mergeCell ref="B121:I121"/>
    <mergeCell ref="B73:I73"/>
    <mergeCell ref="B74:I74"/>
    <mergeCell ref="B75:I75"/>
    <mergeCell ref="B76:I76"/>
    <mergeCell ref="B117:I117"/>
    <mergeCell ref="B118:I118"/>
  </mergeCells>
  <printOptions horizontalCentered="1"/>
  <pageMargins left="0.25" right="0.25" top="0.5" bottom="0.5" header="0.35" footer="0.25"/>
  <pageSetup scale="55" orientation="portrait" r:id="rId1"/>
  <headerFooter scaleWithDoc="0" alignWithMargins="0">
    <oddHeader>&amp;C&amp;"Times New Roman,Bold"&amp;7AS FILED</oddHeader>
    <oddFooter>&amp;L&amp;F&amp;CPage 11.&amp;P&amp;R&amp;A</oddFooter>
  </headerFooter>
  <rowBreaks count="2" manualBreakCount="2">
    <brk id="70" max="9" man="1"/>
    <brk id="115" max="9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25F96-DB01-43E2-8C74-9F6DC85776CA}">
  <dimension ref="A1:H88"/>
  <sheetViews>
    <sheetView zoomScale="80" zoomScaleNormal="80" workbookViewId="0"/>
  </sheetViews>
  <sheetFormatPr defaultColWidth="8.54296875" defaultRowHeight="15.5" x14ac:dyDescent="0.35"/>
  <cols>
    <col min="1" max="1" width="5.1796875" style="446" customWidth="1"/>
    <col min="2" max="2" width="83" style="406" customWidth="1"/>
    <col min="3" max="3" width="18.1796875" style="406" customWidth="1"/>
    <col min="4" max="4" width="1.54296875" style="406" customWidth="1"/>
    <col min="5" max="5" width="38.54296875" style="406" customWidth="1"/>
    <col min="6" max="6" width="5.1796875" style="446" customWidth="1"/>
    <col min="7" max="16384" width="8.54296875" style="406"/>
  </cols>
  <sheetData>
    <row r="1" spans="1:8" x14ac:dyDescent="0.35">
      <c r="A1" s="155"/>
      <c r="B1" s="159"/>
      <c r="C1" s="405"/>
      <c r="D1" s="405"/>
      <c r="E1" s="158"/>
      <c r="F1" s="155"/>
    </row>
    <row r="2" spans="1:8" x14ac:dyDescent="0.35">
      <c r="A2" s="155"/>
      <c r="B2" s="764" t="s">
        <v>14</v>
      </c>
      <c r="C2" s="782"/>
      <c r="D2" s="782"/>
      <c r="E2" s="782"/>
      <c r="F2" s="155"/>
    </row>
    <row r="3" spans="1:8" x14ac:dyDescent="0.35">
      <c r="A3" s="155" t="s">
        <v>202</v>
      </c>
      <c r="B3" s="764" t="s">
        <v>397</v>
      </c>
      <c r="C3" s="782"/>
      <c r="D3" s="782"/>
      <c r="E3" s="782"/>
      <c r="F3" s="155" t="s">
        <v>202</v>
      </c>
    </row>
    <row r="4" spans="1:8" x14ac:dyDescent="0.35">
      <c r="A4" s="155"/>
      <c r="B4" s="783" t="s">
        <v>496</v>
      </c>
      <c r="C4" s="784"/>
      <c r="D4" s="784"/>
      <c r="E4" s="784"/>
      <c r="F4" s="155"/>
      <c r="H4" s="390"/>
    </row>
    <row r="5" spans="1:8" x14ac:dyDescent="0.35">
      <c r="A5" s="155"/>
      <c r="B5" s="785" t="s">
        <v>1</v>
      </c>
      <c r="C5" s="782"/>
      <c r="D5" s="782"/>
      <c r="E5" s="782"/>
      <c r="F5" s="155"/>
    </row>
    <row r="6" spans="1:8" x14ac:dyDescent="0.35">
      <c r="A6" s="155"/>
      <c r="B6" s="512"/>
      <c r="C6" s="159"/>
      <c r="D6" s="159"/>
      <c r="E6" s="159"/>
      <c r="F6" s="155"/>
    </row>
    <row r="7" spans="1:8" x14ac:dyDescent="0.35">
      <c r="A7" s="155" t="s">
        <v>2</v>
      </c>
      <c r="B7" s="159"/>
      <c r="C7" s="407"/>
      <c r="D7" s="407"/>
      <c r="E7" s="158"/>
      <c r="F7" s="155" t="s">
        <v>2</v>
      </c>
    </row>
    <row r="8" spans="1:8" x14ac:dyDescent="0.35">
      <c r="A8" s="155" t="s">
        <v>3</v>
      </c>
      <c r="B8" s="159" t="s">
        <v>202</v>
      </c>
      <c r="C8" s="592" t="s">
        <v>5</v>
      </c>
      <c r="D8" s="407"/>
      <c r="E8" s="593" t="s">
        <v>6</v>
      </c>
      <c r="F8" s="155" t="s">
        <v>3</v>
      </c>
    </row>
    <row r="9" spans="1:8" x14ac:dyDescent="0.35">
      <c r="A9" s="155"/>
      <c r="B9" s="293" t="s">
        <v>398</v>
      </c>
      <c r="C9" s="408"/>
      <c r="D9" s="407"/>
      <c r="E9" s="158"/>
      <c r="F9" s="155"/>
    </row>
    <row r="10" spans="1:8" x14ac:dyDescent="0.35">
      <c r="A10" s="155"/>
      <c r="B10" s="409"/>
      <c r="C10" s="408"/>
      <c r="D10" s="407"/>
      <c r="E10" s="158"/>
      <c r="F10" s="155"/>
    </row>
    <row r="11" spans="1:8" x14ac:dyDescent="0.35">
      <c r="A11" s="155">
        <v>1</v>
      </c>
      <c r="B11" s="293" t="s">
        <v>399</v>
      </c>
      <c r="C11" s="408"/>
      <c r="D11" s="408"/>
      <c r="E11" s="158"/>
      <c r="F11" s="155">
        <f>A11</f>
        <v>1</v>
      </c>
    </row>
    <row r="12" spans="1:8" x14ac:dyDescent="0.35">
      <c r="A12" s="155">
        <f>A11+1</f>
        <v>2</v>
      </c>
      <c r="B12" s="175" t="s">
        <v>400</v>
      </c>
      <c r="C12" s="410">
        <f>C78</f>
        <v>5575857.4250176921</v>
      </c>
      <c r="D12" s="671"/>
      <c r="E12" s="197" t="s">
        <v>401</v>
      </c>
      <c r="F12" s="155">
        <f>F11+1</f>
        <v>2</v>
      </c>
    </row>
    <row r="13" spans="1:8" x14ac:dyDescent="0.35">
      <c r="A13" s="155">
        <f t="shared" ref="A13:A48" si="0">A12+1</f>
        <v>3</v>
      </c>
      <c r="B13" s="175" t="s">
        <v>226</v>
      </c>
      <c r="C13" s="411">
        <f>C79</f>
        <v>2764.3473285473665</v>
      </c>
      <c r="D13" s="412"/>
      <c r="E13" s="197" t="s">
        <v>402</v>
      </c>
      <c r="F13" s="155">
        <f t="shared" ref="F13:F48" si="1">F12+1</f>
        <v>3</v>
      </c>
    </row>
    <row r="14" spans="1:8" x14ac:dyDescent="0.35">
      <c r="A14" s="155">
        <f t="shared" si="0"/>
        <v>4</v>
      </c>
      <c r="B14" s="175" t="s">
        <v>228</v>
      </c>
      <c r="C14" s="411">
        <f>C80</f>
        <v>32331.989661471936</v>
      </c>
      <c r="D14" s="412"/>
      <c r="E14" s="197" t="s">
        <v>403</v>
      </c>
      <c r="F14" s="155">
        <f t="shared" si="1"/>
        <v>4</v>
      </c>
    </row>
    <row r="15" spans="1:8" x14ac:dyDescent="0.35">
      <c r="A15" s="155">
        <f t="shared" si="0"/>
        <v>5</v>
      </c>
      <c r="B15" s="175" t="s">
        <v>404</v>
      </c>
      <c r="C15" s="594">
        <f>C81</f>
        <v>81074.417373759803</v>
      </c>
      <c r="D15" s="412"/>
      <c r="E15" s="197" t="s">
        <v>405</v>
      </c>
      <c r="F15" s="155">
        <f t="shared" si="1"/>
        <v>5</v>
      </c>
    </row>
    <row r="16" spans="1:8" x14ac:dyDescent="0.35">
      <c r="A16" s="155">
        <f t="shared" si="0"/>
        <v>6</v>
      </c>
      <c r="B16" s="175" t="s">
        <v>406</v>
      </c>
      <c r="C16" s="413">
        <f>SUM(C12:C15)</f>
        <v>5692028.1793814711</v>
      </c>
      <c r="D16" s="414"/>
      <c r="E16" s="197" t="s">
        <v>407</v>
      </c>
      <c r="F16" s="155">
        <f t="shared" si="1"/>
        <v>6</v>
      </c>
    </row>
    <row r="17" spans="1:8" x14ac:dyDescent="0.35">
      <c r="A17" s="155">
        <f t="shared" si="0"/>
        <v>7</v>
      </c>
      <c r="B17" s="252"/>
      <c r="C17" s="415"/>
      <c r="D17" s="416"/>
      <c r="E17" s="158"/>
      <c r="F17" s="155">
        <f t="shared" si="1"/>
        <v>7</v>
      </c>
    </row>
    <row r="18" spans="1:8" x14ac:dyDescent="0.35">
      <c r="A18" s="155">
        <f t="shared" si="0"/>
        <v>8</v>
      </c>
      <c r="B18" s="293" t="s">
        <v>408</v>
      </c>
      <c r="C18" s="415"/>
      <c r="D18" s="416"/>
      <c r="E18" s="158"/>
      <c r="F18" s="155">
        <f t="shared" si="1"/>
        <v>8</v>
      </c>
    </row>
    <row r="19" spans="1:8" x14ac:dyDescent="0.35">
      <c r="A19" s="155">
        <f t="shared" si="0"/>
        <v>9</v>
      </c>
      <c r="B19" s="175" t="s">
        <v>409</v>
      </c>
      <c r="C19" s="417">
        <v>0</v>
      </c>
      <c r="D19" s="407"/>
      <c r="E19" s="197" t="s">
        <v>410</v>
      </c>
      <c r="F19" s="155">
        <f t="shared" si="1"/>
        <v>9</v>
      </c>
    </row>
    <row r="20" spans="1:8" x14ac:dyDescent="0.35">
      <c r="A20" s="155">
        <f t="shared" si="0"/>
        <v>10</v>
      </c>
      <c r="B20" s="175" t="s">
        <v>411</v>
      </c>
      <c r="C20" s="418">
        <v>0</v>
      </c>
      <c r="D20" s="407"/>
      <c r="E20" s="197" t="s">
        <v>412</v>
      </c>
      <c r="F20" s="155">
        <f t="shared" si="1"/>
        <v>10</v>
      </c>
    </row>
    <row r="21" spans="1:8" x14ac:dyDescent="0.35">
      <c r="A21" s="155">
        <f t="shared" si="0"/>
        <v>11</v>
      </c>
      <c r="B21" s="175" t="s">
        <v>413</v>
      </c>
      <c r="C21" s="419">
        <f>C19+C20</f>
        <v>0</v>
      </c>
      <c r="D21" s="420"/>
      <c r="E21" s="197" t="s">
        <v>414</v>
      </c>
      <c r="F21" s="155">
        <f t="shared" si="1"/>
        <v>11</v>
      </c>
    </row>
    <row r="22" spans="1:8" x14ac:dyDescent="0.35">
      <c r="A22" s="155">
        <f t="shared" si="0"/>
        <v>12</v>
      </c>
      <c r="B22" s="175"/>
      <c r="C22" s="421"/>
      <c r="D22" s="405"/>
      <c r="E22" s="158"/>
      <c r="F22" s="155">
        <f t="shared" si="1"/>
        <v>12</v>
      </c>
    </row>
    <row r="23" spans="1:8" x14ac:dyDescent="0.35">
      <c r="A23" s="155">
        <f t="shared" si="0"/>
        <v>13</v>
      </c>
      <c r="B23" s="293" t="s">
        <v>415</v>
      </c>
      <c r="C23" s="415"/>
      <c r="D23" s="416"/>
      <c r="E23" s="158"/>
      <c r="F23" s="155">
        <f t="shared" si="1"/>
        <v>13</v>
      </c>
    </row>
    <row r="24" spans="1:8" x14ac:dyDescent="0.35">
      <c r="A24" s="155">
        <f t="shared" si="0"/>
        <v>14</v>
      </c>
      <c r="B24" s="252" t="s">
        <v>416</v>
      </c>
      <c r="C24" s="422">
        <v>-997549.56998678332</v>
      </c>
      <c r="D24" s="407"/>
      <c r="E24" s="197" t="s">
        <v>417</v>
      </c>
      <c r="F24" s="155">
        <f t="shared" si="1"/>
        <v>14</v>
      </c>
    </row>
    <row r="25" spans="1:8" x14ac:dyDescent="0.35">
      <c r="A25" s="155">
        <f t="shared" si="0"/>
        <v>15</v>
      </c>
      <c r="B25" s="252" t="s">
        <v>418</v>
      </c>
      <c r="C25" s="423">
        <v>0</v>
      </c>
      <c r="D25" s="407"/>
      <c r="E25" s="197" t="s">
        <v>419</v>
      </c>
      <c r="F25" s="155">
        <f t="shared" si="1"/>
        <v>15</v>
      </c>
    </row>
    <row r="26" spans="1:8" x14ac:dyDescent="0.35">
      <c r="A26" s="155">
        <f t="shared" si="0"/>
        <v>16</v>
      </c>
      <c r="B26" s="175" t="s">
        <v>420</v>
      </c>
      <c r="C26" s="413">
        <f>SUM(C24:C25)</f>
        <v>-997549.56998678332</v>
      </c>
      <c r="D26" s="414"/>
      <c r="E26" s="197" t="s">
        <v>421</v>
      </c>
      <c r="F26" s="155">
        <f t="shared" si="1"/>
        <v>16</v>
      </c>
    </row>
    <row r="27" spans="1:8" x14ac:dyDescent="0.35">
      <c r="A27" s="155">
        <f t="shared" si="0"/>
        <v>17</v>
      </c>
      <c r="B27" s="159"/>
      <c r="C27" s="424"/>
      <c r="D27" s="425"/>
      <c r="E27" s="158"/>
      <c r="F27" s="155">
        <f t="shared" si="1"/>
        <v>17</v>
      </c>
    </row>
    <row r="28" spans="1:8" x14ac:dyDescent="0.35">
      <c r="A28" s="155">
        <f t="shared" si="0"/>
        <v>18</v>
      </c>
      <c r="B28" s="293" t="s">
        <v>422</v>
      </c>
      <c r="C28" s="424"/>
      <c r="D28" s="425"/>
      <c r="E28" s="158"/>
      <c r="F28" s="155">
        <f t="shared" si="1"/>
        <v>18</v>
      </c>
    </row>
    <row r="29" spans="1:8" x14ac:dyDescent="0.35">
      <c r="A29" s="155">
        <f t="shared" si="0"/>
        <v>19</v>
      </c>
      <c r="B29" s="175" t="s">
        <v>423</v>
      </c>
      <c r="C29" s="410">
        <v>47456.246827465431</v>
      </c>
      <c r="D29" s="407"/>
      <c r="E29" s="197" t="s">
        <v>95</v>
      </c>
      <c r="F29" s="155">
        <f t="shared" si="1"/>
        <v>19</v>
      </c>
    </row>
    <row r="30" spans="1:8" x14ac:dyDescent="0.35">
      <c r="A30" s="155">
        <f t="shared" si="0"/>
        <v>20</v>
      </c>
      <c r="B30" s="175" t="s">
        <v>424</v>
      </c>
      <c r="C30" s="411">
        <v>40940.682694194518</v>
      </c>
      <c r="D30" s="407"/>
      <c r="E30" s="197" t="s">
        <v>97</v>
      </c>
      <c r="F30" s="155">
        <f t="shared" si="1"/>
        <v>20</v>
      </c>
    </row>
    <row r="31" spans="1:8" x14ac:dyDescent="0.35">
      <c r="A31" s="155">
        <f t="shared" si="0"/>
        <v>21</v>
      </c>
      <c r="B31" s="175" t="s">
        <v>425</v>
      </c>
      <c r="C31" s="595">
        <f>'Pg9 Rev Stmt AL'!E29</f>
        <v>11718.173288965252</v>
      </c>
      <c r="D31" s="24" t="s">
        <v>24</v>
      </c>
      <c r="E31" s="197" t="s">
        <v>617</v>
      </c>
      <c r="F31" s="155">
        <f t="shared" si="1"/>
        <v>21</v>
      </c>
      <c r="H31" s="752"/>
    </row>
    <row r="32" spans="1:8" x14ac:dyDescent="0.35">
      <c r="A32" s="155">
        <f t="shared" si="0"/>
        <v>22</v>
      </c>
      <c r="B32" s="175" t="s">
        <v>426</v>
      </c>
      <c r="C32" s="426">
        <f>SUM(C29:C31)</f>
        <v>100115.10281062519</v>
      </c>
      <c r="D32" s="24" t="s">
        <v>24</v>
      </c>
      <c r="E32" s="197" t="s">
        <v>427</v>
      </c>
      <c r="F32" s="155">
        <f t="shared" si="1"/>
        <v>22</v>
      </c>
    </row>
    <row r="33" spans="1:8" x14ac:dyDescent="0.35">
      <c r="A33" s="155">
        <f t="shared" si="0"/>
        <v>23</v>
      </c>
      <c r="B33" s="177"/>
      <c r="C33" s="427"/>
      <c r="D33" s="428"/>
      <c r="E33" s="158"/>
      <c r="F33" s="155">
        <f t="shared" si="1"/>
        <v>23</v>
      </c>
    </row>
    <row r="34" spans="1:8" x14ac:dyDescent="0.35">
      <c r="A34" s="155">
        <f t="shared" si="0"/>
        <v>24</v>
      </c>
      <c r="B34" s="175" t="s">
        <v>428</v>
      </c>
      <c r="C34" s="596">
        <v>0</v>
      </c>
      <c r="D34" s="407"/>
      <c r="E34" s="197" t="s">
        <v>429</v>
      </c>
      <c r="F34" s="155">
        <f t="shared" si="1"/>
        <v>24</v>
      </c>
    </row>
    <row r="35" spans="1:8" x14ac:dyDescent="0.35">
      <c r="A35" s="155">
        <f t="shared" si="0"/>
        <v>25</v>
      </c>
      <c r="B35" s="175"/>
      <c r="C35" s="427"/>
      <c r="D35" s="428"/>
      <c r="E35" s="158"/>
      <c r="F35" s="155">
        <f t="shared" si="1"/>
        <v>25</v>
      </c>
    </row>
    <row r="36" spans="1:8" ht="16" thickBot="1" x14ac:dyDescent="0.4">
      <c r="A36" s="155">
        <f t="shared" si="0"/>
        <v>26</v>
      </c>
      <c r="B36" s="175" t="s">
        <v>430</v>
      </c>
      <c r="C36" s="429">
        <f>C16+C21+C26+C32+C34</f>
        <v>4794593.7122053131</v>
      </c>
      <c r="D36" s="24" t="s">
        <v>24</v>
      </c>
      <c r="E36" s="197" t="s">
        <v>431</v>
      </c>
      <c r="F36" s="155">
        <f t="shared" si="1"/>
        <v>26</v>
      </c>
      <c r="H36" s="751"/>
    </row>
    <row r="37" spans="1:8" ht="16" thickTop="1" x14ac:dyDescent="0.35">
      <c r="A37" s="155">
        <f t="shared" si="0"/>
        <v>27</v>
      </c>
      <c r="B37" s="177"/>
      <c r="C37" s="430"/>
      <c r="D37" s="414"/>
      <c r="E37" s="158"/>
      <c r="F37" s="155">
        <f t="shared" si="1"/>
        <v>27</v>
      </c>
    </row>
    <row r="38" spans="1:8" x14ac:dyDescent="0.35">
      <c r="A38" s="155">
        <f t="shared" si="0"/>
        <v>28</v>
      </c>
      <c r="B38" s="293" t="s">
        <v>432</v>
      </c>
      <c r="C38" s="430"/>
      <c r="D38" s="414"/>
      <c r="E38" s="158"/>
      <c r="F38" s="155">
        <f t="shared" si="1"/>
        <v>28</v>
      </c>
    </row>
    <row r="39" spans="1:8" x14ac:dyDescent="0.35">
      <c r="A39" s="155">
        <f t="shared" si="0"/>
        <v>29</v>
      </c>
      <c r="B39" s="175" t="s">
        <v>433</v>
      </c>
      <c r="C39" s="431">
        <v>0</v>
      </c>
      <c r="D39" s="432"/>
      <c r="E39" s="197" t="s">
        <v>227</v>
      </c>
      <c r="F39" s="155">
        <f t="shared" si="1"/>
        <v>29</v>
      </c>
    </row>
    <row r="40" spans="1:8" x14ac:dyDescent="0.35">
      <c r="A40" s="155">
        <f t="shared" si="0"/>
        <v>30</v>
      </c>
      <c r="B40" s="175" t="s">
        <v>434</v>
      </c>
      <c r="C40" s="433">
        <v>0</v>
      </c>
      <c r="D40" s="407"/>
      <c r="E40" s="197" t="s">
        <v>227</v>
      </c>
      <c r="F40" s="155">
        <f t="shared" si="1"/>
        <v>30</v>
      </c>
    </row>
    <row r="41" spans="1:8" x14ac:dyDescent="0.35">
      <c r="A41" s="155">
        <f t="shared" si="0"/>
        <v>31</v>
      </c>
      <c r="B41" s="252" t="s">
        <v>435</v>
      </c>
      <c r="C41" s="426">
        <f>C39+C40</f>
        <v>0</v>
      </c>
      <c r="D41" s="414"/>
      <c r="E41" s="197" t="s">
        <v>436</v>
      </c>
      <c r="F41" s="155">
        <f t="shared" si="1"/>
        <v>31</v>
      </c>
    </row>
    <row r="42" spans="1:8" x14ac:dyDescent="0.35">
      <c r="A42" s="155">
        <f t="shared" si="0"/>
        <v>32</v>
      </c>
      <c r="B42" s="177"/>
      <c r="C42" s="430"/>
      <c r="D42" s="414"/>
      <c r="E42" s="158"/>
      <c r="F42" s="155">
        <f t="shared" si="1"/>
        <v>32</v>
      </c>
    </row>
    <row r="43" spans="1:8" x14ac:dyDescent="0.35">
      <c r="A43" s="155">
        <f t="shared" si="0"/>
        <v>33</v>
      </c>
      <c r="B43" s="293" t="s">
        <v>437</v>
      </c>
      <c r="C43" s="430"/>
      <c r="D43" s="414"/>
      <c r="E43" s="158"/>
      <c r="F43" s="155">
        <f t="shared" si="1"/>
        <v>33</v>
      </c>
    </row>
    <row r="44" spans="1:8" x14ac:dyDescent="0.35">
      <c r="A44" s="155">
        <f t="shared" si="0"/>
        <v>34</v>
      </c>
      <c r="B44" s="175" t="s">
        <v>438</v>
      </c>
      <c r="C44" s="431">
        <v>0</v>
      </c>
      <c r="D44" s="407"/>
      <c r="E44" s="197" t="s">
        <v>227</v>
      </c>
      <c r="F44" s="155">
        <f t="shared" si="1"/>
        <v>34</v>
      </c>
    </row>
    <row r="45" spans="1:8" x14ac:dyDescent="0.35">
      <c r="A45" s="155">
        <f t="shared" si="0"/>
        <v>35</v>
      </c>
      <c r="B45" s="252" t="s">
        <v>439</v>
      </c>
      <c r="C45" s="597">
        <v>0</v>
      </c>
      <c r="D45" s="407"/>
      <c r="E45" s="197" t="s">
        <v>227</v>
      </c>
      <c r="F45" s="155">
        <f t="shared" si="1"/>
        <v>35</v>
      </c>
    </row>
    <row r="46" spans="1:8" x14ac:dyDescent="0.35">
      <c r="A46" s="155">
        <f t="shared" si="0"/>
        <v>36</v>
      </c>
      <c r="B46" s="252" t="s">
        <v>440</v>
      </c>
      <c r="C46" s="426">
        <f>C44+C45</f>
        <v>0</v>
      </c>
      <c r="D46" s="414"/>
      <c r="E46" s="197" t="s">
        <v>441</v>
      </c>
      <c r="F46" s="155">
        <f t="shared" si="1"/>
        <v>36</v>
      </c>
    </row>
    <row r="47" spans="1:8" x14ac:dyDescent="0.35">
      <c r="A47" s="155">
        <f t="shared" si="0"/>
        <v>37</v>
      </c>
      <c r="B47" s="177"/>
      <c r="C47" s="430"/>
      <c r="D47" s="414"/>
      <c r="E47" s="158"/>
      <c r="F47" s="155">
        <f t="shared" si="1"/>
        <v>37</v>
      </c>
    </row>
    <row r="48" spans="1:8" ht="16" thickBot="1" x14ac:dyDescent="0.4">
      <c r="A48" s="155">
        <f t="shared" si="0"/>
        <v>38</v>
      </c>
      <c r="B48" s="293" t="s">
        <v>442</v>
      </c>
      <c r="C48" s="434">
        <v>0</v>
      </c>
      <c r="D48" s="407"/>
      <c r="E48" s="197" t="s">
        <v>227</v>
      </c>
      <c r="F48" s="155">
        <f t="shared" si="1"/>
        <v>38</v>
      </c>
    </row>
    <row r="49" spans="1:8" ht="16" thickTop="1" x14ac:dyDescent="0.35">
      <c r="A49" s="155"/>
      <c r="B49" s="177"/>
      <c r="C49" s="430"/>
      <c r="D49" s="414"/>
      <c r="E49" s="158"/>
      <c r="F49" s="155"/>
    </row>
    <row r="50" spans="1:8" x14ac:dyDescent="0.35">
      <c r="A50" s="155"/>
      <c r="B50" s="177"/>
      <c r="C50" s="430"/>
      <c r="D50" s="414"/>
      <c r="E50" s="158"/>
      <c r="F50" s="155"/>
    </row>
    <row r="51" spans="1:8" x14ac:dyDescent="0.35">
      <c r="A51" s="24" t="s">
        <v>24</v>
      </c>
      <c r="B51" s="177" t="str">
        <f>'Pg2 Appendix XII C5 Comparison'!B57</f>
        <v>Items in BOLD have changed due to A&amp;G adj. on CEMA/WMPMA exclusion corrections compared to the original Appendix XII Cycle 5 per ER23-110.</v>
      </c>
      <c r="C51" s="430"/>
      <c r="D51" s="414"/>
      <c r="E51" s="158"/>
      <c r="F51" s="155"/>
    </row>
    <row r="52" spans="1:8" x14ac:dyDescent="0.35">
      <c r="A52" s="24"/>
      <c r="B52" s="177"/>
      <c r="C52" s="430"/>
      <c r="D52" s="414"/>
      <c r="E52" s="158"/>
      <c r="F52" s="155"/>
    </row>
    <row r="53" spans="1:8" x14ac:dyDescent="0.35">
      <c r="A53" s="155"/>
      <c r="B53" s="158"/>
      <c r="C53" s="159"/>
      <c r="D53" s="159"/>
      <c r="E53" s="159"/>
      <c r="F53" s="155"/>
    </row>
    <row r="54" spans="1:8" x14ac:dyDescent="0.35">
      <c r="A54" s="155"/>
      <c r="B54" s="764" t="str">
        <f>B2</f>
        <v>SAN DIEGO GAS &amp; ELECTRIC COMPANY</v>
      </c>
      <c r="C54" s="782"/>
      <c r="D54" s="782"/>
      <c r="E54" s="782"/>
      <c r="F54" s="155"/>
    </row>
    <row r="55" spans="1:8" x14ac:dyDescent="0.35">
      <c r="A55" s="155"/>
      <c r="B55" s="764" t="str">
        <f>B3</f>
        <v xml:space="preserve">Derivation of End Use Transmission Rate Base </v>
      </c>
      <c r="C55" s="782"/>
      <c r="D55" s="782"/>
      <c r="E55" s="782"/>
      <c r="F55" s="155"/>
    </row>
    <row r="56" spans="1:8" x14ac:dyDescent="0.35">
      <c r="A56" s="155"/>
      <c r="B56" s="783" t="str">
        <f>B4</f>
        <v>Base Period &amp; True-Up Period 12 - Months Ending December 31, 2021</v>
      </c>
      <c r="C56" s="784"/>
      <c r="D56" s="784"/>
      <c r="E56" s="784"/>
      <c r="F56" s="155"/>
    </row>
    <row r="57" spans="1:8" x14ac:dyDescent="0.35">
      <c r="A57" s="155"/>
      <c r="B57" s="785" t="s">
        <v>1</v>
      </c>
      <c r="C57" s="782"/>
      <c r="D57" s="782"/>
      <c r="E57" s="782"/>
      <c r="F57" s="155"/>
    </row>
    <row r="58" spans="1:8" x14ac:dyDescent="0.35">
      <c r="A58" s="155"/>
      <c r="B58" s="512"/>
      <c r="C58" s="159"/>
      <c r="D58" s="159"/>
      <c r="E58" s="159"/>
      <c r="F58" s="155"/>
    </row>
    <row r="59" spans="1:8" x14ac:dyDescent="0.35">
      <c r="A59" s="155" t="s">
        <v>2</v>
      </c>
      <c r="B59" s="512"/>
      <c r="C59" s="159"/>
      <c r="D59" s="159"/>
      <c r="E59" s="159"/>
      <c r="F59" s="155"/>
    </row>
    <row r="60" spans="1:8" x14ac:dyDescent="0.35">
      <c r="A60" s="155" t="s">
        <v>3</v>
      </c>
      <c r="B60" s="512"/>
      <c r="C60" s="159"/>
      <c r="D60" s="159"/>
      <c r="E60" s="159"/>
      <c r="F60" s="155"/>
    </row>
    <row r="61" spans="1:8" x14ac:dyDescent="0.35">
      <c r="A61" s="155"/>
      <c r="B61" s="293" t="s">
        <v>443</v>
      </c>
      <c r="C61" s="159"/>
      <c r="D61" s="159"/>
      <c r="E61" s="159"/>
      <c r="F61" s="155"/>
    </row>
    <row r="62" spans="1:8" x14ac:dyDescent="0.35">
      <c r="A62" s="155"/>
      <c r="B62" s="409"/>
      <c r="C62" s="407"/>
      <c r="D62" s="407"/>
      <c r="E62" s="158"/>
      <c r="F62" s="155"/>
    </row>
    <row r="63" spans="1:8" x14ac:dyDescent="0.35">
      <c r="A63" s="155">
        <v>1</v>
      </c>
      <c r="B63" s="293" t="s">
        <v>444</v>
      </c>
      <c r="C63" s="407"/>
      <c r="D63" s="407"/>
      <c r="E63" s="158"/>
      <c r="F63" s="155">
        <f t="shared" ref="F63:F87" si="2">A63</f>
        <v>1</v>
      </c>
    </row>
    <row r="64" spans="1:8" x14ac:dyDescent="0.35">
      <c r="A64" s="155">
        <v>2</v>
      </c>
      <c r="B64" s="175" t="s">
        <v>400</v>
      </c>
      <c r="C64" s="435">
        <v>7121919.3161269231</v>
      </c>
      <c r="D64" s="407"/>
      <c r="E64" s="197" t="s">
        <v>445</v>
      </c>
      <c r="F64" s="155">
        <f t="shared" si="2"/>
        <v>2</v>
      </c>
      <c r="G64" s="436"/>
      <c r="H64" s="437"/>
    </row>
    <row r="65" spans="1:8" x14ac:dyDescent="0.35">
      <c r="A65" s="155">
        <v>3</v>
      </c>
      <c r="B65" s="175" t="s">
        <v>446</v>
      </c>
      <c r="C65" s="438">
        <v>21037.006920873984</v>
      </c>
      <c r="D65" s="407"/>
      <c r="E65" s="197" t="s">
        <v>447</v>
      </c>
      <c r="F65" s="155">
        <f t="shared" si="2"/>
        <v>3</v>
      </c>
      <c r="G65" s="436"/>
      <c r="H65" s="437"/>
    </row>
    <row r="66" spans="1:8" x14ac:dyDescent="0.35">
      <c r="A66" s="155">
        <v>4</v>
      </c>
      <c r="B66" s="175" t="s">
        <v>228</v>
      </c>
      <c r="C66" s="438">
        <v>55230.055232987666</v>
      </c>
      <c r="D66" s="407"/>
      <c r="E66" s="197" t="s">
        <v>229</v>
      </c>
      <c r="F66" s="155">
        <f t="shared" si="2"/>
        <v>4</v>
      </c>
      <c r="G66" s="436"/>
      <c r="H66" s="439"/>
    </row>
    <row r="67" spans="1:8" x14ac:dyDescent="0.35">
      <c r="A67" s="155">
        <v>5</v>
      </c>
      <c r="B67" s="175" t="s">
        <v>404</v>
      </c>
      <c r="C67" s="598">
        <v>149909.32883735534</v>
      </c>
      <c r="D67" s="407"/>
      <c r="E67" s="197" t="s">
        <v>231</v>
      </c>
      <c r="F67" s="155">
        <f t="shared" si="2"/>
        <v>5</v>
      </c>
      <c r="G67" s="437"/>
      <c r="H67" s="437"/>
    </row>
    <row r="68" spans="1:8" x14ac:dyDescent="0.35">
      <c r="A68" s="155">
        <v>6</v>
      </c>
      <c r="B68" s="175" t="s">
        <v>448</v>
      </c>
      <c r="C68" s="413">
        <f>SUM(C64:C67)</f>
        <v>7348095.7071181405</v>
      </c>
      <c r="D68" s="414"/>
      <c r="E68" s="197" t="s">
        <v>407</v>
      </c>
      <c r="F68" s="155">
        <f t="shared" si="2"/>
        <v>6</v>
      </c>
      <c r="G68" s="436"/>
      <c r="H68" s="437"/>
    </row>
    <row r="69" spans="1:8" x14ac:dyDescent="0.35">
      <c r="A69" s="155">
        <v>7</v>
      </c>
      <c r="B69" s="252"/>
      <c r="C69" s="440"/>
      <c r="D69" s="407"/>
      <c r="E69" s="158"/>
      <c r="F69" s="155">
        <f t="shared" si="2"/>
        <v>7</v>
      </c>
      <c r="G69" s="437"/>
      <c r="H69" s="437"/>
    </row>
    <row r="70" spans="1:8" x14ac:dyDescent="0.35">
      <c r="A70" s="155">
        <v>8</v>
      </c>
      <c r="B70" s="292" t="s">
        <v>449</v>
      </c>
      <c r="C70" s="440"/>
      <c r="D70" s="407"/>
      <c r="E70" s="158"/>
      <c r="F70" s="155">
        <f t="shared" si="2"/>
        <v>8</v>
      </c>
      <c r="G70" s="437"/>
      <c r="H70" s="437"/>
    </row>
    <row r="71" spans="1:8" x14ac:dyDescent="0.35">
      <c r="A71" s="155">
        <v>9</v>
      </c>
      <c r="B71" s="252" t="s">
        <v>450</v>
      </c>
      <c r="C71" s="435">
        <v>1546061.8911092309</v>
      </c>
      <c r="D71" s="407"/>
      <c r="E71" s="197" t="s">
        <v>451</v>
      </c>
      <c r="F71" s="155">
        <f t="shared" si="2"/>
        <v>9</v>
      </c>
      <c r="G71" s="437"/>
      <c r="H71" s="437"/>
    </row>
    <row r="72" spans="1:8" x14ac:dyDescent="0.35">
      <c r="A72" s="155">
        <v>10</v>
      </c>
      <c r="B72" s="252" t="s">
        <v>452</v>
      </c>
      <c r="C72" s="438">
        <v>18272.659592326618</v>
      </c>
      <c r="D72" s="407"/>
      <c r="E72" s="197" t="s">
        <v>453</v>
      </c>
      <c r="F72" s="155">
        <f t="shared" si="2"/>
        <v>10</v>
      </c>
      <c r="G72" s="437"/>
      <c r="H72" s="437"/>
    </row>
    <row r="73" spans="1:8" x14ac:dyDescent="0.35">
      <c r="A73" s="155">
        <v>11</v>
      </c>
      <c r="B73" s="252" t="s">
        <v>454</v>
      </c>
      <c r="C73" s="438">
        <v>22898.06557151573</v>
      </c>
      <c r="D73" s="407"/>
      <c r="E73" s="197" t="s">
        <v>455</v>
      </c>
      <c r="F73" s="155">
        <f t="shared" si="2"/>
        <v>11</v>
      </c>
      <c r="G73" s="437"/>
      <c r="H73" s="437"/>
    </row>
    <row r="74" spans="1:8" x14ac:dyDescent="0.35">
      <c r="A74" s="155">
        <v>12</v>
      </c>
      <c r="B74" s="252" t="s">
        <v>456</v>
      </c>
      <c r="C74" s="598">
        <v>68834.911463595534</v>
      </c>
      <c r="D74" s="407"/>
      <c r="E74" s="197" t="s">
        <v>457</v>
      </c>
      <c r="F74" s="155">
        <f t="shared" si="2"/>
        <v>12</v>
      </c>
      <c r="G74" s="437"/>
      <c r="H74" s="437"/>
    </row>
    <row r="75" spans="1:8" x14ac:dyDescent="0.35">
      <c r="A75" s="155">
        <v>13</v>
      </c>
      <c r="B75" s="441" t="s">
        <v>458</v>
      </c>
      <c r="C75" s="413">
        <v>1686886.9755020197</v>
      </c>
      <c r="D75" s="414"/>
      <c r="E75" s="197" t="s">
        <v>459</v>
      </c>
      <c r="F75" s="155">
        <f t="shared" si="2"/>
        <v>13</v>
      </c>
      <c r="G75" s="437"/>
      <c r="H75" s="437"/>
    </row>
    <row r="76" spans="1:8" x14ac:dyDescent="0.35">
      <c r="A76" s="155">
        <v>14</v>
      </c>
      <c r="B76" s="441"/>
      <c r="C76" s="424"/>
      <c r="D76" s="425"/>
      <c r="E76" s="158"/>
      <c r="F76" s="155">
        <f t="shared" si="2"/>
        <v>14</v>
      </c>
      <c r="G76" s="437"/>
      <c r="H76" s="437"/>
    </row>
    <row r="77" spans="1:8" x14ac:dyDescent="0.35">
      <c r="A77" s="155">
        <v>15</v>
      </c>
      <c r="B77" s="293" t="s">
        <v>399</v>
      </c>
      <c r="C77" s="424"/>
      <c r="D77" s="425"/>
      <c r="E77" s="158"/>
      <c r="F77" s="155">
        <f t="shared" si="2"/>
        <v>15</v>
      </c>
      <c r="G77" s="437"/>
      <c r="H77" s="437"/>
    </row>
    <row r="78" spans="1:8" x14ac:dyDescent="0.35">
      <c r="A78" s="155">
        <v>16</v>
      </c>
      <c r="B78" s="175" t="s">
        <v>400</v>
      </c>
      <c r="C78" s="538">
        <f>C64-C71</f>
        <v>5575857.4250176921</v>
      </c>
      <c r="D78" s="672"/>
      <c r="E78" s="197" t="s">
        <v>460</v>
      </c>
      <c r="F78" s="155">
        <f t="shared" si="2"/>
        <v>16</v>
      </c>
      <c r="G78" s="437"/>
      <c r="H78" s="437"/>
    </row>
    <row r="79" spans="1:8" x14ac:dyDescent="0.35">
      <c r="A79" s="155">
        <v>17</v>
      </c>
      <c r="B79" s="175" t="s">
        <v>226</v>
      </c>
      <c r="C79" s="442">
        <f>C65-C72</f>
        <v>2764.3473285473665</v>
      </c>
      <c r="D79" s="443"/>
      <c r="E79" s="197" t="s">
        <v>461</v>
      </c>
      <c r="F79" s="155">
        <f t="shared" si="2"/>
        <v>17</v>
      </c>
      <c r="G79" s="437"/>
      <c r="H79" s="437"/>
    </row>
    <row r="80" spans="1:8" x14ac:dyDescent="0.35">
      <c r="A80" s="155">
        <v>18</v>
      </c>
      <c r="B80" s="175" t="s">
        <v>228</v>
      </c>
      <c r="C80" s="442">
        <f>C66-C73</f>
        <v>32331.989661471936</v>
      </c>
      <c r="D80" s="443"/>
      <c r="E80" s="197" t="s">
        <v>462</v>
      </c>
      <c r="F80" s="155">
        <f t="shared" si="2"/>
        <v>18</v>
      </c>
    </row>
    <row r="81" spans="1:6" x14ac:dyDescent="0.35">
      <c r="A81" s="155">
        <v>19</v>
      </c>
      <c r="B81" s="175" t="s">
        <v>404</v>
      </c>
      <c r="C81" s="599">
        <f>C67-C74</f>
        <v>81074.417373759803</v>
      </c>
      <c r="D81" s="444"/>
      <c r="E81" s="197" t="s">
        <v>463</v>
      </c>
      <c r="F81" s="155">
        <f t="shared" si="2"/>
        <v>19</v>
      </c>
    </row>
    <row r="82" spans="1:6" ht="16" thickBot="1" x14ac:dyDescent="0.4">
      <c r="A82" s="155">
        <v>20</v>
      </c>
      <c r="B82" s="252" t="s">
        <v>406</v>
      </c>
      <c r="C82" s="539">
        <f>SUM(C78:C81)</f>
        <v>5692028.1793814711</v>
      </c>
      <c r="D82" s="414"/>
      <c r="E82" s="197" t="s">
        <v>464</v>
      </c>
      <c r="F82" s="155">
        <f t="shared" si="2"/>
        <v>20</v>
      </c>
    </row>
    <row r="83" spans="1:6" ht="16" thickTop="1" x14ac:dyDescent="0.35">
      <c r="A83" s="155">
        <v>21</v>
      </c>
      <c r="B83" s="177"/>
      <c r="C83" s="414"/>
      <c r="D83" s="414"/>
      <c r="E83" s="158"/>
      <c r="F83" s="155">
        <f t="shared" si="2"/>
        <v>21</v>
      </c>
    </row>
    <row r="84" spans="1:6" x14ac:dyDescent="0.35">
      <c r="A84" s="155">
        <v>22</v>
      </c>
      <c r="B84" s="293" t="s">
        <v>465</v>
      </c>
      <c r="C84" s="414"/>
      <c r="D84" s="414"/>
      <c r="E84" s="158"/>
      <c r="F84" s="155">
        <f t="shared" si="2"/>
        <v>22</v>
      </c>
    </row>
    <row r="85" spans="1:6" x14ac:dyDescent="0.35">
      <c r="A85" s="155">
        <v>23</v>
      </c>
      <c r="B85" s="175" t="s">
        <v>466</v>
      </c>
      <c r="C85" s="431">
        <v>0</v>
      </c>
      <c r="D85" s="414"/>
      <c r="E85" s="197" t="s">
        <v>227</v>
      </c>
      <c r="F85" s="155">
        <f t="shared" si="2"/>
        <v>23</v>
      </c>
    </row>
    <row r="86" spans="1:6" x14ac:dyDescent="0.35">
      <c r="A86" s="155">
        <v>24</v>
      </c>
      <c r="B86" s="252" t="s">
        <v>467</v>
      </c>
      <c r="C86" s="597">
        <v>0</v>
      </c>
      <c r="D86" s="414"/>
      <c r="E86" s="197" t="s">
        <v>227</v>
      </c>
      <c r="F86" s="155">
        <f t="shared" si="2"/>
        <v>24</v>
      </c>
    </row>
    <row r="87" spans="1:6" ht="16" thickBot="1" x14ac:dyDescent="0.4">
      <c r="A87" s="155">
        <v>25</v>
      </c>
      <c r="B87" s="175" t="s">
        <v>468</v>
      </c>
      <c r="C87" s="445">
        <f>C85-C86</f>
        <v>0</v>
      </c>
      <c r="D87" s="414"/>
      <c r="E87" s="197" t="s">
        <v>469</v>
      </c>
      <c r="F87" s="155">
        <f t="shared" si="2"/>
        <v>25</v>
      </c>
    </row>
    <row r="88" spans="1:6" ht="16" thickTop="1" x14ac:dyDescent="0.35">
      <c r="A88" s="155"/>
    </row>
  </sheetData>
  <mergeCells count="8">
    <mergeCell ref="B2:E2"/>
    <mergeCell ref="B3:E3"/>
    <mergeCell ref="B4:E4"/>
    <mergeCell ref="B56:E56"/>
    <mergeCell ref="B57:E57"/>
    <mergeCell ref="B54:E54"/>
    <mergeCell ref="B55:E55"/>
    <mergeCell ref="B5:E5"/>
  </mergeCells>
  <printOptions horizontalCentered="1"/>
  <pageMargins left="0.25" right="0.25" top="0.5" bottom="0.5" header="0.35" footer="0.25"/>
  <pageSetup scale="60" orientation="portrait" r:id="rId1"/>
  <headerFooter scaleWithDoc="0" alignWithMargins="0">
    <oddHeader>&amp;C&amp;"Times New Roman,Bold"&amp;7REVISED</oddHeader>
    <oddFooter>&amp;L&amp;F&amp;CPage 12.&amp;P&amp;R&amp;A</oddFooter>
  </headerFooter>
  <rowBreaks count="1" manualBreakCount="1">
    <brk id="52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5F827-FFAB-4B56-B3FF-2570B5EC3295}">
  <dimension ref="A1:H86"/>
  <sheetViews>
    <sheetView zoomScale="80" zoomScaleNormal="80" workbookViewId="0"/>
  </sheetViews>
  <sheetFormatPr defaultColWidth="8.54296875" defaultRowHeight="15.5" x14ac:dyDescent="0.35"/>
  <cols>
    <col min="1" max="1" width="5.1796875" style="446" customWidth="1"/>
    <col min="2" max="2" width="83" style="406" customWidth="1"/>
    <col min="3" max="3" width="16.81640625" style="406" customWidth="1"/>
    <col min="4" max="4" width="1.54296875" style="406" customWidth="1"/>
    <col min="5" max="5" width="38.54296875" style="406" customWidth="1"/>
    <col min="6" max="6" width="5.1796875" style="446" customWidth="1"/>
    <col min="7" max="16384" width="8.54296875" style="406"/>
  </cols>
  <sheetData>
    <row r="1" spans="1:8" x14ac:dyDescent="0.35">
      <c r="A1" s="565" t="s">
        <v>643</v>
      </c>
    </row>
    <row r="2" spans="1:8" x14ac:dyDescent="0.35">
      <c r="A2" s="155"/>
      <c r="B2" s="159"/>
      <c r="C2" s="405"/>
      <c r="D2" s="405"/>
      <c r="E2" s="158"/>
      <c r="F2" s="155"/>
    </row>
    <row r="3" spans="1:8" x14ac:dyDescent="0.35">
      <c r="A3" s="155"/>
      <c r="B3" s="764" t="s">
        <v>14</v>
      </c>
      <c r="C3" s="782"/>
      <c r="D3" s="782"/>
      <c r="E3" s="782"/>
      <c r="F3" s="155"/>
    </row>
    <row r="4" spans="1:8" x14ac:dyDescent="0.35">
      <c r="A4" s="155" t="s">
        <v>202</v>
      </c>
      <c r="B4" s="764" t="s">
        <v>397</v>
      </c>
      <c r="C4" s="782"/>
      <c r="D4" s="782"/>
      <c r="E4" s="782"/>
      <c r="F4" s="155" t="s">
        <v>202</v>
      </c>
    </row>
    <row r="5" spans="1:8" x14ac:dyDescent="0.35">
      <c r="A5" s="155"/>
      <c r="B5" s="783" t="s">
        <v>496</v>
      </c>
      <c r="C5" s="784"/>
      <c r="D5" s="784"/>
      <c r="E5" s="784"/>
      <c r="F5" s="155"/>
      <c r="H5" s="390"/>
    </row>
    <row r="6" spans="1:8" x14ac:dyDescent="0.35">
      <c r="A6" s="155"/>
      <c r="B6" s="785" t="s">
        <v>1</v>
      </c>
      <c r="C6" s="782"/>
      <c r="D6" s="782"/>
      <c r="E6" s="782"/>
      <c r="F6" s="155"/>
    </row>
    <row r="7" spans="1:8" x14ac:dyDescent="0.35">
      <c r="A7" s="155"/>
      <c r="B7" s="512"/>
      <c r="C7" s="159"/>
      <c r="D7" s="159"/>
      <c r="E7" s="159"/>
      <c r="F7" s="155"/>
    </row>
    <row r="8" spans="1:8" x14ac:dyDescent="0.35">
      <c r="A8" s="155" t="s">
        <v>2</v>
      </c>
      <c r="B8" s="159"/>
      <c r="C8" s="407"/>
      <c r="D8" s="407"/>
      <c r="E8" s="158"/>
      <c r="F8" s="155" t="s">
        <v>2</v>
      </c>
    </row>
    <row r="9" spans="1:8" x14ac:dyDescent="0.35">
      <c r="A9" s="155" t="s">
        <v>3</v>
      </c>
      <c r="B9" s="159" t="s">
        <v>202</v>
      </c>
      <c r="C9" s="592" t="s">
        <v>5</v>
      </c>
      <c r="D9" s="407"/>
      <c r="E9" s="593" t="s">
        <v>6</v>
      </c>
      <c r="F9" s="155" t="s">
        <v>3</v>
      </c>
    </row>
    <row r="10" spans="1:8" x14ac:dyDescent="0.35">
      <c r="A10" s="155"/>
      <c r="B10" s="293" t="s">
        <v>398</v>
      </c>
      <c r="C10" s="408"/>
      <c r="D10" s="407"/>
      <c r="E10" s="158"/>
      <c r="F10" s="155"/>
    </row>
    <row r="11" spans="1:8" x14ac:dyDescent="0.35">
      <c r="A11" s="155"/>
      <c r="B11" s="409"/>
      <c r="C11" s="408"/>
      <c r="D11" s="407"/>
      <c r="E11" s="158"/>
      <c r="F11" s="155"/>
    </row>
    <row r="12" spans="1:8" x14ac:dyDescent="0.35">
      <c r="A12" s="155">
        <v>1</v>
      </c>
      <c r="B12" s="293" t="s">
        <v>399</v>
      </c>
      <c r="C12" s="408"/>
      <c r="D12" s="408"/>
      <c r="E12" s="158"/>
      <c r="F12" s="155">
        <f>A12</f>
        <v>1</v>
      </c>
    </row>
    <row r="13" spans="1:8" x14ac:dyDescent="0.35">
      <c r="A13" s="155">
        <f>A12+1</f>
        <v>2</v>
      </c>
      <c r="B13" s="175" t="s">
        <v>400</v>
      </c>
      <c r="C13" s="410">
        <f>C76</f>
        <v>5575857.4250176921</v>
      </c>
      <c r="D13" s="671"/>
      <c r="E13" s="197" t="s">
        <v>401</v>
      </c>
      <c r="F13" s="155">
        <f>F12+1</f>
        <v>2</v>
      </c>
    </row>
    <row r="14" spans="1:8" x14ac:dyDescent="0.35">
      <c r="A14" s="155">
        <f t="shared" ref="A14:A49" si="0">A13+1</f>
        <v>3</v>
      </c>
      <c r="B14" s="175" t="s">
        <v>226</v>
      </c>
      <c r="C14" s="411">
        <f>C77</f>
        <v>2764.3473285473665</v>
      </c>
      <c r="D14" s="412"/>
      <c r="E14" s="197" t="s">
        <v>402</v>
      </c>
      <c r="F14" s="155">
        <f t="shared" ref="F14:F49" si="1">F13+1</f>
        <v>3</v>
      </c>
    </row>
    <row r="15" spans="1:8" x14ac:dyDescent="0.35">
      <c r="A15" s="155">
        <f t="shared" si="0"/>
        <v>4</v>
      </c>
      <c r="B15" s="175" t="s">
        <v>228</v>
      </c>
      <c r="C15" s="411">
        <f>C78</f>
        <v>32331.989661471936</v>
      </c>
      <c r="D15" s="412"/>
      <c r="E15" s="197" t="s">
        <v>403</v>
      </c>
      <c r="F15" s="155">
        <f t="shared" si="1"/>
        <v>4</v>
      </c>
    </row>
    <row r="16" spans="1:8" x14ac:dyDescent="0.35">
      <c r="A16" s="155">
        <f t="shared" si="0"/>
        <v>5</v>
      </c>
      <c r="B16" s="175" t="s">
        <v>404</v>
      </c>
      <c r="C16" s="594">
        <f>C79</f>
        <v>81074.417373759803</v>
      </c>
      <c r="D16" s="412"/>
      <c r="E16" s="197" t="s">
        <v>405</v>
      </c>
      <c r="F16" s="155">
        <f t="shared" si="1"/>
        <v>5</v>
      </c>
    </row>
    <row r="17" spans="1:6" x14ac:dyDescent="0.35">
      <c r="A17" s="155">
        <f t="shared" si="0"/>
        <v>6</v>
      </c>
      <c r="B17" s="175" t="s">
        <v>406</v>
      </c>
      <c r="C17" s="413">
        <f>SUM(C13:C16)</f>
        <v>5692028.1793814711</v>
      </c>
      <c r="D17" s="414"/>
      <c r="E17" s="197" t="s">
        <v>407</v>
      </c>
      <c r="F17" s="155">
        <f t="shared" si="1"/>
        <v>6</v>
      </c>
    </row>
    <row r="18" spans="1:6" x14ac:dyDescent="0.35">
      <c r="A18" s="155">
        <f t="shared" si="0"/>
        <v>7</v>
      </c>
      <c r="B18" s="252"/>
      <c r="C18" s="415"/>
      <c r="D18" s="416"/>
      <c r="E18" s="158"/>
      <c r="F18" s="155">
        <f t="shared" si="1"/>
        <v>7</v>
      </c>
    </row>
    <row r="19" spans="1:6" x14ac:dyDescent="0.35">
      <c r="A19" s="155">
        <f t="shared" si="0"/>
        <v>8</v>
      </c>
      <c r="B19" s="293" t="s">
        <v>408</v>
      </c>
      <c r="C19" s="415"/>
      <c r="D19" s="416"/>
      <c r="E19" s="158"/>
      <c r="F19" s="155">
        <f t="shared" si="1"/>
        <v>8</v>
      </c>
    </row>
    <row r="20" spans="1:6" x14ac:dyDescent="0.35">
      <c r="A20" s="155">
        <f t="shared" si="0"/>
        <v>9</v>
      </c>
      <c r="B20" s="175" t="s">
        <v>409</v>
      </c>
      <c r="C20" s="417">
        <v>0</v>
      </c>
      <c r="D20" s="407"/>
      <c r="E20" s="197" t="s">
        <v>410</v>
      </c>
      <c r="F20" s="155">
        <f t="shared" si="1"/>
        <v>9</v>
      </c>
    </row>
    <row r="21" spans="1:6" x14ac:dyDescent="0.35">
      <c r="A21" s="155">
        <f t="shared" si="0"/>
        <v>10</v>
      </c>
      <c r="B21" s="175" t="s">
        <v>411</v>
      </c>
      <c r="C21" s="418">
        <v>0</v>
      </c>
      <c r="D21" s="407"/>
      <c r="E21" s="197" t="s">
        <v>412</v>
      </c>
      <c r="F21" s="155">
        <f t="shared" si="1"/>
        <v>10</v>
      </c>
    </row>
    <row r="22" spans="1:6" x14ac:dyDescent="0.35">
      <c r="A22" s="155">
        <f t="shared" si="0"/>
        <v>11</v>
      </c>
      <c r="B22" s="175" t="s">
        <v>413</v>
      </c>
      <c r="C22" s="419">
        <f>C20+C21</f>
        <v>0</v>
      </c>
      <c r="D22" s="420"/>
      <c r="E22" s="197" t="s">
        <v>414</v>
      </c>
      <c r="F22" s="155">
        <f t="shared" si="1"/>
        <v>11</v>
      </c>
    </row>
    <row r="23" spans="1:6" x14ac:dyDescent="0.35">
      <c r="A23" s="155">
        <f t="shared" si="0"/>
        <v>12</v>
      </c>
      <c r="B23" s="175"/>
      <c r="C23" s="421"/>
      <c r="D23" s="405"/>
      <c r="E23" s="158"/>
      <c r="F23" s="155">
        <f t="shared" si="1"/>
        <v>12</v>
      </c>
    </row>
    <row r="24" spans="1:6" x14ac:dyDescent="0.35">
      <c r="A24" s="155">
        <f t="shared" si="0"/>
        <v>13</v>
      </c>
      <c r="B24" s="293" t="s">
        <v>415</v>
      </c>
      <c r="C24" s="415"/>
      <c r="D24" s="416"/>
      <c r="E24" s="158"/>
      <c r="F24" s="155">
        <f t="shared" si="1"/>
        <v>13</v>
      </c>
    </row>
    <row r="25" spans="1:6" x14ac:dyDescent="0.35">
      <c r="A25" s="155">
        <f t="shared" si="0"/>
        <v>14</v>
      </c>
      <c r="B25" s="252" t="s">
        <v>416</v>
      </c>
      <c r="C25" s="422">
        <v>-997549.56998678332</v>
      </c>
      <c r="D25" s="407"/>
      <c r="E25" s="197" t="s">
        <v>417</v>
      </c>
      <c r="F25" s="155">
        <f t="shared" si="1"/>
        <v>14</v>
      </c>
    </row>
    <row r="26" spans="1:6" x14ac:dyDescent="0.35">
      <c r="A26" s="155">
        <f t="shared" si="0"/>
        <v>15</v>
      </c>
      <c r="B26" s="252" t="s">
        <v>418</v>
      </c>
      <c r="C26" s="423">
        <v>0</v>
      </c>
      <c r="D26" s="407"/>
      <c r="E26" s="197" t="s">
        <v>419</v>
      </c>
      <c r="F26" s="155">
        <f t="shared" si="1"/>
        <v>15</v>
      </c>
    </row>
    <row r="27" spans="1:6" x14ac:dyDescent="0.35">
      <c r="A27" s="155">
        <f t="shared" si="0"/>
        <v>16</v>
      </c>
      <c r="B27" s="175" t="s">
        <v>420</v>
      </c>
      <c r="C27" s="413">
        <f>SUM(C25:C26)</f>
        <v>-997549.56998678332</v>
      </c>
      <c r="D27" s="414"/>
      <c r="E27" s="197" t="s">
        <v>421</v>
      </c>
      <c r="F27" s="155">
        <f t="shared" si="1"/>
        <v>16</v>
      </c>
    </row>
    <row r="28" spans="1:6" x14ac:dyDescent="0.35">
      <c r="A28" s="155">
        <f t="shared" si="0"/>
        <v>17</v>
      </c>
      <c r="B28" s="159"/>
      <c r="C28" s="424"/>
      <c r="D28" s="425"/>
      <c r="E28" s="158"/>
      <c r="F28" s="155">
        <f t="shared" si="1"/>
        <v>17</v>
      </c>
    </row>
    <row r="29" spans="1:6" x14ac:dyDescent="0.35">
      <c r="A29" s="155">
        <f t="shared" si="0"/>
        <v>18</v>
      </c>
      <c r="B29" s="293" t="s">
        <v>422</v>
      </c>
      <c r="C29" s="424"/>
      <c r="D29" s="425"/>
      <c r="E29" s="158"/>
      <c r="F29" s="155">
        <f t="shared" si="1"/>
        <v>18</v>
      </c>
    </row>
    <row r="30" spans="1:6" x14ac:dyDescent="0.35">
      <c r="A30" s="155">
        <f t="shared" si="0"/>
        <v>19</v>
      </c>
      <c r="B30" s="175" t="s">
        <v>423</v>
      </c>
      <c r="C30" s="410">
        <v>47456.246827465431</v>
      </c>
      <c r="D30" s="407"/>
      <c r="E30" s="197" t="s">
        <v>95</v>
      </c>
      <c r="F30" s="155">
        <f t="shared" si="1"/>
        <v>19</v>
      </c>
    </row>
    <row r="31" spans="1:6" x14ac:dyDescent="0.35">
      <c r="A31" s="155">
        <f t="shared" si="0"/>
        <v>20</v>
      </c>
      <c r="B31" s="175" t="s">
        <v>424</v>
      </c>
      <c r="C31" s="411">
        <v>40940.682694194518</v>
      </c>
      <c r="D31" s="407"/>
      <c r="E31" s="197" t="s">
        <v>97</v>
      </c>
      <c r="F31" s="155">
        <f t="shared" si="1"/>
        <v>20</v>
      </c>
    </row>
    <row r="32" spans="1:6" x14ac:dyDescent="0.35">
      <c r="A32" s="155">
        <f t="shared" si="0"/>
        <v>21</v>
      </c>
      <c r="B32" s="175" t="s">
        <v>425</v>
      </c>
      <c r="C32" s="594">
        <v>11551.064603613606</v>
      </c>
      <c r="D32" s="407"/>
      <c r="E32" s="197" t="s">
        <v>99</v>
      </c>
      <c r="F32" s="155">
        <f t="shared" si="1"/>
        <v>21</v>
      </c>
    </row>
    <row r="33" spans="1:6" x14ac:dyDescent="0.35">
      <c r="A33" s="155">
        <f t="shared" si="0"/>
        <v>22</v>
      </c>
      <c r="B33" s="175" t="s">
        <v>426</v>
      </c>
      <c r="C33" s="413">
        <f>SUM(C30:C32)</f>
        <v>99947.994125273544</v>
      </c>
      <c r="D33" s="414"/>
      <c r="E33" s="197" t="s">
        <v>427</v>
      </c>
      <c r="F33" s="155">
        <f t="shared" si="1"/>
        <v>22</v>
      </c>
    </row>
    <row r="34" spans="1:6" x14ac:dyDescent="0.35">
      <c r="A34" s="155">
        <f t="shared" si="0"/>
        <v>23</v>
      </c>
      <c r="B34" s="177"/>
      <c r="C34" s="427"/>
      <c r="D34" s="428"/>
      <c r="E34" s="158"/>
      <c r="F34" s="155">
        <f t="shared" si="1"/>
        <v>23</v>
      </c>
    </row>
    <row r="35" spans="1:6" x14ac:dyDescent="0.35">
      <c r="A35" s="155">
        <f t="shared" si="0"/>
        <v>24</v>
      </c>
      <c r="B35" s="175" t="s">
        <v>428</v>
      </c>
      <c r="C35" s="596">
        <v>0</v>
      </c>
      <c r="D35" s="407"/>
      <c r="E35" s="197" t="s">
        <v>429</v>
      </c>
      <c r="F35" s="155">
        <f t="shared" si="1"/>
        <v>24</v>
      </c>
    </row>
    <row r="36" spans="1:6" x14ac:dyDescent="0.35">
      <c r="A36" s="155">
        <f t="shared" si="0"/>
        <v>25</v>
      </c>
      <c r="B36" s="175"/>
      <c r="C36" s="427"/>
      <c r="D36" s="428"/>
      <c r="E36" s="158"/>
      <c r="F36" s="155">
        <f t="shared" si="1"/>
        <v>25</v>
      </c>
    </row>
    <row r="37" spans="1:6" ht="16" thickBot="1" x14ac:dyDescent="0.4">
      <c r="A37" s="155">
        <f t="shared" si="0"/>
        <v>26</v>
      </c>
      <c r="B37" s="175" t="s">
        <v>430</v>
      </c>
      <c r="C37" s="445">
        <f>C17+C22+C27+C33+C35</f>
        <v>4794426.6035199612</v>
      </c>
      <c r="D37" s="414"/>
      <c r="E37" s="197" t="s">
        <v>431</v>
      </c>
      <c r="F37" s="155">
        <f t="shared" si="1"/>
        <v>26</v>
      </c>
    </row>
    <row r="38" spans="1:6" ht="16" thickTop="1" x14ac:dyDescent="0.35">
      <c r="A38" s="155">
        <f t="shared" si="0"/>
        <v>27</v>
      </c>
      <c r="B38" s="177"/>
      <c r="C38" s="430"/>
      <c r="D38" s="414"/>
      <c r="E38" s="158"/>
      <c r="F38" s="155">
        <f t="shared" si="1"/>
        <v>27</v>
      </c>
    </row>
    <row r="39" spans="1:6" x14ac:dyDescent="0.35">
      <c r="A39" s="155">
        <f t="shared" si="0"/>
        <v>28</v>
      </c>
      <c r="B39" s="293" t="s">
        <v>432</v>
      </c>
      <c r="C39" s="430"/>
      <c r="D39" s="414"/>
      <c r="E39" s="158"/>
      <c r="F39" s="155">
        <f t="shared" si="1"/>
        <v>28</v>
      </c>
    </row>
    <row r="40" spans="1:6" x14ac:dyDescent="0.35">
      <c r="A40" s="155">
        <f t="shared" si="0"/>
        <v>29</v>
      </c>
      <c r="B40" s="175" t="s">
        <v>433</v>
      </c>
      <c r="C40" s="431">
        <v>0</v>
      </c>
      <c r="D40" s="432"/>
      <c r="E40" s="197" t="s">
        <v>227</v>
      </c>
      <c r="F40" s="155">
        <f t="shared" si="1"/>
        <v>29</v>
      </c>
    </row>
    <row r="41" spans="1:6" x14ac:dyDescent="0.35">
      <c r="A41" s="155">
        <f t="shared" si="0"/>
        <v>30</v>
      </c>
      <c r="B41" s="175" t="s">
        <v>434</v>
      </c>
      <c r="C41" s="433">
        <v>0</v>
      </c>
      <c r="D41" s="407"/>
      <c r="E41" s="197" t="s">
        <v>227</v>
      </c>
      <c r="F41" s="155">
        <f t="shared" si="1"/>
        <v>30</v>
      </c>
    </row>
    <row r="42" spans="1:6" x14ac:dyDescent="0.35">
      <c r="A42" s="155">
        <f t="shared" si="0"/>
        <v>31</v>
      </c>
      <c r="B42" s="252" t="s">
        <v>435</v>
      </c>
      <c r="C42" s="426">
        <f>C40+C41</f>
        <v>0</v>
      </c>
      <c r="D42" s="414"/>
      <c r="E42" s="197" t="s">
        <v>436</v>
      </c>
      <c r="F42" s="155">
        <f t="shared" si="1"/>
        <v>31</v>
      </c>
    </row>
    <row r="43" spans="1:6" x14ac:dyDescent="0.35">
      <c r="A43" s="155">
        <f t="shared" si="0"/>
        <v>32</v>
      </c>
      <c r="B43" s="177"/>
      <c r="C43" s="430"/>
      <c r="D43" s="414"/>
      <c r="E43" s="158"/>
      <c r="F43" s="155">
        <f t="shared" si="1"/>
        <v>32</v>
      </c>
    </row>
    <row r="44" spans="1:6" x14ac:dyDescent="0.35">
      <c r="A44" s="155">
        <f t="shared" si="0"/>
        <v>33</v>
      </c>
      <c r="B44" s="293" t="s">
        <v>437</v>
      </c>
      <c r="C44" s="430"/>
      <c r="D44" s="414"/>
      <c r="E44" s="158"/>
      <c r="F44" s="155">
        <f t="shared" si="1"/>
        <v>33</v>
      </c>
    </row>
    <row r="45" spans="1:6" x14ac:dyDescent="0.35">
      <c r="A45" s="155">
        <f t="shared" si="0"/>
        <v>34</v>
      </c>
      <c r="B45" s="175" t="s">
        <v>438</v>
      </c>
      <c r="C45" s="431">
        <v>0</v>
      </c>
      <c r="D45" s="407"/>
      <c r="E45" s="197" t="s">
        <v>227</v>
      </c>
      <c r="F45" s="155">
        <f t="shared" si="1"/>
        <v>34</v>
      </c>
    </row>
    <row r="46" spans="1:6" x14ac:dyDescent="0.35">
      <c r="A46" s="155">
        <f t="shared" si="0"/>
        <v>35</v>
      </c>
      <c r="B46" s="252" t="s">
        <v>439</v>
      </c>
      <c r="C46" s="597">
        <v>0</v>
      </c>
      <c r="D46" s="407"/>
      <c r="E46" s="197" t="s">
        <v>227</v>
      </c>
      <c r="F46" s="155">
        <f t="shared" si="1"/>
        <v>35</v>
      </c>
    </row>
    <row r="47" spans="1:6" x14ac:dyDescent="0.35">
      <c r="A47" s="155">
        <f t="shared" si="0"/>
        <v>36</v>
      </c>
      <c r="B47" s="252" t="s">
        <v>440</v>
      </c>
      <c r="C47" s="426">
        <f>C45+C46</f>
        <v>0</v>
      </c>
      <c r="D47" s="414"/>
      <c r="E47" s="197" t="s">
        <v>441</v>
      </c>
      <c r="F47" s="155">
        <f t="shared" si="1"/>
        <v>36</v>
      </c>
    </row>
    <row r="48" spans="1:6" x14ac:dyDescent="0.35">
      <c r="A48" s="155">
        <f t="shared" si="0"/>
        <v>37</v>
      </c>
      <c r="B48" s="177"/>
      <c r="C48" s="430"/>
      <c r="D48" s="414"/>
      <c r="E48" s="158"/>
      <c r="F48" s="155">
        <f t="shared" si="1"/>
        <v>37</v>
      </c>
    </row>
    <row r="49" spans="1:8" ht="16" thickBot="1" x14ac:dyDescent="0.4">
      <c r="A49" s="155">
        <f t="shared" si="0"/>
        <v>38</v>
      </c>
      <c r="B49" s="293" t="s">
        <v>442</v>
      </c>
      <c r="C49" s="434">
        <v>0</v>
      </c>
      <c r="D49" s="407"/>
      <c r="E49" s="197" t="s">
        <v>227</v>
      </c>
      <c r="F49" s="155">
        <f t="shared" si="1"/>
        <v>38</v>
      </c>
    </row>
    <row r="50" spans="1:8" ht="16" thickTop="1" x14ac:dyDescent="0.35">
      <c r="A50" s="155"/>
      <c r="B50" s="177"/>
      <c r="C50" s="430"/>
      <c r="D50" s="414"/>
      <c r="E50" s="158"/>
      <c r="F50" s="155"/>
    </row>
    <row r="51" spans="1:8" x14ac:dyDescent="0.35">
      <c r="A51" s="155"/>
      <c r="B51" s="158"/>
      <c r="C51" s="159"/>
      <c r="D51" s="159"/>
      <c r="E51" s="159"/>
      <c r="F51" s="155"/>
    </row>
    <row r="52" spans="1:8" x14ac:dyDescent="0.35">
      <c r="A52" s="155"/>
      <c r="B52" s="764" t="str">
        <f>B3</f>
        <v>SAN DIEGO GAS &amp; ELECTRIC COMPANY</v>
      </c>
      <c r="C52" s="782"/>
      <c r="D52" s="782"/>
      <c r="E52" s="782"/>
      <c r="F52" s="155"/>
    </row>
    <row r="53" spans="1:8" x14ac:dyDescent="0.35">
      <c r="A53" s="155"/>
      <c r="B53" s="764" t="str">
        <f>B4</f>
        <v xml:space="preserve">Derivation of End Use Transmission Rate Base </v>
      </c>
      <c r="C53" s="782"/>
      <c r="D53" s="782"/>
      <c r="E53" s="782"/>
      <c r="F53" s="155"/>
    </row>
    <row r="54" spans="1:8" x14ac:dyDescent="0.35">
      <c r="A54" s="155"/>
      <c r="B54" s="783" t="str">
        <f>B5</f>
        <v>Base Period &amp; True-Up Period 12 - Months Ending December 31, 2021</v>
      </c>
      <c r="C54" s="784"/>
      <c r="D54" s="784"/>
      <c r="E54" s="784"/>
      <c r="F54" s="155"/>
    </row>
    <row r="55" spans="1:8" x14ac:dyDescent="0.35">
      <c r="A55" s="155"/>
      <c r="B55" s="785" t="s">
        <v>1</v>
      </c>
      <c r="C55" s="782"/>
      <c r="D55" s="782"/>
      <c r="E55" s="782"/>
      <c r="F55" s="155"/>
    </row>
    <row r="56" spans="1:8" x14ac:dyDescent="0.35">
      <c r="A56" s="155"/>
      <c r="B56" s="512"/>
      <c r="C56" s="159"/>
      <c r="D56" s="159"/>
      <c r="E56" s="159"/>
      <c r="F56" s="155"/>
    </row>
    <row r="57" spans="1:8" x14ac:dyDescent="0.35">
      <c r="A57" s="155" t="s">
        <v>2</v>
      </c>
      <c r="B57" s="512"/>
      <c r="C57" s="159"/>
      <c r="D57" s="159"/>
      <c r="E57" s="159"/>
      <c r="F57" s="155"/>
    </row>
    <row r="58" spans="1:8" x14ac:dyDescent="0.35">
      <c r="A58" s="155" t="s">
        <v>3</v>
      </c>
      <c r="B58" s="512"/>
      <c r="C58" s="159"/>
      <c r="D58" s="159"/>
      <c r="E58" s="159"/>
      <c r="F58" s="155"/>
    </row>
    <row r="59" spans="1:8" x14ac:dyDescent="0.35">
      <c r="A59" s="155"/>
      <c r="B59" s="293" t="s">
        <v>443</v>
      </c>
      <c r="C59" s="159"/>
      <c r="D59" s="159"/>
      <c r="E59" s="159"/>
      <c r="F59" s="155"/>
    </row>
    <row r="60" spans="1:8" x14ac:dyDescent="0.35">
      <c r="A60" s="155"/>
      <c r="B60" s="409"/>
      <c r="C60" s="407"/>
      <c r="D60" s="407"/>
      <c r="E60" s="158"/>
      <c r="F60" s="155"/>
    </row>
    <row r="61" spans="1:8" x14ac:dyDescent="0.35">
      <c r="A61" s="155">
        <v>1</v>
      </c>
      <c r="B61" s="293" t="s">
        <v>444</v>
      </c>
      <c r="C61" s="407"/>
      <c r="D61" s="407"/>
      <c r="E61" s="158"/>
      <c r="F61" s="155">
        <f t="shared" ref="F61:F85" si="2">A61</f>
        <v>1</v>
      </c>
    </row>
    <row r="62" spans="1:8" x14ac:dyDescent="0.35">
      <c r="A62" s="155">
        <v>2</v>
      </c>
      <c r="B62" s="175" t="s">
        <v>400</v>
      </c>
      <c r="C62" s="435">
        <v>7121919.3161269231</v>
      </c>
      <c r="D62" s="407"/>
      <c r="E62" s="197" t="s">
        <v>445</v>
      </c>
      <c r="F62" s="155">
        <f t="shared" si="2"/>
        <v>2</v>
      </c>
      <c r="G62" s="436"/>
      <c r="H62" s="437"/>
    </row>
    <row r="63" spans="1:8" x14ac:dyDescent="0.35">
      <c r="A63" s="155">
        <v>3</v>
      </c>
      <c r="B63" s="175" t="s">
        <v>446</v>
      </c>
      <c r="C63" s="438">
        <v>21037.006920873984</v>
      </c>
      <c r="D63" s="407"/>
      <c r="E63" s="197" t="s">
        <v>447</v>
      </c>
      <c r="F63" s="155">
        <f t="shared" si="2"/>
        <v>3</v>
      </c>
      <c r="G63" s="436"/>
      <c r="H63" s="437"/>
    </row>
    <row r="64" spans="1:8" x14ac:dyDescent="0.35">
      <c r="A64" s="155">
        <v>4</v>
      </c>
      <c r="B64" s="175" t="s">
        <v>228</v>
      </c>
      <c r="C64" s="438">
        <v>55230.055232987666</v>
      </c>
      <c r="D64" s="407"/>
      <c r="E64" s="197" t="s">
        <v>229</v>
      </c>
      <c r="F64" s="155">
        <f t="shared" si="2"/>
        <v>4</v>
      </c>
      <c r="G64" s="436"/>
      <c r="H64" s="439"/>
    </row>
    <row r="65" spans="1:8" x14ac:dyDescent="0.35">
      <c r="A65" s="155">
        <v>5</v>
      </c>
      <c r="B65" s="175" t="s">
        <v>404</v>
      </c>
      <c r="C65" s="598">
        <v>149909.32883735534</v>
      </c>
      <c r="D65" s="407"/>
      <c r="E65" s="197" t="s">
        <v>231</v>
      </c>
      <c r="F65" s="155">
        <f t="shared" si="2"/>
        <v>5</v>
      </c>
      <c r="G65" s="437"/>
      <c r="H65" s="437"/>
    </row>
    <row r="66" spans="1:8" x14ac:dyDescent="0.35">
      <c r="A66" s="155">
        <v>6</v>
      </c>
      <c r="B66" s="175" t="s">
        <v>448</v>
      </c>
      <c r="C66" s="413">
        <f>SUM(C62:C65)</f>
        <v>7348095.7071181405</v>
      </c>
      <c r="D66" s="414"/>
      <c r="E66" s="197" t="s">
        <v>407</v>
      </c>
      <c r="F66" s="155">
        <f t="shared" si="2"/>
        <v>6</v>
      </c>
      <c r="G66" s="436"/>
      <c r="H66" s="437"/>
    </row>
    <row r="67" spans="1:8" x14ac:dyDescent="0.35">
      <c r="A67" s="155">
        <v>7</v>
      </c>
      <c r="B67" s="252"/>
      <c r="C67" s="440"/>
      <c r="D67" s="407"/>
      <c r="E67" s="158"/>
      <c r="F67" s="155">
        <f t="shared" si="2"/>
        <v>7</v>
      </c>
      <c r="G67" s="437"/>
      <c r="H67" s="437"/>
    </row>
    <row r="68" spans="1:8" x14ac:dyDescent="0.35">
      <c r="A68" s="155">
        <v>8</v>
      </c>
      <c r="B68" s="292" t="s">
        <v>449</v>
      </c>
      <c r="C68" s="440"/>
      <c r="D68" s="407"/>
      <c r="E68" s="158"/>
      <c r="F68" s="155">
        <f t="shared" si="2"/>
        <v>8</v>
      </c>
      <c r="G68" s="437"/>
      <c r="H68" s="437"/>
    </row>
    <row r="69" spans="1:8" x14ac:dyDescent="0.35">
      <c r="A69" s="155">
        <v>9</v>
      </c>
      <c r="B69" s="252" t="s">
        <v>450</v>
      </c>
      <c r="C69" s="435">
        <v>1546061.8911092309</v>
      </c>
      <c r="D69" s="407"/>
      <c r="E69" s="197" t="s">
        <v>451</v>
      </c>
      <c r="F69" s="155">
        <f t="shared" si="2"/>
        <v>9</v>
      </c>
      <c r="G69" s="437"/>
      <c r="H69" s="437"/>
    </row>
    <row r="70" spans="1:8" x14ac:dyDescent="0.35">
      <c r="A70" s="155">
        <v>10</v>
      </c>
      <c r="B70" s="252" t="s">
        <v>452</v>
      </c>
      <c r="C70" s="438">
        <v>18272.659592326618</v>
      </c>
      <c r="D70" s="407"/>
      <c r="E70" s="197" t="s">
        <v>453</v>
      </c>
      <c r="F70" s="155">
        <f t="shared" si="2"/>
        <v>10</v>
      </c>
      <c r="G70" s="437"/>
      <c r="H70" s="437"/>
    </row>
    <row r="71" spans="1:8" x14ac:dyDescent="0.35">
      <c r="A71" s="155">
        <v>11</v>
      </c>
      <c r="B71" s="252" t="s">
        <v>454</v>
      </c>
      <c r="C71" s="438">
        <v>22898.06557151573</v>
      </c>
      <c r="D71" s="407"/>
      <c r="E71" s="197" t="s">
        <v>455</v>
      </c>
      <c r="F71" s="155">
        <f t="shared" si="2"/>
        <v>11</v>
      </c>
      <c r="G71" s="437"/>
      <c r="H71" s="437"/>
    </row>
    <row r="72" spans="1:8" x14ac:dyDescent="0.35">
      <c r="A72" s="155">
        <v>12</v>
      </c>
      <c r="B72" s="252" t="s">
        <v>456</v>
      </c>
      <c r="C72" s="598">
        <v>68834.911463595534</v>
      </c>
      <c r="D72" s="407"/>
      <c r="E72" s="197" t="s">
        <v>457</v>
      </c>
      <c r="F72" s="155">
        <f t="shared" si="2"/>
        <v>12</v>
      </c>
      <c r="G72" s="437"/>
      <c r="H72" s="437"/>
    </row>
    <row r="73" spans="1:8" x14ac:dyDescent="0.35">
      <c r="A73" s="155">
        <v>13</v>
      </c>
      <c r="B73" s="441" t="s">
        <v>458</v>
      </c>
      <c r="C73" s="413">
        <v>1686886.9755020197</v>
      </c>
      <c r="D73" s="414"/>
      <c r="E73" s="197" t="s">
        <v>459</v>
      </c>
      <c r="F73" s="155">
        <f t="shared" si="2"/>
        <v>13</v>
      </c>
      <c r="G73" s="437"/>
      <c r="H73" s="437"/>
    </row>
    <row r="74" spans="1:8" x14ac:dyDescent="0.35">
      <c r="A74" s="155">
        <v>14</v>
      </c>
      <c r="B74" s="441"/>
      <c r="C74" s="424"/>
      <c r="D74" s="425"/>
      <c r="E74" s="158"/>
      <c r="F74" s="155">
        <f t="shared" si="2"/>
        <v>14</v>
      </c>
      <c r="G74" s="437"/>
      <c r="H74" s="437"/>
    </row>
    <row r="75" spans="1:8" x14ac:dyDescent="0.35">
      <c r="A75" s="155">
        <v>15</v>
      </c>
      <c r="B75" s="293" t="s">
        <v>399</v>
      </c>
      <c r="C75" s="424"/>
      <c r="D75" s="425"/>
      <c r="E75" s="158"/>
      <c r="F75" s="155">
        <f t="shared" si="2"/>
        <v>15</v>
      </c>
      <c r="G75" s="437"/>
      <c r="H75" s="437"/>
    </row>
    <row r="76" spans="1:8" x14ac:dyDescent="0.35">
      <c r="A76" s="155">
        <v>16</v>
      </c>
      <c r="B76" s="175" t="s">
        <v>400</v>
      </c>
      <c r="C76" s="538">
        <f>C62-C69</f>
        <v>5575857.4250176921</v>
      </c>
      <c r="D76" s="672"/>
      <c r="E76" s="197" t="s">
        <v>460</v>
      </c>
      <c r="F76" s="155">
        <f t="shared" si="2"/>
        <v>16</v>
      </c>
      <c r="G76" s="437"/>
      <c r="H76" s="437"/>
    </row>
    <row r="77" spans="1:8" x14ac:dyDescent="0.35">
      <c r="A77" s="155">
        <v>17</v>
      </c>
      <c r="B77" s="175" t="s">
        <v>226</v>
      </c>
      <c r="C77" s="442">
        <f>C63-C70</f>
        <v>2764.3473285473665</v>
      </c>
      <c r="D77" s="443"/>
      <c r="E77" s="197" t="s">
        <v>461</v>
      </c>
      <c r="F77" s="155">
        <f t="shared" si="2"/>
        <v>17</v>
      </c>
      <c r="G77" s="437"/>
      <c r="H77" s="437"/>
    </row>
    <row r="78" spans="1:8" x14ac:dyDescent="0.35">
      <c r="A78" s="155">
        <v>18</v>
      </c>
      <c r="B78" s="175" t="s">
        <v>228</v>
      </c>
      <c r="C78" s="442">
        <f>C64-C71</f>
        <v>32331.989661471936</v>
      </c>
      <c r="D78" s="443"/>
      <c r="E78" s="197" t="s">
        <v>462</v>
      </c>
      <c r="F78" s="155">
        <f t="shared" si="2"/>
        <v>18</v>
      </c>
    </row>
    <row r="79" spans="1:8" x14ac:dyDescent="0.35">
      <c r="A79" s="155">
        <v>19</v>
      </c>
      <c r="B79" s="175" t="s">
        <v>404</v>
      </c>
      <c r="C79" s="599">
        <f>C65-C72</f>
        <v>81074.417373759803</v>
      </c>
      <c r="D79" s="444"/>
      <c r="E79" s="197" t="s">
        <v>463</v>
      </c>
      <c r="F79" s="155">
        <f t="shared" si="2"/>
        <v>19</v>
      </c>
    </row>
    <row r="80" spans="1:8" ht="16" thickBot="1" x14ac:dyDescent="0.4">
      <c r="A80" s="155">
        <v>20</v>
      </c>
      <c r="B80" s="252" t="s">
        <v>406</v>
      </c>
      <c r="C80" s="539">
        <f>SUM(C76:C79)</f>
        <v>5692028.1793814711</v>
      </c>
      <c r="D80" s="414"/>
      <c r="E80" s="197" t="s">
        <v>464</v>
      </c>
      <c r="F80" s="155">
        <f t="shared" si="2"/>
        <v>20</v>
      </c>
    </row>
    <row r="81" spans="1:6" ht="16" thickTop="1" x14ac:dyDescent="0.35">
      <c r="A81" s="155">
        <v>21</v>
      </c>
      <c r="B81" s="177"/>
      <c r="C81" s="414"/>
      <c r="D81" s="414"/>
      <c r="E81" s="158"/>
      <c r="F81" s="155">
        <f t="shared" si="2"/>
        <v>21</v>
      </c>
    </row>
    <row r="82" spans="1:6" x14ac:dyDescent="0.35">
      <c r="A82" s="155">
        <v>22</v>
      </c>
      <c r="B82" s="293" t="s">
        <v>465</v>
      </c>
      <c r="C82" s="414"/>
      <c r="D82" s="414"/>
      <c r="E82" s="158"/>
      <c r="F82" s="155">
        <f t="shared" si="2"/>
        <v>22</v>
      </c>
    </row>
    <row r="83" spans="1:6" x14ac:dyDescent="0.35">
      <c r="A83" s="155">
        <v>23</v>
      </c>
      <c r="B83" s="175" t="s">
        <v>466</v>
      </c>
      <c r="C83" s="431">
        <v>0</v>
      </c>
      <c r="D83" s="414"/>
      <c r="E83" s="197" t="s">
        <v>227</v>
      </c>
      <c r="F83" s="155">
        <f t="shared" si="2"/>
        <v>23</v>
      </c>
    </row>
    <row r="84" spans="1:6" x14ac:dyDescent="0.35">
      <c r="A84" s="155">
        <v>24</v>
      </c>
      <c r="B84" s="252" t="s">
        <v>467</v>
      </c>
      <c r="C84" s="597">
        <v>0</v>
      </c>
      <c r="D84" s="414"/>
      <c r="E84" s="197" t="s">
        <v>227</v>
      </c>
      <c r="F84" s="155">
        <f t="shared" si="2"/>
        <v>24</v>
      </c>
    </row>
    <row r="85" spans="1:6" ht="16" thickBot="1" x14ac:dyDescent="0.4">
      <c r="A85" s="155">
        <v>25</v>
      </c>
      <c r="B85" s="175" t="s">
        <v>468</v>
      </c>
      <c r="C85" s="445">
        <f>C83-C84</f>
        <v>0</v>
      </c>
      <c r="D85" s="414"/>
      <c r="E85" s="197" t="s">
        <v>469</v>
      </c>
      <c r="F85" s="155">
        <f t="shared" si="2"/>
        <v>25</v>
      </c>
    </row>
    <row r="86" spans="1:6" ht="16" thickTop="1" x14ac:dyDescent="0.35">
      <c r="A86" s="155"/>
    </row>
  </sheetData>
  <mergeCells count="8">
    <mergeCell ref="B3:E3"/>
    <mergeCell ref="B52:E52"/>
    <mergeCell ref="B53:E53"/>
    <mergeCell ref="B54:E54"/>
    <mergeCell ref="B55:E55"/>
    <mergeCell ref="B4:E4"/>
    <mergeCell ref="B5:E5"/>
    <mergeCell ref="B6:E6"/>
  </mergeCells>
  <printOptions horizontalCentered="1"/>
  <pageMargins left="0.25" right="0.25" top="0.5" bottom="0.5" header="0.35" footer="0.25"/>
  <pageSetup scale="60" orientation="portrait" r:id="rId1"/>
  <headerFooter scaleWithDoc="0" alignWithMargins="0">
    <oddHeader>&amp;C&amp;"Times New Roman,Bold"&amp;7AS FILED</oddHeader>
    <oddFooter>&amp;L&amp;F&amp;CPage 13.&amp;P&amp;R&amp;A</oddFooter>
  </headerFooter>
  <rowBreaks count="1" manualBreakCount="1">
    <brk id="50" max="5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A153B-BA8D-4212-872B-5B9856F02971}">
  <sheetPr>
    <pageSetUpPr fitToPage="1"/>
  </sheetPr>
  <dimension ref="A1:J58"/>
  <sheetViews>
    <sheetView zoomScale="80" zoomScaleNormal="80" workbookViewId="0"/>
  </sheetViews>
  <sheetFormatPr defaultColWidth="9.1796875" defaultRowHeight="15.5" x14ac:dyDescent="0.35"/>
  <cols>
    <col min="1" max="1" width="5.1796875" style="446" customWidth="1"/>
    <col min="2" max="2" width="12.54296875" style="516" customWidth="1"/>
    <col min="3" max="3" width="20" style="516" customWidth="1"/>
    <col min="4" max="8" width="21.54296875" style="516" customWidth="1"/>
    <col min="9" max="9" width="5.1796875" style="446" customWidth="1"/>
    <col min="10" max="10" width="13.54296875" style="516" customWidth="1"/>
    <col min="11" max="11" width="12.54296875" style="516" customWidth="1"/>
    <col min="12" max="16384" width="9.1796875" style="516"/>
  </cols>
  <sheetData>
    <row r="1" spans="1:10" x14ac:dyDescent="0.35">
      <c r="D1" s="517"/>
    </row>
    <row r="2" spans="1:10" x14ac:dyDescent="0.35">
      <c r="B2" s="786" t="s">
        <v>14</v>
      </c>
      <c r="C2" s="786"/>
      <c r="D2" s="786"/>
      <c r="E2" s="786"/>
      <c r="F2" s="786"/>
      <c r="G2" s="786"/>
      <c r="H2" s="786"/>
      <c r="I2" s="518"/>
    </row>
    <row r="3" spans="1:10" x14ac:dyDescent="0.35">
      <c r="B3" s="787" t="s">
        <v>646</v>
      </c>
      <c r="C3" s="787"/>
      <c r="D3" s="787"/>
      <c r="E3" s="787"/>
      <c r="F3" s="787"/>
      <c r="G3" s="787"/>
      <c r="H3" s="787"/>
      <c r="I3" s="518"/>
    </row>
    <row r="4" spans="1:10" x14ac:dyDescent="0.35">
      <c r="B4" s="787" t="s">
        <v>644</v>
      </c>
      <c r="C4" s="787"/>
      <c r="D4" s="787"/>
      <c r="E4" s="787"/>
      <c r="F4" s="787"/>
      <c r="G4" s="787"/>
      <c r="H4" s="787"/>
      <c r="I4" s="518"/>
    </row>
    <row r="5" spans="1:10" x14ac:dyDescent="0.35">
      <c r="B5" s="788" t="s">
        <v>1</v>
      </c>
      <c r="C5" s="788"/>
      <c r="D5" s="788"/>
      <c r="E5" s="788"/>
      <c r="F5" s="788"/>
      <c r="G5" s="788"/>
      <c r="H5" s="788"/>
      <c r="I5" s="518"/>
    </row>
    <row r="6" spans="1:10" x14ac:dyDescent="0.35">
      <c r="A6" s="518"/>
      <c r="B6" s="518"/>
      <c r="C6" s="518"/>
      <c r="D6" s="518"/>
      <c r="E6" s="518"/>
      <c r="F6" s="518"/>
      <c r="G6" s="518"/>
      <c r="H6" s="518"/>
      <c r="I6" s="518"/>
    </row>
    <row r="7" spans="1:10" x14ac:dyDescent="0.35">
      <c r="A7" s="34" t="s">
        <v>2</v>
      </c>
      <c r="B7" s="51"/>
      <c r="I7" s="34" t="s">
        <v>2</v>
      </c>
    </row>
    <row r="8" spans="1:10" x14ac:dyDescent="0.35">
      <c r="A8" s="566" t="s">
        <v>3</v>
      </c>
      <c r="B8" s="51"/>
      <c r="I8" s="566" t="s">
        <v>3</v>
      </c>
    </row>
    <row r="9" spans="1:10" x14ac:dyDescent="0.35">
      <c r="A9" s="34">
        <v>1</v>
      </c>
      <c r="C9" s="275" t="s">
        <v>124</v>
      </c>
      <c r="D9" s="275" t="s">
        <v>125</v>
      </c>
      <c r="E9" s="275" t="s">
        <v>126</v>
      </c>
      <c r="F9" s="275" t="s">
        <v>127</v>
      </c>
      <c r="G9" s="275" t="s">
        <v>128</v>
      </c>
      <c r="H9" s="275" t="s">
        <v>129</v>
      </c>
      <c r="I9" s="34">
        <v>1</v>
      </c>
    </row>
    <row r="10" spans="1:10" x14ac:dyDescent="0.35">
      <c r="A10" s="34">
        <f t="shared" ref="A10:A44" si="0">A9+1</f>
        <v>2</v>
      </c>
      <c r="B10" s="519" t="s">
        <v>135</v>
      </c>
      <c r="C10" s="34"/>
      <c r="D10" s="66" t="s">
        <v>470</v>
      </c>
      <c r="E10" s="34"/>
      <c r="F10" s="34" t="s">
        <v>471</v>
      </c>
      <c r="G10" s="34" t="s">
        <v>472</v>
      </c>
      <c r="H10" s="66" t="s">
        <v>473</v>
      </c>
      <c r="I10" s="34">
        <f t="shared" ref="I10:I44" si="1">I9+1</f>
        <v>2</v>
      </c>
    </row>
    <row r="11" spans="1:10" x14ac:dyDescent="0.35">
      <c r="A11" s="34">
        <f t="shared" si="0"/>
        <v>3</v>
      </c>
      <c r="C11" s="275"/>
      <c r="F11" s="324" t="s">
        <v>136</v>
      </c>
      <c r="H11" s="324" t="s">
        <v>136</v>
      </c>
      <c r="I11" s="34">
        <f t="shared" si="1"/>
        <v>3</v>
      </c>
    </row>
    <row r="12" spans="1:10" x14ac:dyDescent="0.35">
      <c r="A12" s="34">
        <f t="shared" si="0"/>
        <v>4</v>
      </c>
      <c r="C12" s="275"/>
      <c r="D12" s="324" t="s">
        <v>137</v>
      </c>
      <c r="E12" s="324"/>
      <c r="F12" s="324" t="s">
        <v>138</v>
      </c>
      <c r="H12" s="324" t="s">
        <v>138</v>
      </c>
      <c r="I12" s="34">
        <f t="shared" si="1"/>
        <v>4</v>
      </c>
    </row>
    <row r="13" spans="1:10" x14ac:dyDescent="0.35">
      <c r="A13" s="34">
        <f t="shared" si="0"/>
        <v>5</v>
      </c>
      <c r="C13" s="324"/>
      <c r="D13" s="324" t="s">
        <v>138</v>
      </c>
      <c r="E13" s="324" t="s">
        <v>137</v>
      </c>
      <c r="F13" s="324" t="s">
        <v>141</v>
      </c>
      <c r="H13" s="324" t="s">
        <v>141</v>
      </c>
      <c r="I13" s="34">
        <f t="shared" si="1"/>
        <v>5</v>
      </c>
    </row>
    <row r="14" spans="1:10" x14ac:dyDescent="0.35">
      <c r="A14" s="34">
        <f t="shared" si="0"/>
        <v>6</v>
      </c>
      <c r="C14" s="324"/>
      <c r="D14" s="324" t="s">
        <v>141</v>
      </c>
      <c r="E14" s="324" t="s">
        <v>144</v>
      </c>
      <c r="F14" s="324" t="s">
        <v>145</v>
      </c>
      <c r="G14" s="324"/>
      <c r="H14" s="324" t="s">
        <v>145</v>
      </c>
      <c r="I14" s="34">
        <f t="shared" si="1"/>
        <v>6</v>
      </c>
    </row>
    <row r="15" spans="1:10" ht="18" x14ac:dyDescent="0.35">
      <c r="A15" s="34">
        <f t="shared" si="0"/>
        <v>7</v>
      </c>
      <c r="B15" s="673" t="s">
        <v>146</v>
      </c>
      <c r="C15" s="673" t="s">
        <v>147</v>
      </c>
      <c r="D15" s="674" t="s">
        <v>145</v>
      </c>
      <c r="E15" s="674" t="s">
        <v>474</v>
      </c>
      <c r="F15" s="674" t="s">
        <v>154</v>
      </c>
      <c r="G15" s="675" t="s">
        <v>144</v>
      </c>
      <c r="H15" s="674" t="s">
        <v>155</v>
      </c>
      <c r="I15" s="34">
        <f t="shared" si="1"/>
        <v>7</v>
      </c>
    </row>
    <row r="16" spans="1:10" x14ac:dyDescent="0.35">
      <c r="A16" s="34">
        <f t="shared" si="0"/>
        <v>8</v>
      </c>
      <c r="B16" s="568" t="s">
        <v>156</v>
      </c>
      <c r="C16" s="569">
        <v>2021</v>
      </c>
      <c r="D16" s="536">
        <f>'Pg2 Appendix XII C5 Comparison'!G53/12</f>
        <v>1.0901515767693961</v>
      </c>
      <c r="E16" s="520">
        <v>2.8E-3</v>
      </c>
      <c r="F16" s="610">
        <f>+D16</f>
        <v>1.0901515767693961</v>
      </c>
      <c r="G16" s="612">
        <f>(D16/2)*E16</f>
        <v>1.5262122074771545E-3</v>
      </c>
      <c r="H16" s="241">
        <f t="shared" ref="H16" si="2">F16+G16</f>
        <v>1.0916777889768732</v>
      </c>
      <c r="I16" s="34">
        <f t="shared" si="1"/>
        <v>8</v>
      </c>
      <c r="J16" s="521"/>
    </row>
    <row r="17" spans="1:10" x14ac:dyDescent="0.35">
      <c r="A17" s="34">
        <f t="shared" si="0"/>
        <v>9</v>
      </c>
      <c r="B17" s="568" t="s">
        <v>157</v>
      </c>
      <c r="C17" s="569">
        <f>C16</f>
        <v>2021</v>
      </c>
      <c r="D17" s="537">
        <f>$D$16</f>
        <v>1.0901515767693961</v>
      </c>
      <c r="E17" s="520">
        <v>2.5000000000000001E-3</v>
      </c>
      <c r="F17" s="610">
        <f t="shared" ref="F17:F44" si="3">H16+D17</f>
        <v>2.1818293657462693</v>
      </c>
      <c r="G17" s="613">
        <f t="shared" ref="G17:G44" si="4">(H16+F17)/2*E17</f>
        <v>4.091883943403928E-3</v>
      </c>
      <c r="H17" s="176">
        <f t="shared" ref="H17:H44" si="5">F17+G17</f>
        <v>2.1859212496896734</v>
      </c>
      <c r="I17" s="34">
        <f t="shared" si="1"/>
        <v>9</v>
      </c>
      <c r="J17" s="521"/>
    </row>
    <row r="18" spans="1:10" x14ac:dyDescent="0.35">
      <c r="A18" s="34">
        <f t="shared" si="0"/>
        <v>10</v>
      </c>
      <c r="B18" s="568" t="s">
        <v>158</v>
      </c>
      <c r="C18" s="569">
        <f t="shared" ref="C18:C26" si="6">C17</f>
        <v>2021</v>
      </c>
      <c r="D18" s="537">
        <f t="shared" ref="D18:D27" si="7">$D$16</f>
        <v>1.0901515767693961</v>
      </c>
      <c r="E18" s="520">
        <v>2.8E-3</v>
      </c>
      <c r="F18" s="610">
        <f t="shared" si="3"/>
        <v>3.2760728264590693</v>
      </c>
      <c r="G18" s="613">
        <f t="shared" si="4"/>
        <v>7.6467917066082407E-3</v>
      </c>
      <c r="H18" s="176">
        <f t="shared" si="5"/>
        <v>3.2837196181656774</v>
      </c>
      <c r="I18" s="34">
        <f t="shared" si="1"/>
        <v>10</v>
      </c>
      <c r="J18" s="521"/>
    </row>
    <row r="19" spans="1:10" x14ac:dyDescent="0.35">
      <c r="A19" s="34">
        <f t="shared" si="0"/>
        <v>11</v>
      </c>
      <c r="B19" s="568" t="s">
        <v>159</v>
      </c>
      <c r="C19" s="569">
        <f t="shared" si="6"/>
        <v>2021</v>
      </c>
      <c r="D19" s="537">
        <f t="shared" si="7"/>
        <v>1.0901515767693961</v>
      </c>
      <c r="E19" s="520">
        <v>2.7000000000000001E-3</v>
      </c>
      <c r="F19" s="610">
        <f t="shared" si="3"/>
        <v>4.3738711949350737</v>
      </c>
      <c r="G19" s="613">
        <f t="shared" si="4"/>
        <v>1.0337747597686015E-2</v>
      </c>
      <c r="H19" s="176">
        <f t="shared" si="5"/>
        <v>4.3842089425327595</v>
      </c>
      <c r="I19" s="34">
        <f t="shared" si="1"/>
        <v>11</v>
      </c>
      <c r="J19" s="521"/>
    </row>
    <row r="20" spans="1:10" x14ac:dyDescent="0.35">
      <c r="A20" s="34">
        <f t="shared" si="0"/>
        <v>12</v>
      </c>
      <c r="B20" s="568" t="s">
        <v>160</v>
      </c>
      <c r="C20" s="569">
        <f t="shared" si="6"/>
        <v>2021</v>
      </c>
      <c r="D20" s="537">
        <f t="shared" si="7"/>
        <v>1.0901515767693961</v>
      </c>
      <c r="E20" s="520">
        <v>2.8E-3</v>
      </c>
      <c r="F20" s="610">
        <f t="shared" si="3"/>
        <v>5.4743605193021558</v>
      </c>
      <c r="G20" s="613">
        <f t="shared" si="4"/>
        <v>1.380199724656888E-2</v>
      </c>
      <c r="H20" s="176">
        <f t="shared" si="5"/>
        <v>5.4881625165487247</v>
      </c>
      <c r="I20" s="34">
        <f t="shared" si="1"/>
        <v>12</v>
      </c>
      <c r="J20" s="521"/>
    </row>
    <row r="21" spans="1:10" x14ac:dyDescent="0.35">
      <c r="A21" s="34">
        <f t="shared" si="0"/>
        <v>13</v>
      </c>
      <c r="B21" s="568" t="s">
        <v>161</v>
      </c>
      <c r="C21" s="569">
        <f t="shared" si="6"/>
        <v>2021</v>
      </c>
      <c r="D21" s="537">
        <f t="shared" si="7"/>
        <v>1.0901515767693961</v>
      </c>
      <c r="E21" s="520">
        <v>2.7000000000000001E-3</v>
      </c>
      <c r="F21" s="610">
        <f t="shared" si="3"/>
        <v>6.578314093318121</v>
      </c>
      <c r="G21" s="613">
        <f t="shared" si="4"/>
        <v>1.6289743423320242E-2</v>
      </c>
      <c r="H21" s="176">
        <f t="shared" si="5"/>
        <v>6.5946038367414417</v>
      </c>
      <c r="I21" s="34">
        <f t="shared" si="1"/>
        <v>13</v>
      </c>
      <c r="J21" s="521"/>
    </row>
    <row r="22" spans="1:10" x14ac:dyDescent="0.35">
      <c r="A22" s="34">
        <f t="shared" si="0"/>
        <v>14</v>
      </c>
      <c r="B22" s="568" t="s">
        <v>162</v>
      </c>
      <c r="C22" s="569">
        <f t="shared" si="6"/>
        <v>2021</v>
      </c>
      <c r="D22" s="537">
        <f t="shared" si="7"/>
        <v>1.0901515767693961</v>
      </c>
      <c r="E22" s="520">
        <v>2.8E-3</v>
      </c>
      <c r="F22" s="610">
        <f t="shared" si="3"/>
        <v>7.684755413510838</v>
      </c>
      <c r="G22" s="613">
        <f t="shared" si="4"/>
        <v>1.9991102950353192E-2</v>
      </c>
      <c r="H22" s="176">
        <f t="shared" si="5"/>
        <v>7.7047465164611912</v>
      </c>
      <c r="I22" s="34">
        <f t="shared" si="1"/>
        <v>14</v>
      </c>
      <c r="J22" s="521"/>
    </row>
    <row r="23" spans="1:10" x14ac:dyDescent="0.35">
      <c r="A23" s="34">
        <f t="shared" si="0"/>
        <v>15</v>
      </c>
      <c r="B23" s="568" t="s">
        <v>163</v>
      </c>
      <c r="C23" s="569">
        <f t="shared" si="6"/>
        <v>2021</v>
      </c>
      <c r="D23" s="537">
        <f t="shared" si="7"/>
        <v>1.0901515767693961</v>
      </c>
      <c r="E23" s="520">
        <v>2.8E-3</v>
      </c>
      <c r="F23" s="610">
        <f t="shared" si="3"/>
        <v>8.7948980932305876</v>
      </c>
      <c r="G23" s="613">
        <f t="shared" si="4"/>
        <v>2.3099502453568489E-2</v>
      </c>
      <c r="H23" s="176">
        <f t="shared" si="5"/>
        <v>8.8179975956841563</v>
      </c>
      <c r="I23" s="34">
        <f t="shared" si="1"/>
        <v>15</v>
      </c>
      <c r="J23" s="521"/>
    </row>
    <row r="24" spans="1:10" x14ac:dyDescent="0.35">
      <c r="A24" s="34">
        <f t="shared" si="0"/>
        <v>16</v>
      </c>
      <c r="B24" s="568" t="s">
        <v>164</v>
      </c>
      <c r="C24" s="569">
        <f t="shared" si="6"/>
        <v>2021</v>
      </c>
      <c r="D24" s="537">
        <f t="shared" si="7"/>
        <v>1.0901515767693961</v>
      </c>
      <c r="E24" s="520">
        <v>2.7000000000000001E-3</v>
      </c>
      <c r="F24" s="610">
        <f t="shared" si="3"/>
        <v>9.9081491724535518</v>
      </c>
      <c r="G24" s="613">
        <f t="shared" si="4"/>
        <v>2.5280298136985908E-2</v>
      </c>
      <c r="H24" s="176">
        <f t="shared" si="5"/>
        <v>9.9334294705905375</v>
      </c>
      <c r="I24" s="34">
        <f t="shared" si="1"/>
        <v>16</v>
      </c>
      <c r="J24" s="521"/>
    </row>
    <row r="25" spans="1:10" x14ac:dyDescent="0.35">
      <c r="A25" s="34">
        <f t="shared" si="0"/>
        <v>17</v>
      </c>
      <c r="B25" s="568" t="s">
        <v>165</v>
      </c>
      <c r="C25" s="569">
        <f t="shared" si="6"/>
        <v>2021</v>
      </c>
      <c r="D25" s="537">
        <f t="shared" si="7"/>
        <v>1.0901515767693961</v>
      </c>
      <c r="E25" s="520">
        <v>2.8E-3</v>
      </c>
      <c r="F25" s="610">
        <f t="shared" si="3"/>
        <v>11.023581047359933</v>
      </c>
      <c r="G25" s="613">
        <f t="shared" si="4"/>
        <v>2.9339814725130659E-2</v>
      </c>
      <c r="H25" s="176">
        <f t="shared" si="5"/>
        <v>11.052920862085063</v>
      </c>
      <c r="I25" s="34">
        <f t="shared" si="1"/>
        <v>17</v>
      </c>
      <c r="J25" s="521"/>
    </row>
    <row r="26" spans="1:10" x14ac:dyDescent="0.35">
      <c r="A26" s="34">
        <f t="shared" si="0"/>
        <v>18</v>
      </c>
      <c r="B26" s="568" t="s">
        <v>166</v>
      </c>
      <c r="C26" s="569">
        <f t="shared" si="6"/>
        <v>2021</v>
      </c>
      <c r="D26" s="537">
        <f t="shared" si="7"/>
        <v>1.0901515767693961</v>
      </c>
      <c r="E26" s="520">
        <v>2.7000000000000001E-3</v>
      </c>
      <c r="F26" s="610">
        <f t="shared" si="3"/>
        <v>12.143072438854459</v>
      </c>
      <c r="G26" s="613">
        <f t="shared" si="4"/>
        <v>3.1314590956268352E-2</v>
      </c>
      <c r="H26" s="176">
        <f t="shared" si="5"/>
        <v>12.174387029810728</v>
      </c>
      <c r="I26" s="34">
        <f t="shared" si="1"/>
        <v>18</v>
      </c>
      <c r="J26" s="521"/>
    </row>
    <row r="27" spans="1:10" x14ac:dyDescent="0.35">
      <c r="A27" s="34">
        <f t="shared" si="0"/>
        <v>19</v>
      </c>
      <c r="B27" s="570" t="s">
        <v>167</v>
      </c>
      <c r="C27" s="571">
        <f>C26</f>
        <v>2021</v>
      </c>
      <c r="D27" s="631">
        <f t="shared" si="7"/>
        <v>1.0901515767693961</v>
      </c>
      <c r="E27" s="572">
        <v>2.8E-3</v>
      </c>
      <c r="F27" s="611">
        <f t="shared" si="3"/>
        <v>13.264538606580123</v>
      </c>
      <c r="G27" s="677">
        <f t="shared" si="4"/>
        <v>3.5614495890947187E-2</v>
      </c>
      <c r="H27" s="573">
        <f t="shared" si="5"/>
        <v>13.30015310247107</v>
      </c>
      <c r="I27" s="34">
        <f t="shared" si="1"/>
        <v>19</v>
      </c>
      <c r="J27" s="521"/>
    </row>
    <row r="28" spans="1:10" x14ac:dyDescent="0.35">
      <c r="A28" s="34">
        <f t="shared" si="0"/>
        <v>20</v>
      </c>
      <c r="B28" s="568" t="s">
        <v>156</v>
      </c>
      <c r="C28" s="569">
        <v>2022</v>
      </c>
      <c r="D28" s="537"/>
      <c r="E28" s="520">
        <v>2.8E-3</v>
      </c>
      <c r="F28" s="610">
        <f t="shared" si="3"/>
        <v>13.30015310247107</v>
      </c>
      <c r="G28" s="613">
        <f t="shared" si="4"/>
        <v>3.7240428686918993E-2</v>
      </c>
      <c r="H28" s="176">
        <f t="shared" si="5"/>
        <v>13.337393531157989</v>
      </c>
      <c r="I28" s="34">
        <f t="shared" si="1"/>
        <v>20</v>
      </c>
      <c r="J28" s="521"/>
    </row>
    <row r="29" spans="1:10" x14ac:dyDescent="0.35">
      <c r="A29" s="34">
        <f t="shared" si="0"/>
        <v>21</v>
      </c>
      <c r="B29" s="568" t="s">
        <v>157</v>
      </c>
      <c r="C29" s="569">
        <v>2022</v>
      </c>
      <c r="D29" s="537"/>
      <c r="E29" s="520">
        <v>2.5000000000000001E-3</v>
      </c>
      <c r="F29" s="610">
        <f t="shared" si="3"/>
        <v>13.337393531157989</v>
      </c>
      <c r="G29" s="613">
        <f t="shared" si="4"/>
        <v>3.3343483827894975E-2</v>
      </c>
      <c r="H29" s="176">
        <f t="shared" si="5"/>
        <v>13.370737014985885</v>
      </c>
      <c r="I29" s="34">
        <f t="shared" si="1"/>
        <v>21</v>
      </c>
      <c r="J29" s="521"/>
    </row>
    <row r="30" spans="1:10" x14ac:dyDescent="0.35">
      <c r="A30" s="34">
        <f t="shared" si="0"/>
        <v>22</v>
      </c>
      <c r="B30" s="568" t="s">
        <v>158</v>
      </c>
      <c r="C30" s="569">
        <v>2022</v>
      </c>
      <c r="D30" s="537"/>
      <c r="E30" s="520">
        <v>2.8E-3</v>
      </c>
      <c r="F30" s="610">
        <f t="shared" si="3"/>
        <v>13.370737014985885</v>
      </c>
      <c r="G30" s="613">
        <f t="shared" si="4"/>
        <v>3.7438063641960478E-2</v>
      </c>
      <c r="H30" s="176">
        <f t="shared" si="5"/>
        <v>13.408175078627846</v>
      </c>
      <c r="I30" s="34">
        <f t="shared" si="1"/>
        <v>22</v>
      </c>
      <c r="J30" s="521"/>
    </row>
    <row r="31" spans="1:10" x14ac:dyDescent="0.35">
      <c r="A31" s="34">
        <f t="shared" si="0"/>
        <v>23</v>
      </c>
      <c r="B31" s="568" t="s">
        <v>159</v>
      </c>
      <c r="C31" s="569">
        <v>2022</v>
      </c>
      <c r="D31" s="537"/>
      <c r="E31" s="520">
        <v>2.7000000000000001E-3</v>
      </c>
      <c r="F31" s="610">
        <f t="shared" si="3"/>
        <v>13.408175078627846</v>
      </c>
      <c r="G31" s="613">
        <f t="shared" si="4"/>
        <v>3.6202072712295183E-2</v>
      </c>
      <c r="H31" s="176">
        <f t="shared" si="5"/>
        <v>13.444377151340142</v>
      </c>
      <c r="I31" s="34">
        <f t="shared" si="1"/>
        <v>23</v>
      </c>
      <c r="J31" s="521"/>
    </row>
    <row r="32" spans="1:10" x14ac:dyDescent="0.35">
      <c r="A32" s="34">
        <f t="shared" si="0"/>
        <v>24</v>
      </c>
      <c r="B32" s="568" t="s">
        <v>160</v>
      </c>
      <c r="C32" s="569">
        <v>2022</v>
      </c>
      <c r="D32" s="537"/>
      <c r="E32" s="520">
        <v>2.8E-3</v>
      </c>
      <c r="F32" s="610">
        <f t="shared" si="3"/>
        <v>13.444377151340142</v>
      </c>
      <c r="G32" s="613">
        <f t="shared" si="4"/>
        <v>3.7644256023752397E-2</v>
      </c>
      <c r="H32" s="176">
        <f t="shared" si="5"/>
        <v>13.482021407363893</v>
      </c>
      <c r="I32" s="34">
        <f t="shared" si="1"/>
        <v>24</v>
      </c>
      <c r="J32" s="521"/>
    </row>
    <row r="33" spans="1:10" x14ac:dyDescent="0.35">
      <c r="A33" s="34">
        <f t="shared" si="0"/>
        <v>25</v>
      </c>
      <c r="B33" s="568" t="s">
        <v>161</v>
      </c>
      <c r="C33" s="569">
        <v>2022</v>
      </c>
      <c r="D33" s="537"/>
      <c r="E33" s="520">
        <v>2.7000000000000001E-3</v>
      </c>
      <c r="F33" s="610">
        <f t="shared" si="3"/>
        <v>13.482021407363893</v>
      </c>
      <c r="G33" s="613">
        <f t="shared" si="4"/>
        <v>3.6401457799882513E-2</v>
      </c>
      <c r="H33" s="176">
        <f t="shared" si="5"/>
        <v>13.518422865163776</v>
      </c>
      <c r="I33" s="34">
        <f t="shared" si="1"/>
        <v>25</v>
      </c>
      <c r="J33" s="521"/>
    </row>
    <row r="34" spans="1:10" x14ac:dyDescent="0.35">
      <c r="A34" s="34">
        <f t="shared" si="0"/>
        <v>26</v>
      </c>
      <c r="B34" s="568" t="s">
        <v>162</v>
      </c>
      <c r="C34" s="569">
        <v>2022</v>
      </c>
      <c r="D34" s="537"/>
      <c r="E34" s="520">
        <v>3.0999999999999999E-3</v>
      </c>
      <c r="F34" s="610">
        <f t="shared" si="3"/>
        <v>13.518422865163776</v>
      </c>
      <c r="G34" s="613">
        <f t="shared" si="4"/>
        <v>4.1907110882007707E-2</v>
      </c>
      <c r="H34" s="176">
        <f t="shared" si="5"/>
        <v>13.560329976045784</v>
      </c>
      <c r="I34" s="34">
        <f t="shared" si="1"/>
        <v>26</v>
      </c>
      <c r="J34" s="521"/>
    </row>
    <row r="35" spans="1:10" x14ac:dyDescent="0.35">
      <c r="A35" s="34">
        <f t="shared" si="0"/>
        <v>27</v>
      </c>
      <c r="B35" s="568" t="s">
        <v>163</v>
      </c>
      <c r="C35" s="569">
        <v>2022</v>
      </c>
      <c r="D35" s="537"/>
      <c r="E35" s="520">
        <v>3.0999999999999999E-3</v>
      </c>
      <c r="F35" s="610">
        <f t="shared" si="3"/>
        <v>13.560329976045784</v>
      </c>
      <c r="G35" s="613">
        <f t="shared" si="4"/>
        <v>4.2037022925741928E-2</v>
      </c>
      <c r="H35" s="176">
        <f t="shared" si="5"/>
        <v>13.602366998971526</v>
      </c>
      <c r="I35" s="34">
        <f t="shared" si="1"/>
        <v>27</v>
      </c>
      <c r="J35" s="521"/>
    </row>
    <row r="36" spans="1:10" x14ac:dyDescent="0.35">
      <c r="A36" s="34">
        <f t="shared" si="0"/>
        <v>28</v>
      </c>
      <c r="B36" s="568" t="s">
        <v>164</v>
      </c>
      <c r="C36" s="569">
        <v>2022</v>
      </c>
      <c r="D36" s="537"/>
      <c r="E36" s="520">
        <v>3.0000000000000001E-3</v>
      </c>
      <c r="F36" s="610">
        <f t="shared" si="3"/>
        <v>13.602366998971526</v>
      </c>
      <c r="G36" s="613">
        <f t="shared" si="4"/>
        <v>4.0807100996914578E-2</v>
      </c>
      <c r="H36" s="176">
        <f t="shared" si="5"/>
        <v>13.643174099968441</v>
      </c>
      <c r="I36" s="34">
        <f t="shared" si="1"/>
        <v>28</v>
      </c>
      <c r="J36" s="521"/>
    </row>
    <row r="37" spans="1:10" x14ac:dyDescent="0.35">
      <c r="A37" s="34">
        <f t="shared" si="0"/>
        <v>29</v>
      </c>
      <c r="B37" s="568" t="s">
        <v>165</v>
      </c>
      <c r="C37" s="569">
        <v>2022</v>
      </c>
      <c r="D37" s="537"/>
      <c r="E37" s="520">
        <v>4.1999999999999997E-3</v>
      </c>
      <c r="F37" s="610">
        <f t="shared" si="3"/>
        <v>13.643174099968441</v>
      </c>
      <c r="G37" s="613">
        <f t="shared" si="4"/>
        <v>5.7301331219867448E-2</v>
      </c>
      <c r="H37" s="176">
        <f t="shared" si="5"/>
        <v>13.700475431188309</v>
      </c>
      <c r="I37" s="34">
        <f t="shared" si="1"/>
        <v>29</v>
      </c>
      <c r="J37" s="521"/>
    </row>
    <row r="38" spans="1:10" x14ac:dyDescent="0.35">
      <c r="A38" s="34">
        <f t="shared" si="0"/>
        <v>30</v>
      </c>
      <c r="B38" s="568" t="s">
        <v>166</v>
      </c>
      <c r="C38" s="569">
        <v>2022</v>
      </c>
      <c r="D38" s="537"/>
      <c r="E38" s="520">
        <v>4.0000000000000001E-3</v>
      </c>
      <c r="F38" s="610">
        <f t="shared" si="3"/>
        <v>13.700475431188309</v>
      </c>
      <c r="G38" s="613">
        <f t="shared" si="4"/>
        <v>5.4801901724753237E-2</v>
      </c>
      <c r="H38" s="176">
        <f t="shared" si="5"/>
        <v>13.755277332913062</v>
      </c>
      <c r="I38" s="34">
        <f t="shared" si="1"/>
        <v>30</v>
      </c>
      <c r="J38" s="521"/>
    </row>
    <row r="39" spans="1:10" x14ac:dyDescent="0.35">
      <c r="A39" s="34">
        <f t="shared" si="0"/>
        <v>31</v>
      </c>
      <c r="B39" s="570" t="s">
        <v>167</v>
      </c>
      <c r="C39" s="571">
        <v>2022</v>
      </c>
      <c r="D39" s="676"/>
      <c r="E39" s="572">
        <v>4.1999999999999997E-3</v>
      </c>
      <c r="F39" s="611">
        <f t="shared" si="3"/>
        <v>13.755277332913062</v>
      </c>
      <c r="G39" s="677">
        <f t="shared" si="4"/>
        <v>5.7772164798234854E-2</v>
      </c>
      <c r="H39" s="573">
        <f t="shared" si="5"/>
        <v>13.813049497711297</v>
      </c>
      <c r="I39" s="34">
        <f t="shared" si="1"/>
        <v>31</v>
      </c>
      <c r="J39" s="521"/>
    </row>
    <row r="40" spans="1:10" x14ac:dyDescent="0.35">
      <c r="A40" s="34">
        <f t="shared" si="0"/>
        <v>32</v>
      </c>
      <c r="B40" s="568" t="s">
        <v>156</v>
      </c>
      <c r="C40" s="569">
        <v>2023</v>
      </c>
      <c r="D40" s="537"/>
      <c r="E40" s="520">
        <v>5.4000000000000003E-3</v>
      </c>
      <c r="F40" s="610">
        <f t="shared" si="3"/>
        <v>13.813049497711297</v>
      </c>
      <c r="G40" s="613">
        <f t="shared" si="4"/>
        <v>7.4590467287641016E-2</v>
      </c>
      <c r="H40" s="176">
        <f t="shared" si="5"/>
        <v>13.887639964998938</v>
      </c>
      <c r="I40" s="34">
        <f t="shared" si="1"/>
        <v>32</v>
      </c>
      <c r="J40" s="521"/>
    </row>
    <row r="41" spans="1:10" x14ac:dyDescent="0.35">
      <c r="A41" s="34">
        <f t="shared" si="0"/>
        <v>33</v>
      </c>
      <c r="B41" s="568" t="s">
        <v>157</v>
      </c>
      <c r="C41" s="569">
        <v>2023</v>
      </c>
      <c r="D41" s="537"/>
      <c r="E41" s="520">
        <v>4.7999999999999996E-3</v>
      </c>
      <c r="F41" s="610">
        <f t="shared" si="3"/>
        <v>13.887639964998938</v>
      </c>
      <c r="G41" s="613">
        <f t="shared" si="4"/>
        <v>6.6660671831994894E-2</v>
      </c>
      <c r="H41" s="176">
        <f t="shared" si="5"/>
        <v>13.954300636830933</v>
      </c>
      <c r="I41" s="34">
        <f t="shared" si="1"/>
        <v>33</v>
      </c>
      <c r="J41" s="521"/>
    </row>
    <row r="42" spans="1:10" x14ac:dyDescent="0.35">
      <c r="A42" s="34">
        <f t="shared" si="0"/>
        <v>34</v>
      </c>
      <c r="B42" s="568" t="s">
        <v>158</v>
      </c>
      <c r="C42" s="569">
        <v>2023</v>
      </c>
      <c r="D42" s="537"/>
      <c r="E42" s="520">
        <v>5.4000000000000003E-3</v>
      </c>
      <c r="F42" s="610">
        <f t="shared" si="3"/>
        <v>13.954300636830933</v>
      </c>
      <c r="G42" s="613">
        <f t="shared" si="4"/>
        <v>7.5353223438887035E-2</v>
      </c>
      <c r="H42" s="176">
        <f t="shared" si="5"/>
        <v>14.02965386026982</v>
      </c>
      <c r="I42" s="34">
        <f t="shared" si="1"/>
        <v>34</v>
      </c>
      <c r="J42" s="521"/>
    </row>
    <row r="43" spans="1:10" x14ac:dyDescent="0.35">
      <c r="A43" s="34">
        <f t="shared" si="0"/>
        <v>35</v>
      </c>
      <c r="B43" s="568" t="s">
        <v>159</v>
      </c>
      <c r="C43" s="569">
        <v>2023</v>
      </c>
      <c r="D43" s="537"/>
      <c r="E43" s="520">
        <v>6.1999999999999998E-3</v>
      </c>
      <c r="F43" s="610">
        <f t="shared" si="3"/>
        <v>14.02965386026982</v>
      </c>
      <c r="G43" s="613">
        <f t="shared" si="4"/>
        <v>8.6983853933672875E-2</v>
      </c>
      <c r="H43" s="176">
        <f t="shared" si="5"/>
        <v>14.116637714203492</v>
      </c>
      <c r="I43" s="34">
        <f t="shared" si="1"/>
        <v>35</v>
      </c>
      <c r="J43" s="521"/>
    </row>
    <row r="44" spans="1:10" x14ac:dyDescent="0.35">
      <c r="A44" s="34">
        <f t="shared" si="0"/>
        <v>36</v>
      </c>
      <c r="B44" s="568" t="s">
        <v>160</v>
      </c>
      <c r="C44" s="569">
        <v>2023</v>
      </c>
      <c r="D44" s="537"/>
      <c r="E44" s="520">
        <v>6.4000000000000003E-3</v>
      </c>
      <c r="F44" s="610">
        <f t="shared" si="3"/>
        <v>14.116637714203492</v>
      </c>
      <c r="G44" s="613">
        <f t="shared" si="4"/>
        <v>9.0346481370902357E-2</v>
      </c>
      <c r="H44" s="176">
        <f t="shared" si="5"/>
        <v>14.206984195574394</v>
      </c>
      <c r="I44" s="34">
        <f t="shared" si="1"/>
        <v>36</v>
      </c>
      <c r="J44" s="521"/>
    </row>
    <row r="45" spans="1:10" x14ac:dyDescent="0.35">
      <c r="A45" s="34">
        <f>A44+1</f>
        <v>37</v>
      </c>
      <c r="B45" s="568" t="s">
        <v>161</v>
      </c>
      <c r="C45" s="569">
        <v>2023</v>
      </c>
      <c r="D45" s="648"/>
      <c r="E45" s="520">
        <v>6.1999999999999998E-3</v>
      </c>
      <c r="F45" s="610">
        <f>H44+D45</f>
        <v>14.206984195574394</v>
      </c>
      <c r="G45" s="678">
        <f>(H44+F45)/2*E45</f>
        <v>8.8083302012561246E-2</v>
      </c>
      <c r="H45" s="176">
        <f>F45+G45</f>
        <v>14.295067497586956</v>
      </c>
      <c r="I45" s="34">
        <f>I44+1</f>
        <v>37</v>
      </c>
      <c r="J45" s="521"/>
    </row>
    <row r="46" spans="1:10" x14ac:dyDescent="0.35">
      <c r="A46" s="34">
        <f t="shared" ref="A46:A52" si="8">A45+1</f>
        <v>38</v>
      </c>
      <c r="B46" s="568" t="s">
        <v>162</v>
      </c>
      <c r="C46" s="569">
        <v>2023</v>
      </c>
      <c r="D46" s="537"/>
      <c r="E46" s="520">
        <v>6.7999999999999996E-3</v>
      </c>
      <c r="F46" s="610">
        <f t="shared" ref="F46:F51" si="9">H45+D46</f>
        <v>14.295067497586956</v>
      </c>
      <c r="G46" s="678">
        <f t="shared" ref="G46:G51" si="10">(H45+F46)/2*E46</f>
        <v>9.7206458983591301E-2</v>
      </c>
      <c r="H46" s="176">
        <f t="shared" ref="H46:H51" si="11">F46+G46</f>
        <v>14.392273956570547</v>
      </c>
      <c r="I46" s="34">
        <f t="shared" ref="I46:I52" si="12">I45+1</f>
        <v>38</v>
      </c>
      <c r="J46" s="521"/>
    </row>
    <row r="47" spans="1:10" x14ac:dyDescent="0.35">
      <c r="A47" s="34">
        <f t="shared" si="8"/>
        <v>39</v>
      </c>
      <c r="B47" s="568" t="s">
        <v>163</v>
      </c>
      <c r="C47" s="569">
        <v>2023</v>
      </c>
      <c r="D47" s="537"/>
      <c r="E47" s="520">
        <v>6.7999999999999996E-3</v>
      </c>
      <c r="F47" s="610">
        <f t="shared" si="9"/>
        <v>14.392273956570547</v>
      </c>
      <c r="G47" s="678">
        <f t="shared" si="10"/>
        <v>9.7867462904679708E-2</v>
      </c>
      <c r="H47" s="176">
        <f t="shared" si="11"/>
        <v>14.490141419475226</v>
      </c>
      <c r="I47" s="34">
        <f t="shared" si="12"/>
        <v>39</v>
      </c>
      <c r="J47" s="521"/>
    </row>
    <row r="48" spans="1:10" x14ac:dyDescent="0.35">
      <c r="A48" s="34">
        <f t="shared" si="8"/>
        <v>40</v>
      </c>
      <c r="B48" s="568" t="s">
        <v>164</v>
      </c>
      <c r="C48" s="569">
        <v>2023</v>
      </c>
      <c r="D48" s="537"/>
      <c r="E48" s="520">
        <v>6.6E-3</v>
      </c>
      <c r="F48" s="610">
        <f t="shared" si="9"/>
        <v>14.490141419475226</v>
      </c>
      <c r="G48" s="678">
        <f t="shared" si="10"/>
        <v>9.5634933368536484E-2</v>
      </c>
      <c r="H48" s="176">
        <f t="shared" si="11"/>
        <v>14.585776352843762</v>
      </c>
      <c r="I48" s="34">
        <f t="shared" si="12"/>
        <v>40</v>
      </c>
      <c r="J48" s="521"/>
    </row>
    <row r="49" spans="1:10" x14ac:dyDescent="0.35">
      <c r="A49" s="34">
        <f t="shared" si="8"/>
        <v>41</v>
      </c>
      <c r="B49" s="568" t="s">
        <v>165</v>
      </c>
      <c r="C49" s="569">
        <v>2023</v>
      </c>
      <c r="D49" s="537"/>
      <c r="E49" s="520">
        <v>7.1000000000000004E-3</v>
      </c>
      <c r="F49" s="610">
        <f t="shared" si="9"/>
        <v>14.585776352843762</v>
      </c>
      <c r="G49" s="678">
        <f t="shared" si="10"/>
        <v>0.10355901210519072</v>
      </c>
      <c r="H49" s="176">
        <f t="shared" si="11"/>
        <v>14.689335364948953</v>
      </c>
      <c r="I49" s="34">
        <f t="shared" si="12"/>
        <v>41</v>
      </c>
      <c r="J49" s="521"/>
    </row>
    <row r="50" spans="1:10" x14ac:dyDescent="0.35">
      <c r="A50" s="34">
        <f t="shared" si="8"/>
        <v>42</v>
      </c>
      <c r="B50" s="568" t="s">
        <v>166</v>
      </c>
      <c r="C50" s="569">
        <v>2023</v>
      </c>
      <c r="D50" s="537"/>
      <c r="E50" s="520">
        <v>6.8999999999999999E-3</v>
      </c>
      <c r="F50" s="610">
        <f t="shared" si="9"/>
        <v>14.689335364948953</v>
      </c>
      <c r="G50" s="678">
        <f t="shared" si="10"/>
        <v>0.10135641401814777</v>
      </c>
      <c r="H50" s="176">
        <f t="shared" si="11"/>
        <v>14.790691778967101</v>
      </c>
      <c r="I50" s="34">
        <f t="shared" si="12"/>
        <v>42</v>
      </c>
      <c r="J50" s="521"/>
    </row>
    <row r="51" spans="1:10" x14ac:dyDescent="0.35">
      <c r="A51" s="34">
        <f t="shared" si="8"/>
        <v>43</v>
      </c>
      <c r="B51" s="570" t="s">
        <v>167</v>
      </c>
      <c r="C51" s="571">
        <v>2023</v>
      </c>
      <c r="D51" s="679"/>
      <c r="E51" s="572">
        <v>7.1000000000000004E-3</v>
      </c>
      <c r="F51" s="611">
        <f t="shared" si="9"/>
        <v>14.790691778967101</v>
      </c>
      <c r="G51" s="677">
        <f t="shared" si="10"/>
        <v>0.10501391163066642</v>
      </c>
      <c r="H51" s="573">
        <f t="shared" si="11"/>
        <v>14.895705690597767</v>
      </c>
      <c r="I51" s="34">
        <f t="shared" si="12"/>
        <v>43</v>
      </c>
    </row>
    <row r="52" spans="1:10" ht="16" thickBot="1" x14ac:dyDescent="0.4">
      <c r="A52" s="34">
        <f t="shared" si="8"/>
        <v>44</v>
      </c>
      <c r="D52" s="680">
        <f>SUM(D16:D51)</f>
        <v>13.081818921232751</v>
      </c>
      <c r="E52" s="549"/>
      <c r="F52" s="523"/>
      <c r="G52" s="614">
        <f>SUM(G16:G51)</f>
        <v>1.813886769365014</v>
      </c>
      <c r="H52" s="524"/>
      <c r="I52" s="34">
        <f t="shared" si="12"/>
        <v>44</v>
      </c>
    </row>
    <row r="53" spans="1:10" ht="16" thickTop="1" x14ac:dyDescent="0.35">
      <c r="D53" s="525"/>
      <c r="E53" s="525"/>
      <c r="F53" s="525"/>
      <c r="G53" s="289"/>
      <c r="H53" s="289"/>
    </row>
    <row r="54" spans="1:10" ht="18" x14ac:dyDescent="0.35">
      <c r="A54" s="291">
        <v>1</v>
      </c>
      <c r="B54" s="516" t="s">
        <v>173</v>
      </c>
      <c r="C54" s="526"/>
    </row>
    <row r="55" spans="1:10" ht="18" x14ac:dyDescent="0.35">
      <c r="A55" s="291">
        <v>2</v>
      </c>
      <c r="B55" s="516" t="s">
        <v>475</v>
      </c>
    </row>
    <row r="56" spans="1:10" ht="18" x14ac:dyDescent="0.35">
      <c r="A56" s="291">
        <v>3</v>
      </c>
      <c r="B56" s="516" t="s">
        <v>476</v>
      </c>
    </row>
    <row r="57" spans="1:10" x14ac:dyDescent="0.35">
      <c r="B57" s="516" t="s">
        <v>477</v>
      </c>
    </row>
    <row r="58" spans="1:10" x14ac:dyDescent="0.35">
      <c r="A58" s="602"/>
      <c r="B58" s="603" t="s">
        <v>479</v>
      </c>
      <c r="C58" s="603"/>
    </row>
  </sheetData>
  <mergeCells count="4">
    <mergeCell ref="B2:H2"/>
    <mergeCell ref="B4:H4"/>
    <mergeCell ref="B5:H5"/>
    <mergeCell ref="B3:H3"/>
  </mergeCells>
  <printOptions horizontalCentered="1"/>
  <pageMargins left="0.25" right="0.25" top="0.5" bottom="0.5" header="0.25" footer="0.25"/>
  <pageSetup scale="67" orientation="portrait" r:id="rId1"/>
  <headerFooter scaleWithDoc="0" alignWithMargins="0">
    <oddFooter>&amp;L&amp;F&amp;CPage 14&amp;R&amp;A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E8C0E-4FF5-4670-8B52-8A405C4003E9}">
  <sheetPr>
    <pageSetUpPr fitToPage="1"/>
  </sheetPr>
  <dimension ref="A2:M58"/>
  <sheetViews>
    <sheetView zoomScale="80" zoomScaleNormal="80" workbookViewId="0"/>
  </sheetViews>
  <sheetFormatPr defaultColWidth="8.81640625" defaultRowHeight="15.5" x14ac:dyDescent="0.35"/>
  <cols>
    <col min="1" max="1" width="5.1796875" style="34" customWidth="1"/>
    <col min="2" max="2" width="70.81640625" style="18" customWidth="1"/>
    <col min="3" max="3" width="16.1796875" style="18" bestFit="1" customWidth="1"/>
    <col min="4" max="4" width="1.81640625" style="18" customWidth="1"/>
    <col min="5" max="5" width="18.26953125" style="18" customWidth="1"/>
    <col min="6" max="6" width="1.81640625" style="18" customWidth="1"/>
    <col min="7" max="7" width="14.453125" style="18" customWidth="1"/>
    <col min="8" max="8" width="40.81640625" style="18" customWidth="1"/>
    <col min="9" max="9" width="5.1796875" style="34" customWidth="1"/>
    <col min="10" max="16384" width="8.81640625" style="18"/>
  </cols>
  <sheetData>
    <row r="2" spans="1:11" x14ac:dyDescent="0.35">
      <c r="A2" s="157"/>
      <c r="B2" s="764" t="s">
        <v>14</v>
      </c>
      <c r="C2" s="764"/>
      <c r="D2" s="764"/>
      <c r="E2" s="764"/>
      <c r="F2" s="764"/>
      <c r="G2" s="764"/>
      <c r="H2" s="764"/>
      <c r="I2" s="157"/>
    </row>
    <row r="3" spans="1:11" x14ac:dyDescent="0.35">
      <c r="A3" s="157"/>
      <c r="B3" s="764" t="s">
        <v>629</v>
      </c>
      <c r="C3" s="764"/>
      <c r="D3" s="764"/>
      <c r="E3" s="764"/>
      <c r="F3" s="764"/>
      <c r="G3" s="764"/>
      <c r="H3" s="764"/>
      <c r="I3" s="158"/>
    </row>
    <row r="4" spans="1:11" x14ac:dyDescent="0.35">
      <c r="B4" s="764" t="s">
        <v>646</v>
      </c>
      <c r="C4" s="764"/>
      <c r="D4" s="764"/>
      <c r="E4" s="764"/>
      <c r="F4" s="764"/>
      <c r="G4" s="764"/>
      <c r="H4" s="764"/>
      <c r="I4" s="154"/>
    </row>
    <row r="5" spans="1:11" x14ac:dyDescent="0.35">
      <c r="B5" s="764" t="s">
        <v>625</v>
      </c>
      <c r="C5" s="764"/>
      <c r="D5" s="764"/>
      <c r="E5" s="764"/>
      <c r="F5" s="764"/>
      <c r="G5" s="764"/>
      <c r="H5" s="764"/>
      <c r="I5" s="154"/>
    </row>
    <row r="6" spans="1:11" x14ac:dyDescent="0.35">
      <c r="B6" s="765" t="s">
        <v>1</v>
      </c>
      <c r="C6" s="764"/>
      <c r="D6" s="764"/>
      <c r="E6" s="764"/>
      <c r="F6" s="764"/>
      <c r="G6" s="764"/>
      <c r="H6" s="764"/>
      <c r="I6" s="154"/>
    </row>
    <row r="7" spans="1:11" x14ac:dyDescent="0.35">
      <c r="A7" s="157"/>
      <c r="B7" s="158"/>
      <c r="C7" s="159"/>
      <c r="D7" s="159"/>
      <c r="E7" s="159"/>
      <c r="F7" s="159"/>
      <c r="G7" s="159"/>
      <c r="H7" s="159"/>
      <c r="I7" s="157"/>
    </row>
    <row r="8" spans="1:11" ht="16" thickBot="1" x14ac:dyDescent="0.4">
      <c r="A8" s="157"/>
      <c r="B8" s="158"/>
      <c r="C8" s="249" t="s">
        <v>15</v>
      </c>
      <c r="D8" s="248"/>
      <c r="E8" s="249" t="s">
        <v>16</v>
      </c>
      <c r="F8" s="248"/>
      <c r="G8" s="249" t="s">
        <v>17</v>
      </c>
      <c r="H8" s="159"/>
      <c r="I8" s="157"/>
    </row>
    <row r="9" spans="1:11" ht="45" x14ac:dyDescent="0.35">
      <c r="A9" s="530" t="s">
        <v>2</v>
      </c>
      <c r="B9" s="250"/>
      <c r="C9" s="254" t="s">
        <v>627</v>
      </c>
      <c r="D9" s="158"/>
      <c r="E9" s="240" t="s">
        <v>628</v>
      </c>
      <c r="F9" s="21"/>
      <c r="G9" s="153" t="s">
        <v>18</v>
      </c>
      <c r="H9" s="163"/>
      <c r="I9" s="531" t="s">
        <v>2</v>
      </c>
    </row>
    <row r="10" spans="1:11" x14ac:dyDescent="0.35">
      <c r="A10" s="161" t="s">
        <v>3</v>
      </c>
      <c r="B10" s="325" t="s">
        <v>19</v>
      </c>
      <c r="C10" s="325" t="s">
        <v>5</v>
      </c>
      <c r="D10" s="325"/>
      <c r="E10" s="325" t="s">
        <v>5</v>
      </c>
      <c r="F10" s="325"/>
      <c r="G10" s="553" t="s">
        <v>20</v>
      </c>
      <c r="H10" s="325" t="s">
        <v>6</v>
      </c>
      <c r="I10" s="164" t="s">
        <v>3</v>
      </c>
    </row>
    <row r="11" spans="1:11" x14ac:dyDescent="0.35">
      <c r="A11" s="161"/>
      <c r="B11" s="251"/>
      <c r="C11" s="167"/>
      <c r="D11" s="166"/>
      <c r="E11" s="166"/>
      <c r="F11" s="166"/>
      <c r="G11" s="166"/>
      <c r="H11" s="167"/>
      <c r="I11" s="164"/>
    </row>
    <row r="12" spans="1:11" x14ac:dyDescent="0.35">
      <c r="A12" s="161">
        <v>1</v>
      </c>
      <c r="B12" s="175" t="s">
        <v>21</v>
      </c>
      <c r="C12" s="242">
        <f>'Pg3 Rev App. XII C5'!C11</f>
        <v>0</v>
      </c>
      <c r="D12" s="169"/>
      <c r="E12" s="242">
        <f>'Pg4 As Filed-Orig. App XII C5'!C12</f>
        <v>0</v>
      </c>
      <c r="F12" s="169"/>
      <c r="G12" s="169">
        <f>C12-E12</f>
        <v>0</v>
      </c>
      <c r="H12" s="8" t="s">
        <v>22</v>
      </c>
      <c r="I12" s="164">
        <f>A12</f>
        <v>1</v>
      </c>
      <c r="K12" s="20"/>
    </row>
    <row r="13" spans="1:11" x14ac:dyDescent="0.35">
      <c r="A13" s="161">
        <f>A12+1</f>
        <v>2</v>
      </c>
      <c r="B13" s="252"/>
      <c r="C13" s="172"/>
      <c r="D13" s="172"/>
      <c r="E13" s="172"/>
      <c r="F13" s="172"/>
      <c r="G13" s="172"/>
      <c r="H13" s="158"/>
      <c r="I13" s="164">
        <f>I12+1</f>
        <v>2</v>
      </c>
    </row>
    <row r="14" spans="1:11" x14ac:dyDescent="0.35">
      <c r="A14" s="161">
        <f t="shared" ref="A14:A29" si="0">A13+1</f>
        <v>3</v>
      </c>
      <c r="B14" s="175" t="s">
        <v>23</v>
      </c>
      <c r="C14" s="255">
        <f>'Pg3 Rev App. XII C5'!C13</f>
        <v>936.73201579183581</v>
      </c>
      <c r="D14" s="24" t="s">
        <v>24</v>
      </c>
      <c r="E14" s="243">
        <f>'Pg4 As Filed-Orig. App XII C5'!C14</f>
        <v>930.24523814935469</v>
      </c>
      <c r="F14" s="153"/>
      <c r="G14" s="245">
        <f>C14-E14</f>
        <v>6.4867776424811154</v>
      </c>
      <c r="H14" s="8" t="s">
        <v>25</v>
      </c>
      <c r="I14" s="164">
        <f t="shared" ref="I14:I29" si="1">I13+1</f>
        <v>3</v>
      </c>
      <c r="K14" s="26"/>
    </row>
    <row r="15" spans="1:11" x14ac:dyDescent="0.35">
      <c r="A15" s="161">
        <f t="shared" si="0"/>
        <v>4</v>
      </c>
      <c r="B15" s="252"/>
      <c r="C15" s="172"/>
      <c r="D15" s="172"/>
      <c r="E15" s="172"/>
      <c r="F15" s="172"/>
      <c r="G15" s="172"/>
      <c r="H15" s="174"/>
      <c r="I15" s="164">
        <f t="shared" si="1"/>
        <v>4</v>
      </c>
    </row>
    <row r="16" spans="1:11" x14ac:dyDescent="0.35">
      <c r="A16" s="161">
        <f t="shared" si="0"/>
        <v>5</v>
      </c>
      <c r="B16" s="175" t="s">
        <v>26</v>
      </c>
      <c r="C16" s="554">
        <f>'Pg3 Rev App. XII C5'!C15</f>
        <v>-57.529156544946602</v>
      </c>
      <c r="D16" s="176"/>
      <c r="E16" s="554">
        <f>'Pg4 As Filed-Orig. App XII C5'!C16</f>
        <v>-57.529156544946602</v>
      </c>
      <c r="F16" s="176"/>
      <c r="G16" s="285">
        <f>C16-E16</f>
        <v>0</v>
      </c>
      <c r="H16" s="8" t="s">
        <v>27</v>
      </c>
      <c r="I16" s="164">
        <f t="shared" si="1"/>
        <v>5</v>
      </c>
      <c r="K16" s="26"/>
    </row>
    <row r="17" spans="1:13" x14ac:dyDescent="0.35">
      <c r="A17" s="161">
        <f t="shared" si="0"/>
        <v>6</v>
      </c>
      <c r="B17" s="177"/>
      <c r="C17" s="176"/>
      <c r="D17" s="176"/>
      <c r="E17" s="176"/>
      <c r="F17" s="176"/>
      <c r="G17" s="176"/>
      <c r="H17" s="170"/>
      <c r="I17" s="164">
        <f t="shared" si="1"/>
        <v>6</v>
      </c>
      <c r="K17" s="26"/>
    </row>
    <row r="18" spans="1:13" x14ac:dyDescent="0.35">
      <c r="A18" s="161">
        <f t="shared" si="0"/>
        <v>7</v>
      </c>
      <c r="B18" s="253" t="s">
        <v>28</v>
      </c>
      <c r="C18" s="256">
        <f>C12+C14+C16</f>
        <v>879.20285924688915</v>
      </c>
      <c r="D18" s="24" t="s">
        <v>24</v>
      </c>
      <c r="E18" s="241">
        <f>E12+E14+E16</f>
        <v>872.71608160440815</v>
      </c>
      <c r="F18" s="153"/>
      <c r="G18" s="256">
        <f>G12+G14+G16</f>
        <v>6.4867776424811154</v>
      </c>
      <c r="H18" s="180" t="str">
        <f>"Sum Lines "&amp;A12&amp;", "&amp;A14&amp;", "&amp;A16</f>
        <v>Sum Lines 1, 3, 5</v>
      </c>
      <c r="I18" s="164">
        <f t="shared" si="1"/>
        <v>7</v>
      </c>
      <c r="K18" s="26"/>
    </row>
    <row r="19" spans="1:13" x14ac:dyDescent="0.35">
      <c r="A19" s="161">
        <f t="shared" si="0"/>
        <v>8</v>
      </c>
      <c r="B19" s="177"/>
      <c r="C19" s="172"/>
      <c r="D19" s="172"/>
      <c r="E19" s="172"/>
      <c r="F19" s="172"/>
      <c r="G19" s="172"/>
      <c r="H19" s="182"/>
      <c r="I19" s="164">
        <f t="shared" si="1"/>
        <v>8</v>
      </c>
    </row>
    <row r="20" spans="1:13" x14ac:dyDescent="0.35">
      <c r="A20" s="161">
        <f t="shared" si="0"/>
        <v>9</v>
      </c>
      <c r="B20" s="175" t="s">
        <v>29</v>
      </c>
      <c r="C20" s="255">
        <f>'Pg3 Rev App. XII C5'!C19</f>
        <v>32.282505886209449</v>
      </c>
      <c r="D20" s="24" t="s">
        <v>24</v>
      </c>
      <c r="E20" s="244">
        <f>'Pg4 As Filed-Orig. App XII C5'!C20</f>
        <v>25.687464607457734</v>
      </c>
      <c r="F20" s="153"/>
      <c r="G20" s="245">
        <f>C20-E20</f>
        <v>6.5950412787517152</v>
      </c>
      <c r="H20" s="8" t="s">
        <v>30</v>
      </c>
      <c r="I20" s="164">
        <f t="shared" si="1"/>
        <v>9</v>
      </c>
    </row>
    <row r="21" spans="1:13" x14ac:dyDescent="0.35">
      <c r="A21" s="161">
        <f t="shared" si="0"/>
        <v>10</v>
      </c>
      <c r="B21" s="175"/>
      <c r="C21" s="172"/>
      <c r="D21" s="172"/>
      <c r="E21" s="172"/>
      <c r="F21" s="172"/>
      <c r="G21" s="172"/>
      <c r="H21" s="183"/>
      <c r="I21" s="164">
        <f t="shared" si="1"/>
        <v>10</v>
      </c>
    </row>
    <row r="22" spans="1:13" x14ac:dyDescent="0.35">
      <c r="A22" s="161">
        <f t="shared" si="0"/>
        <v>11</v>
      </c>
      <c r="B22" s="175" t="s">
        <v>31</v>
      </c>
      <c r="C22" s="554">
        <f>'Pg3 Rev App. XII C5'!C21</f>
        <v>-6.9126708186344317</v>
      </c>
      <c r="D22" s="176"/>
      <c r="E22" s="554">
        <f>'Pg4 As Filed-Orig. App XII C5'!C22</f>
        <v>-6.9126708186344317</v>
      </c>
      <c r="F22" s="176"/>
      <c r="G22" s="285">
        <f>C22-E22</f>
        <v>0</v>
      </c>
      <c r="H22" s="8" t="s">
        <v>32</v>
      </c>
      <c r="I22" s="164">
        <f t="shared" si="1"/>
        <v>11</v>
      </c>
    </row>
    <row r="23" spans="1:13" x14ac:dyDescent="0.35">
      <c r="A23" s="161">
        <f t="shared" si="0"/>
        <v>12</v>
      </c>
      <c r="B23" s="177"/>
      <c r="C23" s="185"/>
      <c r="D23" s="185"/>
      <c r="E23" s="185"/>
      <c r="F23" s="185"/>
      <c r="G23" s="185"/>
      <c r="H23" s="180"/>
      <c r="I23" s="164">
        <f t="shared" si="1"/>
        <v>12</v>
      </c>
    </row>
    <row r="24" spans="1:13" x14ac:dyDescent="0.35">
      <c r="A24" s="161">
        <f t="shared" si="0"/>
        <v>13</v>
      </c>
      <c r="B24" s="177" t="s">
        <v>33</v>
      </c>
      <c r="C24" s="75">
        <f>C18+C20+C22-1</f>
        <v>903.57269431446423</v>
      </c>
      <c r="D24" s="24" t="s">
        <v>24</v>
      </c>
      <c r="E24" s="32">
        <f>E18+E20+E22</f>
        <v>891.49087539323148</v>
      </c>
      <c r="F24" s="153"/>
      <c r="G24" s="75">
        <f>G18+G20+G22</f>
        <v>13.081818921232831</v>
      </c>
      <c r="H24" s="180" t="str">
        <f>"Sum Lines "&amp;A18&amp;", "&amp;A20&amp;", "&amp;A22</f>
        <v>Sum Lines 7, 9, 11</v>
      </c>
      <c r="I24" s="164">
        <f t="shared" si="1"/>
        <v>13</v>
      </c>
      <c r="K24" s="26"/>
    </row>
    <row r="25" spans="1:13" x14ac:dyDescent="0.35">
      <c r="A25" s="161">
        <f t="shared" si="0"/>
        <v>14</v>
      </c>
      <c r="B25" s="186"/>
      <c r="C25" s="74"/>
      <c r="D25" s="74"/>
      <c r="E25" s="74"/>
      <c r="F25" s="74"/>
      <c r="G25" s="74"/>
      <c r="H25" s="180"/>
      <c r="I25" s="164">
        <f t="shared" si="1"/>
        <v>14</v>
      </c>
      <c r="K25" s="26"/>
    </row>
    <row r="26" spans="1:13" x14ac:dyDescent="0.35">
      <c r="A26" s="161">
        <f t="shared" si="0"/>
        <v>15</v>
      </c>
      <c r="B26" s="175" t="s">
        <v>34</v>
      </c>
      <c r="C26" s="515">
        <f>'Pg3 Rev App. XII C5'!C25</f>
        <v>-0.11252338032306822</v>
      </c>
      <c r="D26" s="74"/>
      <c r="E26" s="515">
        <f>'Pg4 As Filed-Orig. App XII C5'!C26</f>
        <v>-0.11252338032306822</v>
      </c>
      <c r="F26" s="74"/>
      <c r="G26" s="284"/>
      <c r="H26" s="8" t="s">
        <v>35</v>
      </c>
      <c r="I26" s="164">
        <f t="shared" si="1"/>
        <v>15</v>
      </c>
      <c r="K26" s="26"/>
    </row>
    <row r="27" spans="1:13" x14ac:dyDescent="0.35">
      <c r="A27" s="161">
        <f t="shared" si="0"/>
        <v>16</v>
      </c>
      <c r="B27" s="159"/>
      <c r="C27" s="187"/>
      <c r="D27" s="187"/>
      <c r="E27" s="187"/>
      <c r="F27" s="187"/>
      <c r="G27" s="187"/>
      <c r="H27" s="180"/>
      <c r="I27" s="164">
        <f t="shared" si="1"/>
        <v>16</v>
      </c>
    </row>
    <row r="28" spans="1:13" ht="16" thickBot="1" x14ac:dyDescent="0.4">
      <c r="A28" s="161">
        <f t="shared" si="0"/>
        <v>17</v>
      </c>
      <c r="B28" s="253" t="s">
        <v>36</v>
      </c>
      <c r="C28" s="257">
        <f>C24+C26+1</f>
        <v>904.46017093414116</v>
      </c>
      <c r="D28" s="24" t="s">
        <v>24</v>
      </c>
      <c r="E28" s="246">
        <f>E24+E26</f>
        <v>891.37835201290841</v>
      </c>
      <c r="F28" s="153"/>
      <c r="G28" s="247">
        <f>C28-E28</f>
        <v>13.081818921232752</v>
      </c>
      <c r="H28" s="180" t="str">
        <f>"Line "&amp;A24&amp;" + Line "&amp;A26</f>
        <v>Line 13 + Line 15</v>
      </c>
      <c r="I28" s="164">
        <f t="shared" si="1"/>
        <v>17</v>
      </c>
      <c r="L28" s="20"/>
      <c r="M28" s="189"/>
    </row>
    <row r="29" spans="1:13" ht="16.5" thickTop="1" thickBot="1" x14ac:dyDescent="0.4">
      <c r="A29" s="161">
        <f t="shared" si="0"/>
        <v>18</v>
      </c>
      <c r="B29" s="160"/>
      <c r="C29" s="258"/>
      <c r="D29" s="160"/>
      <c r="E29" s="160"/>
      <c r="F29" s="160"/>
      <c r="G29" s="160"/>
      <c r="H29" s="160"/>
      <c r="I29" s="164">
        <f t="shared" si="1"/>
        <v>18</v>
      </c>
    </row>
    <row r="31" spans="1:13" ht="16" thickBot="1" x14ac:dyDescent="0.4">
      <c r="A31" s="157"/>
      <c r="B31" s="191"/>
      <c r="C31" s="192"/>
      <c r="D31" s="192"/>
      <c r="E31" s="192"/>
      <c r="F31" s="192"/>
      <c r="G31" s="192"/>
      <c r="H31" s="192"/>
      <c r="I31" s="157"/>
    </row>
    <row r="32" spans="1:13" ht="45.5" x14ac:dyDescent="0.35">
      <c r="A32" s="530" t="s">
        <v>2</v>
      </c>
      <c r="B32" s="158"/>
      <c r="C32" s="260" t="str">
        <f>C9</f>
        <v>Revised - Appendix XII Cycle 5</v>
      </c>
      <c r="D32" s="158"/>
      <c r="E32" s="259" t="str">
        <f>E9</f>
        <v>As Filed - Appendix XII Cycle 5 ER23-110</v>
      </c>
      <c r="F32" s="158"/>
      <c r="G32" s="158" t="str">
        <f>G9</f>
        <v>Difference</v>
      </c>
      <c r="H32" s="158"/>
      <c r="I32" s="531" t="s">
        <v>2</v>
      </c>
    </row>
    <row r="33" spans="1:11" x14ac:dyDescent="0.35">
      <c r="A33" s="161" t="s">
        <v>3</v>
      </c>
      <c r="B33" s="325" t="s">
        <v>37</v>
      </c>
      <c r="C33" s="325" t="str">
        <f>C10</f>
        <v>Amounts</v>
      </c>
      <c r="D33" s="325"/>
      <c r="E33" s="325" t="str">
        <f>E10</f>
        <v>Amounts</v>
      </c>
      <c r="F33" s="325"/>
      <c r="G33" s="325" t="str">
        <f>G10</f>
        <v>Incr (Decr)</v>
      </c>
      <c r="H33" s="325" t="str">
        <f>H10</f>
        <v>Reference</v>
      </c>
      <c r="I33" s="164" t="s">
        <v>3</v>
      </c>
    </row>
    <row r="34" spans="1:11" x14ac:dyDescent="0.35">
      <c r="A34" s="161">
        <f>A29+1</f>
        <v>19</v>
      </c>
      <c r="B34" s="159"/>
      <c r="C34" s="167"/>
      <c r="D34" s="166"/>
      <c r="E34" s="166"/>
      <c r="F34" s="166"/>
      <c r="G34" s="166"/>
      <c r="H34" s="167"/>
      <c r="I34" s="164">
        <f>I29+1</f>
        <v>19</v>
      </c>
    </row>
    <row r="35" spans="1:11" x14ac:dyDescent="0.35">
      <c r="A35" s="161">
        <f>A34+1</f>
        <v>20</v>
      </c>
      <c r="B35" s="175" t="str">
        <f>B12</f>
        <v>Section 1 - Direct Maintenance Expense Cost Component</v>
      </c>
      <c r="C35" s="195">
        <f>'Pg3 Rev App. XII C5'!C34</f>
        <v>0</v>
      </c>
      <c r="D35" s="195"/>
      <c r="E35" s="195">
        <f>'Pg4 As Filed-Orig. App XII C5'!C35</f>
        <v>0</v>
      </c>
      <c r="F35" s="195"/>
      <c r="G35" s="195">
        <f>C35-E35</f>
        <v>0</v>
      </c>
      <c r="H35" s="8" t="s">
        <v>38</v>
      </c>
      <c r="I35" s="164">
        <f>I34+1</f>
        <v>20</v>
      </c>
    </row>
    <row r="36" spans="1:11" x14ac:dyDescent="0.35">
      <c r="A36" s="161">
        <f t="shared" ref="A36:A54" si="2">A35+1</f>
        <v>21</v>
      </c>
      <c r="B36" s="252"/>
      <c r="C36" s="196"/>
      <c r="D36" s="196"/>
      <c r="E36" s="196"/>
      <c r="F36" s="196"/>
      <c r="G36" s="196"/>
      <c r="H36" s="197"/>
      <c r="I36" s="164">
        <f t="shared" ref="I36:I54" si="3">I35+1</f>
        <v>21</v>
      </c>
    </row>
    <row r="37" spans="1:11" x14ac:dyDescent="0.35">
      <c r="A37" s="161">
        <f t="shared" si="2"/>
        <v>22</v>
      </c>
      <c r="B37" s="175" t="str">
        <f>B14</f>
        <v>Section 2 - Non-Direct Expense Cost Component</v>
      </c>
      <c r="C37" s="261">
        <f>'Pg3 Rev App. XII C5'!C36</f>
        <v>78.061001315986317</v>
      </c>
      <c r="D37" s="24" t="s">
        <v>24</v>
      </c>
      <c r="E37" s="266">
        <f>'Pg4 As Filed-Orig. App XII C5'!C37</f>
        <v>77.520436512446224</v>
      </c>
      <c r="F37" s="153"/>
      <c r="G37" s="513">
        <f>C37-E37</f>
        <v>0.54056480354009295</v>
      </c>
      <c r="H37" s="8" t="s">
        <v>39</v>
      </c>
      <c r="I37" s="164">
        <f t="shared" si="3"/>
        <v>22</v>
      </c>
    </row>
    <row r="38" spans="1:11" x14ac:dyDescent="0.35">
      <c r="A38" s="161">
        <f t="shared" si="2"/>
        <v>23</v>
      </c>
      <c r="B38" s="252"/>
      <c r="C38" s="262"/>
      <c r="D38" s="198"/>
      <c r="E38" s="198"/>
      <c r="F38" s="198"/>
      <c r="G38" s="198"/>
      <c r="H38" s="199"/>
      <c r="I38" s="164">
        <f t="shared" si="3"/>
        <v>23</v>
      </c>
    </row>
    <row r="39" spans="1:11" x14ac:dyDescent="0.35">
      <c r="A39" s="161">
        <f t="shared" si="2"/>
        <v>24</v>
      </c>
      <c r="B39" s="175" t="str">
        <f>B16</f>
        <v>Section 3 - Cost Component Containing Other Specific Expenses</v>
      </c>
      <c r="C39" s="555">
        <f>'Pg3 Rev App. XII C5'!C38</f>
        <v>-4.7940963787455502</v>
      </c>
      <c r="D39" s="200"/>
      <c r="E39" s="555">
        <f>'Pg4 As Filed-Orig. App XII C5'!C39</f>
        <v>-4.7940963787455502</v>
      </c>
      <c r="F39" s="200"/>
      <c r="G39" s="555">
        <f>C39-E39</f>
        <v>0</v>
      </c>
      <c r="H39" s="8" t="s">
        <v>40</v>
      </c>
      <c r="I39" s="164">
        <f t="shared" si="3"/>
        <v>24</v>
      </c>
    </row>
    <row r="40" spans="1:11" x14ac:dyDescent="0.35">
      <c r="A40" s="161">
        <f t="shared" si="2"/>
        <v>25</v>
      </c>
      <c r="B40" s="177"/>
      <c r="C40" s="198"/>
      <c r="D40" s="198"/>
      <c r="E40" s="198"/>
      <c r="F40" s="198"/>
      <c r="G40" s="198"/>
      <c r="H40" s="170"/>
      <c r="I40" s="164">
        <f t="shared" si="3"/>
        <v>25</v>
      </c>
    </row>
    <row r="41" spans="1:11" x14ac:dyDescent="0.35">
      <c r="A41" s="161">
        <f t="shared" si="2"/>
        <v>26</v>
      </c>
      <c r="B41" s="253" t="s">
        <v>41</v>
      </c>
      <c r="C41" s="263">
        <f>C18/12</f>
        <v>73.266904937240767</v>
      </c>
      <c r="D41" s="24" t="s">
        <v>24</v>
      </c>
      <c r="E41" s="269">
        <f>E18/12</f>
        <v>72.726340133700674</v>
      </c>
      <c r="F41" s="153"/>
      <c r="G41" s="514">
        <f>C41-E41</f>
        <v>0.54056480354009295</v>
      </c>
      <c r="H41" s="180" t="str">
        <f>"Sum Lines "&amp;A35&amp;", "&amp;A37&amp;", "&amp;A39</f>
        <v>Sum Lines 20, 22, 24</v>
      </c>
      <c r="I41" s="164">
        <f t="shared" si="3"/>
        <v>26</v>
      </c>
    </row>
    <row r="42" spans="1:11" x14ac:dyDescent="0.35">
      <c r="A42" s="161">
        <f t="shared" si="2"/>
        <v>27</v>
      </c>
      <c r="B42" s="159"/>
      <c r="C42" s="262"/>
      <c r="D42" s="198"/>
      <c r="E42" s="198"/>
      <c r="F42" s="198"/>
      <c r="G42" s="198"/>
      <c r="H42" s="174"/>
      <c r="I42" s="164">
        <f t="shared" si="3"/>
        <v>27</v>
      </c>
    </row>
    <row r="43" spans="1:11" x14ac:dyDescent="0.35">
      <c r="A43" s="161">
        <f t="shared" si="2"/>
        <v>28</v>
      </c>
      <c r="B43" s="175" t="str">
        <f>LEFT(B20,45)</f>
        <v>Section 4 - True-Up Adjustment Cost Component</v>
      </c>
      <c r="C43" s="261">
        <f>'Pg3 Rev App. XII C5'!C42</f>
        <v>2.6902088238507873</v>
      </c>
      <c r="D43" s="24" t="s">
        <v>24</v>
      </c>
      <c r="E43" s="267">
        <f>'Pg4 As Filed-Orig. App XII C5'!C43</f>
        <v>2.1406220506214777</v>
      </c>
      <c r="F43" s="153"/>
      <c r="G43" s="513">
        <f>C43-E43-0.001</f>
        <v>0.5485867732293096</v>
      </c>
      <c r="H43" s="8" t="s">
        <v>42</v>
      </c>
      <c r="I43" s="164">
        <f t="shared" si="3"/>
        <v>28</v>
      </c>
    </row>
    <row r="44" spans="1:11" x14ac:dyDescent="0.35">
      <c r="A44" s="161">
        <f t="shared" si="2"/>
        <v>29</v>
      </c>
      <c r="B44" s="175"/>
      <c r="C44" s="262"/>
      <c r="D44" s="198"/>
      <c r="E44" s="198"/>
      <c r="F44" s="198"/>
      <c r="G44" s="198"/>
      <c r="H44" s="201"/>
      <c r="I44" s="164">
        <f t="shared" si="3"/>
        <v>29</v>
      </c>
    </row>
    <row r="45" spans="1:11" x14ac:dyDescent="0.35">
      <c r="A45" s="161">
        <f t="shared" si="2"/>
        <v>30</v>
      </c>
      <c r="B45" s="175" t="str">
        <f>B22</f>
        <v>Section 5 - Interest True-Up Adjustment Cost Component</v>
      </c>
      <c r="C45" s="200">
        <f>'Pg3 Rev App. XII C5'!C44</f>
        <v>-0.57605590155286934</v>
      </c>
      <c r="D45" s="200"/>
      <c r="E45" s="200">
        <f>'Pg4 As Filed-Orig. App XII C5'!C45</f>
        <v>-0.57605590155286934</v>
      </c>
      <c r="F45" s="200"/>
      <c r="G45" s="200">
        <f>C45-E45</f>
        <v>0</v>
      </c>
      <c r="H45" s="8" t="s">
        <v>43</v>
      </c>
      <c r="I45" s="164">
        <f t="shared" si="3"/>
        <v>30</v>
      </c>
    </row>
    <row r="46" spans="1:11" x14ac:dyDescent="0.35">
      <c r="A46" s="161">
        <f t="shared" si="2"/>
        <v>31</v>
      </c>
      <c r="B46" s="177"/>
      <c r="C46" s="28"/>
      <c r="D46" s="27"/>
      <c r="E46" s="27"/>
      <c r="F46" s="27"/>
      <c r="G46" s="27"/>
      <c r="H46" s="203"/>
      <c r="I46" s="164">
        <f t="shared" si="3"/>
        <v>31</v>
      </c>
    </row>
    <row r="47" spans="1:11" x14ac:dyDescent="0.35">
      <c r="A47" s="161">
        <f t="shared" si="2"/>
        <v>32</v>
      </c>
      <c r="B47" s="175" t="str">
        <f>B26</f>
        <v>Other Adjustments</v>
      </c>
      <c r="C47" s="555">
        <f>'Pg3 Rev App. XII C5'!C46</f>
        <v>-9.3769483602556842E-3</v>
      </c>
      <c r="D47" s="200"/>
      <c r="E47" s="555">
        <f>'Pg4 As Filed-Orig. App XII C5'!C47</f>
        <v>-9.3769483602556842E-3</v>
      </c>
      <c r="F47" s="200"/>
      <c r="G47" s="555">
        <f>C47-E47</f>
        <v>0</v>
      </c>
      <c r="H47" s="8" t="s">
        <v>44</v>
      </c>
      <c r="I47" s="164">
        <f t="shared" si="3"/>
        <v>32</v>
      </c>
      <c r="K47" s="760"/>
    </row>
    <row r="48" spans="1:11" x14ac:dyDescent="0.35">
      <c r="A48" s="161">
        <f t="shared" si="2"/>
        <v>33</v>
      </c>
      <c r="B48" s="177"/>
      <c r="C48" s="28"/>
      <c r="D48" s="27"/>
      <c r="E48" s="27"/>
      <c r="F48" s="27"/>
      <c r="G48" s="27"/>
      <c r="H48" s="203"/>
      <c r="I48" s="164">
        <f t="shared" si="3"/>
        <v>33</v>
      </c>
    </row>
    <row r="49" spans="1:11" x14ac:dyDescent="0.35">
      <c r="A49" s="161">
        <f t="shared" si="2"/>
        <v>34</v>
      </c>
      <c r="B49" s="177" t="s">
        <v>45</v>
      </c>
      <c r="C49" s="264">
        <f>C41+C43+C45+C47</f>
        <v>75.37168091117843</v>
      </c>
      <c r="D49" s="24" t="s">
        <v>24</v>
      </c>
      <c r="E49" s="268">
        <f>E41+E43+E45+E47</f>
        <v>74.281529334409029</v>
      </c>
      <c r="F49" s="153"/>
      <c r="G49" s="264">
        <f>G41+G43+G45+G47+0.001</f>
        <v>1.0901515767694026</v>
      </c>
      <c r="H49" s="180" t="str">
        <f>"Sum Lines "&amp;A41&amp;", "&amp;A43&amp;", "&amp;A45&amp;", "&amp;A47</f>
        <v>Sum Lines 26, 28, 30, 32</v>
      </c>
      <c r="I49" s="164">
        <f t="shared" si="3"/>
        <v>34</v>
      </c>
      <c r="K49" s="760"/>
    </row>
    <row r="50" spans="1:11" x14ac:dyDescent="0.35">
      <c r="A50" s="161">
        <f t="shared" si="2"/>
        <v>35</v>
      </c>
      <c r="B50" s="159"/>
      <c r="C50" s="265"/>
      <c r="D50" s="205"/>
      <c r="E50" s="205"/>
      <c r="F50" s="205"/>
      <c r="G50" s="205"/>
      <c r="H50" s="206"/>
      <c r="I50" s="164">
        <f t="shared" si="3"/>
        <v>35</v>
      </c>
    </row>
    <row r="51" spans="1:11" x14ac:dyDescent="0.35">
      <c r="A51" s="161">
        <f t="shared" si="2"/>
        <v>36</v>
      </c>
      <c r="B51" s="252" t="s">
        <v>11</v>
      </c>
      <c r="C51" s="556">
        <f>'Pg3 Rev App. XII C5'!C50</f>
        <v>12</v>
      </c>
      <c r="D51" s="207"/>
      <c r="E51" s="556">
        <f>'Pg4 As Filed-Orig. App XII C5'!C51</f>
        <v>12</v>
      </c>
      <c r="F51" s="207"/>
      <c r="G51" s="557">
        <f>C51-E51</f>
        <v>0</v>
      </c>
      <c r="H51" s="8" t="s">
        <v>46</v>
      </c>
      <c r="I51" s="164">
        <f t="shared" si="3"/>
        <v>36</v>
      </c>
    </row>
    <row r="52" spans="1:11" x14ac:dyDescent="0.35">
      <c r="A52" s="161">
        <f t="shared" si="2"/>
        <v>37</v>
      </c>
      <c r="B52" s="159"/>
      <c r="C52" s="265"/>
      <c r="D52" s="205"/>
      <c r="E52" s="205"/>
      <c r="F52" s="205"/>
      <c r="G52" s="205"/>
      <c r="H52" s="208"/>
      <c r="I52" s="164">
        <f t="shared" si="3"/>
        <v>37</v>
      </c>
    </row>
    <row r="53" spans="1:11" ht="16" thickBot="1" x14ac:dyDescent="0.4">
      <c r="A53" s="161">
        <f t="shared" si="2"/>
        <v>38</v>
      </c>
      <c r="B53" s="253" t="str">
        <f>B28</f>
        <v>Total Annual Costs</v>
      </c>
      <c r="C53" s="271">
        <f>C49*C51</f>
        <v>904.46017093414116</v>
      </c>
      <c r="D53" s="24" t="s">
        <v>24</v>
      </c>
      <c r="E53" s="759">
        <f>E49*E51</f>
        <v>891.37835201290841</v>
      </c>
      <c r="F53" s="153"/>
      <c r="G53" s="247">
        <f>C53-E53</f>
        <v>13.081818921232752</v>
      </c>
      <c r="H53" s="8" t="s">
        <v>47</v>
      </c>
      <c r="I53" s="164">
        <f t="shared" si="3"/>
        <v>38</v>
      </c>
    </row>
    <row r="54" spans="1:11" ht="16.5" thickTop="1" thickBot="1" x14ac:dyDescent="0.4">
      <c r="A54" s="161">
        <f t="shared" si="2"/>
        <v>39</v>
      </c>
      <c r="B54" s="160"/>
      <c r="C54" s="270"/>
      <c r="D54" s="210"/>
      <c r="E54" s="210"/>
      <c r="F54" s="210"/>
      <c r="G54" s="210"/>
      <c r="H54" s="211"/>
      <c r="I54" s="164">
        <f t="shared" si="3"/>
        <v>39</v>
      </c>
    </row>
    <row r="57" spans="1:11" x14ac:dyDescent="0.35">
      <c r="A57" s="24" t="s">
        <v>24</v>
      </c>
      <c r="B57" s="22" t="s">
        <v>647</v>
      </c>
    </row>
    <row r="58" spans="1:11" x14ac:dyDescent="0.35">
      <c r="B58" s="22"/>
    </row>
  </sheetData>
  <mergeCells count="5">
    <mergeCell ref="B2:H2"/>
    <mergeCell ref="B3:H3"/>
    <mergeCell ref="B4:H4"/>
    <mergeCell ref="B5:H5"/>
    <mergeCell ref="B6:H6"/>
  </mergeCells>
  <printOptions horizontalCentered="1"/>
  <pageMargins left="0.25" right="0.25" top="0.5" bottom="0.5" header="0.25" footer="0.25"/>
  <pageSetup scale="58" orientation="portrait" r:id="rId1"/>
  <headerFooter scaleWithDoc="0" alignWithMargins="0">
    <oddFooter>&amp;L&amp;F&amp;CPage 2&amp;R&amp;A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D3863-31D3-4429-BB9D-AD6662235D39}">
  <sheetPr>
    <pageSetUpPr fitToPage="1"/>
  </sheetPr>
  <dimension ref="A1:J56"/>
  <sheetViews>
    <sheetView zoomScale="80" zoomScaleNormal="80" workbookViewId="0">
      <selection activeCell="C19" sqref="C19"/>
    </sheetView>
  </sheetViews>
  <sheetFormatPr defaultColWidth="8.54296875" defaultRowHeight="15.5" x14ac:dyDescent="0.35"/>
  <cols>
    <col min="1" max="1" width="5.1796875" style="34" customWidth="1"/>
    <col min="2" max="2" width="73.1796875" style="18" bestFit="1" customWidth="1"/>
    <col min="3" max="3" width="18.26953125" style="18" customWidth="1"/>
    <col min="4" max="4" width="2" style="18" bestFit="1" customWidth="1"/>
    <col min="5" max="5" width="51.453125" style="18" bestFit="1" customWidth="1"/>
    <col min="6" max="6" width="5.1796875" style="34" customWidth="1"/>
    <col min="7" max="7" width="8.54296875" style="18"/>
    <col min="8" max="8" width="19" style="18" customWidth="1"/>
    <col min="9" max="16384" width="8.54296875" style="18"/>
  </cols>
  <sheetData>
    <row r="1" spans="1:8" x14ac:dyDescent="0.35">
      <c r="A1" s="157"/>
      <c r="B1" s="158"/>
      <c r="C1" s="158"/>
      <c r="D1" s="158"/>
      <c r="E1" s="158"/>
      <c r="F1" s="157"/>
    </row>
    <row r="2" spans="1:8" x14ac:dyDescent="0.35">
      <c r="A2" s="157"/>
      <c r="B2" s="764" t="s">
        <v>14</v>
      </c>
      <c r="C2" s="764"/>
      <c r="D2" s="764"/>
      <c r="E2" s="764"/>
      <c r="F2" s="158"/>
    </row>
    <row r="3" spans="1:8" x14ac:dyDescent="0.35">
      <c r="B3" s="764" t="s">
        <v>629</v>
      </c>
      <c r="C3" s="764"/>
      <c r="D3" s="764"/>
      <c r="E3" s="764"/>
      <c r="F3" s="154"/>
    </row>
    <row r="4" spans="1:8" x14ac:dyDescent="0.35">
      <c r="B4" s="764" t="s">
        <v>48</v>
      </c>
      <c r="C4" s="764"/>
      <c r="D4" s="764"/>
      <c r="E4" s="764"/>
      <c r="F4" s="154"/>
    </row>
    <row r="5" spans="1:8" x14ac:dyDescent="0.35">
      <c r="A5" s="157"/>
      <c r="B5" s="766" t="s">
        <v>619</v>
      </c>
      <c r="C5" s="766"/>
      <c r="D5" s="766"/>
      <c r="E5" s="766"/>
      <c r="F5" s="157"/>
      <c r="H5" s="390"/>
    </row>
    <row r="6" spans="1:8" x14ac:dyDescent="0.35">
      <c r="B6" s="765" t="s">
        <v>1</v>
      </c>
      <c r="C6" s="764"/>
      <c r="D6" s="764"/>
      <c r="E6" s="764"/>
      <c r="F6" s="154"/>
    </row>
    <row r="7" spans="1:8" ht="16" thickBot="1" x14ac:dyDescent="0.4">
      <c r="A7" s="157"/>
      <c r="B7" s="158"/>
      <c r="C7" s="159"/>
      <c r="D7" s="159"/>
      <c r="E7" s="159"/>
      <c r="F7" s="157"/>
    </row>
    <row r="8" spans="1:8" x14ac:dyDescent="0.35">
      <c r="A8" s="161" t="s">
        <v>2</v>
      </c>
      <c r="B8" s="162"/>
      <c r="C8" s="212"/>
      <c r="D8" s="688"/>
      <c r="E8" s="163"/>
      <c r="F8" s="155" t="s">
        <v>2</v>
      </c>
    </row>
    <row r="9" spans="1:8" x14ac:dyDescent="0.35">
      <c r="A9" s="161" t="s">
        <v>3</v>
      </c>
      <c r="B9" s="753" t="s">
        <v>19</v>
      </c>
      <c r="C9" s="692" t="s">
        <v>5</v>
      </c>
      <c r="D9" s="682"/>
      <c r="E9" s="754" t="s">
        <v>6</v>
      </c>
      <c r="F9" s="155" t="s">
        <v>3</v>
      </c>
    </row>
    <row r="10" spans="1:8" x14ac:dyDescent="0.35">
      <c r="A10" s="161"/>
      <c r="B10" s="693"/>
      <c r="C10" s="214"/>
      <c r="D10" s="166"/>
      <c r="E10" s="704"/>
      <c r="F10" s="155"/>
    </row>
    <row r="11" spans="1:8" x14ac:dyDescent="0.35">
      <c r="A11" s="161">
        <v>1</v>
      </c>
      <c r="B11" s="694" t="s">
        <v>21</v>
      </c>
      <c r="C11" s="216">
        <v>0</v>
      </c>
      <c r="D11" s="169"/>
      <c r="E11" s="705" t="s">
        <v>49</v>
      </c>
      <c r="F11" s="155">
        <f>A11</f>
        <v>1</v>
      </c>
      <c r="H11" s="615"/>
    </row>
    <row r="12" spans="1:8" x14ac:dyDescent="0.35">
      <c r="A12" s="161">
        <f>A11+1</f>
        <v>2</v>
      </c>
      <c r="B12" s="695"/>
      <c r="C12" s="218"/>
      <c r="D12" s="172"/>
      <c r="E12" s="703"/>
      <c r="F12" s="155">
        <f>F11+1</f>
        <v>2</v>
      </c>
      <c r="H12" s="615"/>
    </row>
    <row r="13" spans="1:8" x14ac:dyDescent="0.35">
      <c r="A13" s="161">
        <f t="shared" ref="A13:A28" si="0">A12+1</f>
        <v>3</v>
      </c>
      <c r="B13" s="694" t="s">
        <v>23</v>
      </c>
      <c r="C13" s="681">
        <f>'Pg5 Rev Sec.2-Non-Direct Exp'!E35</f>
        <v>936.73201579183581</v>
      </c>
      <c r="D13" s="24" t="s">
        <v>24</v>
      </c>
      <c r="E13" s="705" t="s">
        <v>481</v>
      </c>
      <c r="F13" s="155">
        <f t="shared" ref="F13:F28" si="1">F12+1</f>
        <v>3</v>
      </c>
      <c r="H13" s="615"/>
    </row>
    <row r="14" spans="1:8" x14ac:dyDescent="0.35">
      <c r="A14" s="161">
        <f t="shared" si="0"/>
        <v>4</v>
      </c>
      <c r="B14" s="695"/>
      <c r="C14" s="616"/>
      <c r="D14" s="176"/>
      <c r="E14" s="706"/>
      <c r="F14" s="155">
        <f t="shared" si="1"/>
        <v>4</v>
      </c>
      <c r="H14" s="615"/>
    </row>
    <row r="15" spans="1:8" x14ac:dyDescent="0.35">
      <c r="A15" s="161">
        <f t="shared" si="0"/>
        <v>5</v>
      </c>
      <c r="B15" s="696" t="s">
        <v>26</v>
      </c>
      <c r="C15" s="449">
        <v>-57.529156544946602</v>
      </c>
      <c r="D15" s="176"/>
      <c r="E15" s="705" t="s">
        <v>50</v>
      </c>
      <c r="F15" s="155">
        <f t="shared" si="1"/>
        <v>5</v>
      </c>
      <c r="H15" s="615"/>
    </row>
    <row r="16" spans="1:8" x14ac:dyDescent="0.35">
      <c r="A16" s="161">
        <f t="shared" si="0"/>
        <v>6</v>
      </c>
      <c r="B16" s="697"/>
      <c r="C16" s="617"/>
      <c r="D16" s="683"/>
      <c r="E16" s="705"/>
      <c r="F16" s="155">
        <f t="shared" si="1"/>
        <v>6</v>
      </c>
      <c r="H16" s="618"/>
    </row>
    <row r="17" spans="1:10" x14ac:dyDescent="0.35">
      <c r="A17" s="161">
        <f t="shared" si="0"/>
        <v>7</v>
      </c>
      <c r="B17" s="698" t="s">
        <v>51</v>
      </c>
      <c r="C17" s="179">
        <f>C11+C13+C15</f>
        <v>879.20285924688915</v>
      </c>
      <c r="D17" s="24" t="s">
        <v>24</v>
      </c>
      <c r="E17" s="707" t="s">
        <v>52</v>
      </c>
      <c r="F17" s="155">
        <f t="shared" si="1"/>
        <v>7</v>
      </c>
      <c r="H17" s="618"/>
    </row>
    <row r="18" spans="1:10" x14ac:dyDescent="0.35">
      <c r="A18" s="161">
        <f t="shared" si="0"/>
        <v>8</v>
      </c>
      <c r="B18" s="699"/>
      <c r="C18" s="619"/>
      <c r="D18" s="689"/>
      <c r="E18" s="708"/>
      <c r="F18" s="155">
        <f t="shared" si="1"/>
        <v>8</v>
      </c>
      <c r="H18" s="615"/>
    </row>
    <row r="19" spans="1:10" x14ac:dyDescent="0.35">
      <c r="A19" s="161">
        <f t="shared" si="0"/>
        <v>9</v>
      </c>
      <c r="B19" s="694" t="s">
        <v>29</v>
      </c>
      <c r="C19" s="173">
        <f>'Pg7 Rev Sec.4-TU'!N30</f>
        <v>32.282505886209449</v>
      </c>
      <c r="D19" s="24" t="s">
        <v>24</v>
      </c>
      <c r="E19" s="705" t="s">
        <v>482</v>
      </c>
      <c r="F19" s="155">
        <f t="shared" si="1"/>
        <v>9</v>
      </c>
      <c r="H19" s="618"/>
    </row>
    <row r="20" spans="1:10" x14ac:dyDescent="0.35">
      <c r="A20" s="161">
        <f t="shared" si="0"/>
        <v>10</v>
      </c>
      <c r="B20" s="694"/>
      <c r="C20" s="616"/>
      <c r="D20" s="176"/>
      <c r="E20" s="709"/>
      <c r="F20" s="155">
        <f t="shared" si="1"/>
        <v>10</v>
      </c>
      <c r="H20" s="615"/>
    </row>
    <row r="21" spans="1:10" x14ac:dyDescent="0.35">
      <c r="A21" s="161">
        <f t="shared" si="0"/>
        <v>11</v>
      </c>
      <c r="B21" s="694" t="s">
        <v>31</v>
      </c>
      <c r="C21" s="449">
        <v>-6.9126708186344317</v>
      </c>
      <c r="D21" s="176"/>
      <c r="E21" s="707" t="s">
        <v>53</v>
      </c>
      <c r="F21" s="155">
        <f t="shared" si="1"/>
        <v>11</v>
      </c>
      <c r="H21" s="618"/>
    </row>
    <row r="22" spans="1:10" x14ac:dyDescent="0.35">
      <c r="A22" s="161">
        <f t="shared" si="0"/>
        <v>12</v>
      </c>
      <c r="B22" s="697"/>
      <c r="C22" s="184"/>
      <c r="D22" s="690"/>
      <c r="E22" s="707"/>
      <c r="F22" s="155">
        <f t="shared" si="1"/>
        <v>12</v>
      </c>
      <c r="H22" s="618"/>
    </row>
    <row r="23" spans="1:10" x14ac:dyDescent="0.35">
      <c r="A23" s="161">
        <f t="shared" si="0"/>
        <v>13</v>
      </c>
      <c r="B23" s="697" t="s">
        <v>33</v>
      </c>
      <c r="C23" s="76">
        <f>C17+C19+C21-1</f>
        <v>903.57269431446423</v>
      </c>
      <c r="D23" s="24" t="s">
        <v>24</v>
      </c>
      <c r="E23" s="707" t="s">
        <v>54</v>
      </c>
      <c r="F23" s="155">
        <f t="shared" si="1"/>
        <v>13</v>
      </c>
      <c r="H23" s="620"/>
    </row>
    <row r="24" spans="1:10" x14ac:dyDescent="0.35">
      <c r="A24" s="161">
        <f t="shared" si="0"/>
        <v>14</v>
      </c>
      <c r="B24" s="700"/>
      <c r="C24" s="621"/>
      <c r="D24" s="684"/>
      <c r="E24" s="707"/>
      <c r="F24" s="155">
        <f t="shared" si="1"/>
        <v>14</v>
      </c>
      <c r="H24" s="618"/>
    </row>
    <row r="25" spans="1:10" x14ac:dyDescent="0.35">
      <c r="A25" s="161">
        <f t="shared" si="0"/>
        <v>15</v>
      </c>
      <c r="B25" s="696" t="s">
        <v>34</v>
      </c>
      <c r="C25" s="450">
        <v>-0.11252338032306822</v>
      </c>
      <c r="D25" s="74"/>
      <c r="E25" s="707" t="s">
        <v>55</v>
      </c>
      <c r="F25" s="155">
        <f t="shared" si="1"/>
        <v>15</v>
      </c>
      <c r="H25" s="622"/>
    </row>
    <row r="26" spans="1:10" x14ac:dyDescent="0.35">
      <c r="A26" s="161">
        <f t="shared" si="0"/>
        <v>16</v>
      </c>
      <c r="B26" s="701"/>
      <c r="C26" s="623"/>
      <c r="D26" s="691"/>
      <c r="E26" s="707"/>
      <c r="F26" s="155">
        <f t="shared" si="1"/>
        <v>16</v>
      </c>
      <c r="H26" s="615"/>
    </row>
    <row r="27" spans="1:10" ht="16" thickBot="1" x14ac:dyDescent="0.4">
      <c r="A27" s="161">
        <f t="shared" si="0"/>
        <v>17</v>
      </c>
      <c r="B27" s="698" t="s">
        <v>36</v>
      </c>
      <c r="C27" s="188">
        <f>C23+C25+1</f>
        <v>904.46017093414116</v>
      </c>
      <c r="D27" s="24" t="s">
        <v>24</v>
      </c>
      <c r="E27" s="707" t="s">
        <v>56</v>
      </c>
      <c r="F27" s="155">
        <f t="shared" si="1"/>
        <v>17</v>
      </c>
      <c r="H27" s="622"/>
      <c r="I27" s="20"/>
      <c r="J27" s="189"/>
    </row>
    <row r="28" spans="1:10" ht="16.5" thickTop="1" thickBot="1" x14ac:dyDescent="0.4">
      <c r="A28" s="161">
        <f t="shared" si="0"/>
        <v>18</v>
      </c>
      <c r="B28" s="702"/>
      <c r="C28" s="190"/>
      <c r="D28" s="160"/>
      <c r="E28" s="710"/>
      <c r="F28" s="155">
        <f t="shared" si="1"/>
        <v>18</v>
      </c>
    </row>
    <row r="29" spans="1:10" x14ac:dyDescent="0.35">
      <c r="H29" s="390"/>
    </row>
    <row r="30" spans="1:10" ht="16" thickBot="1" x14ac:dyDescent="0.4">
      <c r="A30" s="157"/>
      <c r="B30" s="191"/>
      <c r="C30" s="192"/>
      <c r="D30" s="192"/>
      <c r="E30" s="192"/>
      <c r="F30" s="157"/>
      <c r="H30" s="390"/>
    </row>
    <row r="31" spans="1:10" x14ac:dyDescent="0.35">
      <c r="A31" s="161" t="s">
        <v>2</v>
      </c>
      <c r="B31" s="193"/>
      <c r="C31" s="158"/>
      <c r="D31" s="158"/>
      <c r="E31" s="158"/>
      <c r="F31" s="164" t="s">
        <v>2</v>
      </c>
    </row>
    <row r="32" spans="1:10" x14ac:dyDescent="0.35">
      <c r="A32" s="161" t="s">
        <v>3</v>
      </c>
      <c r="B32" s="692" t="s">
        <v>37</v>
      </c>
      <c r="C32" s="682" t="str">
        <f>C9</f>
        <v>Amounts</v>
      </c>
      <c r="D32" s="682"/>
      <c r="E32" s="682" t="str">
        <f>E9</f>
        <v>Reference</v>
      </c>
      <c r="F32" s="164" t="s">
        <v>3</v>
      </c>
    </row>
    <row r="33" spans="1:8" x14ac:dyDescent="0.35">
      <c r="A33" s="161">
        <f>A28+1</f>
        <v>19</v>
      </c>
      <c r="B33" s="194"/>
      <c r="C33" s="167"/>
      <c r="D33" s="166"/>
      <c r="E33" s="167"/>
      <c r="F33" s="164">
        <f>F28+1</f>
        <v>19</v>
      </c>
    </row>
    <row r="34" spans="1:8" x14ac:dyDescent="0.35">
      <c r="A34" s="161">
        <f>A33+1</f>
        <v>20</v>
      </c>
      <c r="B34" s="168" t="str">
        <f>B11</f>
        <v>Section 1 - Direct Maintenance Expense Cost Component</v>
      </c>
      <c r="C34" s="195">
        <f>C11/12</f>
        <v>0</v>
      </c>
      <c r="D34" s="195"/>
      <c r="E34" s="170" t="s">
        <v>572</v>
      </c>
      <c r="F34" s="164">
        <f>F33+1</f>
        <v>20</v>
      </c>
    </row>
    <row r="35" spans="1:8" x14ac:dyDescent="0.35">
      <c r="A35" s="161">
        <f t="shared" ref="A35:A53" si="2">A34+1</f>
        <v>21</v>
      </c>
      <c r="B35" s="171"/>
      <c r="C35" s="196"/>
      <c r="D35" s="196"/>
      <c r="E35" s="197"/>
      <c r="F35" s="164">
        <f t="shared" ref="F35:F53" si="3">F34+1</f>
        <v>21</v>
      </c>
    </row>
    <row r="36" spans="1:8" x14ac:dyDescent="0.35">
      <c r="A36" s="161">
        <f t="shared" si="2"/>
        <v>22</v>
      </c>
      <c r="B36" s="168" t="str">
        <f>B13</f>
        <v>Section 2 - Non-Direct Expense Cost Component</v>
      </c>
      <c r="C36" s="261">
        <f>C13/12</f>
        <v>78.061001315986317</v>
      </c>
      <c r="D36" s="24" t="s">
        <v>24</v>
      </c>
      <c r="E36" s="170" t="s">
        <v>573</v>
      </c>
      <c r="F36" s="164">
        <f t="shared" si="3"/>
        <v>22</v>
      </c>
    </row>
    <row r="37" spans="1:8" x14ac:dyDescent="0.35">
      <c r="A37" s="161">
        <f t="shared" si="2"/>
        <v>23</v>
      </c>
      <c r="B37" s="171"/>
      <c r="C37" s="262"/>
      <c r="D37" s="198"/>
      <c r="E37" s="199"/>
      <c r="F37" s="164">
        <f t="shared" si="3"/>
        <v>23</v>
      </c>
    </row>
    <row r="38" spans="1:8" x14ac:dyDescent="0.35">
      <c r="A38" s="161">
        <f t="shared" si="2"/>
        <v>24</v>
      </c>
      <c r="B38" s="168" t="str">
        <f>B15</f>
        <v>Section 3 - Cost Component Containing Other Specific Expenses</v>
      </c>
      <c r="C38" s="711">
        <f>C15/12</f>
        <v>-4.7940963787455502</v>
      </c>
      <c r="D38" s="200"/>
      <c r="E38" s="170" t="s">
        <v>574</v>
      </c>
      <c r="F38" s="164">
        <f t="shared" si="3"/>
        <v>24</v>
      </c>
    </row>
    <row r="39" spans="1:8" x14ac:dyDescent="0.35">
      <c r="A39" s="161">
        <f t="shared" si="2"/>
        <v>25</v>
      </c>
      <c r="B39" s="181"/>
      <c r="C39" s="198"/>
      <c r="D39" s="198"/>
      <c r="E39" s="170"/>
      <c r="F39" s="164">
        <f t="shared" si="3"/>
        <v>25</v>
      </c>
    </row>
    <row r="40" spans="1:8" x14ac:dyDescent="0.35">
      <c r="A40" s="161">
        <f t="shared" si="2"/>
        <v>26</v>
      </c>
      <c r="B40" s="178" t="s">
        <v>57</v>
      </c>
      <c r="C40" s="263">
        <f>C34+C36+C38</f>
        <v>73.266904937240767</v>
      </c>
      <c r="D40" s="24" t="s">
        <v>24</v>
      </c>
      <c r="E40" s="180" t="s">
        <v>484</v>
      </c>
      <c r="F40" s="164">
        <f t="shared" si="3"/>
        <v>26</v>
      </c>
    </row>
    <row r="41" spans="1:8" x14ac:dyDescent="0.35">
      <c r="A41" s="161">
        <f t="shared" si="2"/>
        <v>27</v>
      </c>
      <c r="B41" s="194"/>
      <c r="C41" s="262"/>
      <c r="D41" s="198"/>
      <c r="E41" s="174"/>
      <c r="F41" s="164">
        <f t="shared" si="3"/>
        <v>27</v>
      </c>
      <c r="H41" s="625"/>
    </row>
    <row r="42" spans="1:8" x14ac:dyDescent="0.35">
      <c r="A42" s="161">
        <f t="shared" si="2"/>
        <v>28</v>
      </c>
      <c r="B42" s="168" t="str">
        <f>LEFT(B19,45)</f>
        <v>Section 4 - True-Up Adjustment Cost Component</v>
      </c>
      <c r="C42" s="261">
        <f>C19/12</f>
        <v>2.6902088238507873</v>
      </c>
      <c r="D42" s="24" t="s">
        <v>24</v>
      </c>
      <c r="E42" s="170" t="s">
        <v>575</v>
      </c>
      <c r="F42" s="164">
        <f t="shared" si="3"/>
        <v>28</v>
      </c>
    </row>
    <row r="43" spans="1:8" x14ac:dyDescent="0.35">
      <c r="A43" s="161">
        <f t="shared" si="2"/>
        <v>29</v>
      </c>
      <c r="B43" s="168"/>
      <c r="C43" s="262"/>
      <c r="D43" s="198"/>
      <c r="E43" s="201"/>
      <c r="F43" s="164">
        <f t="shared" si="3"/>
        <v>29</v>
      </c>
    </row>
    <row r="44" spans="1:8" x14ac:dyDescent="0.35">
      <c r="A44" s="161">
        <f t="shared" si="2"/>
        <v>30</v>
      </c>
      <c r="B44" s="168" t="str">
        <f>B21</f>
        <v>Section 5 - Interest True-Up Adjustment Cost Component</v>
      </c>
      <c r="C44" s="200">
        <f>C21/12</f>
        <v>-0.57605590155286934</v>
      </c>
      <c r="D44" s="326"/>
      <c r="E44" s="180" t="s">
        <v>576</v>
      </c>
      <c r="F44" s="164">
        <f t="shared" si="3"/>
        <v>30</v>
      </c>
    </row>
    <row r="45" spans="1:8" x14ac:dyDescent="0.35">
      <c r="A45" s="161">
        <f t="shared" si="2"/>
        <v>31</v>
      </c>
      <c r="B45" s="181"/>
      <c r="C45" s="685"/>
      <c r="D45" s="27"/>
      <c r="E45" s="203"/>
      <c r="F45" s="164">
        <f t="shared" si="3"/>
        <v>31</v>
      </c>
    </row>
    <row r="46" spans="1:8" x14ac:dyDescent="0.35">
      <c r="A46" s="161">
        <f t="shared" si="2"/>
        <v>32</v>
      </c>
      <c r="B46" s="175" t="str">
        <f>B25</f>
        <v>Other Adjustments</v>
      </c>
      <c r="C46" s="711">
        <f>C25/12</f>
        <v>-9.3769483602556842E-3</v>
      </c>
      <c r="D46" s="200"/>
      <c r="E46" s="180" t="s">
        <v>577</v>
      </c>
      <c r="F46" s="164">
        <f t="shared" si="3"/>
        <v>32</v>
      </c>
    </row>
    <row r="47" spans="1:8" x14ac:dyDescent="0.35">
      <c r="A47" s="161">
        <f t="shared" si="2"/>
        <v>33</v>
      </c>
      <c r="B47" s="177"/>
      <c r="C47" s="685"/>
      <c r="D47" s="27"/>
      <c r="E47" s="203"/>
      <c r="F47" s="164">
        <f t="shared" si="3"/>
        <v>33</v>
      </c>
    </row>
    <row r="48" spans="1:8" ht="16" thickBot="1" x14ac:dyDescent="0.4">
      <c r="A48" s="161">
        <f t="shared" si="2"/>
        <v>34</v>
      </c>
      <c r="B48" s="177" t="s">
        <v>45</v>
      </c>
      <c r="C48" s="712">
        <f>C27/12</f>
        <v>75.37168091117843</v>
      </c>
      <c r="D48" s="24" t="s">
        <v>24</v>
      </c>
      <c r="E48" s="180" t="s">
        <v>578</v>
      </c>
      <c r="F48" s="164">
        <f t="shared" si="3"/>
        <v>34</v>
      </c>
      <c r="H48" s="618"/>
    </row>
    <row r="49" spans="1:6" ht="16" thickTop="1" x14ac:dyDescent="0.35">
      <c r="A49" s="161">
        <f t="shared" si="2"/>
        <v>35</v>
      </c>
      <c r="B49" s="194"/>
      <c r="C49" s="686"/>
      <c r="D49" s="205"/>
      <c r="E49" s="206"/>
      <c r="F49" s="164">
        <f t="shared" si="3"/>
        <v>35</v>
      </c>
    </row>
    <row r="50" spans="1:6" x14ac:dyDescent="0.35">
      <c r="A50" s="161">
        <f t="shared" si="2"/>
        <v>36</v>
      </c>
      <c r="B50" s="171" t="s">
        <v>11</v>
      </c>
      <c r="C50" s="713">
        <v>12</v>
      </c>
      <c r="D50" s="207"/>
      <c r="E50" s="206"/>
      <c r="F50" s="164">
        <f t="shared" si="3"/>
        <v>36</v>
      </c>
    </row>
    <row r="51" spans="1:6" x14ac:dyDescent="0.35">
      <c r="A51" s="161">
        <f t="shared" si="2"/>
        <v>37</v>
      </c>
      <c r="B51" s="194"/>
      <c r="C51" s="686"/>
      <c r="D51" s="205"/>
      <c r="E51" s="208"/>
      <c r="F51" s="164">
        <f t="shared" si="3"/>
        <v>37</v>
      </c>
    </row>
    <row r="52" spans="1:6" ht="16" thickBot="1" x14ac:dyDescent="0.4">
      <c r="A52" s="161">
        <f t="shared" si="2"/>
        <v>38</v>
      </c>
      <c r="B52" s="178" t="str">
        <f>B27</f>
        <v>Total Annual Costs</v>
      </c>
      <c r="C52" s="714">
        <f>C48*C50</f>
        <v>904.46017093414116</v>
      </c>
      <c r="D52" s="24" t="s">
        <v>24</v>
      </c>
      <c r="E52" s="180" t="s">
        <v>579</v>
      </c>
      <c r="F52" s="164">
        <f t="shared" si="3"/>
        <v>38</v>
      </c>
    </row>
    <row r="53" spans="1:6" ht="16.5" thickTop="1" thickBot="1" x14ac:dyDescent="0.4">
      <c r="A53" s="161">
        <f t="shared" si="2"/>
        <v>39</v>
      </c>
      <c r="B53" s="160"/>
      <c r="C53" s="687"/>
      <c r="D53" s="210"/>
      <c r="E53" s="211"/>
      <c r="F53" s="164">
        <f t="shared" si="3"/>
        <v>39</v>
      </c>
    </row>
    <row r="56" spans="1:6" x14ac:dyDescent="0.35">
      <c r="A56" s="24" t="s">
        <v>24</v>
      </c>
      <c r="B56" s="22" t="str">
        <f>'Pg2 Appendix XII C5 Comparison'!B57</f>
        <v>Items in BOLD have changed due to A&amp;G adj. on CEMA/WMPMA exclusion corrections compared to the original Appendix XII Cycle 5 per ER23-110.</v>
      </c>
    </row>
  </sheetData>
  <mergeCells count="5">
    <mergeCell ref="B6:E6"/>
    <mergeCell ref="B2:E2"/>
    <mergeCell ref="B3:E3"/>
    <mergeCell ref="B4:E4"/>
    <mergeCell ref="B5:E5"/>
  </mergeCells>
  <printOptions horizontalCentered="1"/>
  <pageMargins left="0.25" right="0.25" top="0.5" bottom="0.5" header="0.35" footer="0.25"/>
  <pageSetup scale="65" orientation="portrait" r:id="rId1"/>
  <headerFooter scaleWithDoc="0" alignWithMargins="0">
    <oddHeader>&amp;C&amp;"Times New Roman,Bold"&amp;8REVISED</oddHeader>
    <oddFooter>&amp;L&amp;F&amp;CPage 3&amp;R&amp;A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1BDA3-8653-4DCA-A714-72AB4EB69BBF}">
  <sheetPr>
    <pageSetUpPr fitToPage="1"/>
  </sheetPr>
  <dimension ref="A1:I54"/>
  <sheetViews>
    <sheetView zoomScale="80" zoomScaleNormal="80" workbookViewId="0"/>
  </sheetViews>
  <sheetFormatPr defaultColWidth="8.81640625" defaultRowHeight="15.5" x14ac:dyDescent="0.35"/>
  <cols>
    <col min="1" max="1" width="5.1796875" style="34" customWidth="1"/>
    <col min="2" max="2" width="73.1796875" style="18" bestFit="1" customWidth="1"/>
    <col min="3" max="3" width="14.81640625" style="18" customWidth="1"/>
    <col min="4" max="4" width="51.453125" style="18" bestFit="1" customWidth="1"/>
    <col min="5" max="5" width="5.1796875" style="34" customWidth="1"/>
    <col min="6" max="16384" width="8.81640625" style="18"/>
  </cols>
  <sheetData>
    <row r="1" spans="1:7" x14ac:dyDescent="0.35">
      <c r="A1" s="732" t="s">
        <v>630</v>
      </c>
    </row>
    <row r="2" spans="1:7" x14ac:dyDescent="0.35">
      <c r="A2" s="157"/>
      <c r="B2" s="158"/>
      <c r="C2" s="158"/>
      <c r="D2" s="158"/>
      <c r="E2" s="157"/>
    </row>
    <row r="3" spans="1:7" x14ac:dyDescent="0.35">
      <c r="A3" s="157"/>
      <c r="B3" s="764" t="s">
        <v>14</v>
      </c>
      <c r="C3" s="764"/>
      <c r="D3" s="764"/>
      <c r="E3" s="158"/>
    </row>
    <row r="4" spans="1:7" x14ac:dyDescent="0.35">
      <c r="B4" s="764" t="s">
        <v>629</v>
      </c>
      <c r="C4" s="764"/>
      <c r="D4" s="764"/>
      <c r="E4" s="154"/>
    </row>
    <row r="5" spans="1:7" x14ac:dyDescent="0.35">
      <c r="B5" s="764" t="s">
        <v>48</v>
      </c>
      <c r="C5" s="764"/>
      <c r="D5" s="764"/>
      <c r="E5" s="154"/>
    </row>
    <row r="6" spans="1:7" x14ac:dyDescent="0.35">
      <c r="A6" s="157"/>
      <c r="B6" s="766" t="s">
        <v>619</v>
      </c>
      <c r="C6" s="766"/>
      <c r="D6" s="766"/>
      <c r="E6" s="157"/>
    </row>
    <row r="7" spans="1:7" x14ac:dyDescent="0.35">
      <c r="B7" s="765" t="s">
        <v>1</v>
      </c>
      <c r="C7" s="764"/>
      <c r="D7" s="764"/>
      <c r="E7" s="154"/>
    </row>
    <row r="8" spans="1:7" ht="16" thickBot="1" x14ac:dyDescent="0.4">
      <c r="A8" s="157"/>
      <c r="B8" s="158"/>
      <c r="C8" s="159"/>
      <c r="D8" s="159"/>
      <c r="E8" s="157"/>
    </row>
    <row r="9" spans="1:7" x14ac:dyDescent="0.35">
      <c r="A9" s="161" t="s">
        <v>2</v>
      </c>
      <c r="B9" s="162"/>
      <c r="C9" s="212"/>
      <c r="D9" s="213"/>
      <c r="E9" s="164" t="s">
        <v>2</v>
      </c>
    </row>
    <row r="10" spans="1:7" x14ac:dyDescent="0.35">
      <c r="A10" s="161" t="s">
        <v>3</v>
      </c>
      <c r="B10" s="692" t="s">
        <v>19</v>
      </c>
      <c r="C10" s="692" t="s">
        <v>5</v>
      </c>
      <c r="D10" s="727" t="s">
        <v>6</v>
      </c>
      <c r="E10" s="164" t="s">
        <v>3</v>
      </c>
    </row>
    <row r="11" spans="1:7" x14ac:dyDescent="0.35">
      <c r="A11" s="161"/>
      <c r="B11" s="165"/>
      <c r="C11" s="214"/>
      <c r="D11" s="215"/>
      <c r="E11" s="164"/>
    </row>
    <row r="12" spans="1:7" x14ac:dyDescent="0.35">
      <c r="A12" s="161">
        <v>1</v>
      </c>
      <c r="B12" s="168" t="s">
        <v>21</v>
      </c>
      <c r="C12" s="216">
        <v>0</v>
      </c>
      <c r="D12" s="217" t="s">
        <v>49</v>
      </c>
      <c r="E12" s="164">
        <f>A12</f>
        <v>1</v>
      </c>
      <c r="G12" s="20"/>
    </row>
    <row r="13" spans="1:7" x14ac:dyDescent="0.35">
      <c r="A13" s="161">
        <f>A12+1</f>
        <v>2</v>
      </c>
      <c r="B13" s="171"/>
      <c r="C13" s="218"/>
      <c r="D13" s="219"/>
      <c r="E13" s="164">
        <f>E12+1</f>
        <v>2</v>
      </c>
    </row>
    <row r="14" spans="1:7" x14ac:dyDescent="0.35">
      <c r="A14" s="161">
        <f t="shared" ref="A14:A29" si="0">A13+1</f>
        <v>3</v>
      </c>
      <c r="B14" s="168" t="s">
        <v>23</v>
      </c>
      <c r="C14" s="220">
        <v>930.24523814935469</v>
      </c>
      <c r="D14" s="217" t="s">
        <v>570</v>
      </c>
      <c r="E14" s="164">
        <f t="shared" ref="E14:E29" si="1">E13+1</f>
        <v>3</v>
      </c>
      <c r="G14" s="26"/>
    </row>
    <row r="15" spans="1:7" x14ac:dyDescent="0.35">
      <c r="A15" s="161">
        <f t="shared" si="0"/>
        <v>4</v>
      </c>
      <c r="B15" s="171"/>
      <c r="C15" s="218"/>
      <c r="D15" s="221"/>
      <c r="E15" s="164">
        <f t="shared" si="1"/>
        <v>4</v>
      </c>
    </row>
    <row r="16" spans="1:7" x14ac:dyDescent="0.35">
      <c r="A16" s="161">
        <f t="shared" si="0"/>
        <v>5</v>
      </c>
      <c r="B16" s="175" t="s">
        <v>26</v>
      </c>
      <c r="C16" s="449">
        <v>-57.529156544946602</v>
      </c>
      <c r="D16" s="170" t="s">
        <v>50</v>
      </c>
      <c r="E16" s="164">
        <f t="shared" si="1"/>
        <v>5</v>
      </c>
      <c r="G16" s="26"/>
    </row>
    <row r="17" spans="1:9" x14ac:dyDescent="0.35">
      <c r="A17" s="161">
        <f t="shared" si="0"/>
        <v>6</v>
      </c>
      <c r="B17" s="177"/>
      <c r="C17" s="728"/>
      <c r="D17" s="170"/>
      <c r="E17" s="164">
        <f t="shared" si="1"/>
        <v>6</v>
      </c>
      <c r="G17" s="26"/>
    </row>
    <row r="18" spans="1:9" x14ac:dyDescent="0.35">
      <c r="A18" s="161">
        <f t="shared" si="0"/>
        <v>7</v>
      </c>
      <c r="B18" s="178" t="s">
        <v>51</v>
      </c>
      <c r="C18" s="222">
        <f>C12+C14+C16</f>
        <v>872.71608160440815</v>
      </c>
      <c r="D18" s="180" t="s">
        <v>52</v>
      </c>
      <c r="E18" s="164">
        <f t="shared" si="1"/>
        <v>7</v>
      </c>
      <c r="G18" s="26"/>
    </row>
    <row r="19" spans="1:9" x14ac:dyDescent="0.35">
      <c r="A19" s="161">
        <f t="shared" si="0"/>
        <v>8</v>
      </c>
      <c r="B19" s="181"/>
      <c r="C19" s="218"/>
      <c r="D19" s="223"/>
      <c r="E19" s="164">
        <f t="shared" si="1"/>
        <v>8</v>
      </c>
    </row>
    <row r="20" spans="1:9" x14ac:dyDescent="0.35">
      <c r="A20" s="161">
        <f t="shared" si="0"/>
        <v>9</v>
      </c>
      <c r="B20" s="168" t="s">
        <v>29</v>
      </c>
      <c r="C20" s="224">
        <v>25.687464607457734</v>
      </c>
      <c r="D20" s="170" t="s">
        <v>571</v>
      </c>
      <c r="E20" s="164">
        <f t="shared" si="1"/>
        <v>9</v>
      </c>
    </row>
    <row r="21" spans="1:9" x14ac:dyDescent="0.35">
      <c r="A21" s="161">
        <f t="shared" si="0"/>
        <v>10</v>
      </c>
      <c r="B21" s="168"/>
      <c r="C21" s="218"/>
      <c r="D21" s="225"/>
      <c r="E21" s="164">
        <f t="shared" si="1"/>
        <v>10</v>
      </c>
    </row>
    <row r="22" spans="1:9" x14ac:dyDescent="0.35">
      <c r="A22" s="161">
        <f t="shared" si="0"/>
        <v>11</v>
      </c>
      <c r="B22" s="168" t="s">
        <v>31</v>
      </c>
      <c r="C22" s="449">
        <v>-6.9126708186344317</v>
      </c>
      <c r="D22" s="180" t="s">
        <v>53</v>
      </c>
      <c r="E22" s="164">
        <f t="shared" si="1"/>
        <v>11</v>
      </c>
    </row>
    <row r="23" spans="1:9" x14ac:dyDescent="0.35">
      <c r="A23" s="161">
        <f t="shared" si="0"/>
        <v>12</v>
      </c>
      <c r="B23" s="177"/>
      <c r="C23" s="184"/>
      <c r="D23" s="226"/>
      <c r="E23" s="164">
        <f t="shared" si="1"/>
        <v>12</v>
      </c>
    </row>
    <row r="24" spans="1:9" x14ac:dyDescent="0.35">
      <c r="A24" s="161">
        <f t="shared" si="0"/>
        <v>13</v>
      </c>
      <c r="B24" s="177" t="s">
        <v>33</v>
      </c>
      <c r="C24" s="72">
        <f>C18+C20+C22</f>
        <v>891.49087539323148</v>
      </c>
      <c r="D24" s="180" t="s">
        <v>54</v>
      </c>
      <c r="E24" s="164">
        <f t="shared" si="1"/>
        <v>13</v>
      </c>
      <c r="G24" s="26"/>
    </row>
    <row r="25" spans="1:9" x14ac:dyDescent="0.35">
      <c r="A25" s="161">
        <f t="shared" si="0"/>
        <v>14</v>
      </c>
      <c r="B25" s="186"/>
      <c r="C25" s="73"/>
      <c r="D25" s="180"/>
      <c r="E25" s="164">
        <f t="shared" si="1"/>
        <v>14</v>
      </c>
      <c r="G25" s="26"/>
    </row>
    <row r="26" spans="1:9" x14ac:dyDescent="0.35">
      <c r="A26" s="161">
        <f t="shared" si="0"/>
        <v>15</v>
      </c>
      <c r="B26" s="175" t="s">
        <v>34</v>
      </c>
      <c r="C26" s="450">
        <v>-0.11252338032306822</v>
      </c>
      <c r="D26" s="180" t="s">
        <v>55</v>
      </c>
      <c r="E26" s="164">
        <f t="shared" si="1"/>
        <v>15</v>
      </c>
      <c r="G26" s="26"/>
    </row>
    <row r="27" spans="1:9" x14ac:dyDescent="0.35">
      <c r="A27" s="161">
        <f t="shared" si="0"/>
        <v>16</v>
      </c>
      <c r="B27" s="159"/>
      <c r="C27" s="729"/>
      <c r="D27" s="226"/>
      <c r="E27" s="164">
        <f t="shared" si="1"/>
        <v>16</v>
      </c>
    </row>
    <row r="28" spans="1:9" ht="16" thickBot="1" x14ac:dyDescent="0.4">
      <c r="A28" s="161">
        <f t="shared" si="0"/>
        <v>17</v>
      </c>
      <c r="B28" s="178" t="s">
        <v>36</v>
      </c>
      <c r="C28" s="188">
        <f>C24+C26</f>
        <v>891.37835201290841</v>
      </c>
      <c r="D28" s="226" t="s">
        <v>56</v>
      </c>
      <c r="E28" s="164">
        <f t="shared" si="1"/>
        <v>17</v>
      </c>
      <c r="H28" s="20"/>
      <c r="I28" s="189"/>
    </row>
    <row r="29" spans="1:9" ht="16.5" thickTop="1" thickBot="1" x14ac:dyDescent="0.4">
      <c r="A29" s="161">
        <f t="shared" si="0"/>
        <v>18</v>
      </c>
      <c r="B29" s="190"/>
      <c r="C29" s="190"/>
      <c r="D29" s="227"/>
      <c r="E29" s="164">
        <f t="shared" si="1"/>
        <v>18</v>
      </c>
    </row>
    <row r="31" spans="1:9" ht="16" thickBot="1" x14ac:dyDescent="0.4">
      <c r="A31" s="157"/>
      <c r="B31" s="191"/>
      <c r="C31" s="192"/>
      <c r="D31" s="192"/>
      <c r="E31" s="157"/>
    </row>
    <row r="32" spans="1:9" x14ac:dyDescent="0.35">
      <c r="A32" s="161" t="s">
        <v>2</v>
      </c>
      <c r="B32" s="193"/>
      <c r="C32" s="193"/>
      <c r="D32" s="219"/>
      <c r="E32" s="164" t="s">
        <v>2</v>
      </c>
    </row>
    <row r="33" spans="1:7" x14ac:dyDescent="0.35">
      <c r="A33" s="161" t="s">
        <v>3</v>
      </c>
      <c r="B33" s="692" t="s">
        <v>37</v>
      </c>
      <c r="C33" s="692" t="str">
        <f>C10</f>
        <v>Amounts</v>
      </c>
      <c r="D33" s="727" t="s">
        <v>6</v>
      </c>
      <c r="E33" s="164" t="s">
        <v>3</v>
      </c>
    </row>
    <row r="34" spans="1:7" x14ac:dyDescent="0.35">
      <c r="A34" s="161">
        <f>A29+1</f>
        <v>19</v>
      </c>
      <c r="B34" s="194"/>
      <c r="C34" s="214"/>
      <c r="D34" s="215"/>
      <c r="E34" s="164">
        <f>E29+1</f>
        <v>19</v>
      </c>
    </row>
    <row r="35" spans="1:7" x14ac:dyDescent="0.35">
      <c r="A35" s="161">
        <f>A34+1</f>
        <v>20</v>
      </c>
      <c r="B35" s="168" t="str">
        <f>B12</f>
        <v>Section 1 - Direct Maintenance Expense Cost Component</v>
      </c>
      <c r="C35" s="228">
        <f>C12/12</f>
        <v>0</v>
      </c>
      <c r="D35" s="217" t="s">
        <v>572</v>
      </c>
      <c r="E35" s="164">
        <f>E34+1</f>
        <v>20</v>
      </c>
    </row>
    <row r="36" spans="1:7" x14ac:dyDescent="0.35">
      <c r="A36" s="161">
        <f t="shared" ref="A36:A54" si="2">A35+1</f>
        <v>21</v>
      </c>
      <c r="B36" s="171"/>
      <c r="C36" s="229"/>
      <c r="D36" s="230"/>
      <c r="E36" s="164">
        <f t="shared" ref="E36:E54" si="3">E35+1</f>
        <v>21</v>
      </c>
    </row>
    <row r="37" spans="1:7" x14ac:dyDescent="0.35">
      <c r="A37" s="161">
        <f t="shared" si="2"/>
        <v>22</v>
      </c>
      <c r="B37" s="168" t="str">
        <f>B14</f>
        <v>Section 2 - Non-Direct Expense Cost Component</v>
      </c>
      <c r="C37" s="231">
        <f>C14/12</f>
        <v>77.520436512446224</v>
      </c>
      <c r="D37" s="217" t="s">
        <v>573</v>
      </c>
      <c r="E37" s="164">
        <f t="shared" si="3"/>
        <v>22</v>
      </c>
    </row>
    <row r="38" spans="1:7" x14ac:dyDescent="0.35">
      <c r="A38" s="161">
        <f t="shared" si="2"/>
        <v>23</v>
      </c>
      <c r="B38" s="171"/>
      <c r="C38" s="232"/>
      <c r="D38" s="233"/>
      <c r="E38" s="164">
        <f t="shared" si="3"/>
        <v>23</v>
      </c>
    </row>
    <row r="39" spans="1:7" x14ac:dyDescent="0.35">
      <c r="A39" s="161">
        <f t="shared" si="2"/>
        <v>24</v>
      </c>
      <c r="B39" s="168" t="str">
        <f>B16</f>
        <v>Section 3 - Cost Component Containing Other Specific Expenses</v>
      </c>
      <c r="C39" s="451">
        <f>C16/12</f>
        <v>-4.7940963787455502</v>
      </c>
      <c r="D39" s="217" t="s">
        <v>574</v>
      </c>
      <c r="E39" s="164">
        <f t="shared" si="3"/>
        <v>24</v>
      </c>
    </row>
    <row r="40" spans="1:7" x14ac:dyDescent="0.35">
      <c r="A40" s="161">
        <f t="shared" si="2"/>
        <v>25</v>
      </c>
      <c r="B40" s="181"/>
      <c r="C40" s="234"/>
      <c r="D40" s="217"/>
      <c r="E40" s="164">
        <f t="shared" si="3"/>
        <v>25</v>
      </c>
    </row>
    <row r="41" spans="1:7" x14ac:dyDescent="0.35">
      <c r="A41" s="161">
        <f t="shared" si="2"/>
        <v>26</v>
      </c>
      <c r="B41" s="178" t="s">
        <v>57</v>
      </c>
      <c r="C41" s="624">
        <f>SUM(C35:C39)</f>
        <v>72.726340133700674</v>
      </c>
      <c r="D41" s="180" t="s">
        <v>484</v>
      </c>
      <c r="E41" s="164">
        <f t="shared" si="3"/>
        <v>26</v>
      </c>
    </row>
    <row r="42" spans="1:7" x14ac:dyDescent="0.35">
      <c r="A42" s="161">
        <f t="shared" si="2"/>
        <v>27</v>
      </c>
      <c r="B42" s="194"/>
      <c r="C42" s="232"/>
      <c r="D42" s="221"/>
      <c r="E42" s="164">
        <f t="shared" si="3"/>
        <v>27</v>
      </c>
    </row>
    <row r="43" spans="1:7" x14ac:dyDescent="0.35">
      <c r="A43" s="161">
        <f t="shared" si="2"/>
        <v>28</v>
      </c>
      <c r="B43" s="168" t="str">
        <f>LEFT(B20,45)</f>
        <v>Section 4 - True-Up Adjustment Cost Component</v>
      </c>
      <c r="C43" s="231">
        <f>C20/12</f>
        <v>2.1406220506214777</v>
      </c>
      <c r="D43" s="217" t="s">
        <v>575</v>
      </c>
      <c r="E43" s="164">
        <f t="shared" si="3"/>
        <v>28</v>
      </c>
    </row>
    <row r="44" spans="1:7" x14ac:dyDescent="0.35">
      <c r="A44" s="161">
        <f t="shared" si="2"/>
        <v>29</v>
      </c>
      <c r="B44" s="168"/>
      <c r="C44" s="232"/>
      <c r="D44" s="235"/>
      <c r="E44" s="164">
        <f t="shared" si="3"/>
        <v>29</v>
      </c>
    </row>
    <row r="45" spans="1:7" x14ac:dyDescent="0.35">
      <c r="A45" s="161">
        <f t="shared" si="2"/>
        <v>30</v>
      </c>
      <c r="B45" s="168" t="str">
        <f>B22</f>
        <v>Section 5 - Interest True-Up Adjustment Cost Component</v>
      </c>
      <c r="C45" s="231">
        <f>C22/12</f>
        <v>-0.57605590155286934</v>
      </c>
      <c r="D45" s="226" t="s">
        <v>576</v>
      </c>
      <c r="E45" s="164">
        <f t="shared" si="3"/>
        <v>30</v>
      </c>
    </row>
    <row r="46" spans="1:7" x14ac:dyDescent="0.35">
      <c r="A46" s="161">
        <f t="shared" si="2"/>
        <v>31</v>
      </c>
      <c r="B46" s="181"/>
      <c r="C46" s="202"/>
      <c r="D46" s="236"/>
      <c r="E46" s="164">
        <f t="shared" si="3"/>
        <v>31</v>
      </c>
    </row>
    <row r="47" spans="1:7" x14ac:dyDescent="0.35">
      <c r="A47" s="161">
        <f t="shared" si="2"/>
        <v>32</v>
      </c>
      <c r="B47" s="175" t="str">
        <f>B26</f>
        <v>Other Adjustments</v>
      </c>
      <c r="C47" s="451">
        <f>C26/12</f>
        <v>-9.3769483602556842E-3</v>
      </c>
      <c r="D47" s="226" t="s">
        <v>577</v>
      </c>
      <c r="E47" s="164">
        <f t="shared" si="3"/>
        <v>32</v>
      </c>
      <c r="G47" s="730"/>
    </row>
    <row r="48" spans="1:7" x14ac:dyDescent="0.35">
      <c r="A48" s="161">
        <f t="shared" si="2"/>
        <v>33</v>
      </c>
      <c r="B48" s="177"/>
      <c r="C48" s="202"/>
      <c r="D48" s="203"/>
      <c r="E48" s="164">
        <f t="shared" si="3"/>
        <v>33</v>
      </c>
    </row>
    <row r="49" spans="1:5" ht="16" thickBot="1" x14ac:dyDescent="0.4">
      <c r="A49" s="161">
        <f t="shared" si="2"/>
        <v>34</v>
      </c>
      <c r="B49" s="177" t="s">
        <v>45</v>
      </c>
      <c r="C49" s="626">
        <f>SUM(C41:C47)</f>
        <v>74.281529334409029</v>
      </c>
      <c r="D49" s="180" t="s">
        <v>578</v>
      </c>
      <c r="E49" s="164">
        <f t="shared" si="3"/>
        <v>34</v>
      </c>
    </row>
    <row r="50" spans="1:5" ht="16" thickTop="1" x14ac:dyDescent="0.35">
      <c r="A50" s="161">
        <f t="shared" si="2"/>
        <v>35</v>
      </c>
      <c r="B50" s="194"/>
      <c r="C50" s="204"/>
      <c r="D50" s="237"/>
      <c r="E50" s="164">
        <f t="shared" si="3"/>
        <v>35</v>
      </c>
    </row>
    <row r="51" spans="1:5" x14ac:dyDescent="0.35">
      <c r="A51" s="161">
        <f t="shared" si="2"/>
        <v>36</v>
      </c>
      <c r="B51" s="171" t="s">
        <v>11</v>
      </c>
      <c r="C51" s="452">
        <v>12</v>
      </c>
      <c r="D51" s="237"/>
      <c r="E51" s="164">
        <f t="shared" si="3"/>
        <v>36</v>
      </c>
    </row>
    <row r="52" spans="1:5" x14ac:dyDescent="0.35">
      <c r="A52" s="161">
        <f t="shared" si="2"/>
        <v>37</v>
      </c>
      <c r="B52" s="194"/>
      <c r="C52" s="204"/>
      <c r="D52" s="238"/>
      <c r="E52" s="164">
        <f t="shared" si="3"/>
        <v>37</v>
      </c>
    </row>
    <row r="53" spans="1:5" ht="16" thickBot="1" x14ac:dyDescent="0.4">
      <c r="A53" s="161">
        <f t="shared" si="2"/>
        <v>38</v>
      </c>
      <c r="B53" s="178" t="str">
        <f>B28</f>
        <v>Total Annual Costs</v>
      </c>
      <c r="C53" s="731">
        <f>C49*C51</f>
        <v>891.37835201290841</v>
      </c>
      <c r="D53" s="226" t="s">
        <v>579</v>
      </c>
      <c r="E53" s="164">
        <f t="shared" si="3"/>
        <v>38</v>
      </c>
    </row>
    <row r="54" spans="1:5" ht="16.5" thickTop="1" thickBot="1" x14ac:dyDescent="0.4">
      <c r="A54" s="161">
        <f t="shared" si="2"/>
        <v>39</v>
      </c>
      <c r="B54" s="160"/>
      <c r="C54" s="209"/>
      <c r="D54" s="239"/>
      <c r="E54" s="164">
        <f t="shared" si="3"/>
        <v>39</v>
      </c>
    </row>
  </sheetData>
  <mergeCells count="5">
    <mergeCell ref="B3:D3"/>
    <mergeCell ref="B4:D4"/>
    <mergeCell ref="B5:D5"/>
    <mergeCell ref="B6:D6"/>
    <mergeCell ref="B7:D7"/>
  </mergeCells>
  <printOptions horizontalCentered="1"/>
  <pageMargins left="0.25" right="0.25" top="0.5" bottom="0.5" header="0.35" footer="0.25"/>
  <pageSetup scale="68" orientation="portrait" r:id="rId1"/>
  <headerFooter scaleWithDoc="0" alignWithMargins="0">
    <oddHeader>&amp;C&amp;"Times New Roman,Bold"&amp;8AS FILED</oddHeader>
    <oddFooter>&amp;L&amp;F&amp;CPage 4&amp;R&amp;A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B5F9D-4A7B-4714-BC3E-865E7B79C9A3}">
  <dimension ref="A1:J161"/>
  <sheetViews>
    <sheetView zoomScale="80" zoomScaleNormal="80" workbookViewId="0"/>
  </sheetViews>
  <sheetFormatPr defaultColWidth="8.81640625" defaultRowHeight="15.5" x14ac:dyDescent="0.35"/>
  <cols>
    <col min="1" max="1" width="5.1796875" style="35" customWidth="1"/>
    <col min="2" max="2" width="93.1796875" style="18" bestFit="1" customWidth="1"/>
    <col min="3" max="3" width="10.453125" style="18" customWidth="1"/>
    <col min="4" max="4" width="1.54296875" style="18" customWidth="1"/>
    <col min="5" max="5" width="16.81640625" style="18" customWidth="1"/>
    <col min="6" max="6" width="1.54296875" style="18" customWidth="1"/>
    <col min="7" max="7" width="43.453125" style="18" customWidth="1"/>
    <col min="8" max="8" width="5.1796875" style="34" customWidth="1"/>
    <col min="9" max="9" width="8.81640625" style="18"/>
    <col min="10" max="10" width="9.81640625" style="18" bestFit="1" customWidth="1"/>
    <col min="11" max="16384" width="8.81640625" style="18"/>
  </cols>
  <sheetData>
    <row r="1" spans="1:8" x14ac:dyDescent="0.35">
      <c r="A1" s="328"/>
      <c r="B1" s="329"/>
      <c r="C1" s="329"/>
      <c r="D1" s="329"/>
      <c r="E1" s="330"/>
      <c r="F1" s="330"/>
      <c r="G1" s="330"/>
      <c r="H1" s="157"/>
    </row>
    <row r="2" spans="1:8" x14ac:dyDescent="0.35">
      <c r="A2" s="328"/>
      <c r="B2" s="769" t="s">
        <v>14</v>
      </c>
      <c r="C2" s="769"/>
      <c r="D2" s="769"/>
      <c r="E2" s="769"/>
      <c r="F2" s="769"/>
      <c r="G2" s="769"/>
      <c r="H2" s="157"/>
    </row>
    <row r="3" spans="1:8" x14ac:dyDescent="0.35">
      <c r="B3" s="769" t="s">
        <v>629</v>
      </c>
      <c r="C3" s="769"/>
      <c r="D3" s="769"/>
      <c r="E3" s="769"/>
      <c r="F3" s="769"/>
      <c r="G3" s="769"/>
      <c r="H3" s="328"/>
    </row>
    <row r="4" spans="1:8" x14ac:dyDescent="0.35">
      <c r="B4" s="769" t="s">
        <v>58</v>
      </c>
      <c r="C4" s="769"/>
      <c r="D4" s="769"/>
      <c r="E4" s="769"/>
      <c r="F4" s="769"/>
      <c r="G4" s="769"/>
      <c r="H4" s="328"/>
    </row>
    <row r="5" spans="1:8" x14ac:dyDescent="0.35">
      <c r="B5" s="770" t="s">
        <v>496</v>
      </c>
      <c r="C5" s="770"/>
      <c r="D5" s="770"/>
      <c r="E5" s="770"/>
      <c r="F5" s="770"/>
      <c r="G5" s="770"/>
      <c r="H5" s="328"/>
    </row>
    <row r="6" spans="1:8" x14ac:dyDescent="0.35">
      <c r="B6" s="767" t="s">
        <v>1</v>
      </c>
      <c r="C6" s="767"/>
      <c r="D6" s="767"/>
      <c r="E6" s="767"/>
      <c r="F6" s="767"/>
      <c r="G6" s="767"/>
      <c r="H6" s="331"/>
    </row>
    <row r="7" spans="1:8" x14ac:dyDescent="0.35">
      <c r="A7" s="332"/>
      <c r="B7" s="510"/>
      <c r="C7" s="510"/>
      <c r="D7" s="510"/>
      <c r="E7" s="510"/>
      <c r="F7" s="510"/>
      <c r="G7" s="330"/>
      <c r="H7" s="157"/>
    </row>
    <row r="8" spans="1:8" x14ac:dyDescent="0.35">
      <c r="A8" s="333" t="s">
        <v>2</v>
      </c>
      <c r="B8" s="329"/>
      <c r="C8" s="329"/>
      <c r="D8" s="329"/>
      <c r="E8" s="510"/>
      <c r="F8" s="510"/>
      <c r="G8" s="329"/>
      <c r="H8" s="333" t="s">
        <v>2</v>
      </c>
    </row>
    <row r="9" spans="1:8" x14ac:dyDescent="0.35">
      <c r="A9" s="333" t="s">
        <v>3</v>
      </c>
      <c r="B9" s="329"/>
      <c r="C9" s="329"/>
      <c r="D9" s="329"/>
      <c r="E9" s="733" t="s">
        <v>5</v>
      </c>
      <c r="F9" s="334"/>
      <c r="G9" s="733" t="s">
        <v>6</v>
      </c>
      <c r="H9" s="333" t="s">
        <v>3</v>
      </c>
    </row>
    <row r="10" spans="1:8" x14ac:dyDescent="0.35">
      <c r="A10" s="333"/>
      <c r="B10" s="329"/>
      <c r="C10" s="329"/>
      <c r="D10" s="329"/>
      <c r="E10" s="510"/>
      <c r="F10" s="334"/>
      <c r="G10" s="510"/>
      <c r="H10" s="333"/>
    </row>
    <row r="11" spans="1:8" x14ac:dyDescent="0.35">
      <c r="A11" s="333">
        <v>1</v>
      </c>
      <c r="B11" s="335" t="s">
        <v>59</v>
      </c>
      <c r="C11" s="335"/>
      <c r="D11" s="335"/>
      <c r="E11" s="330"/>
      <c r="F11" s="330"/>
      <c r="G11" s="510"/>
      <c r="H11" s="333">
        <f>A11</f>
        <v>1</v>
      </c>
    </row>
    <row r="12" spans="1:8" x14ac:dyDescent="0.35">
      <c r="A12" s="333">
        <f>A11+1</f>
        <v>2</v>
      </c>
      <c r="B12" s="336" t="s">
        <v>60</v>
      </c>
      <c r="C12" s="337"/>
      <c r="D12" s="337"/>
      <c r="E12" s="341">
        <f>E55</f>
        <v>6.6122970589526974E-3</v>
      </c>
      <c r="F12" s="342"/>
      <c r="G12" s="338" t="s">
        <v>580</v>
      </c>
      <c r="H12" s="333">
        <f>H11+1</f>
        <v>2</v>
      </c>
    </row>
    <row r="13" spans="1:8" x14ac:dyDescent="0.35">
      <c r="A13" s="333">
        <f t="shared" ref="A13:A35" si="0">A12+1</f>
        <v>3</v>
      </c>
      <c r="B13" s="329"/>
      <c r="C13" s="339"/>
      <c r="D13" s="339"/>
      <c r="E13" s="340"/>
      <c r="F13" s="334"/>
      <c r="G13" s="338"/>
      <c r="H13" s="333">
        <f t="shared" ref="H13:H35" si="1">H12+1</f>
        <v>3</v>
      </c>
    </row>
    <row r="14" spans="1:8" x14ac:dyDescent="0.35">
      <c r="A14" s="333">
        <f t="shared" si="0"/>
        <v>4</v>
      </c>
      <c r="B14" s="336" t="s">
        <v>61</v>
      </c>
      <c r="C14" s="337"/>
      <c r="D14" s="337"/>
      <c r="E14" s="574">
        <f>E60</f>
        <v>9.8572957394984385E-3</v>
      </c>
      <c r="F14" s="24" t="s">
        <v>24</v>
      </c>
      <c r="G14" s="338" t="s">
        <v>581</v>
      </c>
      <c r="H14" s="333">
        <f t="shared" si="1"/>
        <v>4</v>
      </c>
    </row>
    <row r="15" spans="1:8" x14ac:dyDescent="0.35">
      <c r="A15" s="333">
        <f t="shared" si="0"/>
        <v>5</v>
      </c>
      <c r="B15" s="330"/>
      <c r="C15" s="332"/>
      <c r="D15" s="332"/>
      <c r="E15" s="343"/>
      <c r="F15" s="344"/>
      <c r="G15" s="338"/>
      <c r="H15" s="333">
        <f t="shared" si="1"/>
        <v>5</v>
      </c>
    </row>
    <row r="16" spans="1:8" x14ac:dyDescent="0.35">
      <c r="A16" s="333">
        <f t="shared" si="0"/>
        <v>6</v>
      </c>
      <c r="B16" s="330" t="s">
        <v>62</v>
      </c>
      <c r="C16" s="332"/>
      <c r="D16" s="332"/>
      <c r="E16" s="734">
        <f>E65</f>
        <v>1.0968727191443733E-2</v>
      </c>
      <c r="F16" s="344"/>
      <c r="G16" s="338" t="s">
        <v>401</v>
      </c>
      <c r="H16" s="333">
        <f t="shared" si="1"/>
        <v>6</v>
      </c>
    </row>
    <row r="17" spans="1:8" x14ac:dyDescent="0.35">
      <c r="A17" s="333">
        <f t="shared" si="0"/>
        <v>7</v>
      </c>
      <c r="B17" s="330"/>
      <c r="C17" s="332"/>
      <c r="D17" s="332"/>
      <c r="E17" s="343"/>
      <c r="F17" s="344"/>
      <c r="G17" s="338"/>
      <c r="H17" s="333">
        <f t="shared" si="1"/>
        <v>7</v>
      </c>
    </row>
    <row r="18" spans="1:8" x14ac:dyDescent="0.35">
      <c r="A18" s="333">
        <f t="shared" si="0"/>
        <v>8</v>
      </c>
      <c r="B18" s="336" t="s">
        <v>63</v>
      </c>
      <c r="C18" s="337"/>
      <c r="D18" s="337"/>
      <c r="E18" s="341">
        <f>E70</f>
        <v>3.237636821073557E-4</v>
      </c>
      <c r="F18" s="342"/>
      <c r="G18" s="338" t="s">
        <v>582</v>
      </c>
      <c r="H18" s="333">
        <f t="shared" si="1"/>
        <v>8</v>
      </c>
    </row>
    <row r="19" spans="1:8" x14ac:dyDescent="0.35">
      <c r="A19" s="333">
        <f t="shared" si="0"/>
        <v>9</v>
      </c>
      <c r="B19" s="329"/>
      <c r="C19" s="339"/>
      <c r="D19" s="339"/>
      <c r="E19" s="340"/>
      <c r="F19" s="334"/>
      <c r="G19" s="338"/>
      <c r="H19" s="333">
        <f t="shared" si="1"/>
        <v>9</v>
      </c>
    </row>
    <row r="20" spans="1:8" x14ac:dyDescent="0.35">
      <c r="A20" s="333">
        <f t="shared" si="0"/>
        <v>10</v>
      </c>
      <c r="B20" s="336" t="s">
        <v>64</v>
      </c>
      <c r="C20" s="339"/>
      <c r="D20" s="339"/>
      <c r="E20" s="341">
        <f>E83</f>
        <v>1.7622253301002222E-3</v>
      </c>
      <c r="F20" s="334"/>
      <c r="G20" s="338" t="s">
        <v>583</v>
      </c>
      <c r="H20" s="333">
        <f t="shared" si="1"/>
        <v>10</v>
      </c>
    </row>
    <row r="21" spans="1:8" x14ac:dyDescent="0.35">
      <c r="A21" s="333">
        <f t="shared" si="0"/>
        <v>11</v>
      </c>
      <c r="B21" s="329"/>
      <c r="C21" s="339"/>
      <c r="D21" s="339"/>
      <c r="E21" s="340"/>
      <c r="F21" s="334"/>
      <c r="G21" s="338"/>
      <c r="H21" s="333">
        <f t="shared" si="1"/>
        <v>11</v>
      </c>
    </row>
    <row r="22" spans="1:8" x14ac:dyDescent="0.35">
      <c r="A22" s="333">
        <f t="shared" si="0"/>
        <v>12</v>
      </c>
      <c r="B22" s="336" t="s">
        <v>65</v>
      </c>
      <c r="C22" s="337"/>
      <c r="D22" s="337"/>
      <c r="E22" s="341">
        <f>E100</f>
        <v>4.8166163525391985E-3</v>
      </c>
      <c r="F22" s="342"/>
      <c r="G22" s="338" t="s">
        <v>584</v>
      </c>
      <c r="H22" s="333">
        <f t="shared" si="1"/>
        <v>12</v>
      </c>
    </row>
    <row r="23" spans="1:8" x14ac:dyDescent="0.35">
      <c r="A23" s="333">
        <f t="shared" si="0"/>
        <v>13</v>
      </c>
      <c r="B23" s="345"/>
      <c r="C23" s="346"/>
      <c r="D23" s="346"/>
      <c r="E23" s="347"/>
      <c r="F23" s="348"/>
      <c r="G23" s="338"/>
      <c r="H23" s="333">
        <f t="shared" si="1"/>
        <v>13</v>
      </c>
    </row>
    <row r="24" spans="1:8" x14ac:dyDescent="0.35">
      <c r="A24" s="333">
        <f t="shared" si="0"/>
        <v>14</v>
      </c>
      <c r="B24" s="336" t="s">
        <v>66</v>
      </c>
      <c r="C24" s="337"/>
      <c r="D24" s="337"/>
      <c r="E24" s="605">
        <f>SUM(E12:E22)</f>
        <v>3.4340925354641644E-2</v>
      </c>
      <c r="F24" s="24" t="s">
        <v>24</v>
      </c>
      <c r="G24" s="338" t="s">
        <v>585</v>
      </c>
      <c r="H24" s="333">
        <f t="shared" si="1"/>
        <v>14</v>
      </c>
    </row>
    <row r="25" spans="1:8" x14ac:dyDescent="0.35">
      <c r="A25" s="333">
        <f t="shared" si="0"/>
        <v>15</v>
      </c>
      <c r="B25" s="329"/>
      <c r="C25" s="339"/>
      <c r="D25" s="339"/>
      <c r="E25" s="349"/>
      <c r="F25" s="350"/>
      <c r="G25" s="338"/>
      <c r="H25" s="333">
        <f t="shared" si="1"/>
        <v>15</v>
      </c>
    </row>
    <row r="26" spans="1:8" x14ac:dyDescent="0.35">
      <c r="A26" s="333">
        <f t="shared" si="0"/>
        <v>16</v>
      </c>
      <c r="B26" s="330" t="s">
        <v>67</v>
      </c>
      <c r="C26" s="351">
        <v>1.0274999999999999E-2</v>
      </c>
      <c r="D26" s="339"/>
      <c r="E26" s="735">
        <f>E24*C26</f>
        <v>3.5285300801894285E-4</v>
      </c>
      <c r="F26" s="352"/>
      <c r="G26" s="338" t="s">
        <v>586</v>
      </c>
      <c r="H26" s="333">
        <f t="shared" si="1"/>
        <v>16</v>
      </c>
    </row>
    <row r="27" spans="1:8" x14ac:dyDescent="0.35">
      <c r="A27" s="333">
        <f t="shared" si="0"/>
        <v>17</v>
      </c>
      <c r="B27" s="329"/>
      <c r="C27" s="339"/>
      <c r="D27" s="339"/>
      <c r="E27" s="353"/>
      <c r="F27" s="354"/>
      <c r="G27" s="338"/>
      <c r="H27" s="333">
        <f t="shared" si="1"/>
        <v>17</v>
      </c>
    </row>
    <row r="28" spans="1:8" ht="16" thickBot="1" x14ac:dyDescent="0.4">
      <c r="A28" s="333">
        <f t="shared" si="0"/>
        <v>18</v>
      </c>
      <c r="B28" s="329" t="s">
        <v>68</v>
      </c>
      <c r="C28" s="339"/>
      <c r="D28" s="339"/>
      <c r="E28" s="606">
        <f>E24+E26</f>
        <v>3.4693778362660584E-2</v>
      </c>
      <c r="F28" s="24" t="s">
        <v>24</v>
      </c>
      <c r="G28" s="338" t="s">
        <v>587</v>
      </c>
      <c r="H28" s="333">
        <f t="shared" si="1"/>
        <v>18</v>
      </c>
    </row>
    <row r="29" spans="1:8" ht="16" thickTop="1" x14ac:dyDescent="0.35">
      <c r="A29" s="333">
        <f t="shared" si="0"/>
        <v>19</v>
      </c>
      <c r="B29" s="330"/>
      <c r="C29" s="332"/>
      <c r="D29" s="332"/>
      <c r="E29" s="339"/>
      <c r="F29" s="329"/>
      <c r="G29" s="329"/>
      <c r="H29" s="333">
        <f t="shared" si="1"/>
        <v>19</v>
      </c>
    </row>
    <row r="30" spans="1:8" x14ac:dyDescent="0.35">
      <c r="A30" s="333">
        <f t="shared" si="0"/>
        <v>20</v>
      </c>
      <c r="B30" s="335" t="s">
        <v>69</v>
      </c>
      <c r="C30" s="355"/>
      <c r="D30" s="355"/>
      <c r="E30" s="332"/>
      <c r="F30" s="330"/>
      <c r="G30" s="329"/>
      <c r="H30" s="333">
        <f t="shared" si="1"/>
        <v>20</v>
      </c>
    </row>
    <row r="31" spans="1:8" x14ac:dyDescent="0.35">
      <c r="A31" s="333">
        <f t="shared" si="0"/>
        <v>21</v>
      </c>
      <c r="B31" s="336" t="s">
        <v>70</v>
      </c>
      <c r="C31" s="337"/>
      <c r="D31" s="337"/>
      <c r="E31" s="272">
        <v>27000</v>
      </c>
      <c r="F31" s="334"/>
      <c r="G31" s="338" t="s">
        <v>71</v>
      </c>
      <c r="H31" s="333">
        <f t="shared" si="1"/>
        <v>21</v>
      </c>
    </row>
    <row r="32" spans="1:8" x14ac:dyDescent="0.35">
      <c r="A32" s="333">
        <f t="shared" si="0"/>
        <v>22</v>
      </c>
      <c r="B32" s="336"/>
      <c r="C32" s="337"/>
      <c r="D32" s="337"/>
      <c r="E32" s="337"/>
      <c r="F32" s="336"/>
      <c r="G32" s="338"/>
      <c r="H32" s="333">
        <f t="shared" si="1"/>
        <v>22</v>
      </c>
    </row>
    <row r="33" spans="1:8" x14ac:dyDescent="0.35">
      <c r="A33" s="333">
        <f t="shared" si="0"/>
        <v>23</v>
      </c>
      <c r="B33" s="336" t="s">
        <v>72</v>
      </c>
      <c r="C33" s="337"/>
      <c r="D33" s="337"/>
      <c r="E33" s="605">
        <f>+E28</f>
        <v>3.4693778362660584E-2</v>
      </c>
      <c r="F33" s="24" t="s">
        <v>24</v>
      </c>
      <c r="G33" s="338" t="s">
        <v>588</v>
      </c>
      <c r="H33" s="333">
        <f t="shared" si="1"/>
        <v>23</v>
      </c>
    </row>
    <row r="34" spans="1:8" x14ac:dyDescent="0.35">
      <c r="A34" s="333">
        <f t="shared" si="0"/>
        <v>24</v>
      </c>
      <c r="B34" s="329"/>
      <c r="C34" s="339"/>
      <c r="D34" s="339"/>
      <c r="E34" s="356"/>
      <c r="F34" s="357"/>
      <c r="G34" s="338"/>
      <c r="H34" s="333">
        <f t="shared" si="1"/>
        <v>24</v>
      </c>
    </row>
    <row r="35" spans="1:8" ht="16" thickBot="1" x14ac:dyDescent="0.4">
      <c r="A35" s="333">
        <f t="shared" si="0"/>
        <v>25</v>
      </c>
      <c r="B35" s="329" t="s">
        <v>73</v>
      </c>
      <c r="C35" s="337"/>
      <c r="D35" s="337"/>
      <c r="E35" s="358">
        <f>E31*E33</f>
        <v>936.73201579183581</v>
      </c>
      <c r="F35" s="24" t="s">
        <v>24</v>
      </c>
      <c r="G35" s="338" t="s">
        <v>589</v>
      </c>
      <c r="H35" s="333">
        <f t="shared" si="1"/>
        <v>25</v>
      </c>
    </row>
    <row r="36" spans="1:8" ht="16" thickTop="1" x14ac:dyDescent="0.35">
      <c r="A36" s="333"/>
      <c r="B36" s="329"/>
      <c r="C36" s="336"/>
      <c r="D36" s="336"/>
      <c r="E36" s="359"/>
      <c r="F36" s="360"/>
      <c r="G36" s="338"/>
      <c r="H36" s="333"/>
    </row>
    <row r="37" spans="1:8" x14ac:dyDescent="0.35">
      <c r="A37" s="333"/>
      <c r="B37" s="329"/>
      <c r="C37" s="336"/>
      <c r="D37" s="336"/>
      <c r="E37" s="359"/>
      <c r="F37" s="360"/>
      <c r="G37" s="338"/>
      <c r="H37" s="333"/>
    </row>
    <row r="38" spans="1:8" x14ac:dyDescent="0.35">
      <c r="A38" s="24" t="s">
        <v>24</v>
      </c>
      <c r="B38" s="329" t="str">
        <f>'Pg2 Appendix XII C5 Comparison'!B57</f>
        <v>Items in BOLD have changed due to A&amp;G adj. on CEMA/WMPMA exclusion corrections compared to the original Appendix XII Cycle 5 per ER23-110.</v>
      </c>
      <c r="C38" s="336"/>
      <c r="D38" s="336"/>
      <c r="E38" s="359"/>
      <c r="F38" s="360"/>
      <c r="G38" s="338"/>
      <c r="H38" s="333"/>
    </row>
    <row r="39" spans="1:8" x14ac:dyDescent="0.35">
      <c r="A39" s="24"/>
      <c r="B39" s="329"/>
      <c r="C39" s="336"/>
      <c r="D39" s="336"/>
      <c r="E39" s="359"/>
      <c r="F39" s="360"/>
      <c r="G39" s="338"/>
      <c r="H39" s="333"/>
    </row>
    <row r="40" spans="1:8" x14ac:dyDescent="0.35">
      <c r="A40" s="332"/>
      <c r="B40" s="329"/>
      <c r="C40" s="329"/>
      <c r="D40" s="329"/>
      <c r="E40" s="345"/>
      <c r="F40" s="345"/>
      <c r="G40" s="330"/>
      <c r="H40" s="157"/>
    </row>
    <row r="41" spans="1:8" x14ac:dyDescent="0.35">
      <c r="A41" s="332"/>
      <c r="B41" s="768" t="str">
        <f>B2</f>
        <v>SAN DIEGO GAS &amp; ELECTRIC COMPANY</v>
      </c>
      <c r="C41" s="768"/>
      <c r="D41" s="768"/>
      <c r="E41" s="768"/>
      <c r="F41" s="768"/>
      <c r="G41" s="768"/>
      <c r="H41" s="157"/>
    </row>
    <row r="42" spans="1:8" x14ac:dyDescent="0.35">
      <c r="B42" s="768" t="str">
        <f>B3</f>
        <v>CITIZENS' SHARE OF THE SX-PQ UNDERGROUND LINE SEGMENT</v>
      </c>
      <c r="C42" s="768"/>
      <c r="D42" s="768"/>
      <c r="E42" s="768"/>
      <c r="F42" s="768"/>
      <c r="G42" s="768"/>
      <c r="H42" s="346"/>
    </row>
    <row r="43" spans="1:8" x14ac:dyDescent="0.35">
      <c r="B43" s="769" t="str">
        <f>B4</f>
        <v xml:space="preserve">Section 2 - Non-Direct Expense Cost Component </v>
      </c>
      <c r="C43" s="769"/>
      <c r="D43" s="769"/>
      <c r="E43" s="769"/>
      <c r="F43" s="769"/>
      <c r="G43" s="769"/>
      <c r="H43" s="339"/>
    </row>
    <row r="44" spans="1:8" x14ac:dyDescent="0.35">
      <c r="B44" s="770" t="str">
        <f>B5</f>
        <v>Base Period &amp; True-Up Period 12 - Months Ending December 31, 2021</v>
      </c>
      <c r="C44" s="770"/>
      <c r="D44" s="770"/>
      <c r="E44" s="770"/>
      <c r="F44" s="770"/>
      <c r="G44" s="770"/>
      <c r="H44" s="339"/>
    </row>
    <row r="45" spans="1:8" x14ac:dyDescent="0.35">
      <c r="B45" s="767" t="str">
        <f>B6</f>
        <v>($1,000)</v>
      </c>
      <c r="C45" s="764"/>
      <c r="D45" s="764"/>
      <c r="E45" s="764"/>
      <c r="F45" s="764"/>
      <c r="G45" s="764"/>
      <c r="H45" s="84"/>
    </row>
    <row r="46" spans="1:8" x14ac:dyDescent="0.35">
      <c r="A46" s="361"/>
      <c r="B46" s="329"/>
      <c r="C46" s="329"/>
      <c r="D46" s="329"/>
      <c r="E46" s="329"/>
      <c r="F46" s="329"/>
      <c r="G46" s="329"/>
      <c r="H46" s="157"/>
    </row>
    <row r="47" spans="1:8" x14ac:dyDescent="0.35">
      <c r="A47" s="333" t="s">
        <v>2</v>
      </c>
      <c r="B47" s="329"/>
      <c r="C47" s="329"/>
      <c r="D47" s="329"/>
      <c r="E47" s="510"/>
      <c r="F47" s="510"/>
      <c r="G47" s="329"/>
      <c r="H47" s="333" t="s">
        <v>2</v>
      </c>
    </row>
    <row r="48" spans="1:8" x14ac:dyDescent="0.35">
      <c r="A48" s="333" t="s">
        <v>3</v>
      </c>
      <c r="B48" s="329"/>
      <c r="C48" s="329"/>
      <c r="D48" s="329"/>
      <c r="E48" s="733" t="s">
        <v>5</v>
      </c>
      <c r="F48" s="338"/>
      <c r="G48" s="733" t="s">
        <v>6</v>
      </c>
      <c r="H48" s="333" t="s">
        <v>3</v>
      </c>
    </row>
    <row r="49" spans="1:10" x14ac:dyDescent="0.35">
      <c r="A49" s="333"/>
      <c r="B49" s="329"/>
      <c r="C49" s="329"/>
      <c r="D49" s="329"/>
      <c r="E49" s="510"/>
      <c r="F49" s="510"/>
      <c r="G49" s="329"/>
      <c r="H49" s="333"/>
    </row>
    <row r="50" spans="1:10" x14ac:dyDescent="0.35">
      <c r="A50" s="333">
        <v>1</v>
      </c>
      <c r="B50" s="362" t="s">
        <v>74</v>
      </c>
      <c r="C50" s="362"/>
      <c r="D50" s="362"/>
      <c r="E50" s="534">
        <v>5692028.1793814711</v>
      </c>
      <c r="F50" s="510"/>
      <c r="G50" s="338" t="s">
        <v>75</v>
      </c>
      <c r="H50" s="333">
        <f>A50</f>
        <v>1</v>
      </c>
    </row>
    <row r="51" spans="1:10" x14ac:dyDescent="0.35">
      <c r="A51" s="333">
        <f>A50+1</f>
        <v>2</v>
      </c>
      <c r="B51" s="329"/>
      <c r="C51" s="329"/>
      <c r="D51" s="329"/>
      <c r="E51" s="328"/>
      <c r="F51" s="510"/>
      <c r="G51" s="329"/>
      <c r="H51" s="333">
        <f>H50+1</f>
        <v>2</v>
      </c>
    </row>
    <row r="52" spans="1:10" x14ac:dyDescent="0.35">
      <c r="A52" s="333">
        <f t="shared" ref="A52:A100" si="2">A51+1</f>
        <v>3</v>
      </c>
      <c r="B52" s="335" t="s">
        <v>76</v>
      </c>
      <c r="C52" s="335"/>
      <c r="D52" s="335"/>
      <c r="E52" s="363"/>
      <c r="F52" s="364"/>
      <c r="G52" s="329"/>
      <c r="H52" s="333">
        <f t="shared" ref="H52:H100" si="3">H51+1</f>
        <v>3</v>
      </c>
    </row>
    <row r="53" spans="1:10" x14ac:dyDescent="0.35">
      <c r="A53" s="333">
        <f t="shared" si="2"/>
        <v>4</v>
      </c>
      <c r="B53" s="336" t="s">
        <v>77</v>
      </c>
      <c r="C53" s="336"/>
      <c r="D53" s="336"/>
      <c r="E53" s="736">
        <v>37637.381189999978</v>
      </c>
      <c r="F53" s="510"/>
      <c r="G53" s="338" t="s">
        <v>528</v>
      </c>
      <c r="H53" s="333">
        <f t="shared" si="3"/>
        <v>4</v>
      </c>
      <c r="J53" s="365"/>
    </row>
    <row r="54" spans="1:10" x14ac:dyDescent="0.35">
      <c r="A54" s="333">
        <f t="shared" si="2"/>
        <v>5</v>
      </c>
      <c r="B54" s="336"/>
      <c r="C54" s="336"/>
      <c r="D54" s="336"/>
      <c r="E54" s="273"/>
      <c r="F54" s="366"/>
      <c r="G54" s="338"/>
      <c r="H54" s="333">
        <f t="shared" si="3"/>
        <v>5</v>
      </c>
      <c r="J54" s="365"/>
    </row>
    <row r="55" spans="1:10" x14ac:dyDescent="0.35">
      <c r="A55" s="333">
        <f t="shared" si="2"/>
        <v>6</v>
      </c>
      <c r="B55" s="336" t="s">
        <v>78</v>
      </c>
      <c r="C55" s="329"/>
      <c r="D55" s="329"/>
      <c r="E55" s="367">
        <f>E53/E50</f>
        <v>6.6122970589526974E-3</v>
      </c>
      <c r="F55" s="368"/>
      <c r="G55" s="338" t="s">
        <v>79</v>
      </c>
      <c r="H55" s="333">
        <f t="shared" si="3"/>
        <v>6</v>
      </c>
      <c r="J55" s="365"/>
    </row>
    <row r="56" spans="1:10" x14ac:dyDescent="0.35">
      <c r="A56" s="333">
        <f t="shared" si="2"/>
        <v>7</v>
      </c>
      <c r="B56" s="336"/>
      <c r="C56" s="336"/>
      <c r="D56" s="336"/>
      <c r="E56" s="369"/>
      <c r="F56" s="370"/>
      <c r="G56" s="338"/>
      <c r="H56" s="333">
        <f t="shared" si="3"/>
        <v>7</v>
      </c>
    </row>
    <row r="57" spans="1:10" x14ac:dyDescent="0.35">
      <c r="A57" s="333">
        <f t="shared" si="2"/>
        <v>8</v>
      </c>
      <c r="B57" s="335" t="s">
        <v>80</v>
      </c>
      <c r="C57" s="335"/>
      <c r="D57" s="335"/>
      <c r="E57" s="371"/>
      <c r="F57" s="372"/>
      <c r="G57" s="373"/>
      <c r="H57" s="333">
        <f t="shared" si="3"/>
        <v>8</v>
      </c>
    </row>
    <row r="58" spans="1:10" x14ac:dyDescent="0.35">
      <c r="A58" s="333">
        <f t="shared" si="2"/>
        <v>9</v>
      </c>
      <c r="B58" s="336" t="s">
        <v>81</v>
      </c>
      <c r="C58" s="336"/>
      <c r="D58" s="336"/>
      <c r="E58" s="755">
        <f>'Pg8 Rev Stmt AH'!E50</f>
        <v>56108.005121722032</v>
      </c>
      <c r="F58" s="24" t="s">
        <v>24</v>
      </c>
      <c r="G58" s="338" t="s">
        <v>616</v>
      </c>
      <c r="H58" s="333">
        <f t="shared" si="3"/>
        <v>9</v>
      </c>
    </row>
    <row r="59" spans="1:10" x14ac:dyDescent="0.35">
      <c r="A59" s="333">
        <f t="shared" si="2"/>
        <v>10</v>
      </c>
      <c r="B59" s="329"/>
      <c r="C59" s="329"/>
      <c r="D59" s="329"/>
      <c r="E59" s="371"/>
      <c r="F59" s="372"/>
      <c r="G59" s="338"/>
      <c r="H59" s="333">
        <f t="shared" si="3"/>
        <v>10</v>
      </c>
    </row>
    <row r="60" spans="1:10" x14ac:dyDescent="0.35">
      <c r="A60" s="333">
        <f t="shared" si="2"/>
        <v>11</v>
      </c>
      <c r="B60" s="374" t="s">
        <v>82</v>
      </c>
      <c r="C60" s="373"/>
      <c r="D60" s="373"/>
      <c r="E60" s="604">
        <f>E58/E50</f>
        <v>9.8572957394984385E-3</v>
      </c>
      <c r="F60" s="24" t="s">
        <v>24</v>
      </c>
      <c r="G60" s="338" t="s">
        <v>83</v>
      </c>
      <c r="H60" s="333">
        <f t="shared" si="3"/>
        <v>11</v>
      </c>
    </row>
    <row r="61" spans="1:10" x14ac:dyDescent="0.35">
      <c r="A61" s="333">
        <f t="shared" si="2"/>
        <v>12</v>
      </c>
      <c r="B61" s="373"/>
      <c r="C61" s="373"/>
      <c r="D61" s="373"/>
      <c r="E61" s="375"/>
      <c r="F61" s="376"/>
      <c r="G61" s="338"/>
      <c r="H61" s="333">
        <f t="shared" si="3"/>
        <v>12</v>
      </c>
    </row>
    <row r="62" spans="1:10" x14ac:dyDescent="0.35">
      <c r="A62" s="333">
        <f t="shared" si="2"/>
        <v>13</v>
      </c>
      <c r="B62" s="335" t="s">
        <v>84</v>
      </c>
      <c r="C62" s="373"/>
      <c r="D62" s="373"/>
      <c r="E62" s="375"/>
      <c r="F62" s="376"/>
      <c r="G62" s="338"/>
      <c r="H62" s="333">
        <f t="shared" si="3"/>
        <v>13</v>
      </c>
    </row>
    <row r="63" spans="1:10" x14ac:dyDescent="0.35">
      <c r="A63" s="333">
        <f t="shared" si="2"/>
        <v>14</v>
      </c>
      <c r="B63" s="374" t="s">
        <v>62</v>
      </c>
      <c r="C63" s="373"/>
      <c r="D63" s="373"/>
      <c r="E63" s="737">
        <v>62434.304265645515</v>
      </c>
      <c r="F63" s="376"/>
      <c r="G63" s="338" t="s">
        <v>85</v>
      </c>
      <c r="H63" s="333">
        <f t="shared" si="3"/>
        <v>14</v>
      </c>
    </row>
    <row r="64" spans="1:10" x14ac:dyDescent="0.35">
      <c r="A64" s="333">
        <f t="shared" si="2"/>
        <v>15</v>
      </c>
      <c r="B64" s="373"/>
      <c r="C64" s="373"/>
      <c r="D64" s="373"/>
      <c r="E64" s="371"/>
      <c r="F64" s="376"/>
      <c r="G64" s="338"/>
      <c r="H64" s="333">
        <f t="shared" si="3"/>
        <v>15</v>
      </c>
    </row>
    <row r="65" spans="1:8" x14ac:dyDescent="0.35">
      <c r="A65" s="333">
        <f t="shared" si="2"/>
        <v>16</v>
      </c>
      <c r="B65" s="374" t="s">
        <v>86</v>
      </c>
      <c r="C65" s="373"/>
      <c r="D65" s="373"/>
      <c r="E65" s="367">
        <f>E63/E50</f>
        <v>1.0968727191443733E-2</v>
      </c>
      <c r="F65" s="376"/>
      <c r="G65" s="338" t="s">
        <v>87</v>
      </c>
      <c r="H65" s="333">
        <f t="shared" si="3"/>
        <v>16</v>
      </c>
    </row>
    <row r="66" spans="1:8" x14ac:dyDescent="0.35">
      <c r="A66" s="333">
        <f t="shared" si="2"/>
        <v>17</v>
      </c>
      <c r="B66" s="373"/>
      <c r="C66" s="373"/>
      <c r="D66" s="373"/>
      <c r="E66" s="375"/>
      <c r="F66" s="376"/>
      <c r="G66" s="338"/>
      <c r="H66" s="333">
        <f t="shared" si="3"/>
        <v>17</v>
      </c>
    </row>
    <row r="67" spans="1:8" x14ac:dyDescent="0.35">
      <c r="A67" s="333">
        <f t="shared" si="2"/>
        <v>18</v>
      </c>
      <c r="B67" s="335" t="s">
        <v>88</v>
      </c>
      <c r="C67" s="335"/>
      <c r="D67" s="335"/>
      <c r="E67" s="375"/>
      <c r="F67" s="376"/>
      <c r="G67" s="338"/>
      <c r="H67" s="333">
        <f t="shared" si="3"/>
        <v>18</v>
      </c>
    </row>
    <row r="68" spans="1:8" x14ac:dyDescent="0.35">
      <c r="A68" s="333">
        <f t="shared" si="2"/>
        <v>19</v>
      </c>
      <c r="B68" s="336" t="s">
        <v>63</v>
      </c>
      <c r="C68" s="336"/>
      <c r="D68" s="336"/>
      <c r="E68" s="737">
        <v>1842.8720020153733</v>
      </c>
      <c r="F68" s="510"/>
      <c r="G68" s="338" t="s">
        <v>89</v>
      </c>
      <c r="H68" s="333">
        <f t="shared" si="3"/>
        <v>19</v>
      </c>
    </row>
    <row r="69" spans="1:8" x14ac:dyDescent="0.35">
      <c r="A69" s="333">
        <f t="shared" si="2"/>
        <v>20</v>
      </c>
      <c r="B69" s="373"/>
      <c r="C69" s="373"/>
      <c r="D69" s="373"/>
      <c r="E69" s="375"/>
      <c r="F69" s="376"/>
      <c r="G69" s="338"/>
      <c r="H69" s="333">
        <f t="shared" si="3"/>
        <v>20</v>
      </c>
    </row>
    <row r="70" spans="1:8" x14ac:dyDescent="0.35">
      <c r="A70" s="333">
        <f t="shared" si="2"/>
        <v>21</v>
      </c>
      <c r="B70" s="374" t="s">
        <v>90</v>
      </c>
      <c r="C70" s="373"/>
      <c r="D70" s="373"/>
      <c r="E70" s="367">
        <f>E68/E50</f>
        <v>3.237636821073557E-4</v>
      </c>
      <c r="F70" s="368"/>
      <c r="G70" s="338" t="s">
        <v>91</v>
      </c>
      <c r="H70" s="333">
        <f t="shared" si="3"/>
        <v>21</v>
      </c>
    </row>
    <row r="71" spans="1:8" x14ac:dyDescent="0.35">
      <c r="A71" s="333">
        <f t="shared" si="2"/>
        <v>22</v>
      </c>
      <c r="B71" s="373"/>
      <c r="C71" s="373"/>
      <c r="D71" s="373"/>
      <c r="E71" s="375"/>
      <c r="F71" s="376"/>
      <c r="G71" s="338"/>
      <c r="H71" s="333">
        <f t="shared" si="3"/>
        <v>22</v>
      </c>
    </row>
    <row r="72" spans="1:8" x14ac:dyDescent="0.35">
      <c r="A72" s="333">
        <f t="shared" si="2"/>
        <v>23</v>
      </c>
      <c r="B72" s="335" t="s">
        <v>92</v>
      </c>
      <c r="C72" s="335"/>
      <c r="D72" s="335"/>
      <c r="E72" s="377"/>
      <c r="F72" s="378"/>
      <c r="G72" s="338"/>
      <c r="H72" s="333">
        <f t="shared" si="3"/>
        <v>23</v>
      </c>
    </row>
    <row r="73" spans="1:8" x14ac:dyDescent="0.35">
      <c r="A73" s="333">
        <f t="shared" si="2"/>
        <v>24</v>
      </c>
      <c r="B73" s="379" t="s">
        <v>93</v>
      </c>
      <c r="C73" s="329"/>
      <c r="D73" s="329"/>
      <c r="E73" s="377"/>
      <c r="F73" s="378"/>
      <c r="G73" s="338"/>
      <c r="H73" s="333">
        <f t="shared" si="3"/>
        <v>24</v>
      </c>
    </row>
    <row r="74" spans="1:8" x14ac:dyDescent="0.35">
      <c r="A74" s="333">
        <f t="shared" si="2"/>
        <v>25</v>
      </c>
      <c r="B74" s="336" t="s">
        <v>94</v>
      </c>
      <c r="C74" s="336"/>
      <c r="D74" s="336"/>
      <c r="E74" s="380">
        <v>47456.246827465431</v>
      </c>
      <c r="F74" s="510"/>
      <c r="G74" s="338" t="s">
        <v>95</v>
      </c>
      <c r="H74" s="333">
        <f t="shared" si="3"/>
        <v>25</v>
      </c>
    </row>
    <row r="75" spans="1:8" x14ac:dyDescent="0.35">
      <c r="A75" s="333">
        <f t="shared" si="2"/>
        <v>26</v>
      </c>
      <c r="B75" s="336" t="s">
        <v>96</v>
      </c>
      <c r="C75" s="336"/>
      <c r="D75" s="336"/>
      <c r="E75" s="381">
        <v>40940.682694194518</v>
      </c>
      <c r="F75" s="510"/>
      <c r="G75" s="338" t="s">
        <v>97</v>
      </c>
      <c r="H75" s="333">
        <f t="shared" si="3"/>
        <v>26</v>
      </c>
    </row>
    <row r="76" spans="1:8" x14ac:dyDescent="0.35">
      <c r="A76" s="333">
        <f t="shared" si="2"/>
        <v>27</v>
      </c>
      <c r="B76" s="336" t="s">
        <v>98</v>
      </c>
      <c r="C76" s="336"/>
      <c r="D76" s="336"/>
      <c r="E76" s="382">
        <f>'Pg9 Rev Stmt AL'!E29</f>
        <v>11718.173288965252</v>
      </c>
      <c r="F76" s="24" t="s">
        <v>24</v>
      </c>
      <c r="G76" s="338" t="s">
        <v>617</v>
      </c>
      <c r="H76" s="333">
        <f t="shared" si="3"/>
        <v>27</v>
      </c>
    </row>
    <row r="77" spans="1:8" x14ac:dyDescent="0.35">
      <c r="A77" s="333">
        <f t="shared" si="2"/>
        <v>28</v>
      </c>
      <c r="B77" s="336" t="s">
        <v>100</v>
      </c>
      <c r="C77" s="329"/>
      <c r="D77" s="329"/>
      <c r="E77" s="383">
        <f>SUM(E74:E76)</f>
        <v>100115.10281062519</v>
      </c>
      <c r="F77" s="24" t="s">
        <v>24</v>
      </c>
      <c r="G77" s="338" t="s">
        <v>101</v>
      </c>
      <c r="H77" s="333">
        <f t="shared" si="3"/>
        <v>28</v>
      </c>
    </row>
    <row r="78" spans="1:8" x14ac:dyDescent="0.35">
      <c r="A78" s="333">
        <f t="shared" si="2"/>
        <v>29</v>
      </c>
      <c r="B78" s="329"/>
      <c r="C78" s="329"/>
      <c r="D78" s="329"/>
      <c r="E78" s="384"/>
      <c r="F78" s="385"/>
      <c r="G78" s="338"/>
      <c r="H78" s="333">
        <f t="shared" si="3"/>
        <v>29</v>
      </c>
    </row>
    <row r="79" spans="1:8" x14ac:dyDescent="0.35">
      <c r="A79" s="333">
        <f t="shared" si="2"/>
        <v>30</v>
      </c>
      <c r="B79" s="336" t="s">
        <v>102</v>
      </c>
      <c r="C79" s="336"/>
      <c r="D79" s="336"/>
      <c r="E79" s="386">
        <f>'Pg10 Rev Stmt AV'!G110</f>
        <v>0.10019103967084705</v>
      </c>
      <c r="F79" s="510"/>
      <c r="G79" s="338" t="s">
        <v>618</v>
      </c>
      <c r="H79" s="333">
        <f t="shared" si="3"/>
        <v>30</v>
      </c>
    </row>
    <row r="80" spans="1:8" x14ac:dyDescent="0.35">
      <c r="A80" s="333">
        <f t="shared" si="2"/>
        <v>31</v>
      </c>
      <c r="B80" s="329"/>
      <c r="C80" s="329"/>
      <c r="D80" s="329"/>
      <c r="E80" s="384"/>
      <c r="F80" s="385"/>
      <c r="G80" s="338"/>
      <c r="H80" s="333">
        <f t="shared" si="3"/>
        <v>31</v>
      </c>
    </row>
    <row r="81" spans="1:9" x14ac:dyDescent="0.35">
      <c r="A81" s="333">
        <f t="shared" si="2"/>
        <v>32</v>
      </c>
      <c r="B81" s="336" t="s">
        <v>103</v>
      </c>
      <c r="C81" s="329"/>
      <c r="D81" s="329"/>
      <c r="E81" s="601">
        <f>E77*E79</f>
        <v>10030.63623735028</v>
      </c>
      <c r="F81" s="24" t="s">
        <v>24</v>
      </c>
      <c r="G81" s="338" t="s">
        <v>104</v>
      </c>
      <c r="H81" s="333">
        <f t="shared" si="3"/>
        <v>32</v>
      </c>
    </row>
    <row r="82" spans="1:9" x14ac:dyDescent="0.35">
      <c r="A82" s="333">
        <f t="shared" si="2"/>
        <v>33</v>
      </c>
      <c r="B82" s="329"/>
      <c r="C82" s="329"/>
      <c r="D82" s="329"/>
      <c r="E82" s="384"/>
      <c r="F82" s="385"/>
      <c r="G82" s="338"/>
      <c r="H82" s="333">
        <f t="shared" si="3"/>
        <v>33</v>
      </c>
    </row>
    <row r="83" spans="1:9" x14ac:dyDescent="0.35">
      <c r="A83" s="333">
        <f t="shared" si="2"/>
        <v>34</v>
      </c>
      <c r="B83" s="336" t="s">
        <v>105</v>
      </c>
      <c r="C83" s="329"/>
      <c r="D83" s="329"/>
      <c r="E83" s="367">
        <f>E81/E50</f>
        <v>1.7622253301002222E-3</v>
      </c>
      <c r="F83" s="368"/>
      <c r="G83" s="338" t="s">
        <v>106</v>
      </c>
      <c r="H83" s="333">
        <f t="shared" si="3"/>
        <v>34</v>
      </c>
    </row>
    <row r="84" spans="1:9" x14ac:dyDescent="0.35">
      <c r="A84" s="333">
        <f t="shared" si="2"/>
        <v>35</v>
      </c>
      <c r="B84" s="336"/>
      <c r="C84" s="329"/>
      <c r="D84" s="329"/>
      <c r="E84" s="387"/>
      <c r="F84" s="368"/>
      <c r="G84" s="338"/>
      <c r="H84" s="333">
        <f t="shared" si="3"/>
        <v>35</v>
      </c>
    </row>
    <row r="85" spans="1:9" x14ac:dyDescent="0.35">
      <c r="A85" s="333">
        <f t="shared" si="2"/>
        <v>36</v>
      </c>
      <c r="B85" s="335" t="s">
        <v>107</v>
      </c>
      <c r="C85" s="388"/>
      <c r="D85" s="388"/>
      <c r="E85" s="389"/>
      <c r="F85" s="389"/>
      <c r="G85" s="389"/>
      <c r="H85" s="333">
        <f t="shared" si="3"/>
        <v>36</v>
      </c>
    </row>
    <row r="86" spans="1:9" x14ac:dyDescent="0.35">
      <c r="A86" s="333">
        <f t="shared" si="2"/>
        <v>37</v>
      </c>
      <c r="B86" s="336" t="s">
        <v>108</v>
      </c>
      <c r="C86" s="388"/>
      <c r="D86" s="388"/>
      <c r="E86" s="124">
        <v>32331.989661471936</v>
      </c>
      <c r="F86" s="389"/>
      <c r="G86" s="338" t="s">
        <v>109</v>
      </c>
      <c r="H86" s="333">
        <f t="shared" si="3"/>
        <v>37</v>
      </c>
    </row>
    <row r="87" spans="1:9" x14ac:dyDescent="0.35">
      <c r="A87" s="333">
        <f t="shared" si="2"/>
        <v>38</v>
      </c>
      <c r="B87" s="335"/>
      <c r="C87" s="388"/>
      <c r="D87" s="388"/>
      <c r="E87" s="389"/>
      <c r="F87" s="389"/>
      <c r="G87" s="389"/>
      <c r="H87" s="333">
        <f t="shared" si="3"/>
        <v>38</v>
      </c>
    </row>
    <row r="88" spans="1:9" x14ac:dyDescent="0.35">
      <c r="A88" s="333">
        <f t="shared" si="2"/>
        <v>39</v>
      </c>
      <c r="B88" s="336" t="s">
        <v>110</v>
      </c>
      <c r="C88" s="388"/>
      <c r="D88" s="388"/>
      <c r="E88" s="738">
        <v>81074.417373759803</v>
      </c>
      <c r="F88" s="389"/>
      <c r="G88" s="338" t="s">
        <v>111</v>
      </c>
      <c r="H88" s="333">
        <f t="shared" si="3"/>
        <v>39</v>
      </c>
    </row>
    <row r="89" spans="1:9" ht="18" x14ac:dyDescent="0.6">
      <c r="A89" s="333">
        <f t="shared" si="2"/>
        <v>40</v>
      </c>
      <c r="B89" s="388"/>
      <c r="C89" s="390"/>
      <c r="D89" s="390"/>
      <c r="E89" s="739"/>
      <c r="F89" s="391"/>
      <c r="G89" s="388"/>
      <c r="H89" s="333">
        <f t="shared" si="3"/>
        <v>40</v>
      </c>
    </row>
    <row r="90" spans="1:9" x14ac:dyDescent="0.35">
      <c r="A90" s="333">
        <f t="shared" si="2"/>
        <v>41</v>
      </c>
      <c r="B90" s="336" t="s">
        <v>112</v>
      </c>
      <c r="C90" s="390"/>
      <c r="D90" s="390"/>
      <c r="E90" s="740">
        <f>E86+E88</f>
        <v>113406.40703523174</v>
      </c>
      <c r="F90" s="392"/>
      <c r="G90" s="338" t="s">
        <v>113</v>
      </c>
      <c r="H90" s="333">
        <f t="shared" si="3"/>
        <v>41</v>
      </c>
    </row>
    <row r="91" spans="1:9" x14ac:dyDescent="0.35">
      <c r="A91" s="333">
        <f t="shared" si="2"/>
        <v>42</v>
      </c>
      <c r="B91" s="393"/>
      <c r="C91" s="390"/>
      <c r="D91" s="390"/>
      <c r="E91" s="741"/>
      <c r="F91" s="392"/>
      <c r="G91" s="394"/>
      <c r="H91" s="333">
        <f t="shared" si="3"/>
        <v>42</v>
      </c>
    </row>
    <row r="92" spans="1:9" x14ac:dyDescent="0.35">
      <c r="A92" s="333">
        <f t="shared" si="2"/>
        <v>43</v>
      </c>
      <c r="B92" s="336" t="s">
        <v>102</v>
      </c>
      <c r="C92" s="390"/>
      <c r="D92" s="390"/>
      <c r="E92" s="742">
        <f>E79</f>
        <v>0.10019103967084705</v>
      </c>
      <c r="F92" s="392"/>
      <c r="G92" s="338" t="s">
        <v>114</v>
      </c>
      <c r="H92" s="333">
        <f t="shared" si="3"/>
        <v>43</v>
      </c>
    </row>
    <row r="93" spans="1:9" x14ac:dyDescent="0.35">
      <c r="A93" s="333">
        <f t="shared" si="2"/>
        <v>44</v>
      </c>
      <c r="B93" s="388"/>
      <c r="C93" s="390"/>
      <c r="D93" s="390"/>
      <c r="E93" s="395"/>
      <c r="F93" s="396"/>
      <c r="G93" s="388"/>
      <c r="H93" s="333">
        <f t="shared" si="3"/>
        <v>44</v>
      </c>
    </row>
    <row r="94" spans="1:9" x14ac:dyDescent="0.35">
      <c r="A94" s="333">
        <f t="shared" si="2"/>
        <v>45</v>
      </c>
      <c r="B94" s="336" t="s">
        <v>115</v>
      </c>
      <c r="C94" s="390"/>
      <c r="D94" s="390"/>
      <c r="E94" s="397">
        <f>E90*E92</f>
        <v>11362.305826195132</v>
      </c>
      <c r="F94" s="398"/>
      <c r="G94" s="338" t="s">
        <v>116</v>
      </c>
      <c r="H94" s="333">
        <f t="shared" si="3"/>
        <v>45</v>
      </c>
    </row>
    <row r="95" spans="1:9" x14ac:dyDescent="0.35">
      <c r="A95" s="333">
        <f t="shared" si="2"/>
        <v>46</v>
      </c>
      <c r="B95" s="393"/>
      <c r="C95" s="390"/>
      <c r="D95" s="390"/>
      <c r="E95" s="399"/>
      <c r="F95" s="398"/>
      <c r="G95" s="394"/>
      <c r="H95" s="333">
        <f t="shared" si="3"/>
        <v>46</v>
      </c>
    </row>
    <row r="96" spans="1:9" x14ac:dyDescent="0.35">
      <c r="A96" s="333">
        <f t="shared" si="2"/>
        <v>47</v>
      </c>
      <c r="B96" s="336" t="s">
        <v>117</v>
      </c>
      <c r="C96" s="390"/>
      <c r="D96" s="390"/>
      <c r="E96" s="743">
        <v>16054.010181727583</v>
      </c>
      <c r="F96" s="398"/>
      <c r="G96" s="338" t="s">
        <v>118</v>
      </c>
      <c r="H96" s="333">
        <f t="shared" si="3"/>
        <v>47</v>
      </c>
      <c r="I96" s="390"/>
    </row>
    <row r="97" spans="1:8" x14ac:dyDescent="0.35">
      <c r="A97" s="333">
        <f t="shared" si="2"/>
        <v>48</v>
      </c>
      <c r="B97" s="336"/>
      <c r="C97" s="390"/>
      <c r="D97" s="390"/>
      <c r="E97" s="241"/>
      <c r="F97" s="398"/>
      <c r="G97" s="338"/>
      <c r="H97" s="333">
        <f t="shared" si="3"/>
        <v>48</v>
      </c>
    </row>
    <row r="98" spans="1:8" x14ac:dyDescent="0.35">
      <c r="A98" s="333">
        <f t="shared" si="2"/>
        <v>49</v>
      </c>
      <c r="B98" s="336" t="s">
        <v>119</v>
      </c>
      <c r="C98" s="390"/>
      <c r="D98" s="390"/>
      <c r="E98" s="241">
        <f>E94+E96</f>
        <v>27416.316007922716</v>
      </c>
      <c r="F98" s="398"/>
      <c r="G98" s="338" t="s">
        <v>120</v>
      </c>
      <c r="H98" s="333">
        <f t="shared" si="3"/>
        <v>49</v>
      </c>
    </row>
    <row r="99" spans="1:8" x14ac:dyDescent="0.35">
      <c r="A99" s="333">
        <f t="shared" si="2"/>
        <v>50</v>
      </c>
      <c r="B99" s="388"/>
      <c r="C99" s="390"/>
      <c r="D99" s="390"/>
      <c r="E99" s="400"/>
      <c r="F99" s="388"/>
      <c r="G99" s="388"/>
      <c r="H99" s="333">
        <f t="shared" si="3"/>
        <v>50</v>
      </c>
    </row>
    <row r="100" spans="1:8" ht="16" thickBot="1" x14ac:dyDescent="0.4">
      <c r="A100" s="333">
        <f t="shared" si="2"/>
        <v>51</v>
      </c>
      <c r="B100" s="336" t="s">
        <v>121</v>
      </c>
      <c r="C100" s="390"/>
      <c r="D100" s="390"/>
      <c r="E100" s="401">
        <f>E98/E50</f>
        <v>4.8166163525391985E-3</v>
      </c>
      <c r="F100" s="402"/>
      <c r="G100" s="338" t="s">
        <v>122</v>
      </c>
      <c r="H100" s="333">
        <f t="shared" si="3"/>
        <v>51</v>
      </c>
    </row>
    <row r="101" spans="1:8" ht="16" thickTop="1" x14ac:dyDescent="0.35">
      <c r="A101" s="339"/>
    </row>
    <row r="102" spans="1:8" x14ac:dyDescent="0.35">
      <c r="A102" s="339"/>
    </row>
    <row r="103" spans="1:8" x14ac:dyDescent="0.35">
      <c r="A103" s="24" t="s">
        <v>24</v>
      </c>
      <c r="B103" s="329" t="str">
        <f>'Pg3 Rev App. XII C5'!B56</f>
        <v>Items in BOLD have changed due to A&amp;G adj. on CEMA/WMPMA exclusion corrections compared to the original Appendix XII Cycle 5 per ER23-110.</v>
      </c>
    </row>
    <row r="104" spans="1:8" x14ac:dyDescent="0.35">
      <c r="A104" s="339"/>
    </row>
    <row r="105" spans="1:8" x14ac:dyDescent="0.35">
      <c r="A105" s="339"/>
    </row>
    <row r="106" spans="1:8" x14ac:dyDescent="0.35">
      <c r="A106" s="339"/>
    </row>
    <row r="107" spans="1:8" x14ac:dyDescent="0.35">
      <c r="A107" s="339"/>
    </row>
    <row r="108" spans="1:8" x14ac:dyDescent="0.35">
      <c r="A108" s="339"/>
    </row>
    <row r="109" spans="1:8" x14ac:dyDescent="0.35">
      <c r="A109" s="339"/>
    </row>
    <row r="110" spans="1:8" x14ac:dyDescent="0.35">
      <c r="A110" s="339"/>
    </row>
    <row r="111" spans="1:8" x14ac:dyDescent="0.35">
      <c r="A111" s="339"/>
    </row>
    <row r="112" spans="1:8" x14ac:dyDescent="0.35">
      <c r="A112" s="339"/>
    </row>
    <row r="113" spans="1:1" x14ac:dyDescent="0.35">
      <c r="A113" s="339"/>
    </row>
    <row r="114" spans="1:1" x14ac:dyDescent="0.35">
      <c r="A114" s="339"/>
    </row>
    <row r="115" spans="1:1" x14ac:dyDescent="0.35">
      <c r="A115" s="339"/>
    </row>
    <row r="116" spans="1:1" x14ac:dyDescent="0.35">
      <c r="A116" s="339"/>
    </row>
    <row r="117" spans="1:1" x14ac:dyDescent="0.35">
      <c r="A117" s="339"/>
    </row>
    <row r="118" spans="1:1" x14ac:dyDescent="0.35">
      <c r="A118" s="339"/>
    </row>
    <row r="119" spans="1:1" x14ac:dyDescent="0.35">
      <c r="A119" s="339"/>
    </row>
    <row r="120" spans="1:1" x14ac:dyDescent="0.35">
      <c r="A120" s="339"/>
    </row>
    <row r="121" spans="1:1" x14ac:dyDescent="0.35">
      <c r="A121" s="339"/>
    </row>
    <row r="122" spans="1:1" x14ac:dyDescent="0.35">
      <c r="A122" s="339"/>
    </row>
    <row r="123" spans="1:1" x14ac:dyDescent="0.35">
      <c r="A123" s="339"/>
    </row>
    <row r="124" spans="1:1" x14ac:dyDescent="0.35">
      <c r="A124" s="339"/>
    </row>
    <row r="125" spans="1:1" x14ac:dyDescent="0.35">
      <c r="A125" s="339"/>
    </row>
    <row r="126" spans="1:1" x14ac:dyDescent="0.35">
      <c r="A126" s="339"/>
    </row>
    <row r="127" spans="1:1" x14ac:dyDescent="0.35">
      <c r="A127" s="339"/>
    </row>
    <row r="128" spans="1:1" x14ac:dyDescent="0.35">
      <c r="A128" s="339"/>
    </row>
    <row r="129" spans="1:1" x14ac:dyDescent="0.35">
      <c r="A129" s="339"/>
    </row>
    <row r="130" spans="1:1" x14ac:dyDescent="0.35">
      <c r="A130" s="339"/>
    </row>
    <row r="131" spans="1:1" x14ac:dyDescent="0.35">
      <c r="A131" s="339"/>
    </row>
    <row r="132" spans="1:1" x14ac:dyDescent="0.35">
      <c r="A132" s="339"/>
    </row>
    <row r="133" spans="1:1" x14ac:dyDescent="0.35">
      <c r="A133" s="339"/>
    </row>
    <row r="134" spans="1:1" x14ac:dyDescent="0.35">
      <c r="A134" s="339"/>
    </row>
    <row r="135" spans="1:1" x14ac:dyDescent="0.35">
      <c r="A135" s="339"/>
    </row>
    <row r="136" spans="1:1" x14ac:dyDescent="0.35">
      <c r="A136" s="339"/>
    </row>
    <row r="137" spans="1:1" x14ac:dyDescent="0.35">
      <c r="A137" s="339"/>
    </row>
    <row r="138" spans="1:1" x14ac:dyDescent="0.35">
      <c r="A138" s="339"/>
    </row>
    <row r="139" spans="1:1" x14ac:dyDescent="0.35">
      <c r="A139" s="339"/>
    </row>
    <row r="140" spans="1:1" x14ac:dyDescent="0.35">
      <c r="A140" s="339"/>
    </row>
    <row r="141" spans="1:1" x14ac:dyDescent="0.35">
      <c r="A141" s="339"/>
    </row>
    <row r="142" spans="1:1" x14ac:dyDescent="0.35">
      <c r="A142" s="339"/>
    </row>
    <row r="143" spans="1:1" x14ac:dyDescent="0.35">
      <c r="A143" s="339"/>
    </row>
    <row r="144" spans="1:1" x14ac:dyDescent="0.35">
      <c r="A144" s="339"/>
    </row>
    <row r="145" spans="1:6" x14ac:dyDescent="0.35">
      <c r="A145" s="339"/>
    </row>
    <row r="146" spans="1:6" x14ac:dyDescent="0.35">
      <c r="A146" s="339"/>
    </row>
    <row r="147" spans="1:6" x14ac:dyDescent="0.35">
      <c r="A147" s="339"/>
    </row>
    <row r="148" spans="1:6" x14ac:dyDescent="0.35">
      <c r="A148" s="339"/>
    </row>
    <row r="149" spans="1:6" x14ac:dyDescent="0.35">
      <c r="A149" s="339"/>
    </row>
    <row r="150" spans="1:6" x14ac:dyDescent="0.35">
      <c r="A150" s="339"/>
    </row>
    <row r="151" spans="1:6" x14ac:dyDescent="0.35">
      <c r="A151" s="339"/>
    </row>
    <row r="152" spans="1:6" x14ac:dyDescent="0.35">
      <c r="A152" s="339"/>
    </row>
    <row r="153" spans="1:6" x14ac:dyDescent="0.35">
      <c r="A153" s="339"/>
    </row>
    <row r="154" spans="1:6" x14ac:dyDescent="0.35">
      <c r="A154" s="339"/>
    </row>
    <row r="155" spans="1:6" x14ac:dyDescent="0.35">
      <c r="A155" s="339"/>
      <c r="B155" s="330"/>
      <c r="C155" s="330"/>
      <c r="D155" s="330"/>
      <c r="E155" s="330"/>
      <c r="F155" s="330"/>
    </row>
    <row r="156" spans="1:6" x14ac:dyDescent="0.35">
      <c r="A156" s="339"/>
      <c r="B156" s="330"/>
      <c r="C156" s="330"/>
      <c r="D156" s="330"/>
      <c r="E156" s="330"/>
      <c r="F156" s="330"/>
    </row>
    <row r="161" spans="1:6" x14ac:dyDescent="0.35">
      <c r="A161" s="332"/>
      <c r="B161" s="330"/>
      <c r="C161" s="330"/>
      <c r="D161" s="330"/>
      <c r="E161" s="403"/>
      <c r="F161" s="403"/>
    </row>
  </sheetData>
  <mergeCells count="10">
    <mergeCell ref="B45:G45"/>
    <mergeCell ref="B41:G41"/>
    <mergeCell ref="B42:G42"/>
    <mergeCell ref="B43:G43"/>
    <mergeCell ref="B2:G2"/>
    <mergeCell ref="B3:G3"/>
    <mergeCell ref="B4:G4"/>
    <mergeCell ref="B5:G5"/>
    <mergeCell ref="B44:G44"/>
    <mergeCell ref="B6:G6"/>
  </mergeCells>
  <printOptions horizontalCentered="1"/>
  <pageMargins left="0.25" right="0.25" top="0.5" bottom="0.5" header="0.35" footer="0.25"/>
  <pageSetup scale="57" fitToWidth="2" fitToHeight="2" orientation="portrait" r:id="rId1"/>
  <headerFooter scaleWithDoc="0" alignWithMargins="0">
    <oddHeader>&amp;C&amp;"Times New Roman,Bold"&amp;7REVISED</oddHeader>
    <oddFooter>&amp;L&amp;F&amp;CPage 5.&amp;P&amp;R&amp;A</oddFooter>
  </headerFooter>
  <rowBreaks count="1" manualBreakCount="1">
    <brk id="3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81B71-3ECF-428E-8968-143CC1FBF6B6}">
  <dimension ref="A1:J159"/>
  <sheetViews>
    <sheetView zoomScale="80" zoomScaleNormal="80" workbookViewId="0"/>
  </sheetViews>
  <sheetFormatPr defaultColWidth="8.81640625" defaultRowHeight="15.5" x14ac:dyDescent="0.35"/>
  <cols>
    <col min="1" max="1" width="5.1796875" style="35" customWidth="1"/>
    <col min="2" max="2" width="93.1796875" style="18" bestFit="1" customWidth="1"/>
    <col min="3" max="3" width="10.453125" style="18" customWidth="1"/>
    <col min="4" max="4" width="1.54296875" style="18" customWidth="1"/>
    <col min="5" max="5" width="16.81640625" style="18" customWidth="1"/>
    <col min="6" max="6" width="1.54296875" style="18" customWidth="1"/>
    <col min="7" max="7" width="43.453125" style="18" customWidth="1"/>
    <col min="8" max="8" width="5.1796875" style="34" customWidth="1"/>
    <col min="9" max="9" width="8.81640625" style="18"/>
    <col min="10" max="10" width="9.81640625" style="18" bestFit="1" customWidth="1"/>
    <col min="11" max="16384" width="8.81640625" style="18"/>
  </cols>
  <sheetData>
    <row r="1" spans="1:8" x14ac:dyDescent="0.35">
      <c r="A1" s="565" t="s">
        <v>631</v>
      </c>
    </row>
    <row r="2" spans="1:8" x14ac:dyDescent="0.35">
      <c r="A2" s="328"/>
      <c r="B2" s="329"/>
      <c r="C2" s="329"/>
      <c r="D2" s="329"/>
      <c r="E2" s="330"/>
      <c r="F2" s="330"/>
      <c r="G2" s="330"/>
      <c r="H2" s="157"/>
    </row>
    <row r="3" spans="1:8" x14ac:dyDescent="0.35">
      <c r="A3" s="328"/>
      <c r="B3" s="769" t="s">
        <v>14</v>
      </c>
      <c r="C3" s="769"/>
      <c r="D3" s="769"/>
      <c r="E3" s="769"/>
      <c r="F3" s="769"/>
      <c r="G3" s="769"/>
      <c r="H3" s="157"/>
    </row>
    <row r="4" spans="1:8" x14ac:dyDescent="0.35">
      <c r="B4" s="769" t="s">
        <v>629</v>
      </c>
      <c r="C4" s="769"/>
      <c r="D4" s="769"/>
      <c r="E4" s="769"/>
      <c r="F4" s="769"/>
      <c r="G4" s="769"/>
      <c r="H4" s="328"/>
    </row>
    <row r="5" spans="1:8" x14ac:dyDescent="0.35">
      <c r="B5" s="769" t="s">
        <v>58</v>
      </c>
      <c r="C5" s="769"/>
      <c r="D5" s="769"/>
      <c r="E5" s="769"/>
      <c r="F5" s="769"/>
      <c r="G5" s="769"/>
      <c r="H5" s="328"/>
    </row>
    <row r="6" spans="1:8" x14ac:dyDescent="0.35">
      <c r="B6" s="770" t="s">
        <v>496</v>
      </c>
      <c r="C6" s="770"/>
      <c r="D6" s="770"/>
      <c r="E6" s="770"/>
      <c r="F6" s="770"/>
      <c r="G6" s="770"/>
      <c r="H6" s="328"/>
    </row>
    <row r="7" spans="1:8" x14ac:dyDescent="0.35">
      <c r="B7" s="767" t="s">
        <v>1</v>
      </c>
      <c r="C7" s="767"/>
      <c r="D7" s="767"/>
      <c r="E7" s="767"/>
      <c r="F7" s="767"/>
      <c r="G7" s="767"/>
      <c r="H7" s="331"/>
    </row>
    <row r="8" spans="1:8" x14ac:dyDescent="0.35">
      <c r="A8" s="332"/>
      <c r="B8" s="510"/>
      <c r="C8" s="510"/>
      <c r="D8" s="510"/>
      <c r="E8" s="510"/>
      <c r="F8" s="510"/>
      <c r="G8" s="330"/>
      <c r="H8" s="157"/>
    </row>
    <row r="9" spans="1:8" x14ac:dyDescent="0.35">
      <c r="A9" s="333" t="s">
        <v>2</v>
      </c>
      <c r="B9" s="329"/>
      <c r="C9" s="329"/>
      <c r="D9" s="329"/>
      <c r="E9" s="510"/>
      <c r="F9" s="510"/>
      <c r="G9" s="329"/>
      <c r="H9" s="333" t="s">
        <v>2</v>
      </c>
    </row>
    <row r="10" spans="1:8" x14ac:dyDescent="0.35">
      <c r="A10" s="333" t="s">
        <v>3</v>
      </c>
      <c r="B10" s="329"/>
      <c r="C10" s="329"/>
      <c r="D10" s="329"/>
      <c r="E10" s="733" t="s">
        <v>5</v>
      </c>
      <c r="F10" s="334"/>
      <c r="G10" s="733" t="s">
        <v>6</v>
      </c>
      <c r="H10" s="333" t="s">
        <v>3</v>
      </c>
    </row>
    <row r="11" spans="1:8" x14ac:dyDescent="0.35">
      <c r="A11" s="333"/>
      <c r="B11" s="329"/>
      <c r="C11" s="329"/>
      <c r="D11" s="329"/>
      <c r="E11" s="510"/>
      <c r="F11" s="334"/>
      <c r="G11" s="510"/>
      <c r="H11" s="333"/>
    </row>
    <row r="12" spans="1:8" x14ac:dyDescent="0.35">
      <c r="A12" s="333">
        <v>1</v>
      </c>
      <c r="B12" s="335" t="s">
        <v>59</v>
      </c>
      <c r="C12" s="335"/>
      <c r="D12" s="335"/>
      <c r="E12" s="330"/>
      <c r="F12" s="330"/>
      <c r="G12" s="510"/>
      <c r="H12" s="333">
        <f>A12</f>
        <v>1</v>
      </c>
    </row>
    <row r="13" spans="1:8" x14ac:dyDescent="0.35">
      <c r="A13" s="333">
        <f>A12+1</f>
        <v>2</v>
      </c>
      <c r="B13" s="336" t="s">
        <v>60</v>
      </c>
      <c r="C13" s="337"/>
      <c r="D13" s="337"/>
      <c r="E13" s="341">
        <f>E53</f>
        <v>6.6122970589526974E-3</v>
      </c>
      <c r="F13" s="342"/>
      <c r="G13" s="338" t="s">
        <v>580</v>
      </c>
      <c r="H13" s="333">
        <f>H12+1</f>
        <v>2</v>
      </c>
    </row>
    <row r="14" spans="1:8" x14ac:dyDescent="0.35">
      <c r="A14" s="333">
        <f t="shared" ref="A14:A36" si="0">A13+1</f>
        <v>3</v>
      </c>
      <c r="B14" s="329"/>
      <c r="C14" s="339"/>
      <c r="D14" s="339"/>
      <c r="E14" s="340"/>
      <c r="F14" s="334"/>
      <c r="G14" s="338"/>
      <c r="H14" s="333">
        <f t="shared" ref="H14:H36" si="1">H13+1</f>
        <v>3</v>
      </c>
    </row>
    <row r="15" spans="1:8" x14ac:dyDescent="0.35">
      <c r="A15" s="333">
        <f t="shared" si="0"/>
        <v>4</v>
      </c>
      <c r="B15" s="336" t="s">
        <v>61</v>
      </c>
      <c r="C15" s="337"/>
      <c r="D15" s="337"/>
      <c r="E15" s="341">
        <f>E58</f>
        <v>9.6224287569954738E-3</v>
      </c>
      <c r="F15" s="342"/>
      <c r="G15" s="338" t="s">
        <v>581</v>
      </c>
      <c r="H15" s="333">
        <f t="shared" si="1"/>
        <v>4</v>
      </c>
    </row>
    <row r="16" spans="1:8" x14ac:dyDescent="0.35">
      <c r="A16" s="333">
        <f t="shared" si="0"/>
        <v>5</v>
      </c>
      <c r="B16" s="330"/>
      <c r="C16" s="332"/>
      <c r="D16" s="332"/>
      <c r="E16" s="343"/>
      <c r="F16" s="344"/>
      <c r="G16" s="338"/>
      <c r="H16" s="333">
        <f t="shared" si="1"/>
        <v>5</v>
      </c>
    </row>
    <row r="17" spans="1:8" x14ac:dyDescent="0.35">
      <c r="A17" s="333">
        <f t="shared" si="0"/>
        <v>6</v>
      </c>
      <c r="B17" s="330" t="s">
        <v>62</v>
      </c>
      <c r="C17" s="332"/>
      <c r="D17" s="332"/>
      <c r="E17" s="734">
        <f>E63</f>
        <v>1.0968727191443733E-2</v>
      </c>
      <c r="F17" s="344"/>
      <c r="G17" s="338" t="s">
        <v>401</v>
      </c>
      <c r="H17" s="333">
        <f t="shared" si="1"/>
        <v>6</v>
      </c>
    </row>
    <row r="18" spans="1:8" x14ac:dyDescent="0.35">
      <c r="A18" s="333">
        <f t="shared" si="0"/>
        <v>7</v>
      </c>
      <c r="B18" s="330"/>
      <c r="C18" s="332"/>
      <c r="D18" s="332"/>
      <c r="E18" s="343"/>
      <c r="F18" s="344"/>
      <c r="G18" s="338"/>
      <c r="H18" s="333">
        <f t="shared" si="1"/>
        <v>7</v>
      </c>
    </row>
    <row r="19" spans="1:8" x14ac:dyDescent="0.35">
      <c r="A19" s="333">
        <f t="shared" si="0"/>
        <v>8</v>
      </c>
      <c r="B19" s="336" t="s">
        <v>63</v>
      </c>
      <c r="C19" s="337"/>
      <c r="D19" s="337"/>
      <c r="E19" s="341">
        <f>E68</f>
        <v>3.237636821073557E-4</v>
      </c>
      <c r="F19" s="342"/>
      <c r="G19" s="338" t="s">
        <v>582</v>
      </c>
      <c r="H19" s="333">
        <f t="shared" si="1"/>
        <v>8</v>
      </c>
    </row>
    <row r="20" spans="1:8" x14ac:dyDescent="0.35">
      <c r="A20" s="333">
        <f t="shared" si="0"/>
        <v>9</v>
      </c>
      <c r="B20" s="329"/>
      <c r="C20" s="339"/>
      <c r="D20" s="339"/>
      <c r="E20" s="340"/>
      <c r="F20" s="334"/>
      <c r="G20" s="338"/>
      <c r="H20" s="333">
        <f t="shared" si="1"/>
        <v>9</v>
      </c>
    </row>
    <row r="21" spans="1:8" x14ac:dyDescent="0.35">
      <c r="A21" s="333">
        <f t="shared" si="0"/>
        <v>10</v>
      </c>
      <c r="B21" s="336" t="s">
        <v>64</v>
      </c>
      <c r="C21" s="339"/>
      <c r="D21" s="339"/>
      <c r="E21" s="341">
        <f>E81</f>
        <v>1.7592842951340006E-3</v>
      </c>
      <c r="F21" s="334"/>
      <c r="G21" s="338" t="s">
        <v>583</v>
      </c>
      <c r="H21" s="333">
        <f t="shared" si="1"/>
        <v>10</v>
      </c>
    </row>
    <row r="22" spans="1:8" x14ac:dyDescent="0.35">
      <c r="A22" s="333">
        <f t="shared" si="0"/>
        <v>11</v>
      </c>
      <c r="B22" s="329"/>
      <c r="C22" s="339"/>
      <c r="D22" s="339"/>
      <c r="E22" s="340"/>
      <c r="F22" s="334"/>
      <c r="G22" s="338"/>
      <c r="H22" s="333">
        <f t="shared" si="1"/>
        <v>11</v>
      </c>
    </row>
    <row r="23" spans="1:8" x14ac:dyDescent="0.35">
      <c r="A23" s="333">
        <f t="shared" si="0"/>
        <v>12</v>
      </c>
      <c r="B23" s="336" t="s">
        <v>65</v>
      </c>
      <c r="C23" s="337"/>
      <c r="D23" s="337"/>
      <c r="E23" s="341">
        <f>E98</f>
        <v>4.816616818801433E-3</v>
      </c>
      <c r="F23" s="342"/>
      <c r="G23" s="338" t="s">
        <v>584</v>
      </c>
      <c r="H23" s="333">
        <f t="shared" si="1"/>
        <v>12</v>
      </c>
    </row>
    <row r="24" spans="1:8" x14ac:dyDescent="0.35">
      <c r="A24" s="333">
        <f t="shared" si="0"/>
        <v>13</v>
      </c>
      <c r="B24" s="345"/>
      <c r="C24" s="346"/>
      <c r="D24" s="346"/>
      <c r="E24" s="347"/>
      <c r="F24" s="348"/>
      <c r="G24" s="338"/>
      <c r="H24" s="333">
        <f t="shared" si="1"/>
        <v>13</v>
      </c>
    </row>
    <row r="25" spans="1:8" x14ac:dyDescent="0.35">
      <c r="A25" s="333">
        <f t="shared" si="0"/>
        <v>14</v>
      </c>
      <c r="B25" s="336" t="s">
        <v>66</v>
      </c>
      <c r="C25" s="337"/>
      <c r="D25" s="337"/>
      <c r="E25" s="532">
        <f>SUM(E13:E23)</f>
        <v>3.4103117803434696E-2</v>
      </c>
      <c r="F25" s="342"/>
      <c r="G25" s="338" t="s">
        <v>585</v>
      </c>
      <c r="H25" s="333">
        <f t="shared" si="1"/>
        <v>14</v>
      </c>
    </row>
    <row r="26" spans="1:8" x14ac:dyDescent="0.35">
      <c r="A26" s="333">
        <f t="shared" si="0"/>
        <v>15</v>
      </c>
      <c r="B26" s="329"/>
      <c r="C26" s="339"/>
      <c r="D26" s="339"/>
      <c r="E26" s="349"/>
      <c r="F26" s="350"/>
      <c r="G26" s="338"/>
      <c r="H26" s="333">
        <f t="shared" si="1"/>
        <v>15</v>
      </c>
    </row>
    <row r="27" spans="1:8" x14ac:dyDescent="0.35">
      <c r="A27" s="333">
        <f t="shared" si="0"/>
        <v>16</v>
      </c>
      <c r="B27" s="330" t="s">
        <v>67</v>
      </c>
      <c r="C27" s="351">
        <v>1.0274999999999999E-2</v>
      </c>
      <c r="D27" s="339"/>
      <c r="E27" s="735">
        <f>E25*C27</f>
        <v>3.5040953543029151E-4</v>
      </c>
      <c r="F27" s="352"/>
      <c r="G27" s="338" t="s">
        <v>586</v>
      </c>
      <c r="H27" s="333">
        <f t="shared" si="1"/>
        <v>16</v>
      </c>
    </row>
    <row r="28" spans="1:8" x14ac:dyDescent="0.35">
      <c r="A28" s="333">
        <f t="shared" si="0"/>
        <v>17</v>
      </c>
      <c r="B28" s="329"/>
      <c r="C28" s="339"/>
      <c r="D28" s="339"/>
      <c r="E28" s="353"/>
      <c r="F28" s="354"/>
      <c r="G28" s="338"/>
      <c r="H28" s="333">
        <f t="shared" si="1"/>
        <v>17</v>
      </c>
    </row>
    <row r="29" spans="1:8" ht="16" thickBot="1" x14ac:dyDescent="0.4">
      <c r="A29" s="333">
        <f t="shared" si="0"/>
        <v>18</v>
      </c>
      <c r="B29" s="329" t="s">
        <v>68</v>
      </c>
      <c r="C29" s="339"/>
      <c r="D29" s="339"/>
      <c r="E29" s="533">
        <f>E25+E27</f>
        <v>3.4453527338864989E-2</v>
      </c>
      <c r="F29" s="627"/>
      <c r="G29" s="338" t="s">
        <v>587</v>
      </c>
      <c r="H29" s="333">
        <f t="shared" si="1"/>
        <v>18</v>
      </c>
    </row>
    <row r="30" spans="1:8" ht="16" thickTop="1" x14ac:dyDescent="0.35">
      <c r="A30" s="333">
        <f t="shared" si="0"/>
        <v>19</v>
      </c>
      <c r="B30" s="330"/>
      <c r="C30" s="332"/>
      <c r="D30" s="332"/>
      <c r="E30" s="339"/>
      <c r="F30" s="329"/>
      <c r="G30" s="329"/>
      <c r="H30" s="333">
        <f t="shared" si="1"/>
        <v>19</v>
      </c>
    </row>
    <row r="31" spans="1:8" x14ac:dyDescent="0.35">
      <c r="A31" s="333">
        <f t="shared" si="0"/>
        <v>20</v>
      </c>
      <c r="B31" s="335" t="s">
        <v>69</v>
      </c>
      <c r="C31" s="355"/>
      <c r="D31" s="355"/>
      <c r="E31" s="332"/>
      <c r="F31" s="330"/>
      <c r="G31" s="329"/>
      <c r="H31" s="333">
        <f t="shared" si="1"/>
        <v>20</v>
      </c>
    </row>
    <row r="32" spans="1:8" x14ac:dyDescent="0.35">
      <c r="A32" s="333">
        <f t="shared" si="0"/>
        <v>21</v>
      </c>
      <c r="B32" s="336" t="s">
        <v>70</v>
      </c>
      <c r="C32" s="337"/>
      <c r="D32" s="337"/>
      <c r="E32" s="272">
        <v>27000</v>
      </c>
      <c r="F32" s="334"/>
      <c r="G32" s="338" t="s">
        <v>71</v>
      </c>
      <c r="H32" s="333">
        <f t="shared" si="1"/>
        <v>21</v>
      </c>
    </row>
    <row r="33" spans="1:8" x14ac:dyDescent="0.35">
      <c r="A33" s="333">
        <f t="shared" si="0"/>
        <v>22</v>
      </c>
      <c r="B33" s="336"/>
      <c r="C33" s="337"/>
      <c r="D33" s="337"/>
      <c r="E33" s="337"/>
      <c r="F33" s="336"/>
      <c r="G33" s="338"/>
      <c r="H33" s="333">
        <f t="shared" si="1"/>
        <v>22</v>
      </c>
    </row>
    <row r="34" spans="1:8" x14ac:dyDescent="0.35">
      <c r="A34" s="333">
        <f t="shared" si="0"/>
        <v>23</v>
      </c>
      <c r="B34" s="336" t="s">
        <v>72</v>
      </c>
      <c r="C34" s="337"/>
      <c r="D34" s="337"/>
      <c r="E34" s="532">
        <f>+E29</f>
        <v>3.4453527338864989E-2</v>
      </c>
      <c r="F34" s="342"/>
      <c r="G34" s="338" t="s">
        <v>588</v>
      </c>
      <c r="H34" s="333">
        <f t="shared" si="1"/>
        <v>23</v>
      </c>
    </row>
    <row r="35" spans="1:8" x14ac:dyDescent="0.35">
      <c r="A35" s="333">
        <f t="shared" si="0"/>
        <v>24</v>
      </c>
      <c r="B35" s="329"/>
      <c r="C35" s="339"/>
      <c r="D35" s="339"/>
      <c r="E35" s="356"/>
      <c r="F35" s="357"/>
      <c r="G35" s="338"/>
      <c r="H35" s="333">
        <f t="shared" si="1"/>
        <v>24</v>
      </c>
    </row>
    <row r="36" spans="1:8" ht="16" thickBot="1" x14ac:dyDescent="0.4">
      <c r="A36" s="333">
        <f t="shared" si="0"/>
        <v>25</v>
      </c>
      <c r="B36" s="329" t="s">
        <v>73</v>
      </c>
      <c r="C36" s="337"/>
      <c r="D36" s="337"/>
      <c r="E36" s="628">
        <f>E32*E34</f>
        <v>930.24523814935469</v>
      </c>
      <c r="F36" s="360"/>
      <c r="G36" s="338" t="s">
        <v>589</v>
      </c>
      <c r="H36" s="333">
        <f t="shared" si="1"/>
        <v>25</v>
      </c>
    </row>
    <row r="37" spans="1:8" ht="16" thickTop="1" x14ac:dyDescent="0.35">
      <c r="A37" s="333"/>
      <c r="B37" s="329"/>
      <c r="C37" s="336"/>
      <c r="D37" s="336"/>
      <c r="E37" s="359"/>
      <c r="F37" s="360"/>
      <c r="G37" s="338"/>
      <c r="H37" s="333"/>
    </row>
    <row r="38" spans="1:8" x14ac:dyDescent="0.35">
      <c r="A38" s="332"/>
      <c r="B38" s="329"/>
      <c r="C38" s="329"/>
      <c r="D38" s="329"/>
      <c r="E38" s="345"/>
      <c r="F38" s="345"/>
      <c r="G38" s="330"/>
      <c r="H38" s="157"/>
    </row>
    <row r="39" spans="1:8" x14ac:dyDescent="0.35">
      <c r="A39" s="332"/>
      <c r="B39" s="768" t="str">
        <f>B3</f>
        <v>SAN DIEGO GAS &amp; ELECTRIC COMPANY</v>
      </c>
      <c r="C39" s="768"/>
      <c r="D39" s="768"/>
      <c r="E39" s="768"/>
      <c r="F39" s="768"/>
      <c r="G39" s="768"/>
      <c r="H39" s="157"/>
    </row>
    <row r="40" spans="1:8" x14ac:dyDescent="0.35">
      <c r="B40" s="768" t="str">
        <f>B4</f>
        <v>CITIZENS' SHARE OF THE SX-PQ UNDERGROUND LINE SEGMENT</v>
      </c>
      <c r="C40" s="768"/>
      <c r="D40" s="768"/>
      <c r="E40" s="768"/>
      <c r="F40" s="768"/>
      <c r="G40" s="768"/>
      <c r="H40" s="346"/>
    </row>
    <row r="41" spans="1:8" x14ac:dyDescent="0.35">
      <c r="B41" s="769" t="str">
        <f>B5</f>
        <v xml:space="preserve">Section 2 - Non-Direct Expense Cost Component </v>
      </c>
      <c r="C41" s="769"/>
      <c r="D41" s="769"/>
      <c r="E41" s="769"/>
      <c r="F41" s="769"/>
      <c r="G41" s="769"/>
      <c r="H41" s="339"/>
    </row>
    <row r="42" spans="1:8" x14ac:dyDescent="0.35">
      <c r="B42" s="770" t="str">
        <f>B6</f>
        <v>Base Period &amp; True-Up Period 12 - Months Ending December 31, 2021</v>
      </c>
      <c r="C42" s="770"/>
      <c r="D42" s="770"/>
      <c r="E42" s="770"/>
      <c r="F42" s="770"/>
      <c r="G42" s="770"/>
      <c r="H42" s="339"/>
    </row>
    <row r="43" spans="1:8" x14ac:dyDescent="0.35">
      <c r="B43" s="767" t="str">
        <f>B7</f>
        <v>($1,000)</v>
      </c>
      <c r="C43" s="764"/>
      <c r="D43" s="764"/>
      <c r="E43" s="764"/>
      <c r="F43" s="764"/>
      <c r="G43" s="764"/>
      <c r="H43" s="84"/>
    </row>
    <row r="44" spans="1:8" x14ac:dyDescent="0.35">
      <c r="A44" s="361"/>
      <c r="B44" s="329"/>
      <c r="C44" s="329"/>
      <c r="D44" s="329"/>
      <c r="E44" s="329"/>
      <c r="F44" s="329"/>
      <c r="G44" s="329"/>
      <c r="H44" s="157"/>
    </row>
    <row r="45" spans="1:8" x14ac:dyDescent="0.35">
      <c r="A45" s="333" t="s">
        <v>2</v>
      </c>
      <c r="B45" s="329"/>
      <c r="C45" s="329"/>
      <c r="D45" s="329"/>
      <c r="E45" s="510"/>
      <c r="F45" s="510"/>
      <c r="G45" s="329"/>
      <c r="H45" s="333" t="s">
        <v>2</v>
      </c>
    </row>
    <row r="46" spans="1:8" x14ac:dyDescent="0.35">
      <c r="A46" s="333" t="s">
        <v>3</v>
      </c>
      <c r="B46" s="329"/>
      <c r="C46" s="329"/>
      <c r="D46" s="329"/>
      <c r="E46" s="733" t="s">
        <v>5</v>
      </c>
      <c r="F46" s="338"/>
      <c r="G46" s="733" t="s">
        <v>6</v>
      </c>
      <c r="H46" s="333" t="s">
        <v>3</v>
      </c>
    </row>
    <row r="47" spans="1:8" x14ac:dyDescent="0.35">
      <c r="A47" s="333"/>
      <c r="B47" s="329"/>
      <c r="C47" s="329"/>
      <c r="D47" s="329"/>
      <c r="E47" s="510"/>
      <c r="F47" s="510"/>
      <c r="G47" s="329"/>
      <c r="H47" s="333"/>
    </row>
    <row r="48" spans="1:8" x14ac:dyDescent="0.35">
      <c r="A48" s="333">
        <v>1</v>
      </c>
      <c r="B48" s="362" t="s">
        <v>74</v>
      </c>
      <c r="C48" s="362"/>
      <c r="D48" s="362"/>
      <c r="E48" s="534">
        <v>5692028.1793814711</v>
      </c>
      <c r="F48" s="510"/>
      <c r="G48" s="338" t="s">
        <v>75</v>
      </c>
      <c r="H48" s="333">
        <f>A48</f>
        <v>1</v>
      </c>
    </row>
    <row r="49" spans="1:10" x14ac:dyDescent="0.35">
      <c r="A49" s="333">
        <f>A48+1</f>
        <v>2</v>
      </c>
      <c r="B49" s="329"/>
      <c r="C49" s="329"/>
      <c r="D49" s="329"/>
      <c r="E49" s="328"/>
      <c r="F49" s="510"/>
      <c r="G49" s="329"/>
      <c r="H49" s="333">
        <f>H48+1</f>
        <v>2</v>
      </c>
    </row>
    <row r="50" spans="1:10" x14ac:dyDescent="0.35">
      <c r="A50" s="333">
        <f t="shared" ref="A50:A98" si="2">A49+1</f>
        <v>3</v>
      </c>
      <c r="B50" s="335" t="s">
        <v>76</v>
      </c>
      <c r="C50" s="335"/>
      <c r="D50" s="335"/>
      <c r="E50" s="363"/>
      <c r="F50" s="364"/>
      <c r="G50" s="329"/>
      <c r="H50" s="333">
        <f t="shared" ref="H50:H98" si="3">H49+1</f>
        <v>3</v>
      </c>
    </row>
    <row r="51" spans="1:10" x14ac:dyDescent="0.35">
      <c r="A51" s="333">
        <f t="shared" si="2"/>
        <v>4</v>
      </c>
      <c r="B51" s="336" t="s">
        <v>77</v>
      </c>
      <c r="C51" s="336"/>
      <c r="D51" s="336"/>
      <c r="E51" s="736">
        <v>37637.381189999978</v>
      </c>
      <c r="F51" s="510"/>
      <c r="G51" s="338" t="s">
        <v>528</v>
      </c>
      <c r="H51" s="333">
        <f t="shared" si="3"/>
        <v>4</v>
      </c>
      <c r="J51" s="365"/>
    </row>
    <row r="52" spans="1:10" x14ac:dyDescent="0.35">
      <c r="A52" s="333">
        <f t="shared" si="2"/>
        <v>5</v>
      </c>
      <c r="B52" s="336"/>
      <c r="C52" s="336"/>
      <c r="D52" s="336"/>
      <c r="E52" s="273"/>
      <c r="F52" s="366"/>
      <c r="G52" s="338"/>
      <c r="H52" s="333">
        <f t="shared" si="3"/>
        <v>5</v>
      </c>
      <c r="J52" s="365"/>
    </row>
    <row r="53" spans="1:10" x14ac:dyDescent="0.35">
      <c r="A53" s="333">
        <f t="shared" si="2"/>
        <v>6</v>
      </c>
      <c r="B53" s="336" t="s">
        <v>78</v>
      </c>
      <c r="C53" s="329"/>
      <c r="D53" s="329"/>
      <c r="E53" s="367">
        <f>E51/E48</f>
        <v>6.6122970589526974E-3</v>
      </c>
      <c r="F53" s="368"/>
      <c r="G53" s="338" t="s">
        <v>79</v>
      </c>
      <c r="H53" s="333">
        <f t="shared" si="3"/>
        <v>6</v>
      </c>
      <c r="J53" s="365"/>
    </row>
    <row r="54" spans="1:10" x14ac:dyDescent="0.35">
      <c r="A54" s="333">
        <f t="shared" si="2"/>
        <v>7</v>
      </c>
      <c r="B54" s="336"/>
      <c r="C54" s="336"/>
      <c r="D54" s="336"/>
      <c r="E54" s="369"/>
      <c r="F54" s="370"/>
      <c r="G54" s="338"/>
      <c r="H54" s="333">
        <f t="shared" si="3"/>
        <v>7</v>
      </c>
    </row>
    <row r="55" spans="1:10" x14ac:dyDescent="0.35">
      <c r="A55" s="333">
        <f t="shared" si="2"/>
        <v>8</v>
      </c>
      <c r="B55" s="335" t="s">
        <v>80</v>
      </c>
      <c r="C55" s="335"/>
      <c r="D55" s="335"/>
      <c r="E55" s="371"/>
      <c r="F55" s="372"/>
      <c r="G55" s="373"/>
      <c r="H55" s="333">
        <f t="shared" si="3"/>
        <v>8</v>
      </c>
    </row>
    <row r="56" spans="1:10" x14ac:dyDescent="0.35">
      <c r="A56" s="333">
        <f t="shared" si="2"/>
        <v>9</v>
      </c>
      <c r="B56" s="336" t="s">
        <v>81</v>
      </c>
      <c r="C56" s="336"/>
      <c r="D56" s="336"/>
      <c r="E56" s="737">
        <v>54771.135638908861</v>
      </c>
      <c r="F56" s="510"/>
      <c r="G56" s="338" t="s">
        <v>529</v>
      </c>
      <c r="H56" s="333">
        <f t="shared" si="3"/>
        <v>9</v>
      </c>
    </row>
    <row r="57" spans="1:10" x14ac:dyDescent="0.35">
      <c r="A57" s="333">
        <f t="shared" si="2"/>
        <v>10</v>
      </c>
      <c r="B57" s="329"/>
      <c r="C57" s="329"/>
      <c r="D57" s="329"/>
      <c r="E57" s="371"/>
      <c r="F57" s="372"/>
      <c r="G57" s="338"/>
      <c r="H57" s="333">
        <f t="shared" si="3"/>
        <v>10</v>
      </c>
    </row>
    <row r="58" spans="1:10" x14ac:dyDescent="0.35">
      <c r="A58" s="333">
        <f t="shared" si="2"/>
        <v>11</v>
      </c>
      <c r="B58" s="374" t="s">
        <v>82</v>
      </c>
      <c r="C58" s="373"/>
      <c r="D58" s="373"/>
      <c r="E58" s="367">
        <f>E56/E48</f>
        <v>9.6224287569954738E-3</v>
      </c>
      <c r="F58" s="368"/>
      <c r="G58" s="338" t="s">
        <v>83</v>
      </c>
      <c r="H58" s="333">
        <f t="shared" si="3"/>
        <v>11</v>
      </c>
    </row>
    <row r="59" spans="1:10" x14ac:dyDescent="0.35">
      <c r="A59" s="333">
        <f t="shared" si="2"/>
        <v>12</v>
      </c>
      <c r="B59" s="373"/>
      <c r="C59" s="373"/>
      <c r="D59" s="373"/>
      <c r="E59" s="375"/>
      <c r="F59" s="376"/>
      <c r="G59" s="338"/>
      <c r="H59" s="333">
        <f t="shared" si="3"/>
        <v>12</v>
      </c>
    </row>
    <row r="60" spans="1:10" x14ac:dyDescent="0.35">
      <c r="A60" s="333">
        <f t="shared" si="2"/>
        <v>13</v>
      </c>
      <c r="B60" s="335" t="s">
        <v>84</v>
      </c>
      <c r="C60" s="373"/>
      <c r="D60" s="373"/>
      <c r="E60" s="375"/>
      <c r="F60" s="376"/>
      <c r="G60" s="338"/>
      <c r="H60" s="333">
        <f t="shared" si="3"/>
        <v>13</v>
      </c>
    </row>
    <row r="61" spans="1:10" x14ac:dyDescent="0.35">
      <c r="A61" s="333">
        <f t="shared" si="2"/>
        <v>14</v>
      </c>
      <c r="B61" s="374" t="s">
        <v>62</v>
      </c>
      <c r="C61" s="373"/>
      <c r="D61" s="373"/>
      <c r="E61" s="737">
        <v>62434.304265645515</v>
      </c>
      <c r="F61" s="376"/>
      <c r="G61" s="338" t="s">
        <v>85</v>
      </c>
      <c r="H61" s="333">
        <f t="shared" si="3"/>
        <v>14</v>
      </c>
    </row>
    <row r="62" spans="1:10" x14ac:dyDescent="0.35">
      <c r="A62" s="333">
        <f t="shared" si="2"/>
        <v>15</v>
      </c>
      <c r="B62" s="373"/>
      <c r="C62" s="373"/>
      <c r="D62" s="373"/>
      <c r="E62" s="371"/>
      <c r="F62" s="376"/>
      <c r="G62" s="338"/>
      <c r="H62" s="333">
        <f t="shared" si="3"/>
        <v>15</v>
      </c>
    </row>
    <row r="63" spans="1:10" x14ac:dyDescent="0.35">
      <c r="A63" s="333">
        <f t="shared" si="2"/>
        <v>16</v>
      </c>
      <c r="B63" s="374" t="s">
        <v>86</v>
      </c>
      <c r="C63" s="373"/>
      <c r="D63" s="373"/>
      <c r="E63" s="367">
        <f>E61/E48</f>
        <v>1.0968727191443733E-2</v>
      </c>
      <c r="F63" s="376"/>
      <c r="G63" s="338" t="s">
        <v>87</v>
      </c>
      <c r="H63" s="333">
        <f t="shared" si="3"/>
        <v>16</v>
      </c>
    </row>
    <row r="64" spans="1:10" x14ac:dyDescent="0.35">
      <c r="A64" s="333">
        <f t="shared" si="2"/>
        <v>17</v>
      </c>
      <c r="B64" s="373"/>
      <c r="C64" s="373"/>
      <c r="D64" s="373"/>
      <c r="E64" s="375"/>
      <c r="F64" s="376"/>
      <c r="G64" s="338"/>
      <c r="H64" s="333">
        <f t="shared" si="3"/>
        <v>17</v>
      </c>
    </row>
    <row r="65" spans="1:8" x14ac:dyDescent="0.35">
      <c r="A65" s="333">
        <f t="shared" si="2"/>
        <v>18</v>
      </c>
      <c r="B65" s="335" t="s">
        <v>88</v>
      </c>
      <c r="C65" s="335"/>
      <c r="D65" s="335"/>
      <c r="E65" s="375"/>
      <c r="F65" s="376"/>
      <c r="G65" s="338"/>
      <c r="H65" s="333">
        <f t="shared" si="3"/>
        <v>18</v>
      </c>
    </row>
    <row r="66" spans="1:8" x14ac:dyDescent="0.35">
      <c r="A66" s="333">
        <f t="shared" si="2"/>
        <v>19</v>
      </c>
      <c r="B66" s="336" t="s">
        <v>63</v>
      </c>
      <c r="C66" s="336"/>
      <c r="D66" s="336"/>
      <c r="E66" s="737">
        <v>1842.8720020153733</v>
      </c>
      <c r="F66" s="510"/>
      <c r="G66" s="338" t="s">
        <v>89</v>
      </c>
      <c r="H66" s="333">
        <f t="shared" si="3"/>
        <v>19</v>
      </c>
    </row>
    <row r="67" spans="1:8" x14ac:dyDescent="0.35">
      <c r="A67" s="333">
        <f t="shared" si="2"/>
        <v>20</v>
      </c>
      <c r="B67" s="373"/>
      <c r="C67" s="373"/>
      <c r="D67" s="373"/>
      <c r="E67" s="375"/>
      <c r="F67" s="376"/>
      <c r="G67" s="338"/>
      <c r="H67" s="333">
        <f t="shared" si="3"/>
        <v>20</v>
      </c>
    </row>
    <row r="68" spans="1:8" x14ac:dyDescent="0.35">
      <c r="A68" s="333">
        <f t="shared" si="2"/>
        <v>21</v>
      </c>
      <c r="B68" s="374" t="s">
        <v>90</v>
      </c>
      <c r="C68" s="373"/>
      <c r="D68" s="373"/>
      <c r="E68" s="367">
        <f>E66/E48</f>
        <v>3.237636821073557E-4</v>
      </c>
      <c r="F68" s="368"/>
      <c r="G68" s="338" t="s">
        <v>91</v>
      </c>
      <c r="H68" s="333">
        <f t="shared" si="3"/>
        <v>21</v>
      </c>
    </row>
    <row r="69" spans="1:8" x14ac:dyDescent="0.35">
      <c r="A69" s="333">
        <f t="shared" si="2"/>
        <v>22</v>
      </c>
      <c r="B69" s="373"/>
      <c r="C69" s="373"/>
      <c r="D69" s="373"/>
      <c r="E69" s="375"/>
      <c r="F69" s="376"/>
      <c r="G69" s="338"/>
      <c r="H69" s="333">
        <f t="shared" si="3"/>
        <v>22</v>
      </c>
    </row>
    <row r="70" spans="1:8" x14ac:dyDescent="0.35">
      <c r="A70" s="333">
        <f t="shared" si="2"/>
        <v>23</v>
      </c>
      <c r="B70" s="335" t="s">
        <v>92</v>
      </c>
      <c r="C70" s="335"/>
      <c r="D70" s="335"/>
      <c r="E70" s="377"/>
      <c r="F70" s="378"/>
      <c r="G70" s="338"/>
      <c r="H70" s="333">
        <f t="shared" si="3"/>
        <v>23</v>
      </c>
    </row>
    <row r="71" spans="1:8" x14ac:dyDescent="0.35">
      <c r="A71" s="333">
        <f t="shared" si="2"/>
        <v>24</v>
      </c>
      <c r="B71" s="379" t="s">
        <v>93</v>
      </c>
      <c r="C71" s="329"/>
      <c r="D71" s="329"/>
      <c r="E71" s="377"/>
      <c r="F71" s="378"/>
      <c r="G71" s="338"/>
      <c r="H71" s="333">
        <f t="shared" si="3"/>
        <v>24</v>
      </c>
    </row>
    <row r="72" spans="1:8" x14ac:dyDescent="0.35">
      <c r="A72" s="333">
        <f t="shared" si="2"/>
        <v>25</v>
      </c>
      <c r="B72" s="336" t="s">
        <v>94</v>
      </c>
      <c r="C72" s="336"/>
      <c r="D72" s="336"/>
      <c r="E72" s="380">
        <v>47456.246827465431</v>
      </c>
      <c r="F72" s="510"/>
      <c r="G72" s="338" t="s">
        <v>95</v>
      </c>
      <c r="H72" s="333">
        <f t="shared" si="3"/>
        <v>25</v>
      </c>
    </row>
    <row r="73" spans="1:8" x14ac:dyDescent="0.35">
      <c r="A73" s="333">
        <f t="shared" si="2"/>
        <v>26</v>
      </c>
      <c r="B73" s="336" t="s">
        <v>96</v>
      </c>
      <c r="C73" s="336"/>
      <c r="D73" s="336"/>
      <c r="E73" s="381">
        <v>40940.682694194518</v>
      </c>
      <c r="F73" s="510"/>
      <c r="G73" s="338" t="s">
        <v>97</v>
      </c>
      <c r="H73" s="333">
        <f t="shared" si="3"/>
        <v>26</v>
      </c>
    </row>
    <row r="74" spans="1:8" x14ac:dyDescent="0.35">
      <c r="A74" s="333">
        <f t="shared" si="2"/>
        <v>27</v>
      </c>
      <c r="B74" s="336" t="s">
        <v>98</v>
      </c>
      <c r="C74" s="336"/>
      <c r="D74" s="336"/>
      <c r="E74" s="381">
        <v>11551.064603613606</v>
      </c>
      <c r="F74" s="510"/>
      <c r="G74" s="338" t="s">
        <v>99</v>
      </c>
      <c r="H74" s="333">
        <f t="shared" si="3"/>
        <v>27</v>
      </c>
    </row>
    <row r="75" spans="1:8" x14ac:dyDescent="0.35">
      <c r="A75" s="333">
        <f t="shared" si="2"/>
        <v>28</v>
      </c>
      <c r="B75" s="336" t="s">
        <v>100</v>
      </c>
      <c r="C75" s="329"/>
      <c r="D75" s="329"/>
      <c r="E75" s="629">
        <f>SUM(E72:E74)</f>
        <v>99947.994125273544</v>
      </c>
      <c r="F75" s="630"/>
      <c r="G75" s="338" t="s">
        <v>101</v>
      </c>
      <c r="H75" s="333">
        <f t="shared" si="3"/>
        <v>28</v>
      </c>
    </row>
    <row r="76" spans="1:8" x14ac:dyDescent="0.35">
      <c r="A76" s="333">
        <f t="shared" si="2"/>
        <v>29</v>
      </c>
      <c r="B76" s="329"/>
      <c r="C76" s="329"/>
      <c r="D76" s="329"/>
      <c r="E76" s="384"/>
      <c r="F76" s="385"/>
      <c r="G76" s="338"/>
      <c r="H76" s="333">
        <f t="shared" si="3"/>
        <v>29</v>
      </c>
    </row>
    <row r="77" spans="1:8" x14ac:dyDescent="0.35">
      <c r="A77" s="333">
        <f t="shared" si="2"/>
        <v>30</v>
      </c>
      <c r="B77" s="336" t="s">
        <v>102</v>
      </c>
      <c r="C77" s="336"/>
      <c r="D77" s="336"/>
      <c r="E77" s="386">
        <v>0.10019106307320896</v>
      </c>
      <c r="F77" s="510"/>
      <c r="G77" s="338" t="s">
        <v>590</v>
      </c>
      <c r="H77" s="333">
        <f t="shared" si="3"/>
        <v>30</v>
      </c>
    </row>
    <row r="78" spans="1:8" x14ac:dyDescent="0.35">
      <c r="A78" s="333">
        <f t="shared" si="2"/>
        <v>31</v>
      </c>
      <c r="B78" s="329"/>
      <c r="C78" s="329"/>
      <c r="D78" s="329"/>
      <c r="E78" s="384"/>
      <c r="F78" s="385"/>
      <c r="G78" s="338"/>
      <c r="H78" s="333">
        <f t="shared" si="3"/>
        <v>31</v>
      </c>
    </row>
    <row r="79" spans="1:8" x14ac:dyDescent="0.35">
      <c r="A79" s="333">
        <f t="shared" si="2"/>
        <v>32</v>
      </c>
      <c r="B79" s="336" t="s">
        <v>103</v>
      </c>
      <c r="C79" s="329"/>
      <c r="D79" s="329"/>
      <c r="E79" s="535">
        <f>E75*E77</f>
        <v>10013.895783446</v>
      </c>
      <c r="F79" s="630"/>
      <c r="G79" s="338" t="s">
        <v>104</v>
      </c>
      <c r="H79" s="333">
        <f t="shared" si="3"/>
        <v>32</v>
      </c>
    </row>
    <row r="80" spans="1:8" x14ac:dyDescent="0.35">
      <c r="A80" s="333">
        <f t="shared" si="2"/>
        <v>33</v>
      </c>
      <c r="B80" s="329"/>
      <c r="C80" s="329"/>
      <c r="D80" s="329"/>
      <c r="E80" s="384"/>
      <c r="F80" s="385"/>
      <c r="G80" s="338"/>
      <c r="H80" s="333">
        <f t="shared" si="3"/>
        <v>33</v>
      </c>
    </row>
    <row r="81" spans="1:9" x14ac:dyDescent="0.35">
      <c r="A81" s="333">
        <f t="shared" si="2"/>
        <v>34</v>
      </c>
      <c r="B81" s="336" t="s">
        <v>105</v>
      </c>
      <c r="C81" s="329"/>
      <c r="D81" s="329"/>
      <c r="E81" s="367">
        <f>E79/E48</f>
        <v>1.7592842951340006E-3</v>
      </c>
      <c r="F81" s="368"/>
      <c r="G81" s="338" t="s">
        <v>106</v>
      </c>
      <c r="H81" s="333">
        <f t="shared" si="3"/>
        <v>34</v>
      </c>
    </row>
    <row r="82" spans="1:9" x14ac:dyDescent="0.35">
      <c r="A82" s="333">
        <f t="shared" si="2"/>
        <v>35</v>
      </c>
      <c r="B82" s="336"/>
      <c r="C82" s="329"/>
      <c r="D82" s="329"/>
      <c r="E82" s="387"/>
      <c r="F82" s="368"/>
      <c r="G82" s="338"/>
      <c r="H82" s="333">
        <f t="shared" si="3"/>
        <v>35</v>
      </c>
    </row>
    <row r="83" spans="1:9" x14ac:dyDescent="0.35">
      <c r="A83" s="333">
        <f t="shared" si="2"/>
        <v>36</v>
      </c>
      <c r="B83" s="335" t="s">
        <v>107</v>
      </c>
      <c r="C83" s="388"/>
      <c r="D83" s="388"/>
      <c r="E83" s="389"/>
      <c r="F83" s="389"/>
      <c r="G83" s="389"/>
      <c r="H83" s="333">
        <f t="shared" si="3"/>
        <v>36</v>
      </c>
    </row>
    <row r="84" spans="1:9" x14ac:dyDescent="0.35">
      <c r="A84" s="333">
        <f t="shared" si="2"/>
        <v>37</v>
      </c>
      <c r="B84" s="336" t="s">
        <v>108</v>
      </c>
      <c r="C84" s="388"/>
      <c r="D84" s="388"/>
      <c r="E84" s="124">
        <v>32331.989661471936</v>
      </c>
      <c r="F84" s="389"/>
      <c r="G84" s="338" t="s">
        <v>109</v>
      </c>
      <c r="H84" s="333">
        <f t="shared" si="3"/>
        <v>37</v>
      </c>
    </row>
    <row r="85" spans="1:9" x14ac:dyDescent="0.35">
      <c r="A85" s="333">
        <f t="shared" si="2"/>
        <v>38</v>
      </c>
      <c r="B85" s="335"/>
      <c r="C85" s="388"/>
      <c r="D85" s="388"/>
      <c r="E85" s="389"/>
      <c r="F85" s="389"/>
      <c r="G85" s="389"/>
      <c r="H85" s="333">
        <f t="shared" si="3"/>
        <v>38</v>
      </c>
    </row>
    <row r="86" spans="1:9" x14ac:dyDescent="0.35">
      <c r="A86" s="333">
        <f t="shared" si="2"/>
        <v>39</v>
      </c>
      <c r="B86" s="336" t="s">
        <v>110</v>
      </c>
      <c r="C86" s="388"/>
      <c r="D86" s="388"/>
      <c r="E86" s="738">
        <v>81074.417373759803</v>
      </c>
      <c r="F86" s="389"/>
      <c r="G86" s="338" t="s">
        <v>111</v>
      </c>
      <c r="H86" s="333">
        <f t="shared" si="3"/>
        <v>39</v>
      </c>
    </row>
    <row r="87" spans="1:9" ht="18" x14ac:dyDescent="0.6">
      <c r="A87" s="333">
        <f t="shared" si="2"/>
        <v>40</v>
      </c>
      <c r="B87" s="388"/>
      <c r="C87" s="390"/>
      <c r="D87" s="390"/>
      <c r="E87" s="739"/>
      <c r="F87" s="391"/>
      <c r="G87" s="388"/>
      <c r="H87" s="333">
        <f t="shared" si="3"/>
        <v>40</v>
      </c>
    </row>
    <row r="88" spans="1:9" x14ac:dyDescent="0.35">
      <c r="A88" s="333">
        <f t="shared" si="2"/>
        <v>41</v>
      </c>
      <c r="B88" s="336" t="s">
        <v>112</v>
      </c>
      <c r="C88" s="390"/>
      <c r="D88" s="390"/>
      <c r="E88" s="740">
        <f>E84+E86</f>
        <v>113406.40703523174</v>
      </c>
      <c r="F88" s="392"/>
      <c r="G88" s="338" t="s">
        <v>113</v>
      </c>
      <c r="H88" s="333">
        <f t="shared" si="3"/>
        <v>41</v>
      </c>
    </row>
    <row r="89" spans="1:9" x14ac:dyDescent="0.35">
      <c r="A89" s="333">
        <f t="shared" si="2"/>
        <v>42</v>
      </c>
      <c r="B89" s="393"/>
      <c r="C89" s="390"/>
      <c r="D89" s="390"/>
      <c r="E89" s="741"/>
      <c r="F89" s="392"/>
      <c r="G89" s="394"/>
      <c r="H89" s="333">
        <f t="shared" si="3"/>
        <v>42</v>
      </c>
    </row>
    <row r="90" spans="1:9" x14ac:dyDescent="0.35">
      <c r="A90" s="333">
        <f t="shared" si="2"/>
        <v>43</v>
      </c>
      <c r="B90" s="336" t="s">
        <v>102</v>
      </c>
      <c r="C90" s="390"/>
      <c r="D90" s="390"/>
      <c r="E90" s="742">
        <f>E77</f>
        <v>0.10019106307320896</v>
      </c>
      <c r="F90" s="392"/>
      <c r="G90" s="338" t="s">
        <v>114</v>
      </c>
      <c r="H90" s="333">
        <f t="shared" si="3"/>
        <v>43</v>
      </c>
    </row>
    <row r="91" spans="1:9" x14ac:dyDescent="0.35">
      <c r="A91" s="333">
        <f t="shared" si="2"/>
        <v>44</v>
      </c>
      <c r="B91" s="388"/>
      <c r="C91" s="390"/>
      <c r="D91" s="390"/>
      <c r="E91" s="395"/>
      <c r="F91" s="396"/>
      <c r="G91" s="388"/>
      <c r="H91" s="333">
        <f t="shared" si="3"/>
        <v>44</v>
      </c>
    </row>
    <row r="92" spans="1:9" x14ac:dyDescent="0.35">
      <c r="A92" s="333">
        <f t="shared" si="2"/>
        <v>45</v>
      </c>
      <c r="B92" s="336" t="s">
        <v>115</v>
      </c>
      <c r="C92" s="390"/>
      <c r="D92" s="390"/>
      <c r="E92" s="397">
        <f>E88*E90</f>
        <v>11362.308480172911</v>
      </c>
      <c r="F92" s="398"/>
      <c r="G92" s="338" t="s">
        <v>116</v>
      </c>
      <c r="H92" s="333">
        <f t="shared" si="3"/>
        <v>45</v>
      </c>
    </row>
    <row r="93" spans="1:9" x14ac:dyDescent="0.35">
      <c r="A93" s="333">
        <f t="shared" si="2"/>
        <v>46</v>
      </c>
      <c r="B93" s="393"/>
      <c r="C93" s="390"/>
      <c r="D93" s="390"/>
      <c r="E93" s="399"/>
      <c r="F93" s="398"/>
      <c r="G93" s="394"/>
      <c r="H93" s="333">
        <f t="shared" si="3"/>
        <v>46</v>
      </c>
    </row>
    <row r="94" spans="1:9" x14ac:dyDescent="0.35">
      <c r="A94" s="333">
        <f t="shared" si="2"/>
        <v>47</v>
      </c>
      <c r="B94" s="336" t="s">
        <v>117</v>
      </c>
      <c r="C94" s="390"/>
      <c r="D94" s="390"/>
      <c r="E94" s="743">
        <v>16054.010181727583</v>
      </c>
      <c r="F94" s="398"/>
      <c r="G94" s="338" t="s">
        <v>118</v>
      </c>
      <c r="H94" s="333">
        <f t="shared" si="3"/>
        <v>47</v>
      </c>
      <c r="I94" s="390"/>
    </row>
    <row r="95" spans="1:9" x14ac:dyDescent="0.35">
      <c r="A95" s="333">
        <f t="shared" si="2"/>
        <v>48</v>
      </c>
      <c r="B95" s="336"/>
      <c r="C95" s="390"/>
      <c r="D95" s="390"/>
      <c r="E95" s="241"/>
      <c r="F95" s="398"/>
      <c r="G95" s="338"/>
      <c r="H95" s="333">
        <f t="shared" si="3"/>
        <v>48</v>
      </c>
    </row>
    <row r="96" spans="1:9" x14ac:dyDescent="0.35">
      <c r="A96" s="333">
        <f t="shared" si="2"/>
        <v>49</v>
      </c>
      <c r="B96" s="336" t="s">
        <v>119</v>
      </c>
      <c r="C96" s="390"/>
      <c r="D96" s="390"/>
      <c r="E96" s="241">
        <f>E92+E94</f>
        <v>27416.318661900492</v>
      </c>
      <c r="F96" s="398"/>
      <c r="G96" s="338" t="s">
        <v>120</v>
      </c>
      <c r="H96" s="333">
        <f t="shared" si="3"/>
        <v>49</v>
      </c>
    </row>
    <row r="97" spans="1:8" x14ac:dyDescent="0.35">
      <c r="A97" s="333">
        <f t="shared" si="2"/>
        <v>50</v>
      </c>
      <c r="B97" s="388"/>
      <c r="C97" s="390"/>
      <c r="D97" s="390"/>
      <c r="E97" s="400"/>
      <c r="F97" s="388"/>
      <c r="G97" s="388"/>
      <c r="H97" s="333">
        <f t="shared" si="3"/>
        <v>50</v>
      </c>
    </row>
    <row r="98" spans="1:8" ht="16" thickBot="1" x14ac:dyDescent="0.4">
      <c r="A98" s="333">
        <f t="shared" si="2"/>
        <v>51</v>
      </c>
      <c r="B98" s="336" t="s">
        <v>121</v>
      </c>
      <c r="C98" s="390"/>
      <c r="D98" s="390"/>
      <c r="E98" s="401">
        <f>E96/E48</f>
        <v>4.816616818801433E-3</v>
      </c>
      <c r="F98" s="402"/>
      <c r="G98" s="338" t="s">
        <v>122</v>
      </c>
      <c r="H98" s="333">
        <f t="shared" si="3"/>
        <v>51</v>
      </c>
    </row>
    <row r="99" spans="1:8" ht="16" thickTop="1" x14ac:dyDescent="0.35">
      <c r="A99" s="339"/>
    </row>
    <row r="100" spans="1:8" x14ac:dyDescent="0.35">
      <c r="A100" s="339"/>
    </row>
    <row r="101" spans="1:8" x14ac:dyDescent="0.35">
      <c r="A101" s="339"/>
    </row>
    <row r="102" spans="1:8" x14ac:dyDescent="0.35">
      <c r="A102" s="339"/>
    </row>
    <row r="103" spans="1:8" x14ac:dyDescent="0.35">
      <c r="A103" s="339"/>
    </row>
    <row r="104" spans="1:8" x14ac:dyDescent="0.35">
      <c r="A104" s="339"/>
    </row>
    <row r="105" spans="1:8" x14ac:dyDescent="0.35">
      <c r="A105" s="339"/>
    </row>
    <row r="106" spans="1:8" x14ac:dyDescent="0.35">
      <c r="A106" s="339"/>
    </row>
    <row r="107" spans="1:8" x14ac:dyDescent="0.35">
      <c r="A107" s="339"/>
    </row>
    <row r="108" spans="1:8" x14ac:dyDescent="0.35">
      <c r="A108" s="339"/>
    </row>
    <row r="109" spans="1:8" x14ac:dyDescent="0.35">
      <c r="A109" s="339"/>
    </row>
    <row r="110" spans="1:8" x14ac:dyDescent="0.35">
      <c r="A110" s="339"/>
    </row>
    <row r="111" spans="1:8" x14ac:dyDescent="0.35">
      <c r="A111" s="339"/>
    </row>
    <row r="112" spans="1:8" x14ac:dyDescent="0.35">
      <c r="A112" s="339"/>
    </row>
    <row r="113" spans="1:1" x14ac:dyDescent="0.35">
      <c r="A113" s="339"/>
    </row>
    <row r="114" spans="1:1" x14ac:dyDescent="0.35">
      <c r="A114" s="339"/>
    </row>
    <row r="115" spans="1:1" x14ac:dyDescent="0.35">
      <c r="A115" s="339"/>
    </row>
    <row r="116" spans="1:1" x14ac:dyDescent="0.35">
      <c r="A116" s="339"/>
    </row>
    <row r="117" spans="1:1" x14ac:dyDescent="0.35">
      <c r="A117" s="339"/>
    </row>
    <row r="118" spans="1:1" x14ac:dyDescent="0.35">
      <c r="A118" s="339"/>
    </row>
    <row r="119" spans="1:1" x14ac:dyDescent="0.35">
      <c r="A119" s="339"/>
    </row>
    <row r="120" spans="1:1" x14ac:dyDescent="0.35">
      <c r="A120" s="339"/>
    </row>
    <row r="121" spans="1:1" x14ac:dyDescent="0.35">
      <c r="A121" s="339"/>
    </row>
    <row r="122" spans="1:1" x14ac:dyDescent="0.35">
      <c r="A122" s="339"/>
    </row>
    <row r="123" spans="1:1" x14ac:dyDescent="0.35">
      <c r="A123" s="339"/>
    </row>
    <row r="124" spans="1:1" x14ac:dyDescent="0.35">
      <c r="A124" s="339"/>
    </row>
    <row r="125" spans="1:1" x14ac:dyDescent="0.35">
      <c r="A125" s="339"/>
    </row>
    <row r="126" spans="1:1" x14ac:dyDescent="0.35">
      <c r="A126" s="339"/>
    </row>
    <row r="127" spans="1:1" x14ac:dyDescent="0.35">
      <c r="A127" s="339"/>
    </row>
    <row r="128" spans="1:1" x14ac:dyDescent="0.35">
      <c r="A128" s="339"/>
    </row>
    <row r="129" spans="1:1" x14ac:dyDescent="0.35">
      <c r="A129" s="339"/>
    </row>
    <row r="130" spans="1:1" x14ac:dyDescent="0.35">
      <c r="A130" s="339"/>
    </row>
    <row r="131" spans="1:1" x14ac:dyDescent="0.35">
      <c r="A131" s="339"/>
    </row>
    <row r="132" spans="1:1" x14ac:dyDescent="0.35">
      <c r="A132" s="339"/>
    </row>
    <row r="133" spans="1:1" x14ac:dyDescent="0.35">
      <c r="A133" s="339"/>
    </row>
    <row r="134" spans="1:1" x14ac:dyDescent="0.35">
      <c r="A134" s="339"/>
    </row>
    <row r="135" spans="1:1" x14ac:dyDescent="0.35">
      <c r="A135" s="339"/>
    </row>
    <row r="136" spans="1:1" x14ac:dyDescent="0.35">
      <c r="A136" s="339"/>
    </row>
    <row r="137" spans="1:1" x14ac:dyDescent="0.35">
      <c r="A137" s="339"/>
    </row>
    <row r="138" spans="1:1" x14ac:dyDescent="0.35">
      <c r="A138" s="339"/>
    </row>
    <row r="139" spans="1:1" x14ac:dyDescent="0.35">
      <c r="A139" s="339"/>
    </row>
    <row r="140" spans="1:1" x14ac:dyDescent="0.35">
      <c r="A140" s="339"/>
    </row>
    <row r="141" spans="1:1" x14ac:dyDescent="0.35">
      <c r="A141" s="339"/>
    </row>
    <row r="142" spans="1:1" x14ac:dyDescent="0.35">
      <c r="A142" s="339"/>
    </row>
    <row r="143" spans="1:1" x14ac:dyDescent="0.35">
      <c r="A143" s="339"/>
    </row>
    <row r="144" spans="1:1" x14ac:dyDescent="0.35">
      <c r="A144" s="339"/>
    </row>
    <row r="145" spans="1:6" x14ac:dyDescent="0.35">
      <c r="A145" s="339"/>
    </row>
    <row r="146" spans="1:6" x14ac:dyDescent="0.35">
      <c r="A146" s="339"/>
    </row>
    <row r="147" spans="1:6" x14ac:dyDescent="0.35">
      <c r="A147" s="339"/>
    </row>
    <row r="148" spans="1:6" x14ac:dyDescent="0.35">
      <c r="A148" s="339"/>
    </row>
    <row r="149" spans="1:6" x14ac:dyDescent="0.35">
      <c r="A149" s="339"/>
    </row>
    <row r="150" spans="1:6" x14ac:dyDescent="0.35">
      <c r="A150" s="339"/>
    </row>
    <row r="151" spans="1:6" x14ac:dyDescent="0.35">
      <c r="A151" s="339"/>
    </row>
    <row r="152" spans="1:6" x14ac:dyDescent="0.35">
      <c r="A152" s="339"/>
    </row>
    <row r="153" spans="1:6" x14ac:dyDescent="0.35">
      <c r="A153" s="339"/>
      <c r="B153" s="330"/>
      <c r="C153" s="330"/>
      <c r="D153" s="330"/>
      <c r="E153" s="330"/>
      <c r="F153" s="330"/>
    </row>
    <row r="154" spans="1:6" x14ac:dyDescent="0.35">
      <c r="A154" s="339"/>
      <c r="B154" s="330"/>
      <c r="C154" s="330"/>
      <c r="D154" s="330"/>
      <c r="E154" s="330"/>
      <c r="F154" s="330"/>
    </row>
    <row r="159" spans="1:6" x14ac:dyDescent="0.35">
      <c r="A159" s="332"/>
      <c r="B159" s="330"/>
      <c r="C159" s="330"/>
      <c r="D159" s="330"/>
      <c r="E159" s="403"/>
      <c r="F159" s="403"/>
    </row>
  </sheetData>
  <mergeCells count="10">
    <mergeCell ref="B40:G40"/>
    <mergeCell ref="B41:G41"/>
    <mergeCell ref="B42:G42"/>
    <mergeCell ref="B43:G43"/>
    <mergeCell ref="B5:G5"/>
    <mergeCell ref="B3:G3"/>
    <mergeCell ref="B39:G39"/>
    <mergeCell ref="B6:G6"/>
    <mergeCell ref="B7:G7"/>
    <mergeCell ref="B4:G4"/>
  </mergeCells>
  <printOptions horizontalCentered="1"/>
  <pageMargins left="0.25" right="0.25" top="0.5" bottom="0.5" header="0.35" footer="0.25"/>
  <pageSetup scale="57" fitToWidth="2" fitToHeight="2" orientation="portrait" r:id="rId1"/>
  <headerFooter scaleWithDoc="0" alignWithMargins="0">
    <oddHeader>&amp;C&amp;"Times New Roman,Bold"&amp;7AS FILED</oddHeader>
    <oddFooter>&amp;L&amp;F&amp;CPage 6.&amp;P&amp;R&amp;A</oddFooter>
  </headerFooter>
  <rowBreaks count="1" manualBreakCount="1">
    <brk id="37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7B16C-1314-4E88-9BE7-BAC30119C1C7}">
  <sheetPr>
    <pageSetUpPr fitToPage="1"/>
  </sheetPr>
  <dimension ref="A1:R42"/>
  <sheetViews>
    <sheetView zoomScale="80" zoomScaleNormal="80" workbookViewId="0"/>
  </sheetViews>
  <sheetFormatPr defaultColWidth="9.1796875" defaultRowHeight="15.5" x14ac:dyDescent="0.35"/>
  <cols>
    <col min="1" max="1" width="5.1796875" style="34" customWidth="1"/>
    <col min="2" max="2" width="12.54296875" style="35" customWidth="1"/>
    <col min="3" max="3" width="20" style="35" customWidth="1"/>
    <col min="4" max="7" width="21.54296875" style="35" customWidth="1"/>
    <col min="8" max="8" width="22.81640625" style="35" bestFit="1" customWidth="1"/>
    <col min="9" max="12" width="21.54296875" style="35" customWidth="1"/>
    <col min="13" max="13" width="2" style="35" bestFit="1" customWidth="1"/>
    <col min="14" max="14" width="21.54296875" style="35" customWidth="1"/>
    <col min="15" max="15" width="5.1796875" style="34" customWidth="1"/>
    <col min="16" max="16" width="13.54296875" style="35" customWidth="1"/>
    <col min="17" max="17" width="12.54296875" style="35" customWidth="1"/>
    <col min="18" max="16384" width="9.1796875" style="35"/>
  </cols>
  <sheetData>
    <row r="1" spans="1:15" x14ac:dyDescent="0.35">
      <c r="I1" s="511"/>
    </row>
    <row r="2" spans="1:15" x14ac:dyDescent="0.35">
      <c r="B2" s="773" t="s">
        <v>14</v>
      </c>
      <c r="C2" s="773"/>
      <c r="D2" s="773"/>
      <c r="E2" s="773"/>
      <c r="F2" s="773"/>
      <c r="G2" s="773"/>
      <c r="H2" s="773"/>
      <c r="I2" s="773"/>
      <c r="J2" s="773"/>
      <c r="K2" s="773"/>
      <c r="L2" s="773"/>
      <c r="M2" s="773"/>
      <c r="N2" s="773"/>
      <c r="O2" s="773"/>
    </row>
    <row r="3" spans="1:15" x14ac:dyDescent="0.3">
      <c r="B3" s="764" t="s">
        <v>629</v>
      </c>
      <c r="C3" s="764"/>
      <c r="D3" s="764"/>
      <c r="E3" s="764"/>
      <c r="F3" s="764"/>
      <c r="G3" s="764"/>
      <c r="H3" s="764"/>
      <c r="I3" s="764"/>
      <c r="J3" s="764"/>
      <c r="K3" s="764"/>
      <c r="L3" s="764"/>
      <c r="M3" s="764"/>
      <c r="N3" s="764"/>
      <c r="O3" s="764"/>
    </row>
    <row r="4" spans="1:15" x14ac:dyDescent="0.3">
      <c r="B4" s="764" t="s">
        <v>123</v>
      </c>
      <c r="C4" s="764"/>
      <c r="D4" s="764"/>
      <c r="E4" s="764"/>
      <c r="F4" s="764"/>
      <c r="G4" s="764"/>
      <c r="H4" s="764"/>
      <c r="I4" s="764"/>
      <c r="J4" s="764"/>
      <c r="K4" s="764"/>
      <c r="L4" s="764"/>
      <c r="M4" s="764"/>
      <c r="N4" s="764"/>
      <c r="O4" s="764"/>
    </row>
    <row r="5" spans="1:15" x14ac:dyDescent="0.3">
      <c r="B5" s="772" t="s">
        <v>485</v>
      </c>
      <c r="C5" s="772"/>
      <c r="D5" s="772"/>
      <c r="E5" s="772"/>
      <c r="F5" s="772"/>
      <c r="G5" s="772"/>
      <c r="H5" s="772"/>
      <c r="I5" s="772"/>
      <c r="J5" s="772"/>
      <c r="K5" s="772"/>
      <c r="L5" s="772"/>
      <c r="M5" s="772"/>
      <c r="N5" s="772"/>
      <c r="O5" s="772"/>
    </row>
    <row r="6" spans="1:15" x14ac:dyDescent="0.35">
      <c r="B6" s="771" t="s">
        <v>1</v>
      </c>
      <c r="C6" s="771"/>
      <c r="D6" s="771"/>
      <c r="E6" s="771"/>
      <c r="F6" s="771"/>
      <c r="G6" s="771"/>
      <c r="H6" s="771"/>
      <c r="I6" s="771"/>
      <c r="J6" s="771"/>
      <c r="K6" s="771"/>
      <c r="L6" s="771"/>
      <c r="M6" s="771"/>
      <c r="N6" s="771"/>
      <c r="O6" s="324"/>
    </row>
    <row r="7" spans="1:15" x14ac:dyDescent="0.35">
      <c r="A7" s="324"/>
      <c r="B7" s="324"/>
      <c r="C7" s="324"/>
      <c r="D7" s="324"/>
      <c r="E7" s="324"/>
      <c r="F7" s="324"/>
      <c r="G7" s="324"/>
      <c r="H7" s="324"/>
      <c r="I7" s="324"/>
      <c r="J7" s="324"/>
      <c r="K7" s="324"/>
      <c r="L7" s="324"/>
      <c r="M7" s="324"/>
      <c r="N7" s="324"/>
      <c r="O7" s="324"/>
    </row>
    <row r="8" spans="1:15" x14ac:dyDescent="0.35">
      <c r="A8" s="34" t="s">
        <v>2</v>
      </c>
      <c r="B8" s="51"/>
      <c r="E8" s="41"/>
      <c r="F8" s="129"/>
      <c r="G8" s="129"/>
      <c r="O8" s="34" t="s">
        <v>2</v>
      </c>
    </row>
    <row r="9" spans="1:15" x14ac:dyDescent="0.35">
      <c r="A9" s="34" t="s">
        <v>3</v>
      </c>
      <c r="B9" s="51"/>
      <c r="E9" s="41"/>
      <c r="F9" s="129"/>
      <c r="G9" s="129"/>
      <c r="O9" s="34" t="s">
        <v>3</v>
      </c>
    </row>
    <row r="10" spans="1:15" x14ac:dyDescent="0.35">
      <c r="A10" s="34">
        <v>1</v>
      </c>
      <c r="E10" s="41"/>
      <c r="I10" s="274"/>
      <c r="J10" s="274"/>
      <c r="O10" s="34">
        <v>1</v>
      </c>
    </row>
    <row r="11" spans="1:15" x14ac:dyDescent="0.35">
      <c r="A11" s="34">
        <f t="shared" ref="A11:A31" si="0">A10+1</f>
        <v>2</v>
      </c>
      <c r="C11" s="275" t="s">
        <v>124</v>
      </c>
      <c r="D11" s="275" t="s">
        <v>125</v>
      </c>
      <c r="E11" s="275" t="s">
        <v>126</v>
      </c>
      <c r="F11" s="275" t="s">
        <v>127</v>
      </c>
      <c r="G11" s="275" t="s">
        <v>128</v>
      </c>
      <c r="H11" s="275" t="s">
        <v>129</v>
      </c>
      <c r="I11" s="275" t="s">
        <v>130</v>
      </c>
      <c r="J11" s="275" t="s">
        <v>131</v>
      </c>
      <c r="K11" s="275" t="s">
        <v>132</v>
      </c>
      <c r="L11" s="275" t="s">
        <v>133</v>
      </c>
      <c r="M11" s="275"/>
      <c r="N11" s="275" t="s">
        <v>134</v>
      </c>
      <c r="O11" s="34">
        <f t="shared" ref="O11:O31" si="1">O10+1</f>
        <v>2</v>
      </c>
    </row>
    <row r="12" spans="1:15" x14ac:dyDescent="0.35">
      <c r="A12" s="34">
        <f t="shared" si="0"/>
        <v>3</v>
      </c>
      <c r="B12" s="41" t="s">
        <v>135</v>
      </c>
      <c r="C12" s="34"/>
      <c r="D12" s="34"/>
      <c r="E12" s="34"/>
      <c r="F12" s="34" t="str">
        <f>"= "&amp;F11&amp;"; Line "&amp;A31&amp;" / 12"</f>
        <v>= Col. 4; Line 22 / 12</v>
      </c>
      <c r="G12" s="34"/>
      <c r="H12" s="66" t="str">
        <f>"= Sum "&amp;E11&amp;" thru "&amp;G11</f>
        <v>= Sum Col. 3 thru Col. 5</v>
      </c>
      <c r="I12" s="66" t="str">
        <f>"= "&amp;D11&amp;" - "&amp;H11</f>
        <v>= Col. 2 - Col. 6</v>
      </c>
      <c r="J12" s="34"/>
      <c r="K12" s="34" t="str">
        <f>"See Footnote "&amp;A41</f>
        <v>See Footnote 6</v>
      </c>
      <c r="L12" s="34" t="str">
        <f>"See Footnote "&amp;A42</f>
        <v>See Footnote 7</v>
      </c>
      <c r="M12" s="34"/>
      <c r="N12" s="66" t="str">
        <f>"= "&amp;K11&amp;" + "&amp;L11</f>
        <v>= Col. 9 + Col. 10</v>
      </c>
      <c r="O12" s="34">
        <f t="shared" si="1"/>
        <v>3</v>
      </c>
    </row>
    <row r="13" spans="1:15" x14ac:dyDescent="0.35">
      <c r="A13" s="34">
        <f t="shared" si="0"/>
        <v>4</v>
      </c>
      <c r="B13" s="41"/>
      <c r="C13" s="34"/>
      <c r="D13" s="34"/>
      <c r="E13" s="34"/>
      <c r="F13" s="34"/>
      <c r="G13" s="34"/>
      <c r="H13" s="66"/>
      <c r="I13" s="66"/>
      <c r="J13" s="34"/>
      <c r="K13" s="34"/>
      <c r="L13" s="34"/>
      <c r="M13" s="34"/>
      <c r="N13" s="66"/>
      <c r="O13" s="34">
        <f t="shared" si="1"/>
        <v>4</v>
      </c>
    </row>
    <row r="14" spans="1:15" x14ac:dyDescent="0.35">
      <c r="A14" s="34">
        <f t="shared" si="0"/>
        <v>5</v>
      </c>
      <c r="C14" s="275"/>
      <c r="H14" s="324"/>
      <c r="K14" s="324" t="s">
        <v>136</v>
      </c>
      <c r="N14" s="324" t="s">
        <v>136</v>
      </c>
      <c r="O14" s="34">
        <f t="shared" si="1"/>
        <v>5</v>
      </c>
    </row>
    <row r="15" spans="1:15" x14ac:dyDescent="0.35">
      <c r="A15" s="34">
        <f t="shared" si="0"/>
        <v>6</v>
      </c>
      <c r="C15" s="275"/>
      <c r="F15" s="324"/>
      <c r="G15" s="324"/>
      <c r="H15" s="324"/>
      <c r="I15" s="324" t="s">
        <v>137</v>
      </c>
      <c r="J15" s="324"/>
      <c r="K15" s="324" t="s">
        <v>138</v>
      </c>
      <c r="N15" s="324" t="s">
        <v>138</v>
      </c>
      <c r="O15" s="34">
        <f t="shared" si="1"/>
        <v>6</v>
      </c>
    </row>
    <row r="16" spans="1:15" x14ac:dyDescent="0.35">
      <c r="A16" s="34">
        <f t="shared" si="0"/>
        <v>7</v>
      </c>
      <c r="C16" s="324"/>
      <c r="D16" s="324" t="s">
        <v>137</v>
      </c>
      <c r="E16" s="324" t="s">
        <v>137</v>
      </c>
      <c r="F16" s="324" t="s">
        <v>139</v>
      </c>
      <c r="G16" s="324"/>
      <c r="H16" s="324" t="s">
        <v>140</v>
      </c>
      <c r="I16" s="324" t="s">
        <v>138</v>
      </c>
      <c r="J16" s="324" t="s">
        <v>137</v>
      </c>
      <c r="K16" s="324" t="s">
        <v>141</v>
      </c>
      <c r="N16" s="324" t="s">
        <v>141</v>
      </c>
      <c r="O16" s="34">
        <f t="shared" si="1"/>
        <v>7</v>
      </c>
    </row>
    <row r="17" spans="1:18" x14ac:dyDescent="0.35">
      <c r="A17" s="34">
        <f t="shared" si="0"/>
        <v>8</v>
      </c>
      <c r="C17" s="324"/>
      <c r="D17" s="324" t="s">
        <v>142</v>
      </c>
      <c r="E17" s="324" t="s">
        <v>142</v>
      </c>
      <c r="F17" s="324" t="s">
        <v>142</v>
      </c>
      <c r="G17" s="324" t="s">
        <v>143</v>
      </c>
      <c r="H17" s="324" t="s">
        <v>142</v>
      </c>
      <c r="I17" s="324" t="s">
        <v>141</v>
      </c>
      <c r="J17" s="324" t="s">
        <v>144</v>
      </c>
      <c r="K17" s="324" t="s">
        <v>145</v>
      </c>
      <c r="L17" s="324"/>
      <c r="M17" s="324"/>
      <c r="N17" s="324" t="s">
        <v>145</v>
      </c>
      <c r="O17" s="34">
        <f t="shared" si="1"/>
        <v>8</v>
      </c>
    </row>
    <row r="18" spans="1:18" ht="18" x14ac:dyDescent="0.35">
      <c r="A18" s="34">
        <f t="shared" si="0"/>
        <v>9</v>
      </c>
      <c r="B18" s="276" t="s">
        <v>146</v>
      </c>
      <c r="C18" s="276" t="s">
        <v>147</v>
      </c>
      <c r="D18" s="129" t="s">
        <v>148</v>
      </c>
      <c r="E18" s="129" t="s">
        <v>149</v>
      </c>
      <c r="F18" s="129" t="s">
        <v>150</v>
      </c>
      <c r="G18" s="129" t="s">
        <v>151</v>
      </c>
      <c r="H18" s="129" t="s">
        <v>152</v>
      </c>
      <c r="I18" s="129" t="s">
        <v>145</v>
      </c>
      <c r="J18" s="129" t="s">
        <v>153</v>
      </c>
      <c r="K18" s="129" t="s">
        <v>154</v>
      </c>
      <c r="L18" s="129" t="s">
        <v>144</v>
      </c>
      <c r="M18" s="129"/>
      <c r="N18" s="129" t="s">
        <v>155</v>
      </c>
      <c r="O18" s="34">
        <f t="shared" si="1"/>
        <v>9</v>
      </c>
    </row>
    <row r="19" spans="1:18" x14ac:dyDescent="0.35">
      <c r="A19" s="34">
        <f t="shared" si="0"/>
        <v>10</v>
      </c>
      <c r="B19" s="92" t="s">
        <v>156</v>
      </c>
      <c r="C19" s="277" t="str">
        <f>RIGHT(B5,4)</f>
        <v>2021</v>
      </c>
      <c r="D19" s="31">
        <f>'Pg3 Rev App. XII C5'!C40</f>
        <v>73.266904937240767</v>
      </c>
      <c r="E19" s="31">
        <v>67.537999393376069</v>
      </c>
      <c r="F19" s="31">
        <v>3.0828589590791466</v>
      </c>
      <c r="G19" s="31">
        <v>0</v>
      </c>
      <c r="H19" s="241">
        <f>SUM(E19:G19)</f>
        <v>70.620858352455215</v>
      </c>
      <c r="I19" s="608">
        <f>D19-H19</f>
        <v>2.6460465847855517</v>
      </c>
      <c r="J19" s="278">
        <v>2.8E-3</v>
      </c>
      <c r="K19" s="607">
        <f>I19</f>
        <v>2.6460465847855517</v>
      </c>
      <c r="L19" s="744">
        <f>(I19/2)*J19</f>
        <v>3.7044652186997724E-3</v>
      </c>
      <c r="M19" s="744"/>
      <c r="N19" s="327">
        <f t="shared" ref="N19:N30" si="2">K19+L19</f>
        <v>2.6497510500042516</v>
      </c>
      <c r="O19" s="34">
        <f t="shared" si="1"/>
        <v>10</v>
      </c>
      <c r="P19" s="33"/>
    </row>
    <row r="20" spans="1:18" x14ac:dyDescent="0.35">
      <c r="A20" s="34">
        <f t="shared" si="0"/>
        <v>11</v>
      </c>
      <c r="B20" s="92" t="s">
        <v>157</v>
      </c>
      <c r="C20" s="277" t="str">
        <f>C19</f>
        <v>2021</v>
      </c>
      <c r="D20" s="522">
        <f>$D$19</f>
        <v>73.266904937240767</v>
      </c>
      <c r="E20" s="112">
        <f>$E$19</f>
        <v>67.537999393376069</v>
      </c>
      <c r="F20" s="112">
        <f>$F$19</f>
        <v>3.0828589590791466</v>
      </c>
      <c r="G20" s="112">
        <f>$G$19</f>
        <v>0</v>
      </c>
      <c r="H20" s="176">
        <f>SUM(E20:G20)</f>
        <v>70.620858352455215</v>
      </c>
      <c r="I20" s="609">
        <f t="shared" ref="I20:I30" si="3">D20-H20</f>
        <v>2.6460465847855517</v>
      </c>
      <c r="J20" s="278">
        <v>2.5000000000000001E-3</v>
      </c>
      <c r="K20" s="282">
        <f t="shared" ref="K20:K30" si="4">N19+I20</f>
        <v>5.2957976347898033</v>
      </c>
      <c r="L20" s="745">
        <f t="shared" ref="L20:L30" si="5">(N19+K20)/2*J20</f>
        <v>9.9319358559925696E-3</v>
      </c>
      <c r="M20" s="745"/>
      <c r="N20" s="283">
        <f t="shared" si="2"/>
        <v>5.3057295706457959</v>
      </c>
      <c r="O20" s="34">
        <f t="shared" si="1"/>
        <v>11</v>
      </c>
      <c r="P20" s="128"/>
    </row>
    <row r="21" spans="1:18" x14ac:dyDescent="0.35">
      <c r="A21" s="34">
        <f t="shared" si="0"/>
        <v>12</v>
      </c>
      <c r="B21" s="92" t="s">
        <v>158</v>
      </c>
      <c r="C21" s="277" t="str">
        <f>C19</f>
        <v>2021</v>
      </c>
      <c r="D21" s="522">
        <f t="shared" ref="D21:D30" si="6">$D$19</f>
        <v>73.266904937240767</v>
      </c>
      <c r="E21" s="112">
        <f t="shared" ref="E21:E30" si="7">$E$19</f>
        <v>67.537999393376069</v>
      </c>
      <c r="F21" s="112">
        <f t="shared" ref="F21:F30" si="8">$F$19</f>
        <v>3.0828589590791466</v>
      </c>
      <c r="G21" s="112">
        <f t="shared" ref="G21:G30" si="9">$G$19</f>
        <v>0</v>
      </c>
      <c r="H21" s="176">
        <f t="shared" ref="H21:H29" si="10">SUM(E21:G21)</f>
        <v>70.620858352455215</v>
      </c>
      <c r="I21" s="609">
        <f t="shared" si="3"/>
        <v>2.6460465847855517</v>
      </c>
      <c r="J21" s="278">
        <v>2.8E-3</v>
      </c>
      <c r="K21" s="282">
        <f t="shared" si="4"/>
        <v>7.9517761554313475</v>
      </c>
      <c r="L21" s="745">
        <f t="shared" si="5"/>
        <v>1.8560508016508E-2</v>
      </c>
      <c r="M21" s="745"/>
      <c r="N21" s="283">
        <f t="shared" si="2"/>
        <v>7.9703366634478554</v>
      </c>
      <c r="O21" s="34">
        <f t="shared" si="1"/>
        <v>12</v>
      </c>
      <c r="P21" s="128"/>
    </row>
    <row r="22" spans="1:18" x14ac:dyDescent="0.35">
      <c r="A22" s="34">
        <f t="shared" si="0"/>
        <v>13</v>
      </c>
      <c r="B22" s="92" t="s">
        <v>159</v>
      </c>
      <c r="C22" s="277" t="str">
        <f>C19</f>
        <v>2021</v>
      </c>
      <c r="D22" s="522">
        <f t="shared" si="6"/>
        <v>73.266904937240767</v>
      </c>
      <c r="E22" s="112">
        <f t="shared" si="7"/>
        <v>67.537999393376069</v>
      </c>
      <c r="F22" s="112">
        <f t="shared" si="8"/>
        <v>3.0828589590791466</v>
      </c>
      <c r="G22" s="112">
        <f t="shared" si="9"/>
        <v>0</v>
      </c>
      <c r="H22" s="176">
        <f t="shared" si="10"/>
        <v>70.620858352455215</v>
      </c>
      <c r="I22" s="609">
        <f>D22-H22</f>
        <v>2.6460465847855517</v>
      </c>
      <c r="J22" s="278">
        <v>2.7000000000000001E-3</v>
      </c>
      <c r="K22" s="282">
        <f t="shared" si="4"/>
        <v>10.616383248233408</v>
      </c>
      <c r="L22" s="745">
        <f t="shared" si="5"/>
        <v>2.5092071880769708E-2</v>
      </c>
      <c r="M22" s="745"/>
      <c r="N22" s="283">
        <f t="shared" si="2"/>
        <v>10.641475320114179</v>
      </c>
      <c r="O22" s="34">
        <f t="shared" si="1"/>
        <v>13</v>
      </c>
      <c r="P22" s="128"/>
      <c r="R22" s="281"/>
    </row>
    <row r="23" spans="1:18" x14ac:dyDescent="0.35">
      <c r="A23" s="34">
        <f t="shared" si="0"/>
        <v>14</v>
      </c>
      <c r="B23" s="92" t="s">
        <v>160</v>
      </c>
      <c r="C23" s="277" t="str">
        <f>C19</f>
        <v>2021</v>
      </c>
      <c r="D23" s="522">
        <f t="shared" si="6"/>
        <v>73.266904937240767</v>
      </c>
      <c r="E23" s="112">
        <f t="shared" si="7"/>
        <v>67.537999393376069</v>
      </c>
      <c r="F23" s="112">
        <f t="shared" si="8"/>
        <v>3.0828589590791466</v>
      </c>
      <c r="G23" s="112">
        <f t="shared" si="9"/>
        <v>0</v>
      </c>
      <c r="H23" s="176">
        <f t="shared" si="10"/>
        <v>70.620858352455215</v>
      </c>
      <c r="I23" s="609">
        <f t="shared" si="3"/>
        <v>2.6460465847855517</v>
      </c>
      <c r="J23" s="278">
        <v>2.8E-3</v>
      </c>
      <c r="K23" s="282">
        <f t="shared" si="4"/>
        <v>13.28752190489973</v>
      </c>
      <c r="L23" s="745">
        <f t="shared" si="5"/>
        <v>3.3500596115019474E-2</v>
      </c>
      <c r="M23" s="745"/>
      <c r="N23" s="283">
        <f t="shared" si="2"/>
        <v>13.321022501014749</v>
      </c>
      <c r="O23" s="34">
        <f t="shared" si="1"/>
        <v>14</v>
      </c>
      <c r="P23" s="128"/>
    </row>
    <row r="24" spans="1:18" x14ac:dyDescent="0.35">
      <c r="A24" s="34">
        <f t="shared" si="0"/>
        <v>15</v>
      </c>
      <c r="B24" s="92" t="s">
        <v>161</v>
      </c>
      <c r="C24" s="277" t="str">
        <f>C19</f>
        <v>2021</v>
      </c>
      <c r="D24" s="522">
        <f t="shared" si="6"/>
        <v>73.266904937240767</v>
      </c>
      <c r="E24" s="112">
        <f t="shared" si="7"/>
        <v>67.537999393376069</v>
      </c>
      <c r="F24" s="112">
        <f t="shared" si="8"/>
        <v>3.0828589590791466</v>
      </c>
      <c r="G24" s="112">
        <f t="shared" si="9"/>
        <v>0</v>
      </c>
      <c r="H24" s="176">
        <f t="shared" si="10"/>
        <v>70.620858352455215</v>
      </c>
      <c r="I24" s="609">
        <f t="shared" si="3"/>
        <v>2.6460465847855517</v>
      </c>
      <c r="J24" s="278">
        <v>2.7000000000000001E-3</v>
      </c>
      <c r="K24" s="282">
        <f t="shared" si="4"/>
        <v>15.967069085800301</v>
      </c>
      <c r="L24" s="745">
        <f t="shared" si="5"/>
        <v>3.9538923642200317E-2</v>
      </c>
      <c r="M24" s="745"/>
      <c r="N24" s="283">
        <f t="shared" si="2"/>
        <v>16.006608009442502</v>
      </c>
      <c r="O24" s="34">
        <f t="shared" si="1"/>
        <v>15</v>
      </c>
      <c r="P24" s="128"/>
    </row>
    <row r="25" spans="1:18" x14ac:dyDescent="0.35">
      <c r="A25" s="34">
        <f t="shared" si="0"/>
        <v>16</v>
      </c>
      <c r="B25" s="92" t="s">
        <v>162</v>
      </c>
      <c r="C25" s="277" t="str">
        <f>C19</f>
        <v>2021</v>
      </c>
      <c r="D25" s="522">
        <f t="shared" si="6"/>
        <v>73.266904937240767</v>
      </c>
      <c r="E25" s="112">
        <f t="shared" si="7"/>
        <v>67.537999393376069</v>
      </c>
      <c r="F25" s="112">
        <f t="shared" si="8"/>
        <v>3.0828589590791466</v>
      </c>
      <c r="G25" s="112">
        <f t="shared" si="9"/>
        <v>0</v>
      </c>
      <c r="H25" s="176">
        <f t="shared" si="10"/>
        <v>70.620858352455215</v>
      </c>
      <c r="I25" s="609">
        <f t="shared" si="3"/>
        <v>2.6460465847855517</v>
      </c>
      <c r="J25" s="278">
        <v>2.8E-3</v>
      </c>
      <c r="K25" s="282">
        <f t="shared" si="4"/>
        <v>18.652654594228053</v>
      </c>
      <c r="L25" s="745">
        <f t="shared" si="5"/>
        <v>4.8522967645138776E-2</v>
      </c>
      <c r="M25" s="745"/>
      <c r="N25" s="283">
        <f t="shared" si="2"/>
        <v>18.701177561873191</v>
      </c>
      <c r="O25" s="34">
        <f t="shared" si="1"/>
        <v>16</v>
      </c>
      <c r="P25" s="128"/>
    </row>
    <row r="26" spans="1:18" x14ac:dyDescent="0.35">
      <c r="A26" s="34">
        <f t="shared" si="0"/>
        <v>17</v>
      </c>
      <c r="B26" s="92" t="s">
        <v>163</v>
      </c>
      <c r="C26" s="277" t="str">
        <f>C19</f>
        <v>2021</v>
      </c>
      <c r="D26" s="522">
        <f t="shared" si="6"/>
        <v>73.266904937240767</v>
      </c>
      <c r="E26" s="112">
        <f t="shared" si="7"/>
        <v>67.537999393376069</v>
      </c>
      <c r="F26" s="112">
        <f t="shared" si="8"/>
        <v>3.0828589590791466</v>
      </c>
      <c r="G26" s="112">
        <f t="shared" si="9"/>
        <v>0</v>
      </c>
      <c r="H26" s="176">
        <f t="shared" si="10"/>
        <v>70.620858352455215</v>
      </c>
      <c r="I26" s="609">
        <f t="shared" si="3"/>
        <v>2.6460465847855517</v>
      </c>
      <c r="J26" s="278">
        <v>2.8E-3</v>
      </c>
      <c r="K26" s="282">
        <f t="shared" si="4"/>
        <v>21.347224146658743</v>
      </c>
      <c r="L26" s="745">
        <f t="shared" si="5"/>
        <v>5.6067762391944706E-2</v>
      </c>
      <c r="N26" s="283">
        <f t="shared" si="2"/>
        <v>21.403291909050687</v>
      </c>
      <c r="O26" s="34">
        <f t="shared" si="1"/>
        <v>17</v>
      </c>
      <c r="P26" s="128"/>
    </row>
    <row r="27" spans="1:18" x14ac:dyDescent="0.35">
      <c r="A27" s="34">
        <f t="shared" si="0"/>
        <v>18</v>
      </c>
      <c r="B27" s="92" t="s">
        <v>164</v>
      </c>
      <c r="C27" s="277" t="str">
        <f>C19</f>
        <v>2021</v>
      </c>
      <c r="D27" s="522">
        <f t="shared" si="6"/>
        <v>73.266904937240767</v>
      </c>
      <c r="E27" s="112">
        <f t="shared" si="7"/>
        <v>67.537999393376069</v>
      </c>
      <c r="F27" s="112">
        <f t="shared" si="8"/>
        <v>3.0828589590791466</v>
      </c>
      <c r="G27" s="112">
        <f t="shared" si="9"/>
        <v>0</v>
      </c>
      <c r="H27" s="176">
        <f t="shared" si="10"/>
        <v>70.620858352455215</v>
      </c>
      <c r="I27" s="609">
        <f t="shared" si="3"/>
        <v>2.6460465847855517</v>
      </c>
      <c r="J27" s="278">
        <v>2.7000000000000001E-3</v>
      </c>
      <c r="K27" s="282">
        <f t="shared" si="4"/>
        <v>24.049338493836238</v>
      </c>
      <c r="L27" s="757">
        <f t="shared" si="5"/>
        <v>6.1361051043897351E-2</v>
      </c>
      <c r="M27" s="723" t="s">
        <v>24</v>
      </c>
      <c r="N27" s="283">
        <f t="shared" si="2"/>
        <v>24.110699544880134</v>
      </c>
      <c r="O27" s="34">
        <f t="shared" si="1"/>
        <v>18</v>
      </c>
      <c r="P27" s="128"/>
    </row>
    <row r="28" spans="1:18" x14ac:dyDescent="0.35">
      <c r="A28" s="34">
        <f t="shared" si="0"/>
        <v>19</v>
      </c>
      <c r="B28" s="92" t="s">
        <v>165</v>
      </c>
      <c r="C28" s="277" t="str">
        <f>C19</f>
        <v>2021</v>
      </c>
      <c r="D28" s="522">
        <f t="shared" si="6"/>
        <v>73.266904937240767</v>
      </c>
      <c r="E28" s="112">
        <f t="shared" si="7"/>
        <v>67.537999393376069</v>
      </c>
      <c r="F28" s="112">
        <f t="shared" si="8"/>
        <v>3.0828589590791466</v>
      </c>
      <c r="G28" s="112">
        <f t="shared" si="9"/>
        <v>0</v>
      </c>
      <c r="H28" s="176">
        <f t="shared" si="10"/>
        <v>70.620858352455215</v>
      </c>
      <c r="I28" s="609">
        <f t="shared" si="3"/>
        <v>2.6460465847855517</v>
      </c>
      <c r="J28" s="278">
        <v>2.8E-3</v>
      </c>
      <c r="K28" s="282">
        <f t="shared" si="4"/>
        <v>26.756746129665686</v>
      </c>
      <c r="L28" s="745">
        <f t="shared" si="5"/>
        <v>7.1214423944364141E-2</v>
      </c>
      <c r="M28" s="745"/>
      <c r="N28" s="283">
        <f t="shared" si="2"/>
        <v>26.827960553610051</v>
      </c>
      <c r="O28" s="34">
        <f t="shared" si="1"/>
        <v>19</v>
      </c>
      <c r="P28" s="128"/>
    </row>
    <row r="29" spans="1:18" x14ac:dyDescent="0.35">
      <c r="A29" s="34">
        <f t="shared" si="0"/>
        <v>20</v>
      </c>
      <c r="B29" s="92" t="s">
        <v>166</v>
      </c>
      <c r="C29" s="277" t="str">
        <f>C19</f>
        <v>2021</v>
      </c>
      <c r="D29" s="522">
        <f t="shared" si="6"/>
        <v>73.266904937240767</v>
      </c>
      <c r="E29" s="112">
        <f t="shared" si="7"/>
        <v>67.537999393376069</v>
      </c>
      <c r="F29" s="112">
        <f t="shared" si="8"/>
        <v>3.0828589590791466</v>
      </c>
      <c r="G29" s="112">
        <f t="shared" si="9"/>
        <v>0</v>
      </c>
      <c r="H29" s="176">
        <f t="shared" si="10"/>
        <v>70.620858352455215</v>
      </c>
      <c r="I29" s="609">
        <f t="shared" si="3"/>
        <v>2.6460465847855517</v>
      </c>
      <c r="J29" s="278">
        <v>2.7000000000000001E-3</v>
      </c>
      <c r="K29" s="282">
        <f t="shared" si="4"/>
        <v>29.474007138395603</v>
      </c>
      <c r="L29" s="745">
        <f t="shared" si="5"/>
        <v>7.6007656384207631E-2</v>
      </c>
      <c r="M29" s="745"/>
      <c r="N29" s="283">
        <f t="shared" si="2"/>
        <v>29.550014794779809</v>
      </c>
      <c r="O29" s="34">
        <f t="shared" si="1"/>
        <v>20</v>
      </c>
      <c r="P29" s="128"/>
    </row>
    <row r="30" spans="1:18" x14ac:dyDescent="0.35">
      <c r="A30" s="34">
        <f t="shared" si="0"/>
        <v>21</v>
      </c>
      <c r="B30" s="575" t="s">
        <v>167</v>
      </c>
      <c r="C30" s="576" t="str">
        <f>C19</f>
        <v>2021</v>
      </c>
      <c r="D30" s="522">
        <f t="shared" si="6"/>
        <v>73.266904937240767</v>
      </c>
      <c r="E30" s="112">
        <f t="shared" si="7"/>
        <v>67.537999393376069</v>
      </c>
      <c r="F30" s="112">
        <f t="shared" si="8"/>
        <v>3.0828589590791466</v>
      </c>
      <c r="G30" s="112">
        <f t="shared" si="9"/>
        <v>0</v>
      </c>
      <c r="H30" s="573">
        <f>SUM(E30:G30)</f>
        <v>70.620858352455215</v>
      </c>
      <c r="I30" s="561">
        <f t="shared" si="3"/>
        <v>2.6460465847855517</v>
      </c>
      <c r="J30" s="577">
        <v>2.8E-3</v>
      </c>
      <c r="K30" s="578">
        <f t="shared" si="4"/>
        <v>32.196061379565364</v>
      </c>
      <c r="L30" s="746">
        <f t="shared" si="5"/>
        <v>8.6444506644083249E-2</v>
      </c>
      <c r="M30" s="746"/>
      <c r="N30" s="579">
        <f t="shared" si="2"/>
        <v>32.282505886209449</v>
      </c>
      <c r="O30" s="34">
        <f t="shared" si="1"/>
        <v>21</v>
      </c>
      <c r="P30" s="128"/>
    </row>
    <row r="31" spans="1:18" ht="16" thickBot="1" x14ac:dyDescent="0.4">
      <c r="A31" s="34">
        <f t="shared" si="0"/>
        <v>22</v>
      </c>
      <c r="D31" s="286">
        <f t="shared" ref="D31:I31" si="11">SUM(D19:D30)</f>
        <v>879.20285924688903</v>
      </c>
      <c r="E31" s="287">
        <f t="shared" si="11"/>
        <v>810.45599272051265</v>
      </c>
      <c r="F31" s="287">
        <f t="shared" si="11"/>
        <v>36.99430750894976</v>
      </c>
      <c r="G31" s="287">
        <f t="shared" si="11"/>
        <v>0</v>
      </c>
      <c r="H31" s="287">
        <f t="shared" si="11"/>
        <v>847.45030022946264</v>
      </c>
      <c r="I31" s="286">
        <f t="shared" si="11"/>
        <v>31.75255901742662</v>
      </c>
      <c r="J31" s="632"/>
      <c r="K31" s="723" t="s">
        <v>24</v>
      </c>
      <c r="L31" s="756">
        <f>SUM(L19:L30)</f>
        <v>0.52994686878282571</v>
      </c>
      <c r="M31" s="758"/>
      <c r="N31" s="723" t="s">
        <v>24</v>
      </c>
      <c r="O31" s="34">
        <f t="shared" si="1"/>
        <v>22</v>
      </c>
    </row>
    <row r="32" spans="1:18" ht="16" thickTop="1" x14ac:dyDescent="0.35">
      <c r="D32" s="723" t="s">
        <v>24</v>
      </c>
      <c r="E32" s="289"/>
      <c r="F32" s="289"/>
      <c r="G32" s="289"/>
      <c r="H32" s="289"/>
      <c r="I32" s="723" t="s">
        <v>24</v>
      </c>
      <c r="J32" s="289"/>
      <c r="K32" s="289"/>
      <c r="L32" s="723" t="s">
        <v>24</v>
      </c>
      <c r="M32" s="289"/>
      <c r="N32" s="289"/>
    </row>
    <row r="33" spans="1:14" x14ac:dyDescent="0.35">
      <c r="D33" s="723"/>
      <c r="E33" s="289"/>
      <c r="F33" s="289"/>
      <c r="G33" s="289"/>
      <c r="H33" s="289"/>
      <c r="I33" s="723"/>
      <c r="J33" s="289"/>
      <c r="K33" s="289"/>
      <c r="L33" s="723"/>
      <c r="M33" s="289"/>
      <c r="N33" s="289"/>
    </row>
    <row r="34" spans="1:14" x14ac:dyDescent="0.35">
      <c r="A34" s="24" t="s">
        <v>24</v>
      </c>
      <c r="B34" s="329" t="s">
        <v>647</v>
      </c>
      <c r="F34" s="290"/>
      <c r="G34" s="290"/>
    </row>
    <row r="35" spans="1:14" ht="18" x14ac:dyDescent="0.35">
      <c r="A35" s="291">
        <v>1</v>
      </c>
      <c r="B35" s="35" t="s">
        <v>168</v>
      </c>
      <c r="F35" s="290"/>
      <c r="G35" s="290"/>
    </row>
    <row r="36" spans="1:14" ht="18" x14ac:dyDescent="0.35">
      <c r="A36" s="291">
        <v>2</v>
      </c>
      <c r="B36" s="35" t="s">
        <v>169</v>
      </c>
    </row>
    <row r="37" spans="1:14" ht="18" x14ac:dyDescent="0.35">
      <c r="A37" s="291">
        <v>3</v>
      </c>
      <c r="B37" s="35" t="s">
        <v>170</v>
      </c>
    </row>
    <row r="38" spans="1:14" ht="18" x14ac:dyDescent="0.35">
      <c r="A38" s="291">
        <v>4</v>
      </c>
      <c r="B38" s="35" t="s">
        <v>171</v>
      </c>
    </row>
    <row r="39" spans="1:14" ht="18" x14ac:dyDescent="0.35">
      <c r="A39" s="291"/>
      <c r="B39" s="35" t="s">
        <v>172</v>
      </c>
    </row>
    <row r="40" spans="1:14" ht="18" x14ac:dyDescent="0.35">
      <c r="A40" s="291">
        <v>5</v>
      </c>
      <c r="B40" s="35" t="s">
        <v>173</v>
      </c>
      <c r="C40" s="511"/>
    </row>
    <row r="41" spans="1:14" ht="18" x14ac:dyDescent="0.35">
      <c r="A41" s="291">
        <v>6</v>
      </c>
      <c r="B41" s="35" t="s">
        <v>174</v>
      </c>
    </row>
    <row r="42" spans="1:14" ht="18" x14ac:dyDescent="0.35">
      <c r="A42" s="291">
        <v>7</v>
      </c>
      <c r="B42" s="35" t="s">
        <v>175</v>
      </c>
    </row>
  </sheetData>
  <mergeCells count="5">
    <mergeCell ref="B6:N6"/>
    <mergeCell ref="B5:O5"/>
    <mergeCell ref="B2:O2"/>
    <mergeCell ref="B3:O3"/>
    <mergeCell ref="B4:O4"/>
  </mergeCells>
  <printOptions horizontalCentered="1"/>
  <pageMargins left="0.25" right="0.25" top="0.5" bottom="0.5" header="0.35" footer="0.25"/>
  <pageSetup scale="51" orientation="landscape" r:id="rId1"/>
  <headerFooter scaleWithDoc="0" alignWithMargins="0">
    <oddHeader>&amp;C&amp;"Times New Roman,Bold"&amp;7REVISED</oddHeader>
    <oddFooter>&amp;L&amp;F&amp;CPage 7&amp;R&amp;A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E6485-D603-4FFE-9F88-A6FE7CCDF96A}">
  <sheetPr>
    <pageSetUpPr fitToPage="1"/>
  </sheetPr>
  <dimension ref="A1:Q42"/>
  <sheetViews>
    <sheetView zoomScale="80" zoomScaleNormal="80" workbookViewId="0"/>
  </sheetViews>
  <sheetFormatPr defaultColWidth="9.1796875" defaultRowHeight="15.5" x14ac:dyDescent="0.35"/>
  <cols>
    <col min="1" max="1" width="5.1796875" style="34" customWidth="1"/>
    <col min="2" max="2" width="12.54296875" style="35" customWidth="1"/>
    <col min="3" max="3" width="20" style="35" customWidth="1"/>
    <col min="4" max="7" width="21.54296875" style="35" customWidth="1"/>
    <col min="8" max="8" width="22.81640625" style="35" bestFit="1" customWidth="1"/>
    <col min="9" max="13" width="21.54296875" style="35" customWidth="1"/>
    <col min="14" max="14" width="5.1796875" style="34" customWidth="1"/>
    <col min="15" max="15" width="13.54296875" style="35" customWidth="1"/>
    <col min="16" max="16" width="12.54296875" style="35" customWidth="1"/>
    <col min="17" max="16384" width="9.1796875" style="35"/>
  </cols>
  <sheetData>
    <row r="1" spans="1:14" x14ac:dyDescent="0.35">
      <c r="A1" s="565" t="s">
        <v>632</v>
      </c>
    </row>
    <row r="2" spans="1:14" x14ac:dyDescent="0.35">
      <c r="I2" s="511"/>
    </row>
    <row r="3" spans="1:14" x14ac:dyDescent="0.35">
      <c r="B3" s="773" t="s">
        <v>14</v>
      </c>
      <c r="C3" s="773"/>
      <c r="D3" s="773"/>
      <c r="E3" s="773"/>
      <c r="F3" s="773"/>
      <c r="G3" s="773"/>
      <c r="H3" s="773"/>
      <c r="I3" s="773"/>
      <c r="J3" s="773"/>
      <c r="K3" s="773"/>
      <c r="L3" s="773"/>
      <c r="M3" s="773"/>
      <c r="N3" s="773"/>
    </row>
    <row r="4" spans="1:14" x14ac:dyDescent="0.3">
      <c r="B4" s="764" t="s">
        <v>629</v>
      </c>
      <c r="C4" s="764"/>
      <c r="D4" s="764"/>
      <c r="E4" s="764"/>
      <c r="F4" s="764"/>
      <c r="G4" s="764"/>
      <c r="H4" s="764"/>
      <c r="I4" s="764"/>
      <c r="J4" s="764"/>
      <c r="K4" s="764"/>
      <c r="L4" s="764"/>
      <c r="M4" s="764"/>
      <c r="N4" s="764"/>
    </row>
    <row r="5" spans="1:14" x14ac:dyDescent="0.3">
      <c r="B5" s="764" t="s">
        <v>123</v>
      </c>
      <c r="C5" s="764"/>
      <c r="D5" s="764"/>
      <c r="E5" s="764"/>
      <c r="F5" s="764"/>
      <c r="G5" s="764"/>
      <c r="H5" s="764"/>
      <c r="I5" s="764"/>
      <c r="J5" s="764"/>
      <c r="K5" s="764"/>
      <c r="L5" s="764"/>
      <c r="M5" s="764"/>
      <c r="N5" s="764"/>
    </row>
    <row r="6" spans="1:14" x14ac:dyDescent="0.3">
      <c r="B6" s="772" t="s">
        <v>485</v>
      </c>
      <c r="C6" s="772"/>
      <c r="D6" s="772"/>
      <c r="E6" s="772"/>
      <c r="F6" s="772"/>
      <c r="G6" s="772"/>
      <c r="H6" s="772"/>
      <c r="I6" s="772"/>
      <c r="J6" s="772"/>
      <c r="K6" s="772"/>
      <c r="L6" s="772"/>
      <c r="M6" s="772"/>
      <c r="N6" s="772"/>
    </row>
    <row r="7" spans="1:14" x14ac:dyDescent="0.35">
      <c r="B7" s="771" t="s">
        <v>1</v>
      </c>
      <c r="C7" s="771"/>
      <c r="D7" s="771"/>
      <c r="E7" s="771"/>
      <c r="F7" s="771"/>
      <c r="G7" s="771"/>
      <c r="H7" s="771"/>
      <c r="I7" s="771"/>
      <c r="J7" s="771"/>
      <c r="K7" s="771"/>
      <c r="L7" s="771"/>
      <c r="M7" s="771"/>
      <c r="N7" s="324"/>
    </row>
    <row r="8" spans="1:14" x14ac:dyDescent="0.35">
      <c r="A8" s="324"/>
      <c r="B8" s="324"/>
      <c r="C8" s="324"/>
      <c r="D8" s="324"/>
      <c r="E8" s="324"/>
      <c r="F8" s="324"/>
      <c r="G8" s="324"/>
      <c r="H8" s="324"/>
      <c r="I8" s="324"/>
      <c r="J8" s="324"/>
      <c r="K8" s="324"/>
      <c r="L8" s="324"/>
      <c r="M8" s="324"/>
      <c r="N8" s="324"/>
    </row>
    <row r="9" spans="1:14" x14ac:dyDescent="0.35">
      <c r="A9" s="34" t="s">
        <v>2</v>
      </c>
      <c r="B9" s="51"/>
      <c r="E9" s="41"/>
      <c r="F9" s="129"/>
      <c r="G9" s="129"/>
      <c r="N9" s="34" t="s">
        <v>2</v>
      </c>
    </row>
    <row r="10" spans="1:14" x14ac:dyDescent="0.35">
      <c r="A10" s="34" t="s">
        <v>3</v>
      </c>
      <c r="B10" s="51"/>
      <c r="E10" s="41"/>
      <c r="F10" s="129"/>
      <c r="G10" s="129"/>
      <c r="N10" s="34" t="s">
        <v>3</v>
      </c>
    </row>
    <row r="11" spans="1:14" x14ac:dyDescent="0.35">
      <c r="A11" s="34">
        <v>1</v>
      </c>
      <c r="E11" s="41"/>
      <c r="I11" s="274"/>
      <c r="J11" s="274"/>
      <c r="N11" s="34">
        <v>1</v>
      </c>
    </row>
    <row r="12" spans="1:14" x14ac:dyDescent="0.35">
      <c r="A12" s="34">
        <f t="shared" ref="A12:A32" si="0">A11+1</f>
        <v>2</v>
      </c>
      <c r="C12" s="275" t="s">
        <v>124</v>
      </c>
      <c r="D12" s="275" t="s">
        <v>125</v>
      </c>
      <c r="E12" s="275" t="s">
        <v>126</v>
      </c>
      <c r="F12" s="275" t="s">
        <v>127</v>
      </c>
      <c r="G12" s="275" t="s">
        <v>128</v>
      </c>
      <c r="H12" s="275" t="s">
        <v>129</v>
      </c>
      <c r="I12" s="275" t="s">
        <v>130</v>
      </c>
      <c r="J12" s="275" t="s">
        <v>131</v>
      </c>
      <c r="K12" s="275" t="s">
        <v>132</v>
      </c>
      <c r="L12" s="275" t="s">
        <v>133</v>
      </c>
      <c r="M12" s="275" t="s">
        <v>134</v>
      </c>
      <c r="N12" s="34">
        <f t="shared" ref="N12:N32" si="1">N11+1</f>
        <v>2</v>
      </c>
    </row>
    <row r="13" spans="1:14" x14ac:dyDescent="0.35">
      <c r="A13" s="34">
        <f t="shared" si="0"/>
        <v>3</v>
      </c>
      <c r="B13" s="41" t="s">
        <v>135</v>
      </c>
      <c r="C13" s="34"/>
      <c r="D13" s="34"/>
      <c r="E13" s="34"/>
      <c r="F13" s="34" t="str">
        <f>"= "&amp;F12&amp;"; Line "&amp;A32&amp;" / 12"</f>
        <v>= Col. 4; Line 22 / 12</v>
      </c>
      <c r="G13" s="34"/>
      <c r="H13" s="66" t="str">
        <f>"= Sum "&amp;E12&amp;" thru "&amp;G12</f>
        <v>= Sum Col. 3 thru Col. 5</v>
      </c>
      <c r="I13" s="66" t="str">
        <f>"= "&amp;D12&amp;" - "&amp;H12</f>
        <v>= Col. 2 - Col. 6</v>
      </c>
      <c r="J13" s="34"/>
      <c r="K13" s="34" t="str">
        <f>"See Footnote "&amp;A41</f>
        <v>See Footnote 6</v>
      </c>
      <c r="L13" s="34" t="str">
        <f>"See Footnote "&amp;A42</f>
        <v>See Footnote 7</v>
      </c>
      <c r="M13" s="66" t="str">
        <f>"= "&amp;K12&amp;" + "&amp;L12</f>
        <v>= Col. 9 + Col. 10</v>
      </c>
      <c r="N13" s="34">
        <f t="shared" si="1"/>
        <v>3</v>
      </c>
    </row>
    <row r="14" spans="1:14" x14ac:dyDescent="0.35">
      <c r="A14" s="34">
        <f t="shared" si="0"/>
        <v>4</v>
      </c>
      <c r="B14" s="41"/>
      <c r="C14" s="34"/>
      <c r="D14" s="34"/>
      <c r="E14" s="34"/>
      <c r="F14" s="34"/>
      <c r="G14" s="34"/>
      <c r="H14" s="66"/>
      <c r="I14" s="66"/>
      <c r="J14" s="34"/>
      <c r="K14" s="34"/>
      <c r="L14" s="34"/>
      <c r="M14" s="66"/>
      <c r="N14" s="34">
        <f t="shared" si="1"/>
        <v>4</v>
      </c>
    </row>
    <row r="15" spans="1:14" x14ac:dyDescent="0.35">
      <c r="A15" s="34">
        <f t="shared" si="0"/>
        <v>5</v>
      </c>
      <c r="C15" s="275"/>
      <c r="H15" s="324"/>
      <c r="K15" s="324" t="s">
        <v>136</v>
      </c>
      <c r="M15" s="324" t="s">
        <v>136</v>
      </c>
      <c r="N15" s="34">
        <f t="shared" si="1"/>
        <v>5</v>
      </c>
    </row>
    <row r="16" spans="1:14" x14ac:dyDescent="0.35">
      <c r="A16" s="34">
        <f t="shared" si="0"/>
        <v>6</v>
      </c>
      <c r="C16" s="275"/>
      <c r="F16" s="324"/>
      <c r="G16" s="324"/>
      <c r="H16" s="324"/>
      <c r="I16" s="324" t="s">
        <v>137</v>
      </c>
      <c r="J16" s="324"/>
      <c r="K16" s="324" t="s">
        <v>138</v>
      </c>
      <c r="M16" s="324" t="s">
        <v>138</v>
      </c>
      <c r="N16" s="34">
        <f t="shared" si="1"/>
        <v>6</v>
      </c>
    </row>
    <row r="17" spans="1:17" x14ac:dyDescent="0.35">
      <c r="A17" s="34">
        <f t="shared" si="0"/>
        <v>7</v>
      </c>
      <c r="C17" s="324"/>
      <c r="D17" s="324" t="s">
        <v>137</v>
      </c>
      <c r="E17" s="324" t="s">
        <v>137</v>
      </c>
      <c r="F17" s="324" t="s">
        <v>139</v>
      </c>
      <c r="G17" s="324"/>
      <c r="H17" s="324" t="s">
        <v>140</v>
      </c>
      <c r="I17" s="324" t="s">
        <v>138</v>
      </c>
      <c r="J17" s="324" t="s">
        <v>137</v>
      </c>
      <c r="K17" s="324" t="s">
        <v>141</v>
      </c>
      <c r="M17" s="324" t="s">
        <v>141</v>
      </c>
      <c r="N17" s="34">
        <f t="shared" si="1"/>
        <v>7</v>
      </c>
    </row>
    <row r="18" spans="1:17" x14ac:dyDescent="0.35">
      <c r="A18" s="34">
        <f t="shared" si="0"/>
        <v>8</v>
      </c>
      <c r="C18" s="324"/>
      <c r="D18" s="324" t="s">
        <v>142</v>
      </c>
      <c r="E18" s="324" t="s">
        <v>142</v>
      </c>
      <c r="F18" s="324" t="s">
        <v>142</v>
      </c>
      <c r="G18" s="324" t="s">
        <v>143</v>
      </c>
      <c r="H18" s="324" t="s">
        <v>142</v>
      </c>
      <c r="I18" s="324" t="s">
        <v>141</v>
      </c>
      <c r="J18" s="324" t="s">
        <v>144</v>
      </c>
      <c r="K18" s="324" t="s">
        <v>145</v>
      </c>
      <c r="L18" s="324"/>
      <c r="M18" s="324" t="s">
        <v>145</v>
      </c>
      <c r="N18" s="34">
        <f t="shared" si="1"/>
        <v>8</v>
      </c>
    </row>
    <row r="19" spans="1:17" ht="18" x14ac:dyDescent="0.35">
      <c r="A19" s="34">
        <f t="shared" si="0"/>
        <v>9</v>
      </c>
      <c r="B19" s="276" t="s">
        <v>146</v>
      </c>
      <c r="C19" s="276" t="s">
        <v>147</v>
      </c>
      <c r="D19" s="129" t="s">
        <v>148</v>
      </c>
      <c r="E19" s="129" t="s">
        <v>149</v>
      </c>
      <c r="F19" s="129" t="s">
        <v>150</v>
      </c>
      <c r="G19" s="129" t="s">
        <v>151</v>
      </c>
      <c r="H19" s="129" t="s">
        <v>152</v>
      </c>
      <c r="I19" s="129" t="s">
        <v>145</v>
      </c>
      <c r="J19" s="129" t="s">
        <v>153</v>
      </c>
      <c r="K19" s="129" t="s">
        <v>154</v>
      </c>
      <c r="L19" s="129" t="s">
        <v>144</v>
      </c>
      <c r="M19" s="129" t="s">
        <v>155</v>
      </c>
      <c r="N19" s="34">
        <f t="shared" si="1"/>
        <v>9</v>
      </c>
    </row>
    <row r="20" spans="1:17" x14ac:dyDescent="0.35">
      <c r="A20" s="34">
        <f t="shared" si="0"/>
        <v>10</v>
      </c>
      <c r="B20" s="92" t="s">
        <v>156</v>
      </c>
      <c r="C20" s="277" t="str">
        <f>RIGHT(B6,4)</f>
        <v>2021</v>
      </c>
      <c r="D20" s="31">
        <v>72.726340133700674</v>
      </c>
      <c r="E20" s="31">
        <v>67.537999393376069</v>
      </c>
      <c r="F20" s="31">
        <v>3.0828589590791466</v>
      </c>
      <c r="G20" s="31">
        <v>0</v>
      </c>
      <c r="H20" s="241">
        <f>SUM(E20:G20)</f>
        <v>70.620858352455215</v>
      </c>
      <c r="I20" s="58">
        <f>D20-H20</f>
        <v>2.1054817812454587</v>
      </c>
      <c r="J20" s="278">
        <v>2.8E-3</v>
      </c>
      <c r="K20" s="536">
        <f>I20</f>
        <v>2.1054817812454587</v>
      </c>
      <c r="L20" s="744">
        <f>(I20/2)*J20</f>
        <v>2.9476744937436423E-3</v>
      </c>
      <c r="M20" s="279">
        <f t="shared" ref="M20:M31" si="2">K20+L20</f>
        <v>2.1084294557392025</v>
      </c>
      <c r="N20" s="34">
        <f t="shared" si="1"/>
        <v>10</v>
      </c>
      <c r="O20" s="33"/>
    </row>
    <row r="21" spans="1:17" x14ac:dyDescent="0.35">
      <c r="A21" s="34">
        <f t="shared" si="0"/>
        <v>11</v>
      </c>
      <c r="B21" s="92" t="s">
        <v>157</v>
      </c>
      <c r="C21" s="277" t="str">
        <f>C20</f>
        <v>2021</v>
      </c>
      <c r="D21" s="522">
        <f>$D$20</f>
        <v>72.726340133700674</v>
      </c>
      <c r="E21" s="112">
        <f>$E$20</f>
        <v>67.537999393376069</v>
      </c>
      <c r="F21" s="112">
        <f>$F$20</f>
        <v>3.0828589590791466</v>
      </c>
      <c r="G21" s="112">
        <f>$G$20</f>
        <v>0</v>
      </c>
      <c r="H21" s="176">
        <f>SUM(E21:G21)</f>
        <v>70.620858352455215</v>
      </c>
      <c r="I21" s="112">
        <f t="shared" ref="I21:I31" si="3">D21-H21</f>
        <v>2.1054817812454587</v>
      </c>
      <c r="J21" s="278">
        <v>2.5000000000000001E-3</v>
      </c>
      <c r="K21" s="537">
        <f>M20+I21</f>
        <v>4.2139112369846607</v>
      </c>
      <c r="L21" s="745">
        <f t="shared" ref="L21:L31" si="4">(M20+K21)/2*J21</f>
        <v>7.9029258659048286E-3</v>
      </c>
      <c r="M21" s="280">
        <f t="shared" si="2"/>
        <v>4.2218141628505652</v>
      </c>
      <c r="N21" s="34">
        <f t="shared" si="1"/>
        <v>11</v>
      </c>
      <c r="O21" s="128"/>
    </row>
    <row r="22" spans="1:17" x14ac:dyDescent="0.35">
      <c r="A22" s="34">
        <f t="shared" si="0"/>
        <v>12</v>
      </c>
      <c r="B22" s="92" t="s">
        <v>158</v>
      </c>
      <c r="C22" s="277" t="str">
        <f>C20</f>
        <v>2021</v>
      </c>
      <c r="D22" s="522">
        <f t="shared" ref="D22:D31" si="5">$D$20</f>
        <v>72.726340133700674</v>
      </c>
      <c r="E22" s="112">
        <f t="shared" ref="E22:E31" si="6">$E$20</f>
        <v>67.537999393376069</v>
      </c>
      <c r="F22" s="112">
        <f t="shared" ref="F22:F31" si="7">$F$20</f>
        <v>3.0828589590791466</v>
      </c>
      <c r="G22" s="112">
        <f t="shared" ref="G22:G31" si="8">$G$20</f>
        <v>0</v>
      </c>
      <c r="H22" s="176">
        <f t="shared" ref="H22:H30" si="9">SUM(E22:G22)</f>
        <v>70.620858352455215</v>
      </c>
      <c r="I22" s="112">
        <f t="shared" si="3"/>
        <v>2.1054817812454587</v>
      </c>
      <c r="J22" s="278">
        <v>2.8E-3</v>
      </c>
      <c r="K22" s="537">
        <f t="shared" ref="K22:K31" si="10">M21+I22</f>
        <v>6.3272959440960239</v>
      </c>
      <c r="L22" s="745">
        <f>(M21+K22)/2*J22</f>
        <v>1.4768754149725224E-2</v>
      </c>
      <c r="M22" s="280">
        <f t="shared" si="2"/>
        <v>6.3420646982457489</v>
      </c>
      <c r="N22" s="34">
        <f t="shared" si="1"/>
        <v>12</v>
      </c>
      <c r="O22" s="128"/>
    </row>
    <row r="23" spans="1:17" x14ac:dyDescent="0.35">
      <c r="A23" s="34">
        <f t="shared" si="0"/>
        <v>13</v>
      </c>
      <c r="B23" s="92" t="s">
        <v>159</v>
      </c>
      <c r="C23" s="277" t="str">
        <f>C20</f>
        <v>2021</v>
      </c>
      <c r="D23" s="522">
        <f t="shared" si="5"/>
        <v>72.726340133700674</v>
      </c>
      <c r="E23" s="112">
        <f t="shared" si="6"/>
        <v>67.537999393376069</v>
      </c>
      <c r="F23" s="112">
        <f t="shared" si="7"/>
        <v>3.0828589590791466</v>
      </c>
      <c r="G23" s="112">
        <f t="shared" si="8"/>
        <v>0</v>
      </c>
      <c r="H23" s="176">
        <f t="shared" si="9"/>
        <v>70.620858352455215</v>
      </c>
      <c r="I23" s="112">
        <f>D23-H23</f>
        <v>2.1054817812454587</v>
      </c>
      <c r="J23" s="278">
        <v>2.7000000000000001E-3</v>
      </c>
      <c r="K23" s="537">
        <f t="shared" si="10"/>
        <v>8.4475464794912085</v>
      </c>
      <c r="L23" s="745">
        <f>(M22+K23)/2*J23</f>
        <v>1.9965975089944896E-2</v>
      </c>
      <c r="M23" s="280">
        <f t="shared" si="2"/>
        <v>8.4675124545811542</v>
      </c>
      <c r="N23" s="34">
        <f t="shared" si="1"/>
        <v>13</v>
      </c>
      <c r="O23" s="128"/>
      <c r="Q23" s="281"/>
    </row>
    <row r="24" spans="1:17" x14ac:dyDescent="0.35">
      <c r="A24" s="34">
        <f t="shared" si="0"/>
        <v>14</v>
      </c>
      <c r="B24" s="92" t="s">
        <v>160</v>
      </c>
      <c r="C24" s="277" t="str">
        <f>C20</f>
        <v>2021</v>
      </c>
      <c r="D24" s="522">
        <f t="shared" si="5"/>
        <v>72.726340133700674</v>
      </c>
      <c r="E24" s="112">
        <f t="shared" si="6"/>
        <v>67.537999393376069</v>
      </c>
      <c r="F24" s="112">
        <f t="shared" si="7"/>
        <v>3.0828589590791466</v>
      </c>
      <c r="G24" s="112">
        <f t="shared" si="8"/>
        <v>0</v>
      </c>
      <c r="H24" s="176">
        <f t="shared" si="9"/>
        <v>70.620858352455215</v>
      </c>
      <c r="I24" s="112">
        <f t="shared" si="3"/>
        <v>2.1054817812454587</v>
      </c>
      <c r="J24" s="278">
        <v>2.8E-3</v>
      </c>
      <c r="K24" s="537">
        <f t="shared" si="10"/>
        <v>10.572994235826613</v>
      </c>
      <c r="L24" s="745">
        <f t="shared" si="4"/>
        <v>2.6656709366570875E-2</v>
      </c>
      <c r="M24" s="280">
        <f t="shared" si="2"/>
        <v>10.599650945193185</v>
      </c>
      <c r="N24" s="34">
        <f t="shared" si="1"/>
        <v>14</v>
      </c>
      <c r="O24" s="128"/>
    </row>
    <row r="25" spans="1:17" x14ac:dyDescent="0.35">
      <c r="A25" s="34">
        <f t="shared" si="0"/>
        <v>15</v>
      </c>
      <c r="B25" s="92" t="s">
        <v>161</v>
      </c>
      <c r="C25" s="277" t="str">
        <f>C20</f>
        <v>2021</v>
      </c>
      <c r="D25" s="522">
        <f t="shared" si="5"/>
        <v>72.726340133700674</v>
      </c>
      <c r="E25" s="112">
        <f t="shared" si="6"/>
        <v>67.537999393376069</v>
      </c>
      <c r="F25" s="112">
        <f t="shared" si="7"/>
        <v>3.0828589590791466</v>
      </c>
      <c r="G25" s="112">
        <f t="shared" si="8"/>
        <v>0</v>
      </c>
      <c r="H25" s="176">
        <f t="shared" si="9"/>
        <v>70.620858352455215</v>
      </c>
      <c r="I25" s="112">
        <f t="shared" si="3"/>
        <v>2.1054817812454587</v>
      </c>
      <c r="J25" s="278">
        <v>2.7000000000000001E-3</v>
      </c>
      <c r="K25" s="537">
        <f t="shared" si="10"/>
        <v>12.705132726438643</v>
      </c>
      <c r="L25" s="745">
        <f>(M24+K25)/2*J25</f>
        <v>3.1461457956702972E-2</v>
      </c>
      <c r="M25" s="280">
        <f t="shared" si="2"/>
        <v>12.736594184395347</v>
      </c>
      <c r="N25" s="34">
        <f t="shared" si="1"/>
        <v>15</v>
      </c>
      <c r="O25" s="128"/>
    </row>
    <row r="26" spans="1:17" x14ac:dyDescent="0.35">
      <c r="A26" s="34">
        <f t="shared" si="0"/>
        <v>16</v>
      </c>
      <c r="B26" s="92" t="s">
        <v>162</v>
      </c>
      <c r="C26" s="277" t="str">
        <f>C20</f>
        <v>2021</v>
      </c>
      <c r="D26" s="522">
        <f t="shared" si="5"/>
        <v>72.726340133700674</v>
      </c>
      <c r="E26" s="112">
        <f t="shared" si="6"/>
        <v>67.537999393376069</v>
      </c>
      <c r="F26" s="112">
        <f t="shared" si="7"/>
        <v>3.0828589590791466</v>
      </c>
      <c r="G26" s="112">
        <f t="shared" si="8"/>
        <v>0</v>
      </c>
      <c r="H26" s="176">
        <f t="shared" si="9"/>
        <v>70.620858352455215</v>
      </c>
      <c r="I26" s="112">
        <f t="shared" si="3"/>
        <v>2.1054817812454587</v>
      </c>
      <c r="J26" s="278">
        <v>2.8E-3</v>
      </c>
      <c r="K26" s="537">
        <f t="shared" si="10"/>
        <v>14.842075965640806</v>
      </c>
      <c r="L26" s="745">
        <f t="shared" si="4"/>
        <v>3.8610138210050611E-2</v>
      </c>
      <c r="M26" s="280">
        <f t="shared" si="2"/>
        <v>14.880686103850856</v>
      </c>
      <c r="N26" s="34">
        <f t="shared" si="1"/>
        <v>16</v>
      </c>
      <c r="O26" s="128"/>
    </row>
    <row r="27" spans="1:17" x14ac:dyDescent="0.35">
      <c r="A27" s="34">
        <f t="shared" si="0"/>
        <v>17</v>
      </c>
      <c r="B27" s="92" t="s">
        <v>163</v>
      </c>
      <c r="C27" s="277" t="str">
        <f>C20</f>
        <v>2021</v>
      </c>
      <c r="D27" s="522">
        <f t="shared" si="5"/>
        <v>72.726340133700674</v>
      </c>
      <c r="E27" s="112">
        <f t="shared" si="6"/>
        <v>67.537999393376069</v>
      </c>
      <c r="F27" s="112">
        <f t="shared" si="7"/>
        <v>3.0828589590791466</v>
      </c>
      <c r="G27" s="112">
        <f t="shared" si="8"/>
        <v>0</v>
      </c>
      <c r="H27" s="176">
        <f t="shared" si="9"/>
        <v>70.620858352455215</v>
      </c>
      <c r="I27" s="112">
        <f t="shared" si="3"/>
        <v>2.1054817812454587</v>
      </c>
      <c r="J27" s="278">
        <v>2.8E-3</v>
      </c>
      <c r="K27" s="537">
        <f t="shared" si="10"/>
        <v>16.986167885096314</v>
      </c>
      <c r="L27" s="745">
        <f t="shared" si="4"/>
        <v>4.4613595584526038E-2</v>
      </c>
      <c r="M27" s="280">
        <f t="shared" si="2"/>
        <v>17.03078148068084</v>
      </c>
      <c r="N27" s="34">
        <f t="shared" si="1"/>
        <v>17</v>
      </c>
      <c r="O27" s="128"/>
    </row>
    <row r="28" spans="1:17" x14ac:dyDescent="0.35">
      <c r="A28" s="34">
        <f t="shared" si="0"/>
        <v>18</v>
      </c>
      <c r="B28" s="92" t="s">
        <v>164</v>
      </c>
      <c r="C28" s="277" t="str">
        <f>C20</f>
        <v>2021</v>
      </c>
      <c r="D28" s="522">
        <f t="shared" si="5"/>
        <v>72.726340133700674</v>
      </c>
      <c r="E28" s="112">
        <f t="shared" si="6"/>
        <v>67.537999393376069</v>
      </c>
      <c r="F28" s="112">
        <f t="shared" si="7"/>
        <v>3.0828589590791466</v>
      </c>
      <c r="G28" s="112">
        <f t="shared" si="8"/>
        <v>0</v>
      </c>
      <c r="H28" s="176">
        <f t="shared" si="9"/>
        <v>70.620858352455215</v>
      </c>
      <c r="I28" s="112">
        <f t="shared" si="3"/>
        <v>2.1054817812454587</v>
      </c>
      <c r="J28" s="278">
        <v>2.7000000000000001E-3</v>
      </c>
      <c r="K28" s="537">
        <f t="shared" si="10"/>
        <v>19.136263261926299</v>
      </c>
      <c r="L28" s="745">
        <f t="shared" si="4"/>
        <v>4.8825510402519638E-2</v>
      </c>
      <c r="M28" s="280">
        <f t="shared" si="2"/>
        <v>19.185088772328818</v>
      </c>
      <c r="N28" s="34">
        <f t="shared" si="1"/>
        <v>18</v>
      </c>
      <c r="O28" s="128"/>
    </row>
    <row r="29" spans="1:17" x14ac:dyDescent="0.35">
      <c r="A29" s="34">
        <f t="shared" si="0"/>
        <v>19</v>
      </c>
      <c r="B29" s="92" t="s">
        <v>165</v>
      </c>
      <c r="C29" s="277" t="str">
        <f>C20</f>
        <v>2021</v>
      </c>
      <c r="D29" s="522">
        <f t="shared" si="5"/>
        <v>72.726340133700674</v>
      </c>
      <c r="E29" s="112">
        <f t="shared" si="6"/>
        <v>67.537999393376069</v>
      </c>
      <c r="F29" s="112">
        <f t="shared" si="7"/>
        <v>3.0828589590791466</v>
      </c>
      <c r="G29" s="112">
        <f t="shared" si="8"/>
        <v>0</v>
      </c>
      <c r="H29" s="176">
        <f t="shared" si="9"/>
        <v>70.620858352455215</v>
      </c>
      <c r="I29" s="112">
        <f t="shared" si="3"/>
        <v>2.1054817812454587</v>
      </c>
      <c r="J29" s="278">
        <v>2.8E-3</v>
      </c>
      <c r="K29" s="537">
        <f t="shared" si="10"/>
        <v>21.290570553574277</v>
      </c>
      <c r="L29" s="745">
        <f t="shared" si="4"/>
        <v>5.6665923056264333E-2</v>
      </c>
      <c r="M29" s="280">
        <f t="shared" si="2"/>
        <v>21.347236476630542</v>
      </c>
      <c r="N29" s="34">
        <f t="shared" si="1"/>
        <v>19</v>
      </c>
      <c r="O29" s="128"/>
    </row>
    <row r="30" spans="1:17" x14ac:dyDescent="0.35">
      <c r="A30" s="34">
        <f t="shared" si="0"/>
        <v>20</v>
      </c>
      <c r="B30" s="92" t="s">
        <v>166</v>
      </c>
      <c r="C30" s="277" t="str">
        <f>C20</f>
        <v>2021</v>
      </c>
      <c r="D30" s="522">
        <f t="shared" si="5"/>
        <v>72.726340133700674</v>
      </c>
      <c r="E30" s="112">
        <f t="shared" si="6"/>
        <v>67.537999393376069</v>
      </c>
      <c r="F30" s="112">
        <f t="shared" si="7"/>
        <v>3.0828589590791466</v>
      </c>
      <c r="G30" s="112">
        <f t="shared" si="8"/>
        <v>0</v>
      </c>
      <c r="H30" s="176">
        <f t="shared" si="9"/>
        <v>70.620858352455215</v>
      </c>
      <c r="I30" s="112">
        <f t="shared" si="3"/>
        <v>2.1054817812454587</v>
      </c>
      <c r="J30" s="278">
        <v>2.7000000000000001E-3</v>
      </c>
      <c r="K30" s="537">
        <f t="shared" si="10"/>
        <v>23.452718257876001</v>
      </c>
      <c r="L30" s="745">
        <f t="shared" si="4"/>
        <v>6.0479938891583838E-2</v>
      </c>
      <c r="M30" s="280">
        <f t="shared" si="2"/>
        <v>23.513198196767583</v>
      </c>
      <c r="N30" s="34">
        <f t="shared" si="1"/>
        <v>20</v>
      </c>
      <c r="O30" s="128"/>
    </row>
    <row r="31" spans="1:17" x14ac:dyDescent="0.35">
      <c r="A31" s="34">
        <f t="shared" si="0"/>
        <v>21</v>
      </c>
      <c r="B31" s="575" t="s">
        <v>167</v>
      </c>
      <c r="C31" s="576" t="str">
        <f>C20</f>
        <v>2021</v>
      </c>
      <c r="D31" s="522">
        <f t="shared" si="5"/>
        <v>72.726340133700674</v>
      </c>
      <c r="E31" s="112">
        <f t="shared" si="6"/>
        <v>67.537999393376069</v>
      </c>
      <c r="F31" s="112">
        <f t="shared" si="7"/>
        <v>3.0828589590791466</v>
      </c>
      <c r="G31" s="112">
        <f t="shared" si="8"/>
        <v>0</v>
      </c>
      <c r="H31" s="573">
        <f>SUM(E31:G31)</f>
        <v>70.620858352455215</v>
      </c>
      <c r="I31" s="562">
        <f t="shared" si="3"/>
        <v>2.1054817812454587</v>
      </c>
      <c r="J31" s="577">
        <v>2.8E-3</v>
      </c>
      <c r="K31" s="631">
        <f t="shared" si="10"/>
        <v>25.618679978013041</v>
      </c>
      <c r="L31" s="746">
        <f t="shared" si="4"/>
        <v>6.878462944469288E-2</v>
      </c>
      <c r="M31" s="573">
        <f t="shared" si="2"/>
        <v>25.687464607457734</v>
      </c>
      <c r="N31" s="34">
        <f t="shared" si="1"/>
        <v>21</v>
      </c>
      <c r="O31" s="128"/>
    </row>
    <row r="32" spans="1:17" ht="16" thickBot="1" x14ac:dyDescent="0.4">
      <c r="A32" s="34">
        <f t="shared" si="0"/>
        <v>22</v>
      </c>
      <c r="D32" s="287">
        <f t="shared" ref="D32:I32" si="11">SUM(D20:D31)</f>
        <v>872.71608160440803</v>
      </c>
      <c r="E32" s="287">
        <f t="shared" si="11"/>
        <v>810.45599272051265</v>
      </c>
      <c r="F32" s="287">
        <f t="shared" si="11"/>
        <v>36.99430750894976</v>
      </c>
      <c r="G32" s="287">
        <f t="shared" si="11"/>
        <v>0</v>
      </c>
      <c r="H32" s="287">
        <f t="shared" si="11"/>
        <v>847.45030022946264</v>
      </c>
      <c r="I32" s="287">
        <f t="shared" si="11"/>
        <v>25.265781374945504</v>
      </c>
      <c r="J32" s="632"/>
      <c r="K32" s="288"/>
      <c r="L32" s="747">
        <f>SUM(L20:L31)</f>
        <v>0.42168323251222978</v>
      </c>
      <c r="M32" s="288"/>
      <c r="N32" s="34">
        <f t="shared" si="1"/>
        <v>22</v>
      </c>
    </row>
    <row r="33" spans="1:13" ht="16" thickTop="1" x14ac:dyDescent="0.35">
      <c r="D33" s="289"/>
      <c r="E33" s="289"/>
      <c r="F33" s="289"/>
      <c r="G33" s="289"/>
      <c r="H33" s="289"/>
      <c r="I33" s="289"/>
      <c r="J33" s="289"/>
      <c r="K33" s="289"/>
      <c r="L33" s="289"/>
      <c r="M33" s="289"/>
    </row>
    <row r="34" spans="1:13" x14ac:dyDescent="0.35">
      <c r="B34" s="633"/>
      <c r="F34" s="290"/>
      <c r="G34" s="290"/>
    </row>
    <row r="35" spans="1:13" ht="18" x14ac:dyDescent="0.35">
      <c r="A35" s="291">
        <v>1</v>
      </c>
      <c r="B35" s="35" t="s">
        <v>168</v>
      </c>
      <c r="F35" s="290"/>
      <c r="G35" s="290"/>
    </row>
    <row r="36" spans="1:13" ht="18" x14ac:dyDescent="0.35">
      <c r="A36" s="291">
        <v>2</v>
      </c>
      <c r="B36" s="35" t="s">
        <v>169</v>
      </c>
    </row>
    <row r="37" spans="1:13" ht="18" x14ac:dyDescent="0.35">
      <c r="A37" s="291">
        <v>3</v>
      </c>
      <c r="B37" s="35" t="s">
        <v>170</v>
      </c>
    </row>
    <row r="38" spans="1:13" ht="18" x14ac:dyDescent="0.35">
      <c r="A38" s="291">
        <v>4</v>
      </c>
      <c r="B38" s="35" t="s">
        <v>171</v>
      </c>
    </row>
    <row r="39" spans="1:13" ht="18" x14ac:dyDescent="0.35">
      <c r="A39" s="291"/>
      <c r="B39" s="35" t="s">
        <v>172</v>
      </c>
    </row>
    <row r="40" spans="1:13" ht="18" x14ac:dyDescent="0.35">
      <c r="A40" s="291">
        <v>5</v>
      </c>
      <c r="B40" s="35" t="s">
        <v>173</v>
      </c>
      <c r="C40" s="511"/>
    </row>
    <row r="41" spans="1:13" ht="18" x14ac:dyDescent="0.35">
      <c r="A41" s="291">
        <v>6</v>
      </c>
      <c r="B41" s="35" t="s">
        <v>174</v>
      </c>
    </row>
    <row r="42" spans="1:13" ht="18" x14ac:dyDescent="0.35">
      <c r="A42" s="291">
        <v>7</v>
      </c>
      <c r="B42" s="35" t="s">
        <v>175</v>
      </c>
    </row>
  </sheetData>
  <mergeCells count="5">
    <mergeCell ref="B3:N3"/>
    <mergeCell ref="B7:M7"/>
    <mergeCell ref="B4:N4"/>
    <mergeCell ref="B5:N5"/>
    <mergeCell ref="B6:N6"/>
  </mergeCells>
  <printOptions horizontalCentered="1"/>
  <pageMargins left="0.25" right="0.25" top="0.5" bottom="0.5" header="0.35" footer="0.25"/>
  <pageSetup scale="51" orientation="landscape" r:id="rId1"/>
  <headerFooter scaleWithDoc="0" alignWithMargins="0">
    <oddHeader>&amp;C&amp;"Times New Roman,Bold"&amp;7AS FILED</oddHeader>
    <oddFooter>&amp;L&amp;F&amp;CPage 7.1&amp;R&amp;A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8A4F7-766E-4261-B175-6DD1BC527839}">
  <sheetPr>
    <pageSetUpPr fitToPage="1"/>
  </sheetPr>
  <dimension ref="A1:J74"/>
  <sheetViews>
    <sheetView zoomScale="80" zoomScaleNormal="80" workbookViewId="0"/>
  </sheetViews>
  <sheetFormatPr defaultColWidth="8.81640625" defaultRowHeight="15.5" x14ac:dyDescent="0.35"/>
  <cols>
    <col min="1" max="1" width="5.1796875" style="34" bestFit="1" customWidth="1"/>
    <col min="2" max="2" width="80.54296875" style="35" customWidth="1"/>
    <col min="3" max="3" width="21.1796875" style="35" customWidth="1"/>
    <col min="4" max="4" width="1.54296875" style="35" customWidth="1"/>
    <col min="5" max="5" width="16.81640625" style="35" customWidth="1"/>
    <col min="6" max="6" width="1.54296875" style="35" customWidth="1"/>
    <col min="7" max="7" width="47.54296875" style="35" customWidth="1"/>
    <col min="8" max="8" width="5.1796875" style="35" customWidth="1"/>
    <col min="9" max="9" width="8.81640625" style="35"/>
    <col min="10" max="10" width="20.453125" style="35" bestFit="1" customWidth="1"/>
    <col min="11" max="16384" width="8.81640625" style="35"/>
  </cols>
  <sheetData>
    <row r="1" spans="1:8" x14ac:dyDescent="0.35">
      <c r="G1" s="34"/>
      <c r="H1" s="34"/>
    </row>
    <row r="2" spans="1:8" x14ac:dyDescent="0.35">
      <c r="B2" s="773" t="s">
        <v>14</v>
      </c>
      <c r="C2" s="773"/>
      <c r="D2" s="773"/>
      <c r="E2" s="773"/>
      <c r="F2" s="773"/>
      <c r="G2" s="773"/>
      <c r="H2" s="34"/>
    </row>
    <row r="3" spans="1:8" x14ac:dyDescent="0.35">
      <c r="B3" s="773" t="s">
        <v>176</v>
      </c>
      <c r="C3" s="773"/>
      <c r="D3" s="773"/>
      <c r="E3" s="773"/>
      <c r="F3" s="773"/>
      <c r="G3" s="773"/>
      <c r="H3" s="34"/>
    </row>
    <row r="4" spans="1:8" x14ac:dyDescent="0.35">
      <c r="B4" s="773" t="s">
        <v>177</v>
      </c>
      <c r="C4" s="773"/>
      <c r="D4" s="773"/>
      <c r="E4" s="773"/>
      <c r="F4" s="773"/>
      <c r="G4" s="773"/>
      <c r="H4" s="34"/>
    </row>
    <row r="5" spans="1:8" x14ac:dyDescent="0.35">
      <c r="B5" s="775" t="s">
        <v>496</v>
      </c>
      <c r="C5" s="775"/>
      <c r="D5" s="775"/>
      <c r="E5" s="775"/>
      <c r="F5" s="775"/>
      <c r="G5" s="775"/>
      <c r="H5" s="34"/>
    </row>
    <row r="6" spans="1:8" x14ac:dyDescent="0.35">
      <c r="B6" s="771" t="s">
        <v>1</v>
      </c>
      <c r="C6" s="774"/>
      <c r="D6" s="774"/>
      <c r="E6" s="774"/>
      <c r="F6" s="774"/>
      <c r="G6" s="774"/>
      <c r="H6" s="34"/>
    </row>
    <row r="7" spans="1:8" x14ac:dyDescent="0.35">
      <c r="B7" s="34"/>
      <c r="C7" s="34"/>
      <c r="D7" s="34"/>
      <c r="E7" s="37"/>
      <c r="F7" s="37"/>
      <c r="G7" s="34"/>
      <c r="H7" s="34"/>
    </row>
    <row r="8" spans="1:8" x14ac:dyDescent="0.35">
      <c r="A8" s="34" t="s">
        <v>2</v>
      </c>
      <c r="B8" s="324"/>
      <c r="C8" s="34" t="s">
        <v>178</v>
      </c>
      <c r="D8" s="324"/>
      <c r="E8" s="38"/>
      <c r="F8" s="38"/>
      <c r="G8" s="34"/>
      <c r="H8" s="34" t="s">
        <v>2</v>
      </c>
    </row>
    <row r="9" spans="1:8" x14ac:dyDescent="0.35">
      <c r="A9" s="34" t="s">
        <v>3</v>
      </c>
      <c r="C9" s="566" t="s">
        <v>179</v>
      </c>
      <c r="D9" s="324"/>
      <c r="E9" s="567" t="s">
        <v>5</v>
      </c>
      <c r="F9" s="38"/>
      <c r="G9" s="566" t="s">
        <v>6</v>
      </c>
      <c r="H9" s="34" t="s">
        <v>3</v>
      </c>
    </row>
    <row r="10" spans="1:8" x14ac:dyDescent="0.35">
      <c r="C10" s="324"/>
      <c r="D10" s="324"/>
      <c r="E10" s="38"/>
      <c r="F10" s="38"/>
      <c r="G10" s="34"/>
      <c r="H10" s="34"/>
    </row>
    <row r="11" spans="1:8" x14ac:dyDescent="0.35">
      <c r="A11" s="34">
        <v>1</v>
      </c>
      <c r="B11" s="292" t="s">
        <v>180</v>
      </c>
      <c r="C11" s="324"/>
      <c r="D11" s="324"/>
      <c r="E11" s="38"/>
      <c r="F11" s="38"/>
      <c r="G11" s="34"/>
      <c r="H11" s="34">
        <f>A11</f>
        <v>1</v>
      </c>
    </row>
    <row r="12" spans="1:8" x14ac:dyDescent="0.35">
      <c r="A12" s="34">
        <f>+A11+1</f>
        <v>2</v>
      </c>
      <c r="B12" s="252" t="s">
        <v>181</v>
      </c>
      <c r="C12" s="324"/>
      <c r="D12" s="324"/>
      <c r="E12" s="40">
        <v>0</v>
      </c>
      <c r="F12" s="38"/>
      <c r="G12" s="34" t="s">
        <v>637</v>
      </c>
      <c r="H12" s="34">
        <f>H11+1</f>
        <v>2</v>
      </c>
    </row>
    <row r="13" spans="1:8" x14ac:dyDescent="0.35">
      <c r="A13" s="34">
        <f t="shared" ref="A13:A69" si="0">+A12+1</f>
        <v>3</v>
      </c>
      <c r="C13" s="324"/>
      <c r="D13" s="324"/>
      <c r="E13" s="38"/>
      <c r="F13" s="38"/>
      <c r="G13" s="34"/>
      <c r="H13" s="34">
        <f t="shared" ref="H13:H69" si="1">H12+1</f>
        <v>3</v>
      </c>
    </row>
    <row r="14" spans="1:8" x14ac:dyDescent="0.35">
      <c r="A14" s="34">
        <f t="shared" si="0"/>
        <v>4</v>
      </c>
      <c r="B14" s="292" t="s">
        <v>182</v>
      </c>
      <c r="G14" s="34"/>
      <c r="H14" s="34">
        <f t="shared" si="1"/>
        <v>4</v>
      </c>
    </row>
    <row r="15" spans="1:8" x14ac:dyDescent="0.35">
      <c r="A15" s="34">
        <f t="shared" si="0"/>
        <v>5</v>
      </c>
      <c r="B15" s="18" t="s">
        <v>183</v>
      </c>
      <c r="C15" s="34"/>
      <c r="E15" s="40">
        <v>109950.11891999999</v>
      </c>
      <c r="G15" s="34" t="s">
        <v>184</v>
      </c>
      <c r="H15" s="34">
        <f t="shared" si="1"/>
        <v>5</v>
      </c>
    </row>
    <row r="16" spans="1:8" x14ac:dyDescent="0.35">
      <c r="A16" s="34">
        <f t="shared" si="0"/>
        <v>6</v>
      </c>
      <c r="B16" s="23" t="s">
        <v>185</v>
      </c>
      <c r="E16" s="42"/>
      <c r="G16" s="34"/>
      <c r="H16" s="34">
        <f t="shared" si="1"/>
        <v>6</v>
      </c>
    </row>
    <row r="17" spans="1:10" x14ac:dyDescent="0.35">
      <c r="A17" s="34">
        <f t="shared" si="0"/>
        <v>7</v>
      </c>
      <c r="B17" s="18" t="s">
        <v>186</v>
      </c>
      <c r="C17" s="34"/>
      <c r="E17" s="43">
        <v>-3844.3684500000004</v>
      </c>
      <c r="G17" s="34" t="s">
        <v>591</v>
      </c>
      <c r="H17" s="34">
        <f t="shared" si="1"/>
        <v>7</v>
      </c>
    </row>
    <row r="18" spans="1:10" x14ac:dyDescent="0.35">
      <c r="A18" s="34">
        <f t="shared" si="0"/>
        <v>8</v>
      </c>
      <c r="B18" s="18" t="s">
        <v>188</v>
      </c>
      <c r="E18" s="43">
        <v>-1815.5599299999999</v>
      </c>
      <c r="G18" s="34" t="s">
        <v>592</v>
      </c>
      <c r="H18" s="34">
        <f t="shared" si="1"/>
        <v>8</v>
      </c>
    </row>
    <row r="19" spans="1:10" x14ac:dyDescent="0.35">
      <c r="A19" s="34">
        <f t="shared" si="0"/>
        <v>9</v>
      </c>
      <c r="B19" s="252" t="s">
        <v>190</v>
      </c>
      <c r="E19" s="43">
        <v>-8258.6720000000005</v>
      </c>
      <c r="G19" s="34" t="s">
        <v>187</v>
      </c>
      <c r="H19" s="34">
        <f t="shared" si="1"/>
        <v>9</v>
      </c>
    </row>
    <row r="20" spans="1:10" x14ac:dyDescent="0.35">
      <c r="A20" s="34">
        <f t="shared" si="0"/>
        <v>10</v>
      </c>
      <c r="B20" s="252" t="s">
        <v>633</v>
      </c>
      <c r="E20" s="43">
        <v>-10149.41</v>
      </c>
      <c r="G20" s="34" t="s">
        <v>189</v>
      </c>
      <c r="H20" s="34">
        <f t="shared" si="1"/>
        <v>10</v>
      </c>
    </row>
    <row r="21" spans="1:10" x14ac:dyDescent="0.35">
      <c r="A21" s="34">
        <f t="shared" si="0"/>
        <v>11</v>
      </c>
      <c r="B21" s="18" t="s">
        <v>192</v>
      </c>
      <c r="E21" s="43">
        <v>0</v>
      </c>
      <c r="G21" s="34" t="s">
        <v>191</v>
      </c>
      <c r="H21" s="34">
        <f t="shared" si="1"/>
        <v>11</v>
      </c>
    </row>
    <row r="22" spans="1:10" x14ac:dyDescent="0.35">
      <c r="A22" s="34">
        <f t="shared" si="0"/>
        <v>12</v>
      </c>
      <c r="B22" s="18" t="s">
        <v>193</v>
      </c>
      <c r="E22" s="43">
        <v>-3708.41851</v>
      </c>
      <c r="G22" s="34" t="s">
        <v>593</v>
      </c>
      <c r="H22" s="34">
        <f t="shared" si="1"/>
        <v>12</v>
      </c>
    </row>
    <row r="23" spans="1:10" x14ac:dyDescent="0.35">
      <c r="A23" s="34">
        <f t="shared" si="0"/>
        <v>13</v>
      </c>
      <c r="B23" s="252" t="s">
        <v>194</v>
      </c>
      <c r="E23" s="43">
        <v>-19573.862000000001</v>
      </c>
      <c r="G23" s="34" t="s">
        <v>594</v>
      </c>
      <c r="H23" s="34">
        <f t="shared" si="1"/>
        <v>13</v>
      </c>
    </row>
    <row r="24" spans="1:10" x14ac:dyDescent="0.35">
      <c r="A24" s="34">
        <f t="shared" si="0"/>
        <v>14</v>
      </c>
      <c r="B24" s="252" t="s">
        <v>195</v>
      </c>
      <c r="E24" s="43">
        <v>-24432.907999999999</v>
      </c>
      <c r="G24" s="34" t="s">
        <v>595</v>
      </c>
      <c r="H24" s="34">
        <f t="shared" si="1"/>
        <v>14</v>
      </c>
    </row>
    <row r="25" spans="1:10" x14ac:dyDescent="0.35">
      <c r="A25" s="34">
        <f t="shared" si="0"/>
        <v>15</v>
      </c>
      <c r="B25" s="252" t="s">
        <v>196</v>
      </c>
      <c r="E25" s="43">
        <v>-423.899</v>
      </c>
      <c r="G25" s="34" t="s">
        <v>638</v>
      </c>
      <c r="H25" s="34">
        <f t="shared" si="1"/>
        <v>15</v>
      </c>
    </row>
    <row r="26" spans="1:10" x14ac:dyDescent="0.35">
      <c r="A26" s="34">
        <f t="shared" si="0"/>
        <v>16</v>
      </c>
      <c r="B26" s="18" t="s">
        <v>197</v>
      </c>
      <c r="E26" s="44">
        <v>-105.63984000000001</v>
      </c>
      <c r="G26" s="34" t="s">
        <v>486</v>
      </c>
      <c r="H26" s="34">
        <f t="shared" si="1"/>
        <v>16</v>
      </c>
    </row>
    <row r="27" spans="1:10" x14ac:dyDescent="0.35">
      <c r="A27" s="34">
        <f t="shared" si="0"/>
        <v>17</v>
      </c>
      <c r="B27" s="18" t="s">
        <v>198</v>
      </c>
      <c r="E27" s="97">
        <f>SUM(E15:E26)</f>
        <v>37637.381189999978</v>
      </c>
      <c r="G27" s="29" t="s">
        <v>596</v>
      </c>
      <c r="H27" s="34">
        <f t="shared" si="1"/>
        <v>17</v>
      </c>
    </row>
    <row r="28" spans="1:10" x14ac:dyDescent="0.35">
      <c r="A28" s="34">
        <f t="shared" si="0"/>
        <v>18</v>
      </c>
      <c r="E28" s="33"/>
      <c r="H28" s="34">
        <f t="shared" si="1"/>
        <v>18</v>
      </c>
    </row>
    <row r="29" spans="1:10" x14ac:dyDescent="0.35">
      <c r="A29" s="34">
        <f t="shared" si="0"/>
        <v>19</v>
      </c>
      <c r="B29" s="293" t="s">
        <v>199</v>
      </c>
      <c r="E29" s="45"/>
      <c r="G29" s="34"/>
      <c r="H29" s="34">
        <f t="shared" si="1"/>
        <v>19</v>
      </c>
    </row>
    <row r="30" spans="1:10" x14ac:dyDescent="0.35">
      <c r="A30" s="34">
        <f t="shared" si="0"/>
        <v>20</v>
      </c>
      <c r="B30" s="23" t="s">
        <v>200</v>
      </c>
      <c r="C30" s="34"/>
      <c r="E30" s="40">
        <v>656998.86427999998</v>
      </c>
      <c r="G30" s="34" t="s">
        <v>597</v>
      </c>
      <c r="H30" s="34">
        <f t="shared" si="1"/>
        <v>20</v>
      </c>
    </row>
    <row r="31" spans="1:10" x14ac:dyDescent="0.35">
      <c r="A31" s="34">
        <f t="shared" si="0"/>
        <v>21</v>
      </c>
      <c r="B31" s="23" t="s">
        <v>201</v>
      </c>
      <c r="E31" s="45" t="s">
        <v>202</v>
      </c>
      <c r="G31" s="34"/>
      <c r="H31" s="34">
        <f t="shared" si="1"/>
        <v>21</v>
      </c>
    </row>
    <row r="32" spans="1:10" x14ac:dyDescent="0.35">
      <c r="A32" s="34">
        <f t="shared" si="0"/>
        <v>22</v>
      </c>
      <c r="B32" s="41" t="s">
        <v>203</v>
      </c>
      <c r="E32" s="43">
        <v>-5025.3662400000003</v>
      </c>
      <c r="G32" s="34" t="s">
        <v>651</v>
      </c>
      <c r="H32" s="34">
        <f t="shared" si="1"/>
        <v>22</v>
      </c>
      <c r="I32" s="294"/>
      <c r="J32" s="47"/>
    </row>
    <row r="33" spans="1:10" ht="31" x14ac:dyDescent="0.35">
      <c r="A33" s="34">
        <f t="shared" si="0"/>
        <v>23</v>
      </c>
      <c r="B33" s="41" t="s">
        <v>204</v>
      </c>
      <c r="E33" s="43">
        <v>-13176.468442261001</v>
      </c>
      <c r="G33" s="46" t="s">
        <v>652</v>
      </c>
      <c r="H33" s="34">
        <f t="shared" si="1"/>
        <v>23</v>
      </c>
      <c r="I33" s="294"/>
      <c r="J33" s="47"/>
    </row>
    <row r="34" spans="1:10" x14ac:dyDescent="0.35">
      <c r="A34" s="34">
        <f t="shared" si="0"/>
        <v>24</v>
      </c>
      <c r="B34" s="41" t="s">
        <v>205</v>
      </c>
      <c r="E34" s="43">
        <v>0</v>
      </c>
      <c r="G34" s="34" t="s">
        <v>653</v>
      </c>
      <c r="H34" s="34">
        <f t="shared" si="1"/>
        <v>24</v>
      </c>
    </row>
    <row r="35" spans="1:10" x14ac:dyDescent="0.35">
      <c r="A35" s="34">
        <f t="shared" si="0"/>
        <v>25</v>
      </c>
      <c r="B35" s="41" t="s">
        <v>206</v>
      </c>
      <c r="E35" s="43">
        <v>-617.17561999999998</v>
      </c>
      <c r="G35" s="34" t="s">
        <v>654</v>
      </c>
      <c r="H35" s="34">
        <f t="shared" si="1"/>
        <v>25</v>
      </c>
      <c r="J35" s="47"/>
    </row>
    <row r="36" spans="1:10" x14ac:dyDescent="0.35">
      <c r="A36" s="34">
        <f t="shared" si="0"/>
        <v>26</v>
      </c>
      <c r="B36" s="41" t="s">
        <v>635</v>
      </c>
      <c r="E36" s="43">
        <v>-22235.548999999999</v>
      </c>
      <c r="G36" s="34" t="s">
        <v>490</v>
      </c>
      <c r="H36" s="34">
        <f t="shared" si="1"/>
        <v>26</v>
      </c>
      <c r="J36" s="47"/>
    </row>
    <row r="37" spans="1:10" x14ac:dyDescent="0.35">
      <c r="A37" s="34">
        <f t="shared" si="0"/>
        <v>27</v>
      </c>
      <c r="B37" s="41" t="s">
        <v>207</v>
      </c>
      <c r="E37" s="43">
        <v>0</v>
      </c>
      <c r="G37" s="497" t="s">
        <v>491</v>
      </c>
      <c r="H37" s="34">
        <f t="shared" si="1"/>
        <v>27</v>
      </c>
      <c r="J37" s="47"/>
    </row>
    <row r="38" spans="1:10" x14ac:dyDescent="0.35">
      <c r="A38" s="34">
        <f t="shared" si="0"/>
        <v>28</v>
      </c>
      <c r="B38" s="41" t="s">
        <v>208</v>
      </c>
      <c r="E38" s="43">
        <v>-66.134640000000005</v>
      </c>
      <c r="G38" s="46" t="s">
        <v>655</v>
      </c>
      <c r="H38" s="34">
        <f t="shared" si="1"/>
        <v>28</v>
      </c>
      <c r="I38" s="294"/>
    </row>
    <row r="39" spans="1:10" x14ac:dyDescent="0.35">
      <c r="A39" s="34">
        <f t="shared" si="0"/>
        <v>29</v>
      </c>
      <c r="B39" s="41" t="s">
        <v>209</v>
      </c>
      <c r="E39" s="43">
        <v>-128579.84063999999</v>
      </c>
      <c r="G39" s="34" t="s">
        <v>656</v>
      </c>
      <c r="H39" s="34">
        <f t="shared" si="1"/>
        <v>29</v>
      </c>
      <c r="I39" s="294"/>
      <c r="J39" s="47"/>
    </row>
    <row r="40" spans="1:10" x14ac:dyDescent="0.35">
      <c r="A40" s="34">
        <f t="shared" si="0"/>
        <v>30</v>
      </c>
      <c r="B40" s="41" t="s">
        <v>210</v>
      </c>
      <c r="E40" s="43">
        <v>-25.724845446</v>
      </c>
      <c r="G40" s="46" t="s">
        <v>657</v>
      </c>
      <c r="H40" s="34">
        <f t="shared" si="1"/>
        <v>30</v>
      </c>
    </row>
    <row r="41" spans="1:10" x14ac:dyDescent="0.35">
      <c r="A41" s="34">
        <f t="shared" si="0"/>
        <v>31</v>
      </c>
      <c r="B41" s="41" t="s">
        <v>211</v>
      </c>
      <c r="E41" s="43">
        <v>-964.92977000000019</v>
      </c>
      <c r="G41" s="46" t="s">
        <v>495</v>
      </c>
      <c r="H41" s="34">
        <f t="shared" si="1"/>
        <v>31</v>
      </c>
    </row>
    <row r="42" spans="1:10" ht="31" x14ac:dyDescent="0.35">
      <c r="A42" s="34">
        <f t="shared" si="0"/>
        <v>32</v>
      </c>
      <c r="B42" s="41" t="s">
        <v>212</v>
      </c>
      <c r="E42" s="43">
        <v>-9748.0802954320006</v>
      </c>
      <c r="G42" s="46" t="s">
        <v>658</v>
      </c>
      <c r="H42" s="34">
        <f t="shared" si="1"/>
        <v>32</v>
      </c>
    </row>
    <row r="43" spans="1:10" x14ac:dyDescent="0.35">
      <c r="A43" s="34">
        <f t="shared" si="0"/>
        <v>33</v>
      </c>
      <c r="B43" s="511" t="s">
        <v>213</v>
      </c>
      <c r="E43" s="563">
        <f>'Pg8.2 Rev AH-3'!H30</f>
        <v>12176.99337</v>
      </c>
      <c r="F43" s="24" t="s">
        <v>24</v>
      </c>
      <c r="G43" s="46" t="s">
        <v>659</v>
      </c>
      <c r="H43" s="34">
        <f t="shared" si="1"/>
        <v>33</v>
      </c>
      <c r="J43" s="749"/>
    </row>
    <row r="44" spans="1:10" x14ac:dyDescent="0.35">
      <c r="A44" s="34">
        <f t="shared" si="0"/>
        <v>34</v>
      </c>
      <c r="B44" s="23" t="s">
        <v>214</v>
      </c>
      <c r="E44" s="49">
        <f>SUM(E30:E43)</f>
        <v>488736.58815686102</v>
      </c>
      <c r="F44" s="24" t="s">
        <v>24</v>
      </c>
      <c r="G44" s="34" t="s">
        <v>607</v>
      </c>
      <c r="H44" s="34">
        <f t="shared" si="1"/>
        <v>34</v>
      </c>
      <c r="J44" s="48"/>
    </row>
    <row r="45" spans="1:10" x14ac:dyDescent="0.35">
      <c r="A45" s="34">
        <f t="shared" si="0"/>
        <v>35</v>
      </c>
      <c r="B45" s="23" t="s">
        <v>215</v>
      </c>
      <c r="E45" s="634">
        <v>-8615.7170000000006</v>
      </c>
      <c r="G45" s="34" t="s">
        <v>216</v>
      </c>
      <c r="H45" s="34">
        <f t="shared" si="1"/>
        <v>35</v>
      </c>
    </row>
    <row r="46" spans="1:10" x14ac:dyDescent="0.35">
      <c r="A46" s="34">
        <f t="shared" si="0"/>
        <v>36</v>
      </c>
      <c r="B46" s="23" t="s">
        <v>217</v>
      </c>
      <c r="E46" s="49">
        <f>SUM(E44:E45)</f>
        <v>480120.87115686102</v>
      </c>
      <c r="F46" s="24" t="s">
        <v>24</v>
      </c>
      <c r="G46" s="34" t="s">
        <v>441</v>
      </c>
      <c r="H46" s="34">
        <f t="shared" si="1"/>
        <v>36</v>
      </c>
    </row>
    <row r="47" spans="1:10" x14ac:dyDescent="0.35">
      <c r="A47" s="34">
        <f t="shared" si="0"/>
        <v>37</v>
      </c>
      <c r="B47" s="18" t="s">
        <v>218</v>
      </c>
      <c r="E47" s="636">
        <v>0.10978650001623282</v>
      </c>
      <c r="G47" s="29" t="s">
        <v>219</v>
      </c>
      <c r="H47" s="34">
        <f t="shared" si="1"/>
        <v>37</v>
      </c>
    </row>
    <row r="48" spans="1:10" x14ac:dyDescent="0.35">
      <c r="A48" s="34">
        <f t="shared" si="0"/>
        <v>38</v>
      </c>
      <c r="B48" s="23" t="s">
        <v>220</v>
      </c>
      <c r="E48" s="50">
        <f>E46*E47</f>
        <v>52710.790029056436</v>
      </c>
      <c r="F48" s="24" t="s">
        <v>24</v>
      </c>
      <c r="G48" s="34" t="s">
        <v>608</v>
      </c>
      <c r="H48" s="34">
        <f t="shared" si="1"/>
        <v>38</v>
      </c>
    </row>
    <row r="49" spans="1:10" x14ac:dyDescent="0.35">
      <c r="A49" s="34">
        <f t="shared" si="0"/>
        <v>39</v>
      </c>
      <c r="B49" s="35" t="s">
        <v>221</v>
      </c>
      <c r="E49" s="748">
        <f>E69*(-E45)</f>
        <v>3397.2150926655927</v>
      </c>
      <c r="G49" s="34" t="s">
        <v>609</v>
      </c>
      <c r="H49" s="34">
        <f t="shared" si="1"/>
        <v>39</v>
      </c>
    </row>
    <row r="50" spans="1:10" ht="16" thickBot="1" x14ac:dyDescent="0.4">
      <c r="A50" s="34">
        <f t="shared" si="0"/>
        <v>40</v>
      </c>
      <c r="B50" s="41" t="s">
        <v>222</v>
      </c>
      <c r="E50" s="295">
        <f>E49+E48</f>
        <v>56108.005121722032</v>
      </c>
      <c r="F50" s="24" t="s">
        <v>24</v>
      </c>
      <c r="G50" s="34" t="s">
        <v>610</v>
      </c>
      <c r="H50" s="34">
        <f t="shared" si="1"/>
        <v>40</v>
      </c>
      <c r="I50" s="41"/>
      <c r="J50" s="48"/>
    </row>
    <row r="51" spans="1:10" ht="16" thickTop="1" x14ac:dyDescent="0.35">
      <c r="A51" s="34">
        <f t="shared" si="0"/>
        <v>41</v>
      </c>
      <c r="B51" s="51"/>
      <c r="E51" s="52"/>
      <c r="G51" s="34"/>
      <c r="H51" s="34">
        <f t="shared" si="1"/>
        <v>41</v>
      </c>
    </row>
    <row r="52" spans="1:10" x14ac:dyDescent="0.35">
      <c r="A52" s="34">
        <f t="shared" si="0"/>
        <v>42</v>
      </c>
      <c r="B52" s="25" t="s">
        <v>223</v>
      </c>
      <c r="E52" s="53"/>
      <c r="G52" s="34"/>
      <c r="H52" s="34">
        <f t="shared" si="1"/>
        <v>42</v>
      </c>
    </row>
    <row r="53" spans="1:10" x14ac:dyDescent="0.35">
      <c r="A53" s="34">
        <f t="shared" si="0"/>
        <v>43</v>
      </c>
      <c r="B53" s="23" t="s">
        <v>224</v>
      </c>
      <c r="E53" s="30">
        <v>7121919.3161269231</v>
      </c>
      <c r="G53" s="34" t="s">
        <v>225</v>
      </c>
      <c r="H53" s="34">
        <f t="shared" si="1"/>
        <v>43</v>
      </c>
    </row>
    <row r="54" spans="1:10" x14ac:dyDescent="0.35">
      <c r="A54" s="34">
        <f t="shared" si="0"/>
        <v>44</v>
      </c>
      <c r="B54" s="23" t="s">
        <v>226</v>
      </c>
      <c r="E54" s="54">
        <v>0</v>
      </c>
      <c r="G54" s="34" t="s">
        <v>227</v>
      </c>
      <c r="H54" s="34">
        <f t="shared" si="1"/>
        <v>44</v>
      </c>
    </row>
    <row r="55" spans="1:10" x14ac:dyDescent="0.35">
      <c r="A55" s="34">
        <f t="shared" si="0"/>
        <v>45</v>
      </c>
      <c r="B55" s="23" t="s">
        <v>228</v>
      </c>
      <c r="E55" s="55">
        <v>55230.055232987666</v>
      </c>
      <c r="G55" s="56" t="s">
        <v>229</v>
      </c>
      <c r="H55" s="34">
        <f t="shared" si="1"/>
        <v>45</v>
      </c>
    </row>
    <row r="56" spans="1:10" x14ac:dyDescent="0.35">
      <c r="A56" s="34">
        <f t="shared" si="0"/>
        <v>46</v>
      </c>
      <c r="B56" s="23" t="s">
        <v>230</v>
      </c>
      <c r="E56" s="639">
        <v>149909.32883735534</v>
      </c>
      <c r="G56" s="56" t="s">
        <v>231</v>
      </c>
      <c r="H56" s="34">
        <f t="shared" si="1"/>
        <v>46</v>
      </c>
    </row>
    <row r="57" spans="1:10" ht="16" thickBot="1" x14ac:dyDescent="0.4">
      <c r="A57" s="34">
        <f t="shared" si="0"/>
        <v>47</v>
      </c>
      <c r="B57" s="23" t="s">
        <v>232</v>
      </c>
      <c r="E57" s="57">
        <f>SUM(E53:E56)</f>
        <v>7327058.7001972664</v>
      </c>
      <c r="G57" s="34" t="s">
        <v>611</v>
      </c>
      <c r="H57" s="34">
        <f t="shared" si="1"/>
        <v>47</v>
      </c>
      <c r="I57" s="41"/>
    </row>
    <row r="58" spans="1:10" ht="16" thickTop="1" x14ac:dyDescent="0.35">
      <c r="A58" s="34">
        <f t="shared" si="0"/>
        <v>48</v>
      </c>
      <c r="B58" s="51"/>
      <c r="E58" s="33"/>
      <c r="G58" s="34"/>
      <c r="H58" s="34">
        <f t="shared" si="1"/>
        <v>48</v>
      </c>
    </row>
    <row r="59" spans="1:10" x14ac:dyDescent="0.35">
      <c r="A59" s="34">
        <f t="shared" si="0"/>
        <v>49</v>
      </c>
      <c r="B59" s="23" t="s">
        <v>233</v>
      </c>
      <c r="E59" s="58">
        <f>E53</f>
        <v>7121919.3161269231</v>
      </c>
      <c r="G59" s="59" t="s">
        <v>612</v>
      </c>
      <c r="H59" s="34">
        <f t="shared" si="1"/>
        <v>49</v>
      </c>
    </row>
    <row r="60" spans="1:10" x14ac:dyDescent="0.35">
      <c r="A60" s="34">
        <f t="shared" si="0"/>
        <v>50</v>
      </c>
      <c r="B60" s="23" t="s">
        <v>234</v>
      </c>
      <c r="E60" s="31">
        <v>566175.05046153837</v>
      </c>
      <c r="G60" s="56" t="s">
        <v>235</v>
      </c>
      <c r="H60" s="34">
        <f t="shared" si="1"/>
        <v>50</v>
      </c>
    </row>
    <row r="61" spans="1:10" x14ac:dyDescent="0.35">
      <c r="A61" s="34">
        <f t="shared" si="0"/>
        <v>51</v>
      </c>
      <c r="B61" s="23" t="s">
        <v>236</v>
      </c>
      <c r="E61" s="54">
        <v>0</v>
      </c>
      <c r="G61" s="34" t="s">
        <v>227</v>
      </c>
      <c r="H61" s="34">
        <f t="shared" si="1"/>
        <v>51</v>
      </c>
    </row>
    <row r="62" spans="1:10" x14ac:dyDescent="0.35">
      <c r="A62" s="34">
        <f t="shared" si="0"/>
        <v>52</v>
      </c>
      <c r="B62" s="23" t="s">
        <v>237</v>
      </c>
      <c r="E62" s="31">
        <v>542749.88971846167</v>
      </c>
      <c r="G62" s="56" t="s">
        <v>238</v>
      </c>
      <c r="H62" s="34">
        <f t="shared" si="1"/>
        <v>52</v>
      </c>
    </row>
    <row r="63" spans="1:10" x14ac:dyDescent="0.35">
      <c r="A63" s="34">
        <f t="shared" si="0"/>
        <v>53</v>
      </c>
      <c r="B63" s="23" t="s">
        <v>239</v>
      </c>
      <c r="E63" s="31">
        <v>8482865.0223850012</v>
      </c>
      <c r="G63" s="56" t="s">
        <v>240</v>
      </c>
      <c r="H63" s="34">
        <f t="shared" si="1"/>
        <v>53</v>
      </c>
    </row>
    <row r="64" spans="1:10" x14ac:dyDescent="0.35">
      <c r="A64" s="34">
        <f t="shared" si="0"/>
        <v>54</v>
      </c>
      <c r="B64" s="41" t="s">
        <v>226</v>
      </c>
      <c r="E64" s="54">
        <v>0</v>
      </c>
      <c r="G64" s="34" t="s">
        <v>227</v>
      </c>
      <c r="H64" s="34">
        <f t="shared" si="1"/>
        <v>54</v>
      </c>
    </row>
    <row r="65" spans="1:9" x14ac:dyDescent="0.35">
      <c r="A65" s="34">
        <f t="shared" si="0"/>
        <v>55</v>
      </c>
      <c r="B65" s="23" t="s">
        <v>241</v>
      </c>
      <c r="E65" s="31">
        <v>503067.82004000002</v>
      </c>
      <c r="G65" s="56" t="s">
        <v>242</v>
      </c>
      <c r="H65" s="34">
        <f t="shared" si="1"/>
        <v>55</v>
      </c>
    </row>
    <row r="66" spans="1:9" x14ac:dyDescent="0.35">
      <c r="A66" s="34">
        <f t="shared" si="0"/>
        <v>56</v>
      </c>
      <c r="B66" s="23" t="s">
        <v>243</v>
      </c>
      <c r="E66" s="640">
        <v>1365462.3183650998</v>
      </c>
      <c r="G66" s="56" t="s">
        <v>244</v>
      </c>
      <c r="H66" s="34">
        <f t="shared" si="1"/>
        <v>56</v>
      </c>
    </row>
    <row r="67" spans="1:9" ht="16" thickBot="1" x14ac:dyDescent="0.4">
      <c r="A67" s="34">
        <f t="shared" si="0"/>
        <v>57</v>
      </c>
      <c r="B67" s="23" t="s">
        <v>245</v>
      </c>
      <c r="E67" s="60">
        <f>SUM(E59:E66)</f>
        <v>18582239.417097025</v>
      </c>
      <c r="G67" s="34" t="s">
        <v>613</v>
      </c>
      <c r="H67" s="34">
        <f t="shared" si="1"/>
        <v>57</v>
      </c>
      <c r="I67" s="41"/>
    </row>
    <row r="68" spans="1:9" ht="16" thickTop="1" x14ac:dyDescent="0.35">
      <c r="A68" s="34">
        <f t="shared" si="0"/>
        <v>58</v>
      </c>
      <c r="E68" s="61"/>
      <c r="G68" s="34"/>
      <c r="H68" s="34">
        <f t="shared" si="1"/>
        <v>58</v>
      </c>
    </row>
    <row r="69" spans="1:9" ht="19" thickBot="1" x14ac:dyDescent="0.4">
      <c r="A69" s="34">
        <f t="shared" si="0"/>
        <v>59</v>
      </c>
      <c r="B69" s="23" t="s">
        <v>246</v>
      </c>
      <c r="E69" s="62">
        <f>E57/E67</f>
        <v>0.3943043965656709</v>
      </c>
      <c r="G69" s="34" t="s">
        <v>614</v>
      </c>
      <c r="H69" s="34">
        <f t="shared" si="1"/>
        <v>59</v>
      </c>
      <c r="I69" s="41"/>
    </row>
    <row r="70" spans="1:9" ht="16" thickTop="1" x14ac:dyDescent="0.35">
      <c r="B70" s="41" t="s">
        <v>202</v>
      </c>
      <c r="E70" s="63"/>
      <c r="G70" s="34"/>
      <c r="H70" s="34"/>
    </row>
    <row r="71" spans="1:9" x14ac:dyDescent="0.35">
      <c r="B71" s="41"/>
      <c r="E71" s="63"/>
      <c r="G71" s="34"/>
      <c r="H71" s="34"/>
    </row>
    <row r="72" spans="1:9" x14ac:dyDescent="0.35">
      <c r="A72" s="24" t="s">
        <v>24</v>
      </c>
      <c r="B72" s="600" t="s">
        <v>647</v>
      </c>
      <c r="E72" s="63"/>
      <c r="F72" s="63"/>
      <c r="G72" s="34"/>
      <c r="H72" s="34"/>
    </row>
    <row r="73" spans="1:9" ht="18" x14ac:dyDescent="0.35">
      <c r="A73" s="65">
        <v>1</v>
      </c>
      <c r="B73" s="23" t="s">
        <v>247</v>
      </c>
      <c r="H73" s="34"/>
    </row>
    <row r="74" spans="1:9" x14ac:dyDescent="0.35">
      <c r="B74" s="41"/>
      <c r="E74" s="61"/>
      <c r="F74" s="61"/>
      <c r="G74" s="34"/>
      <c r="H74" s="34"/>
    </row>
  </sheetData>
  <mergeCells count="5">
    <mergeCell ref="B6:G6"/>
    <mergeCell ref="B2:G2"/>
    <mergeCell ref="B3:G3"/>
    <mergeCell ref="B4:G4"/>
    <mergeCell ref="B5:G5"/>
  </mergeCells>
  <printOptions horizontalCentered="1"/>
  <pageMargins left="0.25" right="0.25" top="0.5" bottom="0.5" header="0.35" footer="0.25"/>
  <pageSetup scale="56" orientation="portrait" r:id="rId1"/>
  <headerFooter scaleWithDoc="0" alignWithMargins="0">
    <oddHeader>&amp;C&amp;"Times New Roman,Bold"&amp;7REVISED</oddHeader>
    <oddFooter>&amp;L&amp;F&amp;CPage 8&amp;R&amp;A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C0C4427B38DE4E8452B3A89053EC88" ma:contentTypeVersion="3" ma:contentTypeDescription="Create a new document." ma:contentTypeScope="" ma:versionID="86e604c333d1e82adf9a8cac158f27f9">
  <xsd:schema xmlns:xsd="http://www.w3.org/2001/XMLSchema" xmlns:xs="http://www.w3.org/2001/XMLSchema" xmlns:p="http://schemas.microsoft.com/office/2006/metadata/properties" xmlns:ns2="2e183c04-4e8d-4715-bce7-54b439dc82e0" targetNamespace="http://schemas.microsoft.com/office/2006/metadata/properties" ma:root="true" ma:fieldsID="f60c0adbf44dadf1983ea72cf2a1c870" ns2:_="">
    <xsd:import namespace="2e183c04-4e8d-4715-bce7-54b439dc82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183c04-4e8d-4715-bce7-54b439dc82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B5B7534-07F5-4BDA-AEF3-24F89356FD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183c04-4e8d-4715-bce7-54b439dc82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8C1B6D-18A1-4DEF-83AF-408F7FFA0C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13B3B9-87C6-4A42-8C75-02B6AB4D9C35}">
  <ds:schemaRefs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infopath/2007/PartnerControls"/>
    <ds:schemaRef ds:uri="2e183c04-4e8d-4715-bce7-54b439dc82e0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9</vt:i4>
      </vt:variant>
    </vt:vector>
  </HeadingPairs>
  <TitlesOfParts>
    <vt:vector size="28" baseType="lpstr">
      <vt:lpstr>Pg1 Appendix XII C5 Cost Adj</vt:lpstr>
      <vt:lpstr>Pg2 Appendix XII C5 Comparison</vt:lpstr>
      <vt:lpstr>Pg3 Rev App. XII C5</vt:lpstr>
      <vt:lpstr>Pg4 As Filed-Orig. App XII C5</vt:lpstr>
      <vt:lpstr>Pg5 Rev Sec.2-Non-Direct Exp</vt:lpstr>
      <vt:lpstr>Pg6 As Filed Sec.2-Non Dir Exp</vt:lpstr>
      <vt:lpstr>Pg7 Rev Sec.4-TU</vt:lpstr>
      <vt:lpstr>Pg7.1 As Filed Sec.4-TU</vt:lpstr>
      <vt:lpstr>Pg8 Rev Stmt AH</vt:lpstr>
      <vt:lpstr>Pg8.1 As Filed-Stmt AH</vt:lpstr>
      <vt:lpstr>Pg8.2 Rev AH-3</vt:lpstr>
      <vt:lpstr>Pg8.3 As Filed-AH-3</vt:lpstr>
      <vt:lpstr>Pg9 Rev Stmt AL</vt:lpstr>
      <vt:lpstr>Pg9.1 As Filed-Smt AL</vt:lpstr>
      <vt:lpstr>Pg10 Rev Stmt AV</vt:lpstr>
      <vt:lpstr>Pg11 As Filed Stmt AV</vt:lpstr>
      <vt:lpstr>Pg12 Rev AV-4</vt:lpstr>
      <vt:lpstr>Pg13 As Filed AV-4</vt:lpstr>
      <vt:lpstr>Pg14 Appendix XII C5 Int Calc</vt:lpstr>
      <vt:lpstr>'Pg11 As Filed Stmt AV'!Print_Area</vt:lpstr>
      <vt:lpstr>'Pg13 As Filed AV-4'!Print_Area</vt:lpstr>
      <vt:lpstr>'Pg4 As Filed-Orig. App XII C5'!Print_Area</vt:lpstr>
      <vt:lpstr>'Pg6 As Filed Sec.2-Non Dir Exp'!Print_Area</vt:lpstr>
      <vt:lpstr>'Pg7.1 As Filed Sec.4-TU'!Print_Area</vt:lpstr>
      <vt:lpstr>'Pg8.1 As Filed-Stmt AH'!Print_Area</vt:lpstr>
      <vt:lpstr>'Pg8.2 Rev AH-3'!Print_Area</vt:lpstr>
      <vt:lpstr>'Pg8.3 As Filed-AH-3'!Print_Area</vt:lpstr>
      <vt:lpstr>'Pg9.1 As Filed-Smt AL'!Print_Area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Tanedo, Lolit</dc:creator>
  <cp:keywords/>
  <dc:description/>
  <cp:lastModifiedBy>Lolit Tanedo</cp:lastModifiedBy>
  <cp:revision/>
  <cp:lastPrinted>2023-09-20T01:52:25Z</cp:lastPrinted>
  <dcterms:created xsi:type="dcterms:W3CDTF">2021-03-15T22:51:55Z</dcterms:created>
  <dcterms:modified xsi:type="dcterms:W3CDTF">2023-09-20T01:52:57Z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0x01010051C0C4427B38DE4E8452B3A89053EC88</vt:lpwstr>
  </property>
</Properties>
</file>