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2/Citizens/SX-PQ/Cycle 5 Annual Filing/SX-PQ Cycle 5 Oct Filing/"/>
    </mc:Choice>
  </mc:AlternateContent>
  <xr:revisionPtr revIDLastSave="571" documentId="8_{7C23047F-E14B-4B5D-BC0B-0FA7B8F536F5}" xr6:coauthVersionLast="47" xr6:coauthVersionMax="47" xr10:uidLastSave="{C2CBE156-066C-406E-A0CF-0BC0AB325107}"/>
  <bookViews>
    <workbookView xWindow="22932" yWindow="-156" windowWidth="23256" windowHeight="12576" xr2:uid="{A1AA674E-836A-4CFE-B14F-C8BAAC5651C2}"/>
  </bookViews>
  <sheets>
    <sheet name="Pg1 Appendix XII C4 Cost Adj" sheetId="1" r:id="rId1"/>
    <sheet name="Pg2 Appendix XII C4 Comparison" sheetId="16" r:id="rId2"/>
    <sheet name="Pg3 Rev Appendix XII C4" sheetId="15" r:id="rId3"/>
    <sheet name="Pg4 As Filed Appendix XII C4" sheetId="14" r:id="rId4"/>
    <sheet name="Pg5 Rev B.Sec.2-Non-Direct Exp" sheetId="13" r:id="rId5"/>
    <sheet name="Pg6 As Filed B.Sec.2-Non-Direct" sheetId="38" r:id="rId6"/>
    <sheet name="Pg7 Rev C.Sec.3-Other Costs" sheetId="35" r:id="rId7"/>
    <sheet name="Pg7.1 As Filed C.Sec.3-O-Costs" sheetId="34" r:id="rId8"/>
    <sheet name="Pg8 Rev Stmt AF" sheetId="26" r:id="rId9"/>
    <sheet name="Pg8.1 As Filed Stmt AF" sheetId="25" r:id="rId10"/>
    <sheet name="Pg8.2 Rev AF-1" sheetId="27" r:id="rId11"/>
    <sheet name="Pg8.2A As Filed AF-1" sheetId="24" r:id="rId12"/>
    <sheet name="Pg8.3 Rev AF-2" sheetId="28" r:id="rId13"/>
    <sheet name="Pg8.3A As Filed AF-2" sheetId="23" r:id="rId14"/>
    <sheet name="Pg9 Rev Stmt AH" sheetId="19" r:id="rId15"/>
    <sheet name="Pg9.1 As Filed Stmt AH" sheetId="39" r:id="rId16"/>
    <sheet name="Pg9.2 Rev AH-3" sheetId="18" r:id="rId17"/>
    <sheet name="Pg10 Rev Stmt AL" sheetId="17" r:id="rId18"/>
    <sheet name="Pg10.1 As Filed Stmt AL" sheetId="30" r:id="rId19"/>
    <sheet name="Pg11 Rev Stmt AV" sheetId="11" r:id="rId20"/>
    <sheet name="Pg12 As Filed Stmt AV" sheetId="32" r:id="rId21"/>
    <sheet name="Pg13 Rev AV-4" sheetId="21" r:id="rId22"/>
    <sheet name="Pg14 As Filed AV-4" sheetId="33" r:id="rId23"/>
    <sheet name="Pg15 Appendix XII C4 Int Calc" sheetId="22" r:id="rId24"/>
  </sheets>
  <definedNames>
    <definedName name="_xlnm.Print_Area" localSheetId="18">'Pg10.1 As Filed Stmt AL'!$A$2:$J$33</definedName>
    <definedName name="_xlnm.Print_Area" localSheetId="20">'Pg12 As Filed Stmt AV'!$A$2:$J$156</definedName>
    <definedName name="_xlnm.Print_Area" localSheetId="22">'Pg14 As Filed AV-4'!$A$2:$F$85</definedName>
    <definedName name="_xlnm.Print_Area" localSheetId="3">'Pg4 As Filed Appendix XII C4'!$A$2:$E$54</definedName>
    <definedName name="_xlnm.Print_Area" localSheetId="5">'Pg6 As Filed B.Sec.2-Non-Direct'!$A$2:$H$98</definedName>
    <definedName name="_xlnm.Print_Area" localSheetId="6">'Pg7 Rev C.Sec.3-Other Costs'!$A$1:$J$46</definedName>
    <definedName name="_xlnm.Print_Area" localSheetId="7">'Pg7.1 As Filed C.Sec.3-O-Costs'!$A$2:$J$43</definedName>
    <definedName name="_xlnm.Print_Area" localSheetId="9">'Pg8.1 As Filed Stmt AF'!$A$2:$L$29</definedName>
    <definedName name="_xlnm.Print_Area" localSheetId="11">'Pg8.2A As Filed AF-1'!$A$2:$K$46</definedName>
    <definedName name="_xlnm.Print_Area" localSheetId="13">'Pg8.3A As Filed AF-2'!$A$2:$K$46</definedName>
    <definedName name="_xlnm.Print_Area" localSheetId="15">'Pg9.1 As Filed Stmt AH'!$A$2:$H$72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21" l="1"/>
  <c r="B50" i="21"/>
  <c r="B114" i="11"/>
  <c r="B113" i="11"/>
  <c r="B49" i="28"/>
  <c r="B48" i="28"/>
  <c r="B49" i="27"/>
  <c r="B48" i="27"/>
  <c r="B46" i="35"/>
  <c r="B45" i="35"/>
  <c r="B102" i="13"/>
  <c r="B101" i="13"/>
  <c r="B55" i="15"/>
  <c r="G39" i="16" l="1"/>
  <c r="H44" i="39" l="1"/>
  <c r="A44" i="39"/>
  <c r="E59" i="39" l="1"/>
  <c r="E67" i="39" s="1"/>
  <c r="E57" i="39"/>
  <c r="E45" i="39"/>
  <c r="E43" i="39"/>
  <c r="E42" i="39"/>
  <c r="E41" i="39"/>
  <c r="E40" i="39"/>
  <c r="E39" i="39"/>
  <c r="E37" i="39"/>
  <c r="E36" i="39"/>
  <c r="E35" i="39"/>
  <c r="E34" i="39"/>
  <c r="E33" i="39"/>
  <c r="E31" i="39"/>
  <c r="E28" i="39"/>
  <c r="A13" i="39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H12" i="39"/>
  <c r="H13" i="39" s="1"/>
  <c r="H14" i="39" s="1"/>
  <c r="H15" i="39" s="1"/>
  <c r="H16" i="39" s="1"/>
  <c r="H17" i="39" s="1"/>
  <c r="H18" i="39" s="1"/>
  <c r="H19" i="39" s="1"/>
  <c r="H20" i="39" s="1"/>
  <c r="H21" i="39" s="1"/>
  <c r="H22" i="39" s="1"/>
  <c r="H23" i="39" s="1"/>
  <c r="H24" i="39" s="1"/>
  <c r="H25" i="39" s="1"/>
  <c r="H26" i="39" s="1"/>
  <c r="H27" i="39" s="1"/>
  <c r="H28" i="39" s="1"/>
  <c r="H29" i="39" s="1"/>
  <c r="H30" i="39" s="1"/>
  <c r="H31" i="39" s="1"/>
  <c r="H32" i="39" s="1"/>
  <c r="H33" i="39" s="1"/>
  <c r="H34" i="39" s="1"/>
  <c r="H35" i="39" s="1"/>
  <c r="H36" i="39" s="1"/>
  <c r="H37" i="39" s="1"/>
  <c r="H38" i="39" s="1"/>
  <c r="H39" i="39" s="1"/>
  <c r="H40" i="39" s="1"/>
  <c r="H41" i="39" s="1"/>
  <c r="H42" i="39" s="1"/>
  <c r="H43" i="39" s="1"/>
  <c r="H45" i="39" s="1"/>
  <c r="H46" i="39" s="1"/>
  <c r="H47" i="39" s="1"/>
  <c r="H48" i="39" s="1"/>
  <c r="H49" i="39" s="1"/>
  <c r="H50" i="39" s="1"/>
  <c r="H51" i="39" s="1"/>
  <c r="H52" i="39" s="1"/>
  <c r="H53" i="39" s="1"/>
  <c r="H54" i="39" s="1"/>
  <c r="H55" i="39" s="1"/>
  <c r="H56" i="39" s="1"/>
  <c r="H57" i="39" s="1"/>
  <c r="H58" i="39" s="1"/>
  <c r="H59" i="39" s="1"/>
  <c r="H60" i="39" s="1"/>
  <c r="H61" i="39" s="1"/>
  <c r="H62" i="39" s="1"/>
  <c r="H63" i="39" s="1"/>
  <c r="H64" i="39" s="1"/>
  <c r="H65" i="39" s="1"/>
  <c r="H66" i="39" s="1"/>
  <c r="H67" i="39" s="1"/>
  <c r="H68" i="39" s="1"/>
  <c r="H69" i="39" s="1"/>
  <c r="A49" i="38"/>
  <c r="A50" i="38" s="1"/>
  <c r="A51" i="38" s="1"/>
  <c r="A52" i="38" s="1"/>
  <c r="A53" i="38" s="1"/>
  <c r="H48" i="38"/>
  <c r="H49" i="38" s="1"/>
  <c r="H50" i="38" s="1"/>
  <c r="H51" i="38" s="1"/>
  <c r="H52" i="38" s="1"/>
  <c r="H53" i="38" s="1"/>
  <c r="H54" i="38" s="1"/>
  <c r="H55" i="38" s="1"/>
  <c r="H56" i="38" s="1"/>
  <c r="H57" i="38" s="1"/>
  <c r="H58" i="38" s="1"/>
  <c r="H59" i="38" s="1"/>
  <c r="H60" i="38" s="1"/>
  <c r="H61" i="38" s="1"/>
  <c r="H62" i="38" s="1"/>
  <c r="H63" i="38" s="1"/>
  <c r="H64" i="38" s="1"/>
  <c r="H65" i="38" s="1"/>
  <c r="H66" i="38" s="1"/>
  <c r="H67" i="38" s="1"/>
  <c r="H68" i="38" s="1"/>
  <c r="H69" i="38" s="1"/>
  <c r="H70" i="38" s="1"/>
  <c r="H71" i="38" s="1"/>
  <c r="H72" i="38" s="1"/>
  <c r="H73" i="38" s="1"/>
  <c r="H74" i="38" s="1"/>
  <c r="H75" i="38" s="1"/>
  <c r="H76" i="38" s="1"/>
  <c r="H77" i="38" s="1"/>
  <c r="H78" i="38" s="1"/>
  <c r="H79" i="38" s="1"/>
  <c r="H80" i="38" s="1"/>
  <c r="H81" i="38" s="1"/>
  <c r="H82" i="38" s="1"/>
  <c r="H83" i="38" s="1"/>
  <c r="H84" i="38" s="1"/>
  <c r="H85" i="38" s="1"/>
  <c r="H86" i="38" s="1"/>
  <c r="H87" i="38" s="1"/>
  <c r="H88" i="38" s="1"/>
  <c r="H89" i="38" s="1"/>
  <c r="H90" i="38" s="1"/>
  <c r="H91" i="38" s="1"/>
  <c r="H92" i="38" s="1"/>
  <c r="H93" i="38" s="1"/>
  <c r="H94" i="38" s="1"/>
  <c r="H95" i="38" s="1"/>
  <c r="H96" i="38" s="1"/>
  <c r="H97" i="38" s="1"/>
  <c r="H98" i="38" s="1"/>
  <c r="B43" i="38"/>
  <c r="B42" i="38"/>
  <c r="B41" i="38"/>
  <c r="B40" i="38"/>
  <c r="B39" i="38"/>
  <c r="A13" i="38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H12" i="38"/>
  <c r="H13" i="38" s="1"/>
  <c r="H14" i="38" s="1"/>
  <c r="H15" i="38" s="1"/>
  <c r="H16" i="38" s="1"/>
  <c r="H17" i="38" s="1"/>
  <c r="H18" i="38" s="1"/>
  <c r="H19" i="38" s="1"/>
  <c r="H20" i="38" s="1"/>
  <c r="H21" i="38" s="1"/>
  <c r="H22" i="38" s="1"/>
  <c r="H23" i="38" s="1"/>
  <c r="H24" i="38" s="1"/>
  <c r="H25" i="38" s="1"/>
  <c r="H26" i="38" s="1"/>
  <c r="H27" i="38" s="1"/>
  <c r="H28" i="38" s="1"/>
  <c r="H29" i="38" s="1"/>
  <c r="H30" i="38" s="1"/>
  <c r="H31" i="38" s="1"/>
  <c r="H32" i="38" s="1"/>
  <c r="H33" i="38" s="1"/>
  <c r="H34" i="38" s="1"/>
  <c r="H35" i="38" s="1"/>
  <c r="H36" i="38" s="1"/>
  <c r="E69" i="39" l="1"/>
  <c r="E49" i="39" s="1"/>
  <c r="E44" i="39"/>
  <c r="E46" i="39" s="1"/>
  <c r="E48" i="39" s="1"/>
  <c r="G13" i="38"/>
  <c r="A54" i="38"/>
  <c r="A55" i="38" s="1"/>
  <c r="A56" i="38" s="1"/>
  <c r="A57" i="38" s="1"/>
  <c r="A58" i="38" s="1"/>
  <c r="A24" i="38"/>
  <c r="A25" i="38" s="1"/>
  <c r="G25" i="38"/>
  <c r="C34" i="35"/>
  <c r="G33" i="35"/>
  <c r="G31" i="35"/>
  <c r="G29" i="35"/>
  <c r="G27" i="35"/>
  <c r="G25" i="35"/>
  <c r="G36" i="35" s="1"/>
  <c r="A13" i="35"/>
  <c r="A14" i="35" s="1"/>
  <c r="J12" i="35"/>
  <c r="J13" i="35" s="1"/>
  <c r="J14" i="35" s="1"/>
  <c r="J15" i="35" s="1"/>
  <c r="J16" i="35" s="1"/>
  <c r="J17" i="35" s="1"/>
  <c r="J18" i="35" s="1"/>
  <c r="J19" i="35" s="1"/>
  <c r="J20" i="35" s="1"/>
  <c r="J21" i="35" s="1"/>
  <c r="J22" i="35" s="1"/>
  <c r="J23" i="35" s="1"/>
  <c r="J24" i="35" s="1"/>
  <c r="J25" i="35" s="1"/>
  <c r="J26" i="35" s="1"/>
  <c r="J27" i="35" s="1"/>
  <c r="J28" i="35" s="1"/>
  <c r="J29" i="35" s="1"/>
  <c r="J30" i="35" s="1"/>
  <c r="J31" i="35" s="1"/>
  <c r="J32" i="35" s="1"/>
  <c r="J33" i="35" s="1"/>
  <c r="J34" i="35" s="1"/>
  <c r="J35" i="35" s="1"/>
  <c r="J36" i="35" s="1"/>
  <c r="J37" i="35" s="1"/>
  <c r="J38" i="35" s="1"/>
  <c r="J39" i="35" s="1"/>
  <c r="J40" i="35" s="1"/>
  <c r="J41" i="35" s="1"/>
  <c r="J42" i="35" s="1"/>
  <c r="C35" i="34"/>
  <c r="G34" i="34"/>
  <c r="G32" i="34"/>
  <c r="G30" i="34"/>
  <c r="G28" i="34"/>
  <c r="G26" i="34"/>
  <c r="G19" i="34"/>
  <c r="A14" i="34"/>
  <c r="A15" i="34" s="1"/>
  <c r="J13" i="34"/>
  <c r="J14" i="34" s="1"/>
  <c r="J15" i="34" s="1"/>
  <c r="J16" i="34" s="1"/>
  <c r="J17" i="34" s="1"/>
  <c r="J18" i="34" s="1"/>
  <c r="J19" i="34" s="1"/>
  <c r="J20" i="34" s="1"/>
  <c r="J21" i="34" s="1"/>
  <c r="J22" i="34" s="1"/>
  <c r="J23" i="34" s="1"/>
  <c r="J24" i="34" s="1"/>
  <c r="J25" i="34" s="1"/>
  <c r="J26" i="34" s="1"/>
  <c r="J27" i="34" s="1"/>
  <c r="J28" i="34" s="1"/>
  <c r="J29" i="34" s="1"/>
  <c r="J30" i="34" s="1"/>
  <c r="J31" i="34" s="1"/>
  <c r="J32" i="34" s="1"/>
  <c r="J33" i="34" s="1"/>
  <c r="J34" i="34" s="1"/>
  <c r="J35" i="34" s="1"/>
  <c r="J36" i="34" s="1"/>
  <c r="J37" i="34" s="1"/>
  <c r="J38" i="34" s="1"/>
  <c r="J39" i="34" s="1"/>
  <c r="J40" i="34" s="1"/>
  <c r="J41" i="34" s="1"/>
  <c r="J42" i="34" s="1"/>
  <c r="J43" i="34" s="1"/>
  <c r="C24" i="21"/>
  <c r="E50" i="39" l="1"/>
  <c r="A26" i="38"/>
  <c r="A27" i="38" s="1"/>
  <c r="A28" i="38" s="1"/>
  <c r="A29" i="38" s="1"/>
  <c r="G27" i="38"/>
  <c r="G15" i="38"/>
  <c r="A59" i="38"/>
  <c r="A60" i="38" s="1"/>
  <c r="A61" i="38" s="1"/>
  <c r="A62" i="38" s="1"/>
  <c r="A63" i="38" s="1"/>
  <c r="A15" i="35"/>
  <c r="A16" i="35" s="1"/>
  <c r="A17" i="35" s="1"/>
  <c r="A18" i="35" s="1"/>
  <c r="G38" i="35"/>
  <c r="G40" i="35" s="1"/>
  <c r="G37" i="34"/>
  <c r="A16" i="34"/>
  <c r="A17" i="34" s="1"/>
  <c r="A18" i="34" s="1"/>
  <c r="A19" i="34" s="1"/>
  <c r="G39" i="34"/>
  <c r="G41" i="34" s="1"/>
  <c r="G43" i="34" s="1"/>
  <c r="A64" i="38" l="1"/>
  <c r="A65" i="38" s="1"/>
  <c r="A66" i="38" s="1"/>
  <c r="A67" i="38" s="1"/>
  <c r="A68" i="38" s="1"/>
  <c r="G17" i="38"/>
  <c r="G29" i="38"/>
  <c r="A30" i="38"/>
  <c r="A31" i="38" s="1"/>
  <c r="A32" i="38" s="1"/>
  <c r="G34" i="38"/>
  <c r="A19" i="35"/>
  <c r="A20" i="35" s="1"/>
  <c r="A21" i="35" s="1"/>
  <c r="A22" i="35" s="1"/>
  <c r="A23" i="35" s="1"/>
  <c r="A24" i="35" s="1"/>
  <c r="A25" i="35" s="1"/>
  <c r="I18" i="35"/>
  <c r="A20" i="34"/>
  <c r="A21" i="34" s="1"/>
  <c r="A22" i="34" s="1"/>
  <c r="A23" i="34" s="1"/>
  <c r="A24" i="34" s="1"/>
  <c r="A25" i="34" s="1"/>
  <c r="A26" i="34" s="1"/>
  <c r="I19" i="34"/>
  <c r="A33" i="38" l="1"/>
  <c r="A34" i="38" s="1"/>
  <c r="A35" i="38" s="1"/>
  <c r="A36" i="38" s="1"/>
  <c r="G19" i="38"/>
  <c r="A69" i="38"/>
  <c r="A70" i="38" s="1"/>
  <c r="A71" i="38" s="1"/>
  <c r="A72" i="38" s="1"/>
  <c r="A73" i="38" s="1"/>
  <c r="A74" i="38" s="1"/>
  <c r="A75" i="38" s="1"/>
  <c r="A76" i="38" s="1"/>
  <c r="A77" i="38" s="1"/>
  <c r="A78" i="38" s="1"/>
  <c r="A79" i="38" s="1"/>
  <c r="A80" i="38" s="1"/>
  <c r="A81" i="38" s="1"/>
  <c r="A26" i="35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I36" i="35"/>
  <c r="I34" i="35"/>
  <c r="A27" i="34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I37" i="34"/>
  <c r="I35" i="34"/>
  <c r="G21" i="38" l="1"/>
  <c r="A82" i="38"/>
  <c r="A83" i="38" s="1"/>
  <c r="A84" i="38" s="1"/>
  <c r="A85" i="38" s="1"/>
  <c r="A86" i="38" s="1"/>
  <c r="A87" i="38" s="1"/>
  <c r="A88" i="38" s="1"/>
  <c r="A89" i="38" s="1"/>
  <c r="A90" i="38" s="1"/>
  <c r="A91" i="38" s="1"/>
  <c r="A92" i="38" s="1"/>
  <c r="A93" i="38" s="1"/>
  <c r="A94" i="38" s="1"/>
  <c r="A95" i="38" s="1"/>
  <c r="A96" i="38" s="1"/>
  <c r="A97" i="38" s="1"/>
  <c r="A98" i="38" s="1"/>
  <c r="G23" i="38" s="1"/>
  <c r="G36" i="38"/>
  <c r="A37" i="35"/>
  <c r="A38" i="35" s="1"/>
  <c r="A39" i="35" s="1"/>
  <c r="A40" i="35" s="1"/>
  <c r="I40" i="35"/>
  <c r="I38" i="35"/>
  <c r="A38" i="34"/>
  <c r="A39" i="34" s="1"/>
  <c r="A40" i="34" s="1"/>
  <c r="A41" i="34" s="1"/>
  <c r="I41" i="34"/>
  <c r="I39" i="34"/>
  <c r="A41" i="35" l="1"/>
  <c r="A42" i="35" s="1"/>
  <c r="I42" i="35"/>
  <c r="A42" i="34"/>
  <c r="A43" i="34" s="1"/>
  <c r="I43" i="34"/>
  <c r="F85" i="33" l="1"/>
  <c r="E85" i="33"/>
  <c r="C85" i="33"/>
  <c r="F84" i="33"/>
  <c r="F83" i="33"/>
  <c r="F82" i="33"/>
  <c r="F81" i="33"/>
  <c r="F80" i="33"/>
  <c r="E80" i="33"/>
  <c r="F79" i="33"/>
  <c r="E79" i="33"/>
  <c r="F78" i="33"/>
  <c r="E78" i="33"/>
  <c r="F77" i="33"/>
  <c r="E77" i="33"/>
  <c r="F76" i="33"/>
  <c r="E76" i="33"/>
  <c r="F75" i="33"/>
  <c r="F74" i="33"/>
  <c r="F73" i="33"/>
  <c r="E73" i="33"/>
  <c r="F72" i="33"/>
  <c r="F71" i="33"/>
  <c r="F70" i="33"/>
  <c r="C73" i="33"/>
  <c r="F69" i="33"/>
  <c r="F68" i="33"/>
  <c r="F67" i="33"/>
  <c r="F66" i="33"/>
  <c r="E66" i="33"/>
  <c r="F65" i="33"/>
  <c r="F64" i="33"/>
  <c r="F63" i="33"/>
  <c r="C77" i="33"/>
  <c r="C14" i="33" s="1"/>
  <c r="F62" i="33"/>
  <c r="C76" i="33"/>
  <c r="F61" i="33"/>
  <c r="B53" i="33"/>
  <c r="B52" i="33"/>
  <c r="C47" i="33"/>
  <c r="C42" i="33"/>
  <c r="C33" i="33"/>
  <c r="C27" i="33"/>
  <c r="C22" i="33"/>
  <c r="E16" i="33"/>
  <c r="E15" i="33"/>
  <c r="E14" i="33"/>
  <c r="E13" i="33"/>
  <c r="A13" i="33"/>
  <c r="A14" i="33" s="1"/>
  <c r="A15" i="33" s="1"/>
  <c r="A16" i="33" s="1"/>
  <c r="A17" i="33" s="1"/>
  <c r="F12" i="33"/>
  <c r="F13" i="33" s="1"/>
  <c r="F14" i="33" s="1"/>
  <c r="F15" i="33" s="1"/>
  <c r="F16" i="33" s="1"/>
  <c r="F17" i="33" s="1"/>
  <c r="F18" i="33" s="1"/>
  <c r="F19" i="33" s="1"/>
  <c r="F20" i="33" s="1"/>
  <c r="F21" i="33" s="1"/>
  <c r="F22" i="33" s="1"/>
  <c r="F23" i="33" s="1"/>
  <c r="F24" i="33" s="1"/>
  <c r="F25" i="33" s="1"/>
  <c r="F26" i="33" s="1"/>
  <c r="F27" i="33" s="1"/>
  <c r="F28" i="33" s="1"/>
  <c r="F29" i="33" s="1"/>
  <c r="F30" i="33" s="1"/>
  <c r="F31" i="33" s="1"/>
  <c r="F32" i="33" s="1"/>
  <c r="F33" i="33" s="1"/>
  <c r="F34" i="33" s="1"/>
  <c r="F35" i="33" s="1"/>
  <c r="F36" i="33" s="1"/>
  <c r="F37" i="33" s="1"/>
  <c r="F38" i="33" s="1"/>
  <c r="F39" i="33" s="1"/>
  <c r="F40" i="33" s="1"/>
  <c r="F41" i="33" s="1"/>
  <c r="F42" i="33" s="1"/>
  <c r="F43" i="33" s="1"/>
  <c r="F44" i="33" s="1"/>
  <c r="F45" i="33" s="1"/>
  <c r="F46" i="33" s="1"/>
  <c r="F47" i="33" s="1"/>
  <c r="F48" i="33" s="1"/>
  <c r="F49" i="33" s="1"/>
  <c r="B54" i="33"/>
  <c r="G147" i="32"/>
  <c r="B147" i="32"/>
  <c r="B146" i="32"/>
  <c r="G145" i="32"/>
  <c r="G144" i="32"/>
  <c r="B144" i="32"/>
  <c r="B143" i="32"/>
  <c r="G135" i="32"/>
  <c r="B135" i="32"/>
  <c r="B132" i="32"/>
  <c r="B131" i="32"/>
  <c r="J127" i="32"/>
  <c r="J128" i="32" s="1"/>
  <c r="J129" i="32" s="1"/>
  <c r="J130" i="32" s="1"/>
  <c r="J131" i="32" s="1"/>
  <c r="J132" i="32" s="1"/>
  <c r="J133" i="32" s="1"/>
  <c r="J134" i="32" s="1"/>
  <c r="J135" i="32" s="1"/>
  <c r="J136" i="32" s="1"/>
  <c r="J137" i="32" s="1"/>
  <c r="J138" i="32" s="1"/>
  <c r="J139" i="32" s="1"/>
  <c r="J140" i="32" s="1"/>
  <c r="J141" i="32" s="1"/>
  <c r="J142" i="32" s="1"/>
  <c r="J143" i="32" s="1"/>
  <c r="J144" i="32" s="1"/>
  <c r="J145" i="32" s="1"/>
  <c r="J146" i="32" s="1"/>
  <c r="J147" i="32" s="1"/>
  <c r="J148" i="32" s="1"/>
  <c r="J149" i="32" s="1"/>
  <c r="J150" i="32" s="1"/>
  <c r="J151" i="32" s="1"/>
  <c r="J152" i="32" s="1"/>
  <c r="J153" i="32" s="1"/>
  <c r="J154" i="32" s="1"/>
  <c r="J155" i="32" s="1"/>
  <c r="J156" i="32" s="1"/>
  <c r="A127" i="32"/>
  <c r="A128" i="32" s="1"/>
  <c r="A129" i="32" s="1"/>
  <c r="A130" i="32" s="1"/>
  <c r="A131" i="32" s="1"/>
  <c r="G100" i="32"/>
  <c r="G99" i="32"/>
  <c r="J82" i="32"/>
  <c r="J83" i="32" s="1"/>
  <c r="J84" i="32" s="1"/>
  <c r="J85" i="32" s="1"/>
  <c r="J86" i="32" s="1"/>
  <c r="J87" i="32" s="1"/>
  <c r="J88" i="32" s="1"/>
  <c r="J89" i="32" s="1"/>
  <c r="J90" i="32" s="1"/>
  <c r="J91" i="32" s="1"/>
  <c r="J92" i="32" s="1"/>
  <c r="J93" i="32" s="1"/>
  <c r="J94" i="32" s="1"/>
  <c r="J95" i="32" s="1"/>
  <c r="J96" i="32" s="1"/>
  <c r="J97" i="32" s="1"/>
  <c r="J98" i="32" s="1"/>
  <c r="J99" i="32" s="1"/>
  <c r="J100" i="32" s="1"/>
  <c r="J101" i="32" s="1"/>
  <c r="J102" i="32" s="1"/>
  <c r="J103" i="32" s="1"/>
  <c r="J104" i="32" s="1"/>
  <c r="J105" i="32" s="1"/>
  <c r="J106" i="32" s="1"/>
  <c r="J107" i="32" s="1"/>
  <c r="J108" i="32" s="1"/>
  <c r="J109" i="32" s="1"/>
  <c r="J110" i="32" s="1"/>
  <c r="J111" i="32" s="1"/>
  <c r="A82" i="32"/>
  <c r="A83" i="32" s="1"/>
  <c r="A84" i="32" s="1"/>
  <c r="A85" i="32" s="1"/>
  <c r="A86" i="32" s="1"/>
  <c r="D64" i="32"/>
  <c r="C64" i="32"/>
  <c r="G63" i="32"/>
  <c r="G62" i="32"/>
  <c r="G66" i="32" s="1"/>
  <c r="G131" i="32" s="1"/>
  <c r="G61" i="32"/>
  <c r="E50" i="32"/>
  <c r="C49" i="32"/>
  <c r="G40" i="32"/>
  <c r="C50" i="32" s="1"/>
  <c r="G33" i="32"/>
  <c r="E49" i="32" s="1"/>
  <c r="G28" i="32"/>
  <c r="E48" i="32" s="1"/>
  <c r="G26" i="32"/>
  <c r="G18" i="32"/>
  <c r="C48" i="32" s="1"/>
  <c r="A13" i="32"/>
  <c r="A14" i="32" s="1"/>
  <c r="A15" i="32" s="1"/>
  <c r="A16" i="32" s="1"/>
  <c r="A17" i="32" s="1"/>
  <c r="A18" i="32" s="1"/>
  <c r="A19" i="32" s="1"/>
  <c r="A20" i="32" s="1"/>
  <c r="A21" i="32" s="1"/>
  <c r="J12" i="32"/>
  <c r="J13" i="32" s="1"/>
  <c r="J14" i="32" s="1"/>
  <c r="J15" i="32" s="1"/>
  <c r="J16" i="32" s="1"/>
  <c r="J17" i="32" s="1"/>
  <c r="J18" i="32" s="1"/>
  <c r="J19" i="32" s="1"/>
  <c r="J20" i="32" s="1"/>
  <c r="J21" i="32" s="1"/>
  <c r="J22" i="32" s="1"/>
  <c r="J23" i="32" s="1"/>
  <c r="J24" i="32" s="1"/>
  <c r="J25" i="32" s="1"/>
  <c r="J26" i="32" s="1"/>
  <c r="J27" i="32" s="1"/>
  <c r="J28" i="32" s="1"/>
  <c r="J29" i="32" s="1"/>
  <c r="J30" i="32" s="1"/>
  <c r="J31" i="32" s="1"/>
  <c r="J32" i="32" s="1"/>
  <c r="J33" i="32" s="1"/>
  <c r="J34" i="32" s="1"/>
  <c r="J35" i="32" s="1"/>
  <c r="J36" i="32" s="1"/>
  <c r="J37" i="32" s="1"/>
  <c r="J38" i="32" s="1"/>
  <c r="J39" i="32" s="1"/>
  <c r="J40" i="32" s="1"/>
  <c r="J41" i="32" s="1"/>
  <c r="J42" i="32" s="1"/>
  <c r="J43" i="32" s="1"/>
  <c r="J44" i="32" s="1"/>
  <c r="J45" i="32" s="1"/>
  <c r="J46" i="32" s="1"/>
  <c r="J47" i="32" s="1"/>
  <c r="J48" i="32" s="1"/>
  <c r="J49" i="32" s="1"/>
  <c r="J50" i="32" s="1"/>
  <c r="J51" i="32" s="1"/>
  <c r="J52" i="32" s="1"/>
  <c r="J53" i="32" s="1"/>
  <c r="J54" i="32" s="1"/>
  <c r="J55" i="32" s="1"/>
  <c r="J56" i="32" s="1"/>
  <c r="J57" i="32" s="1"/>
  <c r="J58" i="32" s="1"/>
  <c r="J59" i="32" s="1"/>
  <c r="J60" i="32" s="1"/>
  <c r="J61" i="32" s="1"/>
  <c r="J62" i="32" s="1"/>
  <c r="J63" i="32" s="1"/>
  <c r="J64" i="32" s="1"/>
  <c r="J65" i="32" s="1"/>
  <c r="J66" i="32" s="1"/>
  <c r="B120" i="32"/>
  <c r="E28" i="30"/>
  <c r="G20" i="30"/>
  <c r="G16" i="30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J12" i="30"/>
  <c r="J13" i="30" s="1"/>
  <c r="J14" i="30" s="1"/>
  <c r="J15" i="30" s="1"/>
  <c r="J16" i="30" s="1"/>
  <c r="J17" i="30" s="1"/>
  <c r="J18" i="30" s="1"/>
  <c r="J19" i="30" s="1"/>
  <c r="J20" i="30" s="1"/>
  <c r="J21" i="30" s="1"/>
  <c r="J22" i="30" s="1"/>
  <c r="J23" i="30" s="1"/>
  <c r="J24" i="30" s="1"/>
  <c r="J25" i="30" s="1"/>
  <c r="J26" i="30" s="1"/>
  <c r="J27" i="30" s="1"/>
  <c r="J28" i="30" s="1"/>
  <c r="J29" i="30" s="1"/>
  <c r="J30" i="30" s="1"/>
  <c r="G15" i="26"/>
  <c r="I15" i="26" s="1"/>
  <c r="G13" i="26"/>
  <c r="G11" i="26"/>
  <c r="E15" i="26"/>
  <c r="E13" i="26"/>
  <c r="E11" i="26"/>
  <c r="I45" i="28"/>
  <c r="G42" i="28"/>
  <c r="E42" i="28"/>
  <c r="C42" i="28"/>
  <c r="I41" i="28"/>
  <c r="I40" i="28"/>
  <c r="G37" i="28"/>
  <c r="E37" i="28"/>
  <c r="C37" i="28"/>
  <c r="I36" i="28"/>
  <c r="I35" i="28"/>
  <c r="I37" i="28" s="1"/>
  <c r="G32" i="28"/>
  <c r="E32" i="28"/>
  <c r="C32" i="28"/>
  <c r="I31" i="28"/>
  <c r="I32" i="28" s="1"/>
  <c r="I30" i="28"/>
  <c r="G26" i="28"/>
  <c r="E26" i="28"/>
  <c r="C26" i="28"/>
  <c r="I25" i="28"/>
  <c r="I24" i="28"/>
  <c r="I26" i="28" s="1"/>
  <c r="G21" i="28"/>
  <c r="E21" i="28"/>
  <c r="C21" i="28"/>
  <c r="I20" i="28"/>
  <c r="I19" i="28"/>
  <c r="G16" i="28"/>
  <c r="E16" i="28"/>
  <c r="C16" i="28"/>
  <c r="I15" i="28"/>
  <c r="I14" i="28"/>
  <c r="I13" i="28"/>
  <c r="A13" i="28"/>
  <c r="A14" i="28" s="1"/>
  <c r="A15" i="28" s="1"/>
  <c r="L12" i="28"/>
  <c r="L13" i="28" s="1"/>
  <c r="L14" i="28" s="1"/>
  <c r="L15" i="28" s="1"/>
  <c r="L16" i="28" s="1"/>
  <c r="L17" i="28" s="1"/>
  <c r="L18" i="28" s="1"/>
  <c r="L19" i="28" s="1"/>
  <c r="L20" i="28" s="1"/>
  <c r="L21" i="28" s="1"/>
  <c r="L22" i="28" s="1"/>
  <c r="L23" i="28" s="1"/>
  <c r="L24" i="28" s="1"/>
  <c r="L25" i="28" s="1"/>
  <c r="L26" i="28" s="1"/>
  <c r="L27" i="28" s="1"/>
  <c r="L28" i="28" s="1"/>
  <c r="L29" i="28" s="1"/>
  <c r="L30" i="28" s="1"/>
  <c r="L31" i="28" s="1"/>
  <c r="L32" i="28" s="1"/>
  <c r="L33" i="28" s="1"/>
  <c r="L34" i="28" s="1"/>
  <c r="L35" i="28" s="1"/>
  <c r="L36" i="28" s="1"/>
  <c r="L37" i="28" s="1"/>
  <c r="L38" i="28" s="1"/>
  <c r="L39" i="28" s="1"/>
  <c r="L40" i="28" s="1"/>
  <c r="L41" i="28" s="1"/>
  <c r="L42" i="28" s="1"/>
  <c r="L43" i="28" s="1"/>
  <c r="L44" i="28" s="1"/>
  <c r="L45" i="28" s="1"/>
  <c r="I45" i="27"/>
  <c r="G42" i="27"/>
  <c r="E42" i="27"/>
  <c r="C42" i="27"/>
  <c r="I41" i="27"/>
  <c r="I40" i="27"/>
  <c r="G37" i="27"/>
  <c r="E37" i="27"/>
  <c r="C37" i="27"/>
  <c r="I36" i="27"/>
  <c r="I35" i="27"/>
  <c r="I32" i="27"/>
  <c r="G32" i="27"/>
  <c r="E32" i="27"/>
  <c r="C32" i="27"/>
  <c r="I31" i="27"/>
  <c r="I30" i="27"/>
  <c r="G26" i="27"/>
  <c r="E26" i="27"/>
  <c r="C26" i="27"/>
  <c r="I25" i="27"/>
  <c r="I24" i="27"/>
  <c r="G21" i="27"/>
  <c r="E21" i="27"/>
  <c r="C21" i="27"/>
  <c r="I20" i="27"/>
  <c r="I19" i="27"/>
  <c r="G16" i="27"/>
  <c r="E16" i="27"/>
  <c r="C16" i="27"/>
  <c r="I15" i="27"/>
  <c r="I14" i="27"/>
  <c r="I13" i="27"/>
  <c r="A13" i="27"/>
  <c r="A14" i="27" s="1"/>
  <c r="A15" i="27" s="1"/>
  <c r="L12" i="27"/>
  <c r="L13" i="27" s="1"/>
  <c r="L14" i="27" s="1"/>
  <c r="L15" i="27" s="1"/>
  <c r="L16" i="27" s="1"/>
  <c r="L17" i="27" s="1"/>
  <c r="L18" i="27" s="1"/>
  <c r="L19" i="27" s="1"/>
  <c r="L20" i="27" s="1"/>
  <c r="L21" i="27" s="1"/>
  <c r="L22" i="27" s="1"/>
  <c r="L23" i="27" s="1"/>
  <c r="L24" i="27" s="1"/>
  <c r="L25" i="27" s="1"/>
  <c r="L26" i="27" s="1"/>
  <c r="L27" i="27" s="1"/>
  <c r="L28" i="27" s="1"/>
  <c r="L29" i="27" s="1"/>
  <c r="L30" i="27" s="1"/>
  <c r="L31" i="27" s="1"/>
  <c r="L32" i="27" s="1"/>
  <c r="L33" i="27" s="1"/>
  <c r="L34" i="27" s="1"/>
  <c r="L35" i="27" s="1"/>
  <c r="L36" i="27" s="1"/>
  <c r="L37" i="27" s="1"/>
  <c r="L38" i="27" s="1"/>
  <c r="L39" i="27" s="1"/>
  <c r="L40" i="27" s="1"/>
  <c r="L41" i="27" s="1"/>
  <c r="L42" i="27" s="1"/>
  <c r="L43" i="27" s="1"/>
  <c r="L44" i="27" s="1"/>
  <c r="L45" i="27" s="1"/>
  <c r="I23" i="26"/>
  <c r="I21" i="26"/>
  <c r="I19" i="26"/>
  <c r="A12" i="26"/>
  <c r="A13" i="26" s="1"/>
  <c r="A14" i="26" s="1"/>
  <c r="A15" i="26" s="1"/>
  <c r="L11" i="26"/>
  <c r="L12" i="26" s="1"/>
  <c r="L13" i="26" s="1"/>
  <c r="L14" i="26" s="1"/>
  <c r="L15" i="26" s="1"/>
  <c r="L16" i="26" s="1"/>
  <c r="L17" i="26" s="1"/>
  <c r="L18" i="26" s="1"/>
  <c r="L19" i="26" s="1"/>
  <c r="L20" i="26" s="1"/>
  <c r="L21" i="26" s="1"/>
  <c r="L22" i="26" s="1"/>
  <c r="L23" i="26" s="1"/>
  <c r="G17" i="26"/>
  <c r="C80" i="33" l="1"/>
  <c r="C13" i="33"/>
  <c r="C78" i="33"/>
  <c r="C15" i="33" s="1"/>
  <c r="C79" i="33"/>
  <c r="C16" i="33" s="1"/>
  <c r="C17" i="33" s="1"/>
  <c r="C37" i="33" s="1"/>
  <c r="A18" i="33"/>
  <c r="A19" i="33" s="1"/>
  <c r="A20" i="33" s="1"/>
  <c r="E17" i="33"/>
  <c r="C66" i="33"/>
  <c r="G64" i="32"/>
  <c r="G154" i="32" s="1"/>
  <c r="D50" i="32"/>
  <c r="G50" i="32" s="1"/>
  <c r="A22" i="32"/>
  <c r="A23" i="32" s="1"/>
  <c r="A24" i="32" s="1"/>
  <c r="A25" i="32" s="1"/>
  <c r="A26" i="32" s="1"/>
  <c r="C51" i="32"/>
  <c r="D49" i="32" s="1"/>
  <c r="G49" i="32" s="1"/>
  <c r="D48" i="32"/>
  <c r="A87" i="32"/>
  <c r="A88" i="32" s="1"/>
  <c r="I98" i="32"/>
  <c r="I143" i="32"/>
  <c r="A132" i="32"/>
  <c r="A133" i="32" s="1"/>
  <c r="G137" i="32"/>
  <c r="G146" i="32" s="1"/>
  <c r="G143" i="32"/>
  <c r="B75" i="32"/>
  <c r="I18" i="32"/>
  <c r="I13" i="26"/>
  <c r="E17" i="26"/>
  <c r="I21" i="28"/>
  <c r="I16" i="28"/>
  <c r="I21" i="27"/>
  <c r="I37" i="27"/>
  <c r="I26" i="27"/>
  <c r="I42" i="28"/>
  <c r="A16" i="28"/>
  <c r="A17" i="28" s="1"/>
  <c r="A18" i="28" s="1"/>
  <c r="A19" i="28" s="1"/>
  <c r="K16" i="28"/>
  <c r="I42" i="27"/>
  <c r="I16" i="27"/>
  <c r="A16" i="27"/>
  <c r="A17" i="27" s="1"/>
  <c r="A18" i="27" s="1"/>
  <c r="A19" i="27" s="1"/>
  <c r="K16" i="27"/>
  <c r="K17" i="26"/>
  <c r="A16" i="26"/>
  <c r="A17" i="26" s="1"/>
  <c r="A18" i="26" s="1"/>
  <c r="A19" i="26" s="1"/>
  <c r="A20" i="26" s="1"/>
  <c r="A21" i="26" s="1"/>
  <c r="A22" i="26" s="1"/>
  <c r="A23" i="26" s="1"/>
  <c r="I11" i="26"/>
  <c r="I17" i="26" s="1"/>
  <c r="A21" i="33" l="1"/>
  <c r="A22" i="33" s="1"/>
  <c r="G149" i="32"/>
  <c r="G152" i="32" s="1"/>
  <c r="G156" i="32" s="1"/>
  <c r="A134" i="32"/>
  <c r="I144" i="32"/>
  <c r="A89" i="32"/>
  <c r="I99" i="32"/>
  <c r="D51" i="32"/>
  <c r="G48" i="32"/>
  <c r="G51" i="32" s="1"/>
  <c r="G109" i="32" s="1"/>
  <c r="G53" i="32"/>
  <c r="G86" i="32" s="1"/>
  <c r="A27" i="32"/>
  <c r="A28" i="32" s="1"/>
  <c r="I28" i="32"/>
  <c r="I26" i="32"/>
  <c r="A20" i="28"/>
  <c r="A21" i="28" s="1"/>
  <c r="A22" i="28" s="1"/>
  <c r="A23" i="28" s="1"/>
  <c r="A24" i="28" s="1"/>
  <c r="K21" i="28"/>
  <c r="A20" i="27"/>
  <c r="A21" i="27" s="1"/>
  <c r="A22" i="27" s="1"/>
  <c r="A23" i="27" s="1"/>
  <c r="A24" i="27" s="1"/>
  <c r="K21" i="27"/>
  <c r="A23" i="33" l="1"/>
  <c r="A24" i="33" s="1"/>
  <c r="A25" i="33" s="1"/>
  <c r="E22" i="33"/>
  <c r="A29" i="32"/>
  <c r="A30" i="32" s="1"/>
  <c r="A31" i="32" s="1"/>
  <c r="I48" i="32"/>
  <c r="A135" i="32"/>
  <c r="A136" i="32" s="1"/>
  <c r="A137" i="32" s="1"/>
  <c r="I145" i="32"/>
  <c r="G92" i="32"/>
  <c r="G101" i="32" s="1"/>
  <c r="G98" i="32"/>
  <c r="G104" i="32" s="1"/>
  <c r="G107" i="32" s="1"/>
  <c r="G111" i="32" s="1"/>
  <c r="A90" i="32"/>
  <c r="I100" i="32"/>
  <c r="A25" i="28"/>
  <c r="A26" i="28" s="1"/>
  <c r="A27" i="28" s="1"/>
  <c r="A28" i="28" s="1"/>
  <c r="A29" i="28" s="1"/>
  <c r="A30" i="28" s="1"/>
  <c r="A25" i="27"/>
  <c r="A26" i="27" s="1"/>
  <c r="A27" i="27" s="1"/>
  <c r="A28" i="27" s="1"/>
  <c r="A29" i="27" s="1"/>
  <c r="A30" i="27" s="1"/>
  <c r="A26" i="33" l="1"/>
  <c r="A27" i="33" s="1"/>
  <c r="A32" i="32"/>
  <c r="I37" i="32"/>
  <c r="I135" i="32"/>
  <c r="A91" i="32"/>
  <c r="A92" i="32" s="1"/>
  <c r="A138" i="32"/>
  <c r="A139" i="32" s="1"/>
  <c r="A140" i="32" s="1"/>
  <c r="A141" i="32" s="1"/>
  <c r="A142" i="32" s="1"/>
  <c r="A143" i="32" s="1"/>
  <c r="A144" i="32" s="1"/>
  <c r="A145" i="32" s="1"/>
  <c r="A146" i="32" s="1"/>
  <c r="A147" i="32" s="1"/>
  <c r="A148" i="32" s="1"/>
  <c r="A149" i="32" s="1"/>
  <c r="A150" i="32" s="1"/>
  <c r="A151" i="32" s="1"/>
  <c r="A152" i="32" s="1"/>
  <c r="I146" i="32"/>
  <c r="K26" i="27"/>
  <c r="K26" i="28"/>
  <c r="A31" i="28"/>
  <c r="A32" i="28" s="1"/>
  <c r="A33" i="28" s="1"/>
  <c r="A34" i="28" s="1"/>
  <c r="A35" i="28" s="1"/>
  <c r="K32" i="28"/>
  <c r="A31" i="27"/>
  <c r="A32" i="27" s="1"/>
  <c r="A33" i="27" s="1"/>
  <c r="A34" i="27" s="1"/>
  <c r="A35" i="27" s="1"/>
  <c r="A28" i="33" l="1"/>
  <c r="A29" i="33" s="1"/>
  <c r="A30" i="33" s="1"/>
  <c r="E27" i="33"/>
  <c r="A33" i="32"/>
  <c r="I33" i="32"/>
  <c r="A153" i="32"/>
  <c r="A154" i="32" s="1"/>
  <c r="A155" i="32" s="1"/>
  <c r="A156" i="32" s="1"/>
  <c r="I152" i="32"/>
  <c r="I101" i="32"/>
  <c r="A93" i="32"/>
  <c r="A94" i="32" s="1"/>
  <c r="A95" i="32" s="1"/>
  <c r="A96" i="32" s="1"/>
  <c r="A97" i="32" s="1"/>
  <c r="A98" i="32" s="1"/>
  <c r="A99" i="32" s="1"/>
  <c r="A100" i="32" s="1"/>
  <c r="A101" i="32" s="1"/>
  <c r="A102" i="32" s="1"/>
  <c r="K32" i="27"/>
  <c r="A36" i="28"/>
  <c r="A37" i="28" s="1"/>
  <c r="A38" i="28" s="1"/>
  <c r="A39" i="28" s="1"/>
  <c r="A40" i="28" s="1"/>
  <c r="A36" i="27"/>
  <c r="A37" i="27" s="1"/>
  <c r="A38" i="27" s="1"/>
  <c r="A39" i="27" s="1"/>
  <c r="A40" i="27" s="1"/>
  <c r="K37" i="27"/>
  <c r="A31" i="33" l="1"/>
  <c r="A32" i="33" s="1"/>
  <c r="A33" i="33" s="1"/>
  <c r="A34" i="32"/>
  <c r="A35" i="32" s="1"/>
  <c r="A36" i="32" s="1"/>
  <c r="I49" i="32"/>
  <c r="A103" i="32"/>
  <c r="A104" i="32" s="1"/>
  <c r="I147" i="32"/>
  <c r="I156" i="32"/>
  <c r="K37" i="28"/>
  <c r="A41" i="28"/>
  <c r="A42" i="28" s="1"/>
  <c r="A43" i="28" s="1"/>
  <c r="A44" i="28" s="1"/>
  <c r="A45" i="28" s="1"/>
  <c r="K42" i="28"/>
  <c r="A41" i="27"/>
  <c r="A42" i="27" s="1"/>
  <c r="A43" i="27" s="1"/>
  <c r="A44" i="27" s="1"/>
  <c r="A45" i="27" s="1"/>
  <c r="K42" i="27"/>
  <c r="A34" i="33" l="1"/>
  <c r="A35" i="33" s="1"/>
  <c r="A36" i="33" s="1"/>
  <c r="A37" i="33" s="1"/>
  <c r="A38" i="33" s="1"/>
  <c r="A39" i="33" s="1"/>
  <c r="A40" i="33" s="1"/>
  <c r="E37" i="33"/>
  <c r="E33" i="33"/>
  <c r="A105" i="32"/>
  <c r="A106" i="32" s="1"/>
  <c r="A107" i="32" s="1"/>
  <c r="I107" i="32"/>
  <c r="A37" i="32"/>
  <c r="A38" i="32" s="1"/>
  <c r="A39" i="32" s="1"/>
  <c r="A40" i="32" s="1"/>
  <c r="A41" i="32" s="1"/>
  <c r="A42" i="32" s="1"/>
  <c r="A43" i="32" s="1"/>
  <c r="A41" i="33" l="1"/>
  <c r="A42" i="33" s="1"/>
  <c r="A43" i="33" s="1"/>
  <c r="A44" i="33" s="1"/>
  <c r="A45" i="33" s="1"/>
  <c r="E42" i="33"/>
  <c r="A44" i="32"/>
  <c r="A45" i="32" s="1"/>
  <c r="A46" i="32" s="1"/>
  <c r="A47" i="32" s="1"/>
  <c r="A48" i="32" s="1"/>
  <c r="I50" i="32"/>
  <c r="I40" i="32"/>
  <c r="A108" i="32"/>
  <c r="A109" i="32" s="1"/>
  <c r="A110" i="32" s="1"/>
  <c r="A111" i="32" s="1"/>
  <c r="A46" i="33" l="1"/>
  <c r="A47" i="33" s="1"/>
  <c r="A48" i="33" s="1"/>
  <c r="A49" i="33" s="1"/>
  <c r="I111" i="32"/>
  <c r="A49" i="32"/>
  <c r="E47" i="33" l="1"/>
  <c r="A50" i="32"/>
  <c r="A51" i="32" l="1"/>
  <c r="I51" i="32"/>
  <c r="I53" i="32"/>
  <c r="I109" i="32" l="1"/>
  <c r="A52" i="32"/>
  <c r="A53" i="32" s="1"/>
  <c r="A54" i="32" l="1"/>
  <c r="A55" i="32" s="1"/>
  <c r="A56" i="32" s="1"/>
  <c r="A57" i="32" s="1"/>
  <c r="A58" i="32" s="1"/>
  <c r="A59" i="32" s="1"/>
  <c r="A60" i="32" s="1"/>
  <c r="A61" i="32" s="1"/>
  <c r="I86" i="32"/>
  <c r="A62" i="32" l="1"/>
  <c r="A63" i="32" l="1"/>
  <c r="I66" i="32"/>
  <c r="A64" i="32" l="1"/>
  <c r="I64" i="32"/>
  <c r="I154" i="32" l="1"/>
  <c r="A65" i="32"/>
  <c r="A66" i="32" s="1"/>
  <c r="I131" i="32" s="1"/>
  <c r="G14" i="25" l="1"/>
  <c r="I46" i="23"/>
  <c r="G43" i="23"/>
  <c r="E43" i="23"/>
  <c r="C43" i="23"/>
  <c r="I42" i="23"/>
  <c r="I41" i="23"/>
  <c r="I43" i="23" s="1"/>
  <c r="G16" i="25" s="1"/>
  <c r="I38" i="23"/>
  <c r="G38" i="23"/>
  <c r="E38" i="23"/>
  <c r="C38" i="23"/>
  <c r="I37" i="23"/>
  <c r="I36" i="23"/>
  <c r="G33" i="23"/>
  <c r="E33" i="23"/>
  <c r="C33" i="23"/>
  <c r="I32" i="23"/>
  <c r="I31" i="23"/>
  <c r="I33" i="23" s="1"/>
  <c r="G27" i="23"/>
  <c r="E27" i="23"/>
  <c r="C27" i="23"/>
  <c r="I26" i="23"/>
  <c r="I25" i="23"/>
  <c r="I27" i="23" s="1"/>
  <c r="G22" i="23"/>
  <c r="E22" i="23"/>
  <c r="C22" i="23"/>
  <c r="I21" i="23"/>
  <c r="I20" i="23"/>
  <c r="I22" i="23" s="1"/>
  <c r="G17" i="23"/>
  <c r="E17" i="23"/>
  <c r="C17" i="23"/>
  <c r="I16" i="23"/>
  <c r="I15" i="23"/>
  <c r="K14" i="23"/>
  <c r="K15" i="23" s="1"/>
  <c r="K16" i="23" s="1"/>
  <c r="K17" i="23" s="1"/>
  <c r="K18" i="23" s="1"/>
  <c r="K19" i="23" s="1"/>
  <c r="K20" i="23" s="1"/>
  <c r="K21" i="23" s="1"/>
  <c r="K22" i="23" s="1"/>
  <c r="K23" i="23" s="1"/>
  <c r="K24" i="23" s="1"/>
  <c r="K25" i="23" s="1"/>
  <c r="K26" i="23" s="1"/>
  <c r="K27" i="23" s="1"/>
  <c r="K28" i="23" s="1"/>
  <c r="K29" i="23" s="1"/>
  <c r="K30" i="23" s="1"/>
  <c r="K31" i="23" s="1"/>
  <c r="K32" i="23" s="1"/>
  <c r="K33" i="23" s="1"/>
  <c r="K34" i="23" s="1"/>
  <c r="K35" i="23" s="1"/>
  <c r="K36" i="23" s="1"/>
  <c r="K37" i="23" s="1"/>
  <c r="K38" i="23" s="1"/>
  <c r="K39" i="23" s="1"/>
  <c r="K40" i="23" s="1"/>
  <c r="K41" i="23" s="1"/>
  <c r="K42" i="23" s="1"/>
  <c r="K43" i="23" s="1"/>
  <c r="K44" i="23" s="1"/>
  <c r="K45" i="23" s="1"/>
  <c r="K46" i="23" s="1"/>
  <c r="I14" i="23"/>
  <c r="A14" i="23"/>
  <c r="K13" i="23"/>
  <c r="I46" i="24"/>
  <c r="G43" i="24"/>
  <c r="E43" i="24"/>
  <c r="C43" i="24"/>
  <c r="I42" i="24"/>
  <c r="I41" i="24"/>
  <c r="G38" i="24"/>
  <c r="E38" i="24"/>
  <c r="C38" i="24"/>
  <c r="I37" i="24"/>
  <c r="I36" i="24"/>
  <c r="I38" i="24" s="1"/>
  <c r="G33" i="24"/>
  <c r="E33" i="24"/>
  <c r="C33" i="24"/>
  <c r="I32" i="24"/>
  <c r="I31" i="24"/>
  <c r="G27" i="24"/>
  <c r="E27" i="24"/>
  <c r="C27" i="24"/>
  <c r="I26" i="24"/>
  <c r="I25" i="24"/>
  <c r="I27" i="24" s="1"/>
  <c r="I22" i="24"/>
  <c r="E14" i="25" s="1"/>
  <c r="G22" i="24"/>
  <c r="E22" i="24"/>
  <c r="C22" i="24"/>
  <c r="I21" i="24"/>
  <c r="I20" i="24"/>
  <c r="G17" i="24"/>
  <c r="E17" i="24"/>
  <c r="C17" i="24"/>
  <c r="I16" i="24"/>
  <c r="I15" i="24"/>
  <c r="I14" i="24"/>
  <c r="I17" i="24" s="1"/>
  <c r="A14" i="24"/>
  <c r="K13" i="24"/>
  <c r="K14" i="24" s="1"/>
  <c r="K15" i="24" s="1"/>
  <c r="K16" i="24" s="1"/>
  <c r="K17" i="24" s="1"/>
  <c r="K18" i="24" s="1"/>
  <c r="K19" i="24" s="1"/>
  <c r="K20" i="24" s="1"/>
  <c r="K21" i="24" s="1"/>
  <c r="K22" i="24" s="1"/>
  <c r="K23" i="24" s="1"/>
  <c r="K24" i="24" s="1"/>
  <c r="K25" i="24" s="1"/>
  <c r="K26" i="24" s="1"/>
  <c r="K27" i="24" s="1"/>
  <c r="K28" i="24" s="1"/>
  <c r="K29" i="24" s="1"/>
  <c r="K30" i="24" s="1"/>
  <c r="K31" i="24" s="1"/>
  <c r="K32" i="24" s="1"/>
  <c r="K33" i="24" s="1"/>
  <c r="K34" i="24" s="1"/>
  <c r="K35" i="24" s="1"/>
  <c r="K36" i="24" s="1"/>
  <c r="K37" i="24" s="1"/>
  <c r="K38" i="24" s="1"/>
  <c r="K39" i="24" s="1"/>
  <c r="K40" i="24" s="1"/>
  <c r="K41" i="24" s="1"/>
  <c r="K42" i="24" s="1"/>
  <c r="K43" i="24" s="1"/>
  <c r="K44" i="24" s="1"/>
  <c r="K45" i="24" s="1"/>
  <c r="K46" i="24" s="1"/>
  <c r="I24" i="25"/>
  <c r="I22" i="25"/>
  <c r="I20" i="25"/>
  <c r="A13" i="25"/>
  <c r="A14" i="25" s="1"/>
  <c r="A15" i="25" s="1"/>
  <c r="A16" i="25" s="1"/>
  <c r="L12" i="25"/>
  <c r="L13" i="25" s="1"/>
  <c r="L14" i="25" s="1"/>
  <c r="L15" i="25" s="1"/>
  <c r="L16" i="25" s="1"/>
  <c r="L17" i="25" s="1"/>
  <c r="L18" i="25" s="1"/>
  <c r="L19" i="25" s="1"/>
  <c r="L20" i="25" s="1"/>
  <c r="L21" i="25" s="1"/>
  <c r="L22" i="25" s="1"/>
  <c r="L23" i="25" s="1"/>
  <c r="L24" i="25" s="1"/>
  <c r="E12" i="25" l="1"/>
  <c r="I33" i="24"/>
  <c r="I43" i="24"/>
  <c r="E16" i="25" s="1"/>
  <c r="I17" i="23"/>
  <c r="G12" i="25" s="1"/>
  <c r="G18" i="25" s="1"/>
  <c r="I14" i="25"/>
  <c r="A15" i="23"/>
  <c r="A16" i="23" s="1"/>
  <c r="A17" i="23" s="1"/>
  <c r="A18" i="23" s="1"/>
  <c r="A19" i="23" s="1"/>
  <c r="A20" i="23" s="1"/>
  <c r="J17" i="24"/>
  <c r="A15" i="24"/>
  <c r="A16" i="24" s="1"/>
  <c r="A17" i="24" s="1"/>
  <c r="A18" i="24" s="1"/>
  <c r="A19" i="24" s="1"/>
  <c r="A20" i="24" s="1"/>
  <c r="A17" i="25"/>
  <c r="A18" i="25" s="1"/>
  <c r="A19" i="25" s="1"/>
  <c r="A20" i="25" s="1"/>
  <c r="A21" i="25" s="1"/>
  <c r="A22" i="25" s="1"/>
  <c r="A23" i="25" s="1"/>
  <c r="A24" i="25" s="1"/>
  <c r="K18" i="25"/>
  <c r="E18" i="25" l="1"/>
  <c r="I16" i="25"/>
  <c r="I12" i="25"/>
  <c r="I18" i="25" s="1"/>
  <c r="A21" i="23"/>
  <c r="A22" i="23" s="1"/>
  <c r="A23" i="23" s="1"/>
  <c r="A24" i="23" s="1"/>
  <c r="A25" i="23" s="1"/>
  <c r="J17" i="23"/>
  <c r="J22" i="24"/>
  <c r="A21" i="24"/>
  <c r="A22" i="24" s="1"/>
  <c r="A23" i="24" s="1"/>
  <c r="A24" i="24" s="1"/>
  <c r="A25" i="24" s="1"/>
  <c r="A26" i="23" l="1"/>
  <c r="A27" i="23" s="1"/>
  <c r="A28" i="23" s="1"/>
  <c r="A29" i="23" s="1"/>
  <c r="A30" i="23" s="1"/>
  <c r="A31" i="23" s="1"/>
  <c r="J27" i="23"/>
  <c r="J22" i="23"/>
  <c r="A26" i="24"/>
  <c r="A27" i="24" s="1"/>
  <c r="A28" i="24" s="1"/>
  <c r="A29" i="24" s="1"/>
  <c r="A30" i="24" s="1"/>
  <c r="A31" i="24" s="1"/>
  <c r="A32" i="23" l="1"/>
  <c r="A33" i="23" s="1"/>
  <c r="A34" i="23" s="1"/>
  <c r="A35" i="23" s="1"/>
  <c r="A36" i="23" s="1"/>
  <c r="J33" i="23"/>
  <c r="J33" i="24"/>
  <c r="A32" i="24"/>
  <c r="A33" i="24" s="1"/>
  <c r="A34" i="24" s="1"/>
  <c r="A35" i="24" s="1"/>
  <c r="A36" i="24" s="1"/>
  <c r="J27" i="24"/>
  <c r="A37" i="23" l="1"/>
  <c r="A38" i="23" s="1"/>
  <c r="A39" i="23" s="1"/>
  <c r="A40" i="23" s="1"/>
  <c r="A41" i="23" s="1"/>
  <c r="J38" i="23"/>
  <c r="A37" i="24"/>
  <c r="A38" i="24" s="1"/>
  <c r="A39" i="24" s="1"/>
  <c r="A40" i="24" s="1"/>
  <c r="A41" i="24" s="1"/>
  <c r="A42" i="23" l="1"/>
  <c r="A43" i="23" s="1"/>
  <c r="A44" i="23" s="1"/>
  <c r="A45" i="23" s="1"/>
  <c r="A46" i="23" s="1"/>
  <c r="J43" i="23"/>
  <c r="A42" i="24"/>
  <c r="A43" i="24" s="1"/>
  <c r="A44" i="24" s="1"/>
  <c r="A45" i="24" s="1"/>
  <c r="A46" i="24" s="1"/>
  <c r="J38" i="24"/>
  <c r="J43" i="24" l="1"/>
  <c r="J16" i="18" l="1"/>
  <c r="L17" i="18"/>
  <c r="A17" i="18"/>
  <c r="E42" i="19" l="1"/>
  <c r="E38" i="19"/>
  <c r="I54" i="22" l="1"/>
  <c r="I55" i="22"/>
  <c r="I56" i="22"/>
  <c r="I57" i="22"/>
  <c r="I58" i="22" s="1"/>
  <c r="I59" i="22" s="1"/>
  <c r="I60" i="22" s="1"/>
  <c r="I61" i="22" s="1"/>
  <c r="I62" i="22" s="1"/>
  <c r="I63" i="22" s="1"/>
  <c r="I64" i="22" s="1"/>
  <c r="I65" i="22" s="1"/>
  <c r="I66" i="22" s="1"/>
  <c r="A54" i="22"/>
  <c r="A55" i="22"/>
  <c r="A56" i="22"/>
  <c r="A57" i="22"/>
  <c r="A58" i="22" s="1"/>
  <c r="A59" i="22" s="1"/>
  <c r="A60" i="22" s="1"/>
  <c r="A61" i="22" s="1"/>
  <c r="A62" i="22" s="1"/>
  <c r="A63" i="22" s="1"/>
  <c r="A64" i="22" s="1"/>
  <c r="A65" i="22" s="1"/>
  <c r="A66" i="22" s="1"/>
  <c r="E41" i="19" l="1"/>
  <c r="E40" i="19"/>
  <c r="E39" i="19"/>
  <c r="E36" i="19"/>
  <c r="E35" i="19"/>
  <c r="E34" i="19"/>
  <c r="E25" i="30" s="1"/>
  <c r="E21" i="18" l="1"/>
  <c r="E18" i="18"/>
  <c r="E13" i="18"/>
  <c r="D64" i="18"/>
  <c r="D61" i="18"/>
  <c r="E59" i="18"/>
  <c r="E19" i="18" s="1"/>
  <c r="E52" i="18"/>
  <c r="E17" i="18" s="1"/>
  <c r="E49" i="18"/>
  <c r="E16" i="18" s="1"/>
  <c r="E46" i="18"/>
  <c r="E14" i="18" s="1"/>
  <c r="E39" i="18"/>
  <c r="E12" i="18" s="1"/>
  <c r="E36" i="18"/>
  <c r="E11" i="18" s="1"/>
  <c r="E63" i="18" l="1"/>
  <c r="E22" i="18" s="1"/>
  <c r="E32" i="19"/>
  <c r="E65" i="18"/>
  <c r="E24" i="18" s="1"/>
  <c r="E33" i="19"/>
  <c r="E67" i="18" l="1"/>
  <c r="E24" i="17"/>
  <c r="E51" i="16" l="1"/>
  <c r="C51" i="16"/>
  <c r="C26" i="16"/>
  <c r="C19" i="22" l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I11" i="22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A11" i="22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G12" i="1"/>
  <c r="G13" i="1" s="1"/>
  <c r="A12" i="1"/>
  <c r="A13" i="1" s="1"/>
  <c r="F87" i="21" l="1"/>
  <c r="E87" i="21"/>
  <c r="C87" i="21"/>
  <c r="F86" i="21"/>
  <c r="F85" i="21"/>
  <c r="F84" i="21"/>
  <c r="F83" i="21"/>
  <c r="F82" i="21"/>
  <c r="E82" i="21"/>
  <c r="F81" i="21"/>
  <c r="E81" i="21"/>
  <c r="F80" i="21"/>
  <c r="E80" i="21"/>
  <c r="F79" i="21"/>
  <c r="E79" i="21"/>
  <c r="F78" i="21"/>
  <c r="E78" i="21"/>
  <c r="F77" i="21"/>
  <c r="F76" i="21"/>
  <c r="F75" i="21"/>
  <c r="F74" i="21"/>
  <c r="F73" i="21"/>
  <c r="F72" i="21"/>
  <c r="F71" i="21"/>
  <c r="F70" i="21"/>
  <c r="F69" i="21"/>
  <c r="F68" i="21"/>
  <c r="F67" i="21"/>
  <c r="C81" i="21"/>
  <c r="C15" i="21" s="1"/>
  <c r="F66" i="21"/>
  <c r="C80" i="21"/>
  <c r="C14" i="21" s="1"/>
  <c r="F65" i="21"/>
  <c r="F64" i="21"/>
  <c r="C78" i="21"/>
  <c r="F63" i="21"/>
  <c r="B55" i="21"/>
  <c r="B54" i="21"/>
  <c r="C46" i="21"/>
  <c r="C41" i="21"/>
  <c r="A12" i="2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B56" i="21"/>
  <c r="G148" i="11"/>
  <c r="B148" i="11"/>
  <c r="B147" i="11"/>
  <c r="G146" i="11"/>
  <c r="G145" i="11"/>
  <c r="B145" i="11"/>
  <c r="B144" i="11"/>
  <c r="G136" i="11"/>
  <c r="B136" i="11"/>
  <c r="B133" i="11"/>
  <c r="B132" i="11"/>
  <c r="J128" i="1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A128" i="11"/>
  <c r="A129" i="11" s="1"/>
  <c r="A130" i="11" s="1"/>
  <c r="A131" i="11" s="1"/>
  <c r="A132" i="11" s="1"/>
  <c r="G98" i="1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1" i="11"/>
  <c r="A82" i="11" s="1"/>
  <c r="A83" i="11" s="1"/>
  <c r="A84" i="11" s="1"/>
  <c r="A85" i="11" s="1"/>
  <c r="D63" i="11"/>
  <c r="C63" i="11"/>
  <c r="G62" i="11"/>
  <c r="G61" i="11"/>
  <c r="G60" i="11"/>
  <c r="G63" i="11" s="1"/>
  <c r="G155" i="11" s="1"/>
  <c r="E49" i="11"/>
  <c r="C48" i="11"/>
  <c r="G39" i="11"/>
  <c r="C49" i="11" s="1"/>
  <c r="G32" i="11"/>
  <c r="E48" i="11" s="1"/>
  <c r="G25" i="11"/>
  <c r="G17" i="11"/>
  <c r="C47" i="11" s="1"/>
  <c r="A12" i="11"/>
  <c r="A13" i="11" s="1"/>
  <c r="A14" i="11" s="1"/>
  <c r="A15" i="11" s="1"/>
  <c r="A16" i="11" s="1"/>
  <c r="A17" i="11" s="1"/>
  <c r="A18" i="11" s="1"/>
  <c r="A19" i="11" s="1"/>
  <c r="A20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B121" i="11"/>
  <c r="E27" i="17"/>
  <c r="A12" i="17"/>
  <c r="A13" i="17" s="1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G15" i="17"/>
  <c r="E72" i="38" s="1"/>
  <c r="F28" i="18"/>
  <c r="J28" i="18" s="1"/>
  <c r="E26" i="18"/>
  <c r="E30" i="18" s="1"/>
  <c r="D26" i="18"/>
  <c r="D30" i="18" s="1"/>
  <c r="E30" i="19" s="1"/>
  <c r="F24" i="18"/>
  <c r="J24" i="18" s="1"/>
  <c r="F23" i="18"/>
  <c r="J23" i="18" s="1"/>
  <c r="F22" i="18"/>
  <c r="J22" i="18" s="1"/>
  <c r="F21" i="18"/>
  <c r="J21" i="18" s="1"/>
  <c r="F20" i="18"/>
  <c r="J20" i="18" s="1"/>
  <c r="F19" i="18"/>
  <c r="J19" i="18" s="1"/>
  <c r="F18" i="18"/>
  <c r="J18" i="18" s="1"/>
  <c r="F17" i="18"/>
  <c r="J17" i="18" s="1"/>
  <c r="F16" i="18"/>
  <c r="F15" i="18"/>
  <c r="H26" i="18"/>
  <c r="H30" i="18" s="1"/>
  <c r="E43" i="19" s="1"/>
  <c r="F14" i="18"/>
  <c r="J14" i="18" s="1"/>
  <c r="F13" i="18"/>
  <c r="J13" i="18" s="1"/>
  <c r="F12" i="18"/>
  <c r="J12" i="18" s="1"/>
  <c r="A12" i="18"/>
  <c r="A13" i="18" s="1"/>
  <c r="A14" i="18" s="1"/>
  <c r="L11" i="18"/>
  <c r="L12" i="18" s="1"/>
  <c r="L13" i="18" s="1"/>
  <c r="L14" i="18" s="1"/>
  <c r="F11" i="18"/>
  <c r="J11" i="18" s="1"/>
  <c r="E59" i="19"/>
  <c r="A12" i="19"/>
  <c r="A13" i="19" s="1"/>
  <c r="A14" i="19" s="1"/>
  <c r="A15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A49" i="13"/>
  <c r="A50" i="13" s="1"/>
  <c r="A51" i="13" s="1"/>
  <c r="H48" i="13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B43" i="13"/>
  <c r="B41" i="13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2" i="13"/>
  <c r="B40" i="13"/>
  <c r="B39" i="13"/>
  <c r="B52" i="15"/>
  <c r="C46" i="15"/>
  <c r="C47" i="16" s="1"/>
  <c r="B46" i="15"/>
  <c r="B44" i="15"/>
  <c r="B42" i="15"/>
  <c r="B38" i="15"/>
  <c r="B36" i="15"/>
  <c r="E34" i="15"/>
  <c r="B34" i="15"/>
  <c r="E32" i="15"/>
  <c r="C32" i="15"/>
  <c r="C44" i="15"/>
  <c r="C45" i="16" s="1"/>
  <c r="F12" i="15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A12" i="15"/>
  <c r="A13" i="15" s="1"/>
  <c r="F11" i="15"/>
  <c r="C12" i="16"/>
  <c r="G51" i="16"/>
  <c r="E47" i="16"/>
  <c r="E39" i="16"/>
  <c r="G33" i="16"/>
  <c r="G32" i="16"/>
  <c r="E33" i="16"/>
  <c r="E32" i="16"/>
  <c r="C32" i="16"/>
  <c r="E26" i="16"/>
  <c r="E22" i="16"/>
  <c r="E20" i="16"/>
  <c r="E16" i="16"/>
  <c r="E14" i="16"/>
  <c r="E12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B53" i="14"/>
  <c r="C47" i="14"/>
  <c r="B47" i="14"/>
  <c r="B45" i="14"/>
  <c r="B43" i="14"/>
  <c r="B39" i="14"/>
  <c r="C37" i="14"/>
  <c r="E37" i="16" s="1"/>
  <c r="B37" i="14"/>
  <c r="D35" i="14"/>
  <c r="B35" i="14"/>
  <c r="D33" i="14"/>
  <c r="C33" i="14"/>
  <c r="C45" i="14"/>
  <c r="E45" i="16" s="1"/>
  <c r="C43" i="14"/>
  <c r="E43" i="16" s="1"/>
  <c r="C39" i="14"/>
  <c r="A13" i="14"/>
  <c r="A14" i="14" s="1"/>
  <c r="E12" i="14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C18" i="14"/>
  <c r="C24" i="14" s="1"/>
  <c r="C28" i="14" s="1"/>
  <c r="E84" i="13" l="1"/>
  <c r="E84" i="38"/>
  <c r="E86" i="13"/>
  <c r="E86" i="38"/>
  <c r="H27" i="19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G65" i="11"/>
  <c r="G132" i="11" s="1"/>
  <c r="G27" i="11"/>
  <c r="E47" i="11" s="1"/>
  <c r="E72" i="13"/>
  <c r="C29" i="21"/>
  <c r="L15" i="18"/>
  <c r="L16" i="18" s="1"/>
  <c r="A15" i="18"/>
  <c r="A16" i="18" s="1"/>
  <c r="J15" i="18"/>
  <c r="J26" i="18" s="1"/>
  <c r="J30" i="18" s="1"/>
  <c r="E45" i="19"/>
  <c r="F26" i="18"/>
  <c r="F30" i="18" s="1"/>
  <c r="G47" i="16"/>
  <c r="E27" i="19"/>
  <c r="E67" i="19"/>
  <c r="C22" i="16"/>
  <c r="G45" i="16" s="1"/>
  <c r="C21" i="21"/>
  <c r="C26" i="21"/>
  <c r="E44" i="19"/>
  <c r="E57" i="19"/>
  <c r="G19" i="17"/>
  <c r="E73" i="38" s="1"/>
  <c r="E75" i="38" s="1"/>
  <c r="E79" i="38" s="1"/>
  <c r="B74" i="11"/>
  <c r="E88" i="13"/>
  <c r="C79" i="21"/>
  <c r="C13" i="21" s="1"/>
  <c r="C75" i="21"/>
  <c r="C12" i="21"/>
  <c r="C68" i="21"/>
  <c r="A13" i="21"/>
  <c r="A14" i="21" s="1"/>
  <c r="A15" i="21" s="1"/>
  <c r="A16" i="21" s="1"/>
  <c r="A21" i="11"/>
  <c r="A22" i="11" s="1"/>
  <c r="A23" i="11" s="1"/>
  <c r="A24" i="11" s="1"/>
  <c r="A25" i="11" s="1"/>
  <c r="A86" i="11"/>
  <c r="A87" i="11" s="1"/>
  <c r="I97" i="11"/>
  <c r="G138" i="11"/>
  <c r="G147" i="11" s="1"/>
  <c r="G144" i="11"/>
  <c r="I144" i="11"/>
  <c r="A133" i="11"/>
  <c r="A134" i="11" s="1"/>
  <c r="I17" i="11"/>
  <c r="C50" i="11"/>
  <c r="D49" i="11" s="1"/>
  <c r="G49" i="11" s="1"/>
  <c r="A14" i="17"/>
  <c r="A15" i="17" s="1"/>
  <c r="A16" i="17" s="1"/>
  <c r="A17" i="17" s="1"/>
  <c r="A18" i="17" s="1"/>
  <c r="A19" i="17" s="1"/>
  <c r="A20" i="17" s="1"/>
  <c r="A21" i="17" s="1"/>
  <c r="A22" i="17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5" i="13"/>
  <c r="A26" i="13" s="1"/>
  <c r="A27" i="13" s="1"/>
  <c r="A28" i="13" s="1"/>
  <c r="G26" i="13"/>
  <c r="A52" i="13"/>
  <c r="A53" i="13" s="1"/>
  <c r="G24" i="13"/>
  <c r="E36" i="15"/>
  <c r="A14" i="15"/>
  <c r="A15" i="15" s="1"/>
  <c r="C34" i="15"/>
  <c r="E18" i="16"/>
  <c r="E24" i="16" s="1"/>
  <c r="E28" i="16" s="1"/>
  <c r="G12" i="16"/>
  <c r="A15" i="16"/>
  <c r="A16" i="16" s="1"/>
  <c r="C35" i="14"/>
  <c r="A15" i="14"/>
  <c r="A16" i="14" s="1"/>
  <c r="D37" i="14"/>
  <c r="E88" i="38" l="1"/>
  <c r="E92" i="38" s="1"/>
  <c r="E96" i="38" s="1"/>
  <c r="E51" i="38"/>
  <c r="E23" i="30"/>
  <c r="E26" i="30" s="1"/>
  <c r="E30" i="30" s="1"/>
  <c r="A27" i="19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E46" i="19"/>
  <c r="E48" i="19" s="1"/>
  <c r="G150" i="11"/>
  <c r="G153" i="11" s="1"/>
  <c r="G157" i="11" s="1"/>
  <c r="L18" i="18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L68" i="18" s="1"/>
  <c r="L69" i="18" s="1"/>
  <c r="L70" i="18" s="1"/>
  <c r="L71" i="18" s="1"/>
  <c r="L72" i="18" s="1"/>
  <c r="L73" i="18" s="1"/>
  <c r="L74" i="18" s="1"/>
  <c r="L75" i="18" s="1"/>
  <c r="L76" i="18" s="1"/>
  <c r="L77" i="18" s="1"/>
  <c r="L78" i="18" s="1"/>
  <c r="A18" i="18"/>
  <c r="A19" i="18" s="1"/>
  <c r="A20" i="18" s="1"/>
  <c r="A21" i="18" s="1"/>
  <c r="A22" i="18" s="1"/>
  <c r="A23" i="18" s="1"/>
  <c r="A24" i="18" s="1"/>
  <c r="E73" i="13"/>
  <c r="C30" i="21"/>
  <c r="E51" i="13"/>
  <c r="E22" i="17"/>
  <c r="C41" i="14"/>
  <c r="C49" i="14" s="1"/>
  <c r="C53" i="14" s="1"/>
  <c r="E35" i="16"/>
  <c r="E41" i="16" s="1"/>
  <c r="E49" i="16" s="1"/>
  <c r="E53" i="16" s="1"/>
  <c r="C35" i="16"/>
  <c r="G22" i="16"/>
  <c r="E69" i="19"/>
  <c r="E49" i="19" s="1"/>
  <c r="C82" i="21"/>
  <c r="C16" i="21"/>
  <c r="E48" i="38" s="1"/>
  <c r="G28" i="13"/>
  <c r="A17" i="21"/>
  <c r="A18" i="21" s="1"/>
  <c r="A19" i="21" s="1"/>
  <c r="D48" i="11"/>
  <c r="G48" i="11" s="1"/>
  <c r="G52" i="11" s="1"/>
  <c r="G85" i="11" s="1"/>
  <c r="A26" i="11"/>
  <c r="A27" i="11" s="1"/>
  <c r="I27" i="11"/>
  <c r="I145" i="11"/>
  <c r="A135" i="11"/>
  <c r="I25" i="11"/>
  <c r="D47" i="11"/>
  <c r="A88" i="11"/>
  <c r="I98" i="11"/>
  <c r="A23" i="17"/>
  <c r="A24" i="17" s="1"/>
  <c r="A25" i="17" s="1"/>
  <c r="G12" i="13"/>
  <c r="A54" i="13"/>
  <c r="A55" i="13" s="1"/>
  <c r="A56" i="13" s="1"/>
  <c r="G33" i="13"/>
  <c r="A29" i="13"/>
  <c r="A30" i="13" s="1"/>
  <c r="A31" i="13" s="1"/>
  <c r="A16" i="15"/>
  <c r="A17" i="15" s="1"/>
  <c r="E38" i="15"/>
  <c r="A17" i="16"/>
  <c r="A18" i="16" s="1"/>
  <c r="H18" i="16"/>
  <c r="A17" i="14"/>
  <c r="A18" i="14" s="1"/>
  <c r="D39" i="14"/>
  <c r="E53" i="38" l="1"/>
  <c r="E13" i="38" s="1"/>
  <c r="E98" i="38"/>
  <c r="E23" i="38" s="1"/>
  <c r="E68" i="38"/>
  <c r="E19" i="38" s="1"/>
  <c r="E63" i="38"/>
  <c r="E17" i="38" s="1"/>
  <c r="E58" i="38"/>
  <c r="E15" i="38" s="1"/>
  <c r="E81" i="38"/>
  <c r="E21" i="38" s="1"/>
  <c r="E50" i="19"/>
  <c r="L79" i="18"/>
  <c r="L80" i="18" s="1"/>
  <c r="L81" i="18" s="1"/>
  <c r="L82" i="18" s="1"/>
  <c r="A25" i="18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K26" i="18"/>
  <c r="K30" i="18"/>
  <c r="E56" i="13"/>
  <c r="E23" i="17"/>
  <c r="E25" i="17" s="1"/>
  <c r="E29" i="17" s="1"/>
  <c r="E48" i="13"/>
  <c r="G35" i="16"/>
  <c r="A20" i="21"/>
  <c r="A21" i="21" s="1"/>
  <c r="A89" i="11"/>
  <c r="I99" i="11"/>
  <c r="G47" i="11"/>
  <c r="G50" i="11" s="1"/>
  <c r="G108" i="11" s="1"/>
  <c r="D50" i="11"/>
  <c r="I47" i="11"/>
  <c r="A28" i="11"/>
  <c r="A29" i="11" s="1"/>
  <c r="A30" i="11" s="1"/>
  <c r="I146" i="11"/>
  <c r="A136" i="11"/>
  <c r="A137" i="11" s="1"/>
  <c r="A138" i="11" s="1"/>
  <c r="G97" i="11"/>
  <c r="A26" i="17"/>
  <c r="A27" i="17" s="1"/>
  <c r="A28" i="17" s="1"/>
  <c r="A29" i="17" s="1"/>
  <c r="A45" i="19"/>
  <c r="A57" i="13"/>
  <c r="A58" i="13" s="1"/>
  <c r="A32" i="13"/>
  <c r="A33" i="13" s="1"/>
  <c r="A34" i="13" s="1"/>
  <c r="A35" i="13" s="1"/>
  <c r="A18" i="15"/>
  <c r="A19" i="15" s="1"/>
  <c r="A19" i="16"/>
  <c r="A20" i="16" s="1"/>
  <c r="A19" i="14"/>
  <c r="A20" i="14" s="1"/>
  <c r="E25" i="38" l="1"/>
  <c r="E27" i="38" s="1"/>
  <c r="E29" i="38" s="1"/>
  <c r="E34" i="38" s="1"/>
  <c r="E36" i="38" s="1"/>
  <c r="A79" i="18"/>
  <c r="A80" i="18" s="1"/>
  <c r="A81" i="18" s="1"/>
  <c r="A82" i="18" s="1"/>
  <c r="E74" i="13"/>
  <c r="E75" i="13" s="1"/>
  <c r="C31" i="21"/>
  <c r="C32" i="21" s="1"/>
  <c r="C36" i="21" s="1"/>
  <c r="G88" i="11" s="1"/>
  <c r="E68" i="13"/>
  <c r="E18" i="13" s="1"/>
  <c r="E63" i="13"/>
  <c r="E16" i="13" s="1"/>
  <c r="E53" i="13"/>
  <c r="E12" i="13" s="1"/>
  <c r="E58" i="13"/>
  <c r="E14" i="13" s="1"/>
  <c r="G35" i="13"/>
  <c r="A22" i="21"/>
  <c r="A23" i="21" s="1"/>
  <c r="A24" i="21" s="1"/>
  <c r="A139" i="1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I147" i="11"/>
  <c r="A31" i="11"/>
  <c r="I36" i="11"/>
  <c r="I136" i="11"/>
  <c r="A90" i="11"/>
  <c r="A91" i="11" s="1"/>
  <c r="A46" i="19"/>
  <c r="G14" i="13"/>
  <c r="A59" i="13"/>
  <c r="A60" i="13" s="1"/>
  <c r="A61" i="13" s="1"/>
  <c r="A20" i="15"/>
  <c r="A21" i="15" s="1"/>
  <c r="E42" i="15"/>
  <c r="A21" i="16"/>
  <c r="A22" i="16" s="1"/>
  <c r="H24" i="16" s="1"/>
  <c r="A21" i="14"/>
  <c r="A22" i="14" s="1"/>
  <c r="D43" i="14"/>
  <c r="G99" i="11" l="1"/>
  <c r="G91" i="11"/>
  <c r="G100" i="11" s="1"/>
  <c r="A25" i="21"/>
  <c r="A26" i="21" s="1"/>
  <c r="I100" i="11"/>
  <c r="A92" i="11"/>
  <c r="A93" i="11" s="1"/>
  <c r="A94" i="11" s="1"/>
  <c r="A95" i="11" s="1"/>
  <c r="A96" i="11" s="1"/>
  <c r="A97" i="11" s="1"/>
  <c r="A98" i="11" s="1"/>
  <c r="A99" i="11" s="1"/>
  <c r="A100" i="11" s="1"/>
  <c r="A101" i="11" s="1"/>
  <c r="A154" i="11"/>
  <c r="A155" i="11" s="1"/>
  <c r="A156" i="11" s="1"/>
  <c r="A157" i="11" s="1"/>
  <c r="A32" i="11"/>
  <c r="I32" i="11"/>
  <c r="I153" i="11"/>
  <c r="A47" i="19"/>
  <c r="A48" i="19" s="1"/>
  <c r="A62" i="13"/>
  <c r="A63" i="13" s="1"/>
  <c r="A22" i="15"/>
  <c r="A23" i="15" s="1"/>
  <c r="E44" i="15"/>
  <c r="A23" i="16"/>
  <c r="A24" i="16" s="1"/>
  <c r="A23" i="14"/>
  <c r="A24" i="14" s="1"/>
  <c r="D45" i="14"/>
  <c r="I157" i="11" l="1"/>
  <c r="G103" i="11"/>
  <c r="G106" i="11" s="1"/>
  <c r="G110" i="11" s="1"/>
  <c r="A27" i="21"/>
  <c r="A28" i="21" s="1"/>
  <c r="A29" i="21" s="1"/>
  <c r="A33" i="11"/>
  <c r="A34" i="11" s="1"/>
  <c r="A35" i="11" s="1"/>
  <c r="I48" i="11"/>
  <c r="I148" i="11"/>
  <c r="A102" i="11"/>
  <c r="A103" i="11" s="1"/>
  <c r="A49" i="19"/>
  <c r="A50" i="19" s="1"/>
  <c r="A51" i="19" s="1"/>
  <c r="A52" i="19" s="1"/>
  <c r="A53" i="19" s="1"/>
  <c r="G16" i="13"/>
  <c r="A64" i="13"/>
  <c r="A65" i="13" s="1"/>
  <c r="A66" i="13" s="1"/>
  <c r="A24" i="15"/>
  <c r="A25" i="15" s="1"/>
  <c r="A25" i="16"/>
  <c r="A26" i="16" s="1"/>
  <c r="A25" i="14"/>
  <c r="A26" i="14" s="1"/>
  <c r="E77" i="13" l="1"/>
  <c r="E90" i="13" s="1"/>
  <c r="E92" i="13" s="1"/>
  <c r="E96" i="13" s="1"/>
  <c r="E98" i="13" s="1"/>
  <c r="E22" i="13" s="1"/>
  <c r="G16" i="35"/>
  <c r="G18" i="35" s="1"/>
  <c r="G42" i="35" s="1"/>
  <c r="C15" i="15" s="1"/>
  <c r="E79" i="13"/>
  <c r="E81" i="13" s="1"/>
  <c r="E20" i="13" s="1"/>
  <c r="A30" i="21"/>
  <c r="A31" i="21" s="1"/>
  <c r="A32" i="21" s="1"/>
  <c r="A104" i="11"/>
  <c r="A105" i="11" s="1"/>
  <c r="A106" i="11" s="1"/>
  <c r="I106" i="11"/>
  <c r="A36" i="11"/>
  <c r="A37" i="11" s="1"/>
  <c r="A38" i="11" s="1"/>
  <c r="A39" i="11" s="1"/>
  <c r="A40" i="11" s="1"/>
  <c r="A41" i="11" s="1"/>
  <c r="A42" i="11" s="1"/>
  <c r="A54" i="19"/>
  <c r="A55" i="19" s="1"/>
  <c r="A56" i="19" s="1"/>
  <c r="A57" i="19" s="1"/>
  <c r="A67" i="13"/>
  <c r="A68" i="13" s="1"/>
  <c r="E46" i="15"/>
  <c r="A26" i="15"/>
  <c r="A27" i="15" s="1"/>
  <c r="A28" i="15" s="1"/>
  <c r="A33" i="15" s="1"/>
  <c r="A34" i="15" s="1"/>
  <c r="A27" i="16"/>
  <c r="A28" i="16" s="1"/>
  <c r="A29" i="16" s="1"/>
  <c r="A34" i="16" s="1"/>
  <c r="A35" i="16" s="1"/>
  <c r="H28" i="16"/>
  <c r="D47" i="14"/>
  <c r="A27" i="14"/>
  <c r="A28" i="14" s="1"/>
  <c r="A29" i="14" s="1"/>
  <c r="A34" i="14" s="1"/>
  <c r="A35" i="14" s="1"/>
  <c r="C38" i="15" l="1"/>
  <c r="C39" i="16" s="1"/>
  <c r="C16" i="16"/>
  <c r="I39" i="11"/>
  <c r="E24" i="13"/>
  <c r="E26" i="13" s="1"/>
  <c r="E28" i="13" s="1"/>
  <c r="E33" i="13" s="1"/>
  <c r="E35" i="13" s="1"/>
  <c r="A33" i="21"/>
  <c r="A34" i="21" s="1"/>
  <c r="A35" i="21" s="1"/>
  <c r="A36" i="21" s="1"/>
  <c r="A37" i="21" s="1"/>
  <c r="A38" i="21" s="1"/>
  <c r="A39" i="21" s="1"/>
  <c r="I49" i="11"/>
  <c r="A43" i="11"/>
  <c r="A44" i="11" s="1"/>
  <c r="A45" i="11" s="1"/>
  <c r="A46" i="11" s="1"/>
  <c r="A47" i="11" s="1"/>
  <c r="A107" i="11"/>
  <c r="A108" i="11" s="1"/>
  <c r="A109" i="11" s="1"/>
  <c r="A110" i="11" s="1"/>
  <c r="I110" i="11"/>
  <c r="A58" i="19"/>
  <c r="A59" i="19" s="1"/>
  <c r="G18" i="13"/>
  <c r="A69" i="13"/>
  <c r="A70" i="13" s="1"/>
  <c r="A71" i="13" s="1"/>
  <c r="A72" i="13" s="1"/>
  <c r="A35" i="15"/>
  <c r="A36" i="15" s="1"/>
  <c r="A37" i="15" s="1"/>
  <c r="A38" i="15" s="1"/>
  <c r="A39" i="15" s="1"/>
  <c r="A40" i="15" s="1"/>
  <c r="A36" i="16"/>
  <c r="A37" i="16" s="1"/>
  <c r="A38" i="16" s="1"/>
  <c r="A39" i="16" s="1"/>
  <c r="A40" i="16" s="1"/>
  <c r="A41" i="16" s="1"/>
  <c r="A36" i="14"/>
  <c r="A37" i="14" s="1"/>
  <c r="A38" i="14" s="1"/>
  <c r="A39" i="14" s="1"/>
  <c r="A40" i="14" s="1"/>
  <c r="A41" i="14" s="1"/>
  <c r="G16" i="16" l="1"/>
  <c r="C13" i="15"/>
  <c r="C14" i="16" s="1"/>
  <c r="C17" i="15"/>
  <c r="G14" i="16"/>
  <c r="G18" i="16" s="1"/>
  <c r="A40" i="21"/>
  <c r="A41" i="21" s="1"/>
  <c r="A42" i="21" s="1"/>
  <c r="A43" i="21" s="1"/>
  <c r="A44" i="21" s="1"/>
  <c r="A48" i="11"/>
  <c r="A60" i="19"/>
  <c r="A61" i="19" s="1"/>
  <c r="A62" i="19" s="1"/>
  <c r="A63" i="19" s="1"/>
  <c r="A64" i="19" s="1"/>
  <c r="A65" i="19" s="1"/>
  <c r="A66" i="19" s="1"/>
  <c r="A67" i="19" s="1"/>
  <c r="A73" i="13"/>
  <c r="A74" i="13" s="1"/>
  <c r="A75" i="13" s="1"/>
  <c r="E40" i="15"/>
  <c r="E48" i="15"/>
  <c r="A41" i="15"/>
  <c r="A42" i="15" s="1"/>
  <c r="A43" i="15" s="1"/>
  <c r="A44" i="15" s="1"/>
  <c r="A45" i="15" s="1"/>
  <c r="A46" i="15" s="1"/>
  <c r="A47" i="15" s="1"/>
  <c r="A48" i="15" s="1"/>
  <c r="A42" i="16"/>
  <c r="A43" i="16" s="1"/>
  <c r="A44" i="16" s="1"/>
  <c r="A45" i="16" s="1"/>
  <c r="A46" i="16" s="1"/>
  <c r="A47" i="16" s="1"/>
  <c r="A48" i="16" s="1"/>
  <c r="A49" i="16" s="1"/>
  <c r="H41" i="16"/>
  <c r="A42" i="14"/>
  <c r="A43" i="14" s="1"/>
  <c r="A44" i="14" s="1"/>
  <c r="A45" i="14" s="1"/>
  <c r="A46" i="14" s="1"/>
  <c r="A47" i="14" s="1"/>
  <c r="A48" i="14" s="1"/>
  <c r="A49" i="14" s="1"/>
  <c r="D41" i="14"/>
  <c r="C36" i="15" l="1"/>
  <c r="D49" i="14"/>
  <c r="C18" i="16"/>
  <c r="A45" i="21"/>
  <c r="A46" i="21" s="1"/>
  <c r="A47" i="21" s="1"/>
  <c r="A48" i="21" s="1"/>
  <c r="A49" i="11"/>
  <c r="I52" i="11"/>
  <c r="A68" i="19"/>
  <c r="A69" i="19" s="1"/>
  <c r="A76" i="13"/>
  <c r="A77" i="13" s="1"/>
  <c r="A49" i="15"/>
  <c r="A50" i="15" s="1"/>
  <c r="A51" i="15" s="1"/>
  <c r="A52" i="15" s="1"/>
  <c r="A53" i="15" s="1"/>
  <c r="A50" i="16"/>
  <c r="A51" i="16" s="1"/>
  <c r="A52" i="16" s="1"/>
  <c r="A53" i="16" s="1"/>
  <c r="A54" i="16" s="1"/>
  <c r="H49" i="16"/>
  <c r="A50" i="14"/>
  <c r="A51" i="14" s="1"/>
  <c r="A52" i="14" s="1"/>
  <c r="A53" i="14" s="1"/>
  <c r="A54" i="14" s="1"/>
  <c r="D53" i="14"/>
  <c r="C40" i="15" l="1"/>
  <c r="C37" i="16"/>
  <c r="G37" i="16" s="1"/>
  <c r="A50" i="11"/>
  <c r="I50" i="11"/>
  <c r="A78" i="13"/>
  <c r="A79" i="13" s="1"/>
  <c r="E52" i="15"/>
  <c r="C41" i="16" l="1"/>
  <c r="G41" i="16" s="1"/>
  <c r="I108" i="11"/>
  <c r="A51" i="11"/>
  <c r="A52" i="11" s="1"/>
  <c r="A80" i="13"/>
  <c r="A81" i="13" s="1"/>
  <c r="A53" i="11" l="1"/>
  <c r="A54" i="11" s="1"/>
  <c r="A55" i="11" s="1"/>
  <c r="A56" i="11" s="1"/>
  <c r="A57" i="11" s="1"/>
  <c r="A58" i="11" s="1"/>
  <c r="A59" i="11" s="1"/>
  <c r="A60" i="11" s="1"/>
  <c r="I85" i="11"/>
  <c r="A82" i="13"/>
  <c r="A83" i="13" s="1"/>
  <c r="A84" i="13" s="1"/>
  <c r="G20" i="13"/>
  <c r="A61" i="11" l="1"/>
  <c r="A85" i="13"/>
  <c r="A86" i="13" s="1"/>
  <c r="A87" i="13" s="1"/>
  <c r="A88" i="13" s="1"/>
  <c r="A62" i="11" l="1"/>
  <c r="A89" i="13"/>
  <c r="A90" i="13" s="1"/>
  <c r="A91" i="13" s="1"/>
  <c r="A92" i="13" s="1"/>
  <c r="A63" i="11" l="1"/>
  <c r="I63" i="11"/>
  <c r="I65" i="11"/>
  <c r="A93" i="13"/>
  <c r="A94" i="13" s="1"/>
  <c r="A95" i="13" s="1"/>
  <c r="A96" i="13" s="1"/>
  <c r="A64" i="11" l="1"/>
  <c r="A65" i="11" s="1"/>
  <c r="I132" i="11" s="1"/>
  <c r="I155" i="11"/>
  <c r="A97" i="13"/>
  <c r="A98" i="13" s="1"/>
  <c r="G22" i="13" s="1"/>
  <c r="C42" i="15" l="1"/>
  <c r="C20" i="16"/>
  <c r="C23" i="15"/>
  <c r="C27" i="15" s="1"/>
  <c r="G20" i="16" l="1"/>
  <c r="G24" i="16" s="1"/>
  <c r="C24" i="16"/>
  <c r="C28" i="16" s="1"/>
  <c r="G28" i="16" s="1"/>
  <c r="C43" i="16"/>
  <c r="C49" i="16" s="1"/>
  <c r="C53" i="16" s="1"/>
  <c r="G53" i="16" s="1"/>
  <c r="C48" i="15"/>
  <c r="C52" i="15" s="1"/>
  <c r="D13" i="1" l="1"/>
  <c r="D18" i="22"/>
  <c r="G43" i="16"/>
  <c r="G49" i="16" s="1"/>
  <c r="D19" i="22" l="1"/>
  <c r="D20" i="22" s="1"/>
  <c r="D21" i="22" s="1"/>
  <c r="D22" i="22" s="1"/>
  <c r="D23" i="22" s="1"/>
  <c r="D24" i="22" s="1"/>
  <c r="D25" i="22" s="1"/>
  <c r="D26" i="22" s="1"/>
  <c r="D27" i="22" s="1"/>
  <c r="D28" i="22" s="1"/>
  <c r="D29" i="22" s="1"/>
  <c r="D66" i="22" s="1"/>
  <c r="G18" i="22"/>
  <c r="F18" i="22"/>
  <c r="H18" i="22" l="1"/>
  <c r="F19" i="22" s="1"/>
  <c r="G19" i="22" s="1"/>
  <c r="H19" i="22" s="1"/>
  <c r="F20" i="22" s="1"/>
  <c r="G20" i="22" l="1"/>
  <c r="H20" i="22" s="1"/>
  <c r="F21" i="22" s="1"/>
  <c r="G21" i="22" s="1"/>
  <c r="H21" i="22" s="1"/>
  <c r="F22" i="22" l="1"/>
  <c r="G22" i="22" s="1"/>
  <c r="H22" i="22" s="1"/>
  <c r="F23" i="22" l="1"/>
  <c r="G23" i="22" s="1"/>
  <c r="H23" i="22" s="1"/>
  <c r="F24" i="22" l="1"/>
  <c r="G24" i="22" s="1"/>
  <c r="H24" i="22" s="1"/>
  <c r="F25" i="22" l="1"/>
  <c r="G25" i="22" s="1"/>
  <c r="H25" i="22" s="1"/>
  <c r="F26" i="22" s="1"/>
  <c r="G26" i="22" l="1"/>
  <c r="H26" i="22" s="1"/>
  <c r="F27" i="22" l="1"/>
  <c r="G27" i="22" s="1"/>
  <c r="H27" i="22" s="1"/>
  <c r="F28" i="22" l="1"/>
  <c r="G28" i="22" s="1"/>
  <c r="H28" i="22" s="1"/>
  <c r="F29" i="22" l="1"/>
  <c r="G29" i="22" s="1"/>
  <c r="H29" i="22" s="1"/>
  <c r="F30" i="22" l="1"/>
  <c r="G30" i="22" s="1"/>
  <c r="H30" i="22" s="1"/>
  <c r="F31" i="22" s="1"/>
  <c r="G31" i="22" l="1"/>
  <c r="H31" i="22" s="1"/>
  <c r="F32" i="22" l="1"/>
  <c r="G32" i="22" s="1"/>
  <c r="H32" i="22" s="1"/>
  <c r="F33" i="22" l="1"/>
  <c r="G33" i="22" s="1"/>
  <c r="H33" i="22" s="1"/>
  <c r="F34" i="22" l="1"/>
  <c r="G34" i="22" s="1"/>
  <c r="H34" i="22" s="1"/>
  <c r="F35" i="22" l="1"/>
  <c r="G35" i="22" s="1"/>
  <c r="H35" i="22" s="1"/>
  <c r="F36" i="22" l="1"/>
  <c r="G36" i="22" s="1"/>
  <c r="H36" i="22" s="1"/>
  <c r="F37" i="22" l="1"/>
  <c r="G37" i="22" s="1"/>
  <c r="H37" i="22" s="1"/>
  <c r="F38" i="22" l="1"/>
  <c r="G38" i="22" s="1"/>
  <c r="H38" i="22" s="1"/>
  <c r="F39" i="22" l="1"/>
  <c r="G39" i="22" s="1"/>
  <c r="H39" i="22" s="1"/>
  <c r="F40" i="22" l="1"/>
  <c r="G40" i="22" s="1"/>
  <c r="H40" i="22" s="1"/>
  <c r="F41" i="22" l="1"/>
  <c r="G41" i="22" s="1"/>
  <c r="H41" i="22" s="1"/>
  <c r="F42" i="22" s="1"/>
  <c r="G42" i="22" s="1"/>
  <c r="H42" i="22" l="1"/>
  <c r="F43" i="22" s="1"/>
  <c r="G43" i="22" l="1"/>
  <c r="H43" i="22" s="1"/>
  <c r="F44" i="22" l="1"/>
  <c r="G44" i="22" l="1"/>
  <c r="H44" i="22" s="1"/>
  <c r="F45" i="22" l="1"/>
  <c r="G45" i="22" l="1"/>
  <c r="H45" i="22" s="1"/>
  <c r="F46" i="22" l="1"/>
  <c r="G46" i="22" l="1"/>
  <c r="H46" i="22" s="1"/>
  <c r="F47" i="22" l="1"/>
  <c r="G47" i="22" l="1"/>
  <c r="H47" i="22" s="1"/>
  <c r="F48" i="22" l="1"/>
  <c r="G48" i="22" l="1"/>
  <c r="H48" i="22" s="1"/>
  <c r="F49" i="22" l="1"/>
  <c r="G49" i="22" l="1"/>
  <c r="H49" i="22" s="1"/>
  <c r="F50" i="22" l="1"/>
  <c r="G50" i="22" l="1"/>
  <c r="H50" i="22" s="1"/>
  <c r="F51" i="22" l="1"/>
  <c r="G51" i="22" l="1"/>
  <c r="H51" i="22" s="1"/>
  <c r="G14" i="1"/>
  <c r="G15" i="1" s="1"/>
  <c r="G16" i="1" s="1"/>
  <c r="G17" i="1" s="1"/>
  <c r="G18" i="1" s="1"/>
  <c r="G19" i="1" s="1"/>
  <c r="G20" i="1" s="1"/>
  <c r="G21" i="1" s="1"/>
  <c r="A14" i="1"/>
  <c r="A15" i="1" s="1"/>
  <c r="A16" i="1" s="1"/>
  <c r="A17" i="1" s="1"/>
  <c r="A18" i="1" s="1"/>
  <c r="A19" i="1" s="1"/>
  <c r="A20" i="1" s="1"/>
  <c r="A21" i="1" s="1"/>
  <c r="F52" i="22" l="1"/>
  <c r="G52" i="22" l="1"/>
  <c r="H52" i="22" s="1"/>
  <c r="F53" i="22" l="1"/>
  <c r="G53" i="22" s="1"/>
  <c r="G66" i="22" s="1"/>
  <c r="D15" i="1" s="1"/>
  <c r="H53" i="22" l="1"/>
  <c r="F54" i="22" l="1"/>
  <c r="D17" i="1"/>
  <c r="D21" i="1" s="1"/>
  <c r="G54" i="22" l="1"/>
  <c r="H54" i="22" s="1"/>
  <c r="F55" i="22" l="1"/>
  <c r="G55" i="22"/>
  <c r="H55" i="22" s="1"/>
  <c r="F56" i="22" l="1"/>
  <c r="G56" i="22" s="1"/>
  <c r="H56" i="22" s="1"/>
  <c r="F57" i="22" l="1"/>
  <c r="G57" i="22" s="1"/>
  <c r="H57" i="22" s="1"/>
  <c r="F58" i="22" l="1"/>
  <c r="G58" i="22" s="1"/>
  <c r="H58" i="22" s="1"/>
  <c r="F59" i="22" l="1"/>
  <c r="G59" i="22" s="1"/>
  <c r="H59" i="22" s="1"/>
  <c r="F60" i="22" l="1"/>
  <c r="G60" i="22"/>
  <c r="H60" i="22" s="1"/>
  <c r="F61" i="22" l="1"/>
  <c r="G61" i="22" s="1"/>
  <c r="H61" i="22" s="1"/>
  <c r="F62" i="22" l="1"/>
  <c r="G62" i="22"/>
  <c r="H62" i="22" l="1"/>
  <c r="F63" i="22" l="1"/>
  <c r="G63" i="22" s="1"/>
  <c r="H63" i="22" s="1"/>
  <c r="F64" i="22" l="1"/>
  <c r="G64" i="22" s="1"/>
  <c r="H64" i="22" s="1"/>
  <c r="F65" i="22" l="1"/>
  <c r="G65" i="22" s="1"/>
  <c r="H65" i="22" s="1"/>
</calcChain>
</file>

<file path=xl/sharedStrings.xml><?xml version="1.0" encoding="utf-8"?>
<sst xmlns="http://schemas.openxmlformats.org/spreadsheetml/2006/main" count="1827" uniqueCount="657">
  <si>
    <t>San Diego Gas &amp; Electric Company</t>
  </si>
  <si>
    <t>($1,000)</t>
  </si>
  <si>
    <t>Line</t>
  </si>
  <si>
    <t>Description</t>
  </si>
  <si>
    <t>Amounts</t>
  </si>
  <si>
    <t>Reference</t>
  </si>
  <si>
    <t>No.</t>
  </si>
  <si>
    <t>B</t>
  </si>
  <si>
    <t>Interest Expense</t>
  </si>
  <si>
    <t>Total</t>
  </si>
  <si>
    <t>(a)</t>
  </si>
  <si>
    <t xml:space="preserve"> </t>
  </si>
  <si>
    <t>A</t>
  </si>
  <si>
    <t>C = A - B</t>
  </si>
  <si>
    <t>Difference</t>
  </si>
  <si>
    <t>Incr (Decr)</t>
  </si>
  <si>
    <t>√</t>
  </si>
  <si>
    <t>Transmission Related A&amp;G Expense</t>
  </si>
  <si>
    <t>CPUC Intervenor Funding Expense - Transmission</t>
  </si>
  <si>
    <t>Shall be Zero</t>
  </si>
  <si>
    <t>Transmission Related Electric Miscellaneous Intangible Plant</t>
  </si>
  <si>
    <t>Transmission Related General Plant</t>
  </si>
  <si>
    <t>Net Transmission Plant</t>
  </si>
  <si>
    <t>Cost Adjustment Workpapers</t>
  </si>
  <si>
    <t>SAN DIEGO GAS &amp; ELECTRIC COMPANY</t>
  </si>
  <si>
    <t>Statement AH</t>
  </si>
  <si>
    <t>Operation and Maintenance Expenses</t>
  </si>
  <si>
    <t>FERC Form 1</t>
  </si>
  <si>
    <t>Page; Line; Col.</t>
  </si>
  <si>
    <t>Adjustments to Per Book Transmission O&amp;M Expense:</t>
  </si>
  <si>
    <t>Adjustments to Per Book A&amp;G Expense:</t>
  </si>
  <si>
    <t xml:space="preserve">   Abandoned Projects</t>
  </si>
  <si>
    <t xml:space="preserve">   CPUC energy efficiency programs</t>
  </si>
  <si>
    <t xml:space="preserve">   CPUC Intervenor Funding Expense - Distribution</t>
  </si>
  <si>
    <t xml:space="preserve">   CPUC reimbursement fees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</si>
  <si>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</si>
  <si>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</si>
  <si>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</si>
  <si>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</si>
  <si>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</si>
  <si>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</si>
  <si>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>Less: Property Insurance (Due to different allocation factor)</t>
  </si>
  <si>
    <t>Transmission Wages and Salaries Allocation Factor</t>
  </si>
  <si>
    <t>Property Insurance Allocated to Transmission, General, and Common Plant</t>
  </si>
  <si>
    <t>Derivation of Transmission Plant Property Insurance Allocation Factor:</t>
  </si>
  <si>
    <t>Transmission Plant &amp; Incentive Transmission Plant</t>
  </si>
  <si>
    <t xml:space="preserve">Transmission Related Common Plant </t>
  </si>
  <si>
    <t xml:space="preserve">     Total Transmission Related Investment in Plant</t>
  </si>
  <si>
    <t>Total Transmission Plant &amp; Incentive Transmission Plant</t>
  </si>
  <si>
    <t>Total Steam Production Plant</t>
  </si>
  <si>
    <t>Total Nuclear Production Plant</t>
  </si>
  <si>
    <t>Total Other Production Plant</t>
  </si>
  <si>
    <t>Total Distribution Plant</t>
  </si>
  <si>
    <t>Total General Plant</t>
  </si>
  <si>
    <t>Total Common Plant</t>
  </si>
  <si>
    <t xml:space="preserve">     Total Plant in Service Excluding SONGS</t>
  </si>
  <si>
    <t>(b)</t>
  </si>
  <si>
    <t>(c) = (a) - (b)</t>
  </si>
  <si>
    <t>(e) = (c) + (d)</t>
  </si>
  <si>
    <t>FERC</t>
  </si>
  <si>
    <t>Excluded</t>
  </si>
  <si>
    <t>Revised</t>
  </si>
  <si>
    <t>Acct</t>
  </si>
  <si>
    <t>Per Books</t>
  </si>
  <si>
    <t>Expenses</t>
  </si>
  <si>
    <t>Adjusted</t>
  </si>
  <si>
    <t>Rents</t>
  </si>
  <si>
    <t>Total Excluded Expenses</t>
  </si>
  <si>
    <t>Administrative &amp; General Expenses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</si>
  <si>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</si>
  <si>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</si>
  <si>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</si>
  <si>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</si>
  <si>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</si>
  <si>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</si>
  <si>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</si>
  <si>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</si>
  <si>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</si>
  <si>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</si>
  <si>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</si>
  <si>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</si>
  <si>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</si>
  <si>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</si>
  <si>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t>Form 1; Page 323; Line 187</t>
  </si>
  <si>
    <t xml:space="preserve">Franchise Requirements </t>
  </si>
  <si>
    <t>Form 1; Page 323; Line 188</t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</si>
  <si>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</si>
  <si>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</si>
  <si>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</si>
  <si>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</si>
  <si>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</si>
  <si>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</si>
  <si>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</si>
  <si>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Form 1; Page 323; Line 193</t>
  </si>
  <si>
    <t>Maintenance of General Plant</t>
  </si>
  <si>
    <t>Form 1; Page 323; Line 196</t>
  </si>
  <si>
    <t>Total Administrative &amp; General Expenses</t>
  </si>
  <si>
    <t>Excluded Expenses:</t>
  </si>
  <si>
    <t>CPUC energy efficiency programs</t>
  </si>
  <si>
    <t>CPUC Intervenor Funding Expense - Distribution</t>
  </si>
  <si>
    <t xml:space="preserve">CPUC reimbursement fees  </t>
  </si>
  <si>
    <t>Litigation expenses - Litigation Cost Memorandum Account (LCMA)</t>
  </si>
  <si>
    <t xml:space="preserve">CPUC energy efficiency programs  </t>
  </si>
  <si>
    <t>Abandoned Projects</t>
  </si>
  <si>
    <t xml:space="preserve">Hazardous Substances-Hazardous Substance Cleanup Cost Account </t>
  </si>
  <si>
    <t>Statement AL</t>
  </si>
  <si>
    <t>Working Capital</t>
  </si>
  <si>
    <t>Working</t>
  </si>
  <si>
    <t>13-Months</t>
  </si>
  <si>
    <t>Cash</t>
  </si>
  <si>
    <t>Average Balance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</si>
  <si>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</si>
  <si>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450.1; Sch. Pg. 227; 12; c</t>
  </si>
  <si>
    <t>Transmission Plant Allocation Factor</t>
  </si>
  <si>
    <t xml:space="preserve">     Transmission Related Materials and Supplies 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</si>
  <si>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</si>
  <si>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</si>
  <si>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 xml:space="preserve">     Transmission Related Prepayments 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</si>
  <si>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</si>
  <si>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</si>
  <si>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</si>
  <si>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 xml:space="preserve">   CPUC Intervenor Funding Expense - Transmission</t>
  </si>
  <si>
    <t xml:space="preserve">     Total</t>
  </si>
  <si>
    <t xml:space="preserve">   One Eighth O&amp;M Rule</t>
  </si>
  <si>
    <t>FERC Method = 1/8 of O&amp;M Expense</t>
  </si>
  <si>
    <t xml:space="preserve">     Transmission Related Cash Working Capital - Retail Customers</t>
  </si>
  <si>
    <t>The balances for Materials &amp; Supplies and Prepayments are derived based on a 13-month average balance.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</si>
  <si>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</si>
  <si>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</si>
  <si>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</si>
  <si>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</si>
  <si>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</si>
  <si>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</si>
  <si>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</si>
  <si>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</si>
  <si>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</si>
  <si>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</si>
  <si>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</si>
  <si>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</si>
  <si>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</si>
  <si>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</si>
  <si>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</si>
  <si>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</si>
  <si>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</si>
  <si>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</si>
  <si>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</si>
  <si>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</si>
  <si>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</si>
  <si>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</si>
  <si>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</si>
  <si>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</si>
  <si>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</si>
  <si>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</si>
  <si>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Cost of Long-Term Debt: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</si>
  <si>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</si>
  <si>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</si>
  <si>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</si>
  <si>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</si>
  <si>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</si>
  <si>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</si>
  <si>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Common Equity Component:</t>
  </si>
  <si>
    <t>Proprietary Capital</t>
  </si>
  <si>
    <t>112; 16; c</t>
  </si>
  <si>
    <t>Less: Preferred Stock (Acct 204)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</si>
  <si>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</si>
  <si>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</si>
  <si>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</si>
  <si>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</si>
  <si>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</si>
  <si>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</si>
  <si>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</si>
  <si>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</si>
  <si>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</si>
  <si>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</si>
  <si>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</si>
  <si>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</si>
  <si>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</si>
  <si>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</si>
  <si>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</si>
  <si>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</si>
  <si>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</si>
  <si>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</si>
  <si>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</si>
  <si>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</si>
  <si>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</si>
  <si>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Amount is based upon December 31 balances.</t>
  </si>
  <si>
    <t>Incentive Weighted Cost of Capital:</t>
  </si>
  <si>
    <t>Incentive Cost of Equity Component (Preferred &amp; Common):</t>
  </si>
  <si>
    <t>Where:</t>
  </si>
  <si>
    <t xml:space="preserve">     A = Sum of Preferred Stock and Return on Equity Component</t>
  </si>
  <si>
    <t xml:space="preserve">     B = Transmission Total Federal Tax Adjustments</t>
  </si>
  <si>
    <t xml:space="preserve">     C = Equity AFUDC Component of Transmission Depreciation Expense</t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</si>
  <si>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</si>
  <si>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</si>
  <si>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</si>
  <si>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</si>
  <si>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</si>
  <si>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</si>
  <si>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</si>
  <si>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</si>
  <si>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</si>
  <si>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</si>
  <si>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</si>
  <si>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</si>
  <si>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</si>
  <si>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</si>
  <si>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</si>
  <si>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</si>
  <si>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</si>
  <si>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</si>
  <si>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</si>
  <si>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</si>
  <si>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</si>
  <si>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</si>
  <si>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</si>
  <si>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t>Total Annual Costs Citizens' Share of the SX-PQ Underground Line Segment - Before Interest</t>
  </si>
  <si>
    <t>CITIZENS' SHARE OF THE SX-PQ UNDERGROUND LINE SEGMENT</t>
  </si>
  <si>
    <t>Summary of Cost Components</t>
  </si>
  <si>
    <t>Description of Annual Costs</t>
  </si>
  <si>
    <t>Section 1 - Direct Maintenance Expense Cost Component</t>
  </si>
  <si>
    <t>Section 2 - Non-Direct Expense Cost Component</t>
  </si>
  <si>
    <t>Section 3 - Cost Component Containing Other Specific Expenses</t>
  </si>
  <si>
    <t>Section 4 - True-Up Adjustment Cost Component (Over)/Undercollection</t>
  </si>
  <si>
    <t>Section 5 - Interest True-Up Adjustment Cost Component</t>
  </si>
  <si>
    <t>Subtotal Annual Costs</t>
  </si>
  <si>
    <t>Other Adjustments</t>
  </si>
  <si>
    <t>Total Annual Costs</t>
  </si>
  <si>
    <t>Description of Monthly Costs</t>
  </si>
  <si>
    <t>Total Monthly Costs</t>
  </si>
  <si>
    <t>Number of Months in Base Period</t>
  </si>
  <si>
    <t xml:space="preserve">Total Annual Costs Adjustment 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</si>
  <si>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</si>
  <si>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</si>
  <si>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</si>
  <si>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</si>
  <si>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</si>
  <si>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</si>
  <si>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</si>
  <si>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</si>
  <si>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</si>
  <si>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</si>
  <si>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</si>
  <si>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Lease Agreement</t>
  </si>
  <si>
    <t>Total Annual Carrying Charge Rate</t>
  </si>
  <si>
    <t xml:space="preserve">     Total Non-Direct Expense</t>
  </si>
  <si>
    <t>A. Transmission Related O&amp;M Expense</t>
  </si>
  <si>
    <t>Transmission O&amp;M Expense</t>
  </si>
  <si>
    <t xml:space="preserve">     Transmission O&amp;M Expense Carrying Charge Percentage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</si>
  <si>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</si>
  <si>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</si>
  <si>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</si>
  <si>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C. Transmission Related Property Tax Expense</t>
  </si>
  <si>
    <t xml:space="preserve">     Transmission Related Property Tax Carrying Charge Percentage</t>
  </si>
  <si>
    <t>D. Transmission Related Payroll Tax Expense</t>
  </si>
  <si>
    <t xml:space="preserve">     Transmission Related Payroll Tax Carrying Charge Percentage</t>
  </si>
  <si>
    <t>E. Transmission Related Working Capital Revenue</t>
  </si>
  <si>
    <t>Transmission Related M&amp;S Allocated to Transmission</t>
  </si>
  <si>
    <t>Transmission Related Prepayments Allocated to Transmission</t>
  </si>
  <si>
    <t>Transmission Related Working Cash</t>
  </si>
  <si>
    <t xml:space="preserve">     Total Transmission Related Working Capital</t>
  </si>
  <si>
    <t>Cost of Capital Rate</t>
  </si>
  <si>
    <t>Transmission Working Capital Revenue</t>
  </si>
  <si>
    <t xml:space="preserve">     Transmission Related Working Capital Revenue Carrying Charge Percentage</t>
  </si>
  <si>
    <t>F. Transmission Related General &amp; Common Plant Revenue</t>
  </si>
  <si>
    <t>Net Transmission Related General Plant</t>
  </si>
  <si>
    <t>Net Transmission Related Common Plant</t>
  </si>
  <si>
    <t>Total Net Transmission Related General and Common Plant</t>
  </si>
  <si>
    <t>Transmission Related General and Common Return and Associated Income Taxes</t>
  </si>
  <si>
    <t>Transmission Related General and Common Depreciation Expense</t>
  </si>
  <si>
    <t>Total Transmission Related General and Common Plant Revenues</t>
  </si>
  <si>
    <t xml:space="preserve">     Total Transmission Related General and Common Plant Carrying Charge Percentage</t>
  </si>
  <si>
    <t>Col. 1</t>
  </si>
  <si>
    <t>Col. 2</t>
  </si>
  <si>
    <t>Col. 3</t>
  </si>
  <si>
    <t>Col. 4</t>
  </si>
  <si>
    <t>Col. 5</t>
  </si>
  <si>
    <t>Col. 6</t>
  </si>
  <si>
    <t>Calculations: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</si>
  <si>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</si>
  <si>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</si>
  <si>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</si>
  <si>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</si>
  <si>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</si>
  <si>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</si>
  <si>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</si>
  <si>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</si>
  <si>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</si>
  <si>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</si>
  <si>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</si>
  <si>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</si>
  <si>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</si>
  <si>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</si>
  <si>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</si>
  <si>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</si>
  <si>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</si>
  <si>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</si>
  <si>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</si>
  <si>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</si>
  <si>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</si>
  <si>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</si>
  <si>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</si>
  <si>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</si>
  <si>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</si>
  <si>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</si>
  <si>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</si>
  <si>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 xml:space="preserve">   Scheduling, System Control &amp; Dispatch Services</t>
  </si>
  <si>
    <t xml:space="preserve">   Reliability, Planning &amp; Standards Development</t>
  </si>
  <si>
    <t xml:space="preserve">   Station Expenses</t>
  </si>
  <si>
    <t xml:space="preserve">   Overhead Line Expense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</si>
  <si>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</si>
  <si>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</si>
  <si>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</si>
  <si>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</si>
  <si>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</si>
  <si>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</si>
  <si>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>Negative of AH-2; Line 41; Col. b</t>
  </si>
  <si>
    <t xml:space="preserve">   Other Cost Adjustments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</si>
  <si>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</si>
  <si>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</si>
  <si>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</si>
  <si>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 xml:space="preserve">     Total Adjusted Non-Direct A&amp;G Expenses Including Property Insurance</t>
  </si>
  <si>
    <t>Total Adjusted Non-Direct A&amp;G Expenses Excluding Property Insurance</t>
  </si>
  <si>
    <t>Transmission Related Non-Direct Administrative &amp; General Expenses</t>
  </si>
  <si>
    <t xml:space="preserve">     Transmission Related Non-Direct A&amp;G Expense Including Property Insurance Expense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</si>
  <si>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</si>
  <si>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 xml:space="preserve">Add / (Deduct) </t>
  </si>
  <si>
    <t>A&amp;G Cost Adj</t>
  </si>
  <si>
    <t>Employee Pensions &amp; Benefits</t>
  </si>
  <si>
    <t xml:space="preserve">Regulatory Commission Expenses  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</si>
  <si>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</si>
  <si>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</si>
  <si>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Account 7000722, which was created to track Citizens SX-PQ A&amp;G Expense.</t>
  </si>
  <si>
    <t>SAN DIEGO GAS AND ELECTRIC COMPANY</t>
  </si>
  <si>
    <t>Incentive Return on Common Equity: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</si>
  <si>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</si>
  <si>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</si>
  <si>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</si>
  <si>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</si>
  <si>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$56K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</si>
  <si>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</si>
  <si>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</si>
  <si>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Total Monthly Costs Adjustment </t>
  </si>
  <si>
    <t xml:space="preserve">Section C.6a of the Protocols provides a mechanism for SDG&amp;E to correct errors that affected the Appendix XII costs in a previous Informational Filing. </t>
  </si>
  <si>
    <r>
      <t>Return on Common Equity:</t>
    </r>
    <r>
      <rPr>
        <sz val="12"/>
        <rFont val="Times New Roman"/>
        <family val="1"/>
      </rPr>
      <t xml:space="preserve"> </t>
    </r>
    <r>
      <rPr>
        <vertAlign val="superscript"/>
        <sz val="12"/>
        <color rgb="FFFF0000"/>
        <rFont val="Times New Roman"/>
        <family val="1"/>
      </rPr>
      <t>2</t>
    </r>
  </si>
  <si>
    <t xml:space="preserve">Derivation of End Use Transmission Rate Base </t>
  </si>
  <si>
    <t>A. Derivation of Transmission Rate Base:</t>
  </si>
  <si>
    <t>Net Transmission Plant:</t>
  </si>
  <si>
    <t>Transmission Plant</t>
  </si>
  <si>
    <t>Transmission Related Common Plant</t>
  </si>
  <si>
    <t xml:space="preserve">     Total Net Transmission Plant</t>
  </si>
  <si>
    <t>Rate Base Additions:</t>
  </si>
  <si>
    <t>Transmission Plant Held for Future Use</t>
  </si>
  <si>
    <t>Transmission Plant Abandoned Project Cost</t>
  </si>
  <si>
    <t xml:space="preserve">     Total Rate Base Additions</t>
  </si>
  <si>
    <t>Rate Base Reductions:</t>
  </si>
  <si>
    <t>Transmission Related Accum. Def. Inc. Taxes</t>
  </si>
  <si>
    <t>Transmission Plant Abandoned Accum. Def. Inc. Taxes</t>
  </si>
  <si>
    <t xml:space="preserve">     Total Rate Base Reductions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</si>
  <si>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</si>
  <si>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</si>
  <si>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</si>
  <si>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</si>
  <si>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</si>
  <si>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Other Regulatory Assets/Liabilities</t>
  </si>
  <si>
    <t xml:space="preserve">     Total Transmission Rate Base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</si>
  <si>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</si>
  <si>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</si>
  <si>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</si>
  <si>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</si>
  <si>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</si>
  <si>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</si>
  <si>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</si>
  <si>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</si>
  <si>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D. Incentive Transmission Construction Work In Progress</t>
  </si>
  <si>
    <t>A. Derivation of Net Transmission Plant:</t>
  </si>
  <si>
    <t>Gross Transmission Plant:</t>
  </si>
  <si>
    <t>Transmission Related Electric Misc. Intangible Plant</t>
  </si>
  <si>
    <t xml:space="preserve">     Total Gross Transmission Plant</t>
  </si>
  <si>
    <t>Transmission Related Depreciation Reserve:</t>
  </si>
  <si>
    <t xml:space="preserve">Transmission Plant Depreciation Reserve </t>
  </si>
  <si>
    <t>Transmission Related Electric Misc. Intangible Plant Amortization Reserve</t>
  </si>
  <si>
    <t>Transmission Related General Plant Depr Reserve</t>
  </si>
  <si>
    <t>Transmission Related Common Plant Depr Reserve</t>
  </si>
  <si>
    <t xml:space="preserve">     Total Transmission Related Depreciation Reserve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</si>
  <si>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</si>
  <si>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</si>
  <si>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</si>
  <si>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</si>
  <si>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Sum Lines 3 and 5</t>
  </si>
  <si>
    <t>Line 7 / Line 9</t>
  </si>
  <si>
    <t>Total Citizens' Annual Prior Year Cost of Service</t>
  </si>
  <si>
    <t>Total Citizens' Monthly Prior Year Cost of Service</t>
  </si>
  <si>
    <t>Citizens' Lease Payment</t>
  </si>
  <si>
    <t>Citizens' Financed Transmission Projects:</t>
  </si>
  <si>
    <t xml:space="preserve">Citizens' Share of the SX-PQ Underground Line Segment  </t>
  </si>
  <si>
    <t>Page 2; Line 17; Col. C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</si>
  <si>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</si>
  <si>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</si>
  <si>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</si>
  <si>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</si>
  <si>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</si>
  <si>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</si>
  <si>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</si>
  <si>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</si>
  <si>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Section 1; Page 1; Line 17</t>
  </si>
  <si>
    <t>Section 2; Page 1; Line 25</t>
  </si>
  <si>
    <t>Section 3; Page 1; Line 31</t>
  </si>
  <si>
    <t>Sum Lines 1, 3, 5</t>
  </si>
  <si>
    <t>Section 4; Page TU; Col. 11; Line 21</t>
  </si>
  <si>
    <t>Section 5; Page Interest TU (CY); Col. 6; Line 20</t>
  </si>
  <si>
    <t>Sum Lines 7, 9, 11</t>
  </si>
  <si>
    <t>Line 13 + Line 15</t>
  </si>
  <si>
    <t>AV-4; Line 6</t>
  </si>
  <si>
    <t>Statement AH; Line 18</t>
  </si>
  <si>
    <t>Line 4 / Line 1</t>
  </si>
  <si>
    <t>Statement AH; Line 41</t>
  </si>
  <si>
    <t>Line 9 / Line 1</t>
  </si>
  <si>
    <t>Statement AK; Line 17</t>
  </si>
  <si>
    <t>Line 14 / Line 1</t>
  </si>
  <si>
    <t>Statement AK; Line 28</t>
  </si>
  <si>
    <t>Line 19 / Line 1</t>
  </si>
  <si>
    <t>Statement AL; Line 5</t>
  </si>
  <si>
    <t>Statement AL; Line 9</t>
  </si>
  <si>
    <t>Statement AL; Line 19</t>
  </si>
  <si>
    <t>Sum Lines 25 thru 27</t>
  </si>
  <si>
    <t>Statement AV2; Line 31</t>
  </si>
  <si>
    <t>Line 28 x Line 30</t>
  </si>
  <si>
    <t>Line 32 / Line 1</t>
  </si>
  <si>
    <t>AV-4; Line 4</t>
  </si>
  <si>
    <t>AV-4; Line 5</t>
  </si>
  <si>
    <t>Line 37 + Line 39</t>
  </si>
  <si>
    <t>Line 30</t>
  </si>
  <si>
    <t>Line 41 * Line 43</t>
  </si>
  <si>
    <t>Statement AJ; Line 17</t>
  </si>
  <si>
    <t>Line 45 + Line 47</t>
  </si>
  <si>
    <t>Line 49 / Line 1</t>
  </si>
  <si>
    <t>AH-1; Line 48</t>
  </si>
  <si>
    <t>AH-2; Line 37; Col. a</t>
  </si>
  <si>
    <t>Negative of AH-2; Line 42; Col. b</t>
  </si>
  <si>
    <t>Negative of AH-2; Line 43; Col. b</t>
  </si>
  <si>
    <t>Negative of AH-2; Line 44; Col. b</t>
  </si>
  <si>
    <t>Negative of AH-2; Line 45; Col. b</t>
  </si>
  <si>
    <t>Negative of AH-2; Line 46; Col. b</t>
  </si>
  <si>
    <t>Negative of AH-2; Line 52; Col. b</t>
  </si>
  <si>
    <t>Negative of AH-2; Line 53; Col. b</t>
  </si>
  <si>
    <t>Negative of AH-2; Line 54; Col. b</t>
  </si>
  <si>
    <t>Negative of AH-2; Line 55; Col. b</t>
  </si>
  <si>
    <t>Sum Lines 5 thru 17</t>
  </si>
  <si>
    <t>Statement AI; Line 17</t>
  </si>
  <si>
    <t>Statement AD; Line 25</t>
  </si>
  <si>
    <t>Statement AD; Line 29</t>
  </si>
  <si>
    <t>Statement AD; Line 31</t>
  </si>
  <si>
    <t>Sum Lines 44 thru 47</t>
  </si>
  <si>
    <t>Line 44 Above</t>
  </si>
  <si>
    <t>Statement AD; Line 1</t>
  </si>
  <si>
    <t>Statement AD; Line 7</t>
  </si>
  <si>
    <t>Statement AD; Line 9</t>
  </si>
  <si>
    <t>Statement AD; Line 17</t>
  </si>
  <si>
    <t>Statement AD; Line 19</t>
  </si>
  <si>
    <t>Sum Lines 50 thru 57</t>
  </si>
  <si>
    <t>AL-1; Line 18</t>
  </si>
  <si>
    <t>Statement AD; Line 35</t>
  </si>
  <si>
    <t>Line 1 x Line 3</t>
  </si>
  <si>
    <t>AL-2; Line 18</t>
  </si>
  <si>
    <t>Line 3 x Line 7</t>
  </si>
  <si>
    <t>Negative of Statement AH; Line 25</t>
  </si>
  <si>
    <t>Sum Lines 12 thru 14</t>
  </si>
  <si>
    <t>Line 15 x Line 17</t>
  </si>
  <si>
    <t>Negative of Statement AR; Line 11</t>
  </si>
  <si>
    <t>AV-2A; Line 40</t>
  </si>
  <si>
    <t>AV-4; Page 1; Line 26</t>
  </si>
  <si>
    <t>Statement AD; Line 11</t>
  </si>
  <si>
    <t>Statement AD; Line 27</t>
  </si>
  <si>
    <t>Sum Lines 2 thru 5</t>
  </si>
  <si>
    <t>Statement AE; Line 1</t>
  </si>
  <si>
    <t>Statement AE; Line 11</t>
  </si>
  <si>
    <t>Statement AE; Line 13</t>
  </si>
  <si>
    <t>Statement AE; Line 15</t>
  </si>
  <si>
    <t>Sum Lines 9 thru 12</t>
  </si>
  <si>
    <t>Page 2; Line 16</t>
  </si>
  <si>
    <t>Page 2; Line 17</t>
  </si>
  <si>
    <t>Page 2; Line 18</t>
  </si>
  <si>
    <t>Page 2; Line 19</t>
  </si>
  <si>
    <t>Statement AG; Line 1</t>
  </si>
  <si>
    <t>Statement Misc.; Line 3</t>
  </si>
  <si>
    <t>Line 9 + Line 10</t>
  </si>
  <si>
    <t>Statement AF; Line 7</t>
  </si>
  <si>
    <t>Statement AF; Line 11</t>
  </si>
  <si>
    <t>Line 14 + Line 15</t>
  </si>
  <si>
    <t>Sum Lines 19 thru 21</t>
  </si>
  <si>
    <t>Statement Misc.; Line 5</t>
  </si>
  <si>
    <t>Sum Lines 6, 11, 16, 22, 24</t>
  </si>
  <si>
    <t>Line 29 + Line 30</t>
  </si>
  <si>
    <t>Line 34 + Line 35</t>
  </si>
  <si>
    <t>Used to allocate property insurance in conformance with the TO5 Formula Rate Mechanism.</t>
  </si>
  <si>
    <t>Page 3 and Page 4, Line 1</t>
  </si>
  <si>
    <t>Page 3 and Page 4, Line 3</t>
  </si>
  <si>
    <t>Page 3 and Page 4, Line 5</t>
  </si>
  <si>
    <t>Page 3 and Page 4, Line 9</t>
  </si>
  <si>
    <t>Page 3 and Page 4, Line 11</t>
  </si>
  <si>
    <t>Page 3 and Page 4, Line 15</t>
  </si>
  <si>
    <t>Page 3 and Page 4, Line 20</t>
  </si>
  <si>
    <t>Page 3 and Page 4, Line 22</t>
  </si>
  <si>
    <t>Page 3 and Page 4, Line 24</t>
  </si>
  <si>
    <t>Page 3 and Page 4, Line 28</t>
  </si>
  <si>
    <t>Page 3 and Page 4, Line 30</t>
  </si>
  <si>
    <t>Page 3 and Page 4, Line 32</t>
  </si>
  <si>
    <t>Page 3 and Page 4, Line 38</t>
  </si>
  <si>
    <t>Derivation of Other Adjustments Applicable to Appendix XII Cycle 4</t>
  </si>
  <si>
    <t>Other Cost Adjustments due to Appendix XII Cycle 4 Cost Adjustments Calculation:</t>
  </si>
  <si>
    <t xml:space="preserve">Appendix XII Cycle 5 Annual Informational Filing </t>
  </si>
  <si>
    <t>Revised - Appendix XII Cycle 4</t>
  </si>
  <si>
    <t>As Filed - Appendix XII Cycle 4 per ER 22-133</t>
  </si>
  <si>
    <t>Rate Effective Period January 1, 2021 to December 31, 2022</t>
  </si>
  <si>
    <t xml:space="preserve"> 12 Months Ending December 31, 2020</t>
  </si>
  <si>
    <t>CEMA Costs</t>
  </si>
  <si>
    <t>WMPMA Costs</t>
  </si>
  <si>
    <r>
      <t xml:space="preserve">Other Exclusion - 3P Adjustment </t>
    </r>
    <r>
      <rPr>
        <b/>
        <vertAlign val="superscript"/>
        <sz val="12"/>
        <rFont val="Times New Roman"/>
        <family val="1"/>
      </rPr>
      <t>2</t>
    </r>
  </si>
  <si>
    <r>
      <t xml:space="preserve">Other Exclusion - FERC Audit Adjustment (Finding #3) </t>
    </r>
    <r>
      <rPr>
        <b/>
        <vertAlign val="superscript"/>
        <sz val="12"/>
        <rFont val="Times New Roman"/>
        <family val="1"/>
      </rPr>
      <t>3</t>
    </r>
  </si>
  <si>
    <r>
      <t xml:space="preserve">Other Exclusion - FERC Audit Adjustment (Finding #8) </t>
    </r>
    <r>
      <rPr>
        <b/>
        <vertAlign val="superscript"/>
        <sz val="12"/>
        <rFont val="Times New Roman"/>
        <family val="1"/>
      </rPr>
      <t>3</t>
    </r>
  </si>
  <si>
    <t>Customer Information System</t>
  </si>
  <si>
    <r>
      <t xml:space="preserve">Other Exclusion - FERC Audit Adjustment (Finding #5) </t>
    </r>
    <r>
      <rPr>
        <b/>
        <vertAlign val="superscript"/>
        <sz val="12"/>
        <rFont val="Times New Roman"/>
        <family val="1"/>
      </rPr>
      <t>3</t>
    </r>
  </si>
  <si>
    <r>
      <t>Other Exclusion - FERC Audit Adjustment (Finding #7)</t>
    </r>
    <r>
      <rPr>
        <b/>
        <vertAlign val="superscript"/>
        <sz val="12"/>
        <rFont val="Times New Roman"/>
        <family val="1"/>
      </rPr>
      <t>3</t>
    </r>
  </si>
  <si>
    <r>
      <t xml:space="preserve">2019 Abandoned Projects Correction </t>
    </r>
    <r>
      <rPr>
        <b/>
        <vertAlign val="superscript"/>
        <sz val="12"/>
        <rFont val="Times New Roman"/>
        <family val="1"/>
      </rPr>
      <t>4</t>
    </r>
  </si>
  <si>
    <t>2</t>
  </si>
  <si>
    <t>Represents reclassification of 2018 and 2019 3P (People, Process, Priorities) project costs from O&amp;M FERC Accounts 560, 566, 580, and 588 to A&amp;G FERC</t>
  </si>
  <si>
    <t>Account 923, in 2020. Entries are excluded here and reflected as an "Other Adjustments" in Cycle 4 (see separate Cost Adjustment workpapers).</t>
  </si>
  <si>
    <t>3</t>
  </si>
  <si>
    <t>Adjusting journal entries related to prior year O&amp;M and A&amp;G costs (2016 - 2019) that resulted from the 2020 FERC Audit are excluded from Appendix XII Cycle 4.</t>
  </si>
  <si>
    <t>The impacts of the adjusting entries is reflected in the per book amount and were excluded from the adjusted 2020 total. The impact of FERC Audit adjustments</t>
  </si>
  <si>
    <t>and corresponding refunds will be accounted for in a separate refund analysis filed with FERC.</t>
  </si>
  <si>
    <t>4</t>
  </si>
  <si>
    <t>Represents reclassification of 2019 abandoned project costs from A&amp;G FERC Account 930.2 to FERC Account 426.5. Entry is excluded here and reflected as</t>
  </si>
  <si>
    <t>an "Other Adjustments" in Cycle 4 (see separate Cost Adjustment workpapers).</t>
  </si>
  <si>
    <t>Add back of credit balance included in FERC account 930.2 related to electric vehicles or clean transportation initiatives which is a balancing account.</t>
  </si>
  <si>
    <t>Not Applicable to 2020 Base Period</t>
  </si>
  <si>
    <t>Sum Lines 20 thru 33</t>
  </si>
  <si>
    <t>Negative of AH-1; Line 5; Col. c</t>
  </si>
  <si>
    <t>Line 36 x Line 37</t>
  </si>
  <si>
    <t>Line 38 + Line 39</t>
  </si>
  <si>
    <t>Negative of Line 35 x Line 59</t>
  </si>
  <si>
    <t>Line 47 / Line 57</t>
  </si>
  <si>
    <t>Statement AH; Line 17</t>
  </si>
  <si>
    <t>Statement AH; Line 40</t>
  </si>
  <si>
    <t>Base Period &amp; True-Up Period 12 - Months Ending December 31, 2020</t>
  </si>
  <si>
    <r>
      <t xml:space="preserve">Appendix XII Cycle 5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</si>
  <si>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Derivation of Interest Expense on Other Adjustments Applicable to Appendix XII Cycle 4</t>
  </si>
  <si>
    <t>AH-3; Line 21; Col. a</t>
  </si>
  <si>
    <t>Negative of AH-3; Line 52; Col. a</t>
  </si>
  <si>
    <t xml:space="preserve">Negative of AH-3; Sum Lines 25, 28, 32, 38, 41, 46, 55; Col. a </t>
  </si>
  <si>
    <t>Negative of AH-3; Line 48; Col. a</t>
  </si>
  <si>
    <t>Negative of AH-3; Line 49; Col. a</t>
  </si>
  <si>
    <t>Negative of AH-3; Line 44; Col. a</t>
  </si>
  <si>
    <t>Negative of AH-3; Line 44; Col. b</t>
  </si>
  <si>
    <t>Negative of AH-3; Line 56; Col. a</t>
  </si>
  <si>
    <t xml:space="preserve">Negative of AH-3; Line 47; Col. a   </t>
  </si>
  <si>
    <t>Removal of EPRI dues from Appendix XII Cycle 4 per response to Six Cities protest.</t>
  </si>
  <si>
    <t>Negative of AH-3; Sum Lines 26, 27, 29, 30, 33, 34, 35, 36, 37, 39, 40, 42, 43, 50, 53, 54; Col. a; and Line 31; Col. b</t>
  </si>
  <si>
    <t>Negative of AH-3; Line 51; Col. b</t>
  </si>
  <si>
    <t>In this Appendix XII Cycle 5 Informational Filing, SDG&amp;E is correcting Appendix XII Cycle 4 with an annual cost adjustment zero effect in thousands but</t>
  </si>
  <si>
    <t>This amount represents the Non-Direct A&amp;G expenses billed to Citizens in , which is added back to derive Total Adjusted A&amp;G Expenses in SAP</t>
  </si>
  <si>
    <t>AH-3; Line 20; Col. d</t>
  </si>
  <si>
    <r>
      <t xml:space="preserve">Statement AF </t>
    </r>
    <r>
      <rPr>
        <b/>
        <vertAlign val="superscript"/>
        <sz val="12"/>
        <rFont val="Times New Roman"/>
        <family val="1"/>
      </rPr>
      <t>1</t>
    </r>
  </si>
  <si>
    <t>Deferred Credits</t>
  </si>
  <si>
    <t>(c) = [(a)+(b)]/2</t>
  </si>
  <si>
    <t>FERC Account 190</t>
  </si>
  <si>
    <t>FERC Account 282</t>
  </si>
  <si>
    <t>FERC Account 283</t>
  </si>
  <si>
    <r>
      <t xml:space="preserve">     Total Transmission Related ADIT </t>
    </r>
    <r>
      <rPr>
        <vertAlign val="superscript"/>
        <sz val="12"/>
        <rFont val="Times New Roman"/>
        <family val="1"/>
      </rPr>
      <t>2</t>
    </r>
  </si>
  <si>
    <t>Incentive Transmission Plant ADIT</t>
  </si>
  <si>
    <t>Transmission Plant Abandoned ADIT</t>
  </si>
  <si>
    <t>Incentive Transmission Plant Abandoned Project Cost ADIT</t>
  </si>
  <si>
    <t>Statement AF is utilized in the derivation of Transmission Rate Base for use in Statement AV.</t>
  </si>
  <si>
    <t xml:space="preserve">The allocated general and common accumulated deferred income taxes are included in the total transmission related accumulated deferred income taxes. See FERC Form 1; Page 450.1; Sch. Pg. 274; </t>
  </si>
  <si>
    <t>Line 2; Col. b and k.</t>
  </si>
  <si>
    <t xml:space="preserve">STATEMENT AF </t>
  </si>
  <si>
    <t>ACCUMULATED DEFERRED INCOME TAXES - ELECTRIC TRANSMISSION</t>
  </si>
  <si>
    <t>(d) = [Sum (a) thru (c)]</t>
  </si>
  <si>
    <t xml:space="preserve">Remeasured </t>
  </si>
  <si>
    <t>Excess Reserve</t>
  </si>
  <si>
    <t>Amount</t>
  </si>
  <si>
    <t>Protected</t>
  </si>
  <si>
    <t>Unprotected</t>
  </si>
  <si>
    <t>Account 190 (Non-Citizens)</t>
  </si>
  <si>
    <t xml:space="preserve">   Compensation Related Items</t>
  </si>
  <si>
    <t>2020 Form 1; Page 450.1; Sch. Pg. 234; Line 8; Col. b</t>
  </si>
  <si>
    <t xml:space="preserve">   Post Retirement Benefits</t>
  </si>
  <si>
    <t xml:space="preserve">   Net Operating Loss</t>
  </si>
  <si>
    <t xml:space="preserve">     Total of Account 190</t>
  </si>
  <si>
    <t>Account 282 (Non-Citizens)</t>
  </si>
  <si>
    <t xml:space="preserve">   Accumulated Depreciation Timing Differences</t>
  </si>
  <si>
    <t>2020 Form 1; Page 450.1; Sch. Pg. 274; Line 2; Col. b</t>
  </si>
  <si>
    <t xml:space="preserve">     Total of Account 282</t>
  </si>
  <si>
    <t>Account 283 (Non-Citizens)</t>
  </si>
  <si>
    <t xml:space="preserve">   Ad Valorem Taxes</t>
  </si>
  <si>
    <t>2020 Form 1; Page 450.1; Sch. Pg. 276; Line 3; Col. b</t>
  </si>
  <si>
    <t xml:space="preserve">     Total of Account 283</t>
  </si>
  <si>
    <t>Account 190 (Citizens SX-PQ)</t>
  </si>
  <si>
    <t>Account 282 (Citizens SX-PQ)</t>
  </si>
  <si>
    <t>Form 1; Page 450.1; Sch. Pg. 274; Line 2; Col. b</t>
  </si>
  <si>
    <t>Account 283 (Citizens SX-PQ)</t>
  </si>
  <si>
    <t>2020 Form 1; Page 450.1; Sch. Pg. 234; Line 8; Col. c</t>
  </si>
  <si>
    <t>2020 Form 1; Page 450.1; Sch. Pg. 274; Line 2; Col. k</t>
  </si>
  <si>
    <t>2020 Form 1; Page 450.1; Sch. Pg. 276; Line 3; Col. k</t>
  </si>
  <si>
    <t>Form 1; Page 450.1; Sch. Pg. 274; Line 2; Col. k</t>
  </si>
  <si>
    <t>31-Dec-19</t>
  </si>
  <si>
    <t>31-Dec-20</t>
  </si>
  <si>
    <t>AF-1 and AF-2; Line 5 + Line 21; Col. d</t>
  </si>
  <si>
    <t>AF-1 and AF-2; Line 10 + Line 26; Col. d</t>
  </si>
  <si>
    <t>AF-1 and AF-2; Line 15 + Line 31; Col. d</t>
  </si>
  <si>
    <t>AF-1 and AF-2; Line 34; Col. d</t>
  </si>
  <si>
    <t>Base Period 12 Months Ending December 31, 2019</t>
  </si>
  <si>
    <t>Not Applicable to 2019 Base Period</t>
  </si>
  <si>
    <t>Base Period 12 Months Ending December 31, 2020</t>
  </si>
  <si>
    <t>Source: Appendix XII Cycle 4; ER22-133</t>
  </si>
  <si>
    <r>
      <t xml:space="preserve">     Total Transmission Related ADIT </t>
    </r>
    <r>
      <rPr>
        <b/>
        <vertAlign val="superscript"/>
        <sz val="12"/>
        <rFont val="Times New Roman"/>
        <family val="1"/>
      </rPr>
      <t>2</t>
    </r>
  </si>
  <si>
    <t>Return on Common Equity:</t>
  </si>
  <si>
    <t>Items in BOLD have changed due to A&amp;G adjustments as compared to the original SX-PQ Appendix XII Cycle 4 filing per ER22-133.</t>
  </si>
  <si>
    <t>(c) = (a) x (b)</t>
  </si>
  <si>
    <t>Removal</t>
  </si>
  <si>
    <t>Costs</t>
  </si>
  <si>
    <t>Rate</t>
  </si>
  <si>
    <t>A. Direct Assignment of Accumulated Deferred Income Taxes (ADIT) to Citizens:</t>
  </si>
  <si>
    <t>Average ADIT Difference With and Without Bonus</t>
  </si>
  <si>
    <t>AF-3; Line 5; Col. Average</t>
  </si>
  <si>
    <r>
      <t xml:space="preserve"> </t>
    </r>
    <r>
      <rPr>
        <b/>
        <sz val="12"/>
        <rFont val="Times New Roman"/>
        <family val="1"/>
      </rPr>
      <t xml:space="preserve">    Total ADIT Revenue Credit</t>
    </r>
  </si>
  <si>
    <t>B. Equity AFUDC Component of Transmission Depreciation Expense</t>
  </si>
  <si>
    <t xml:space="preserve">Annual Equity AFUDC Allocated to Citizens   </t>
  </si>
  <si>
    <t>C. Derivation of Citizens SX-PQ Underground Line Segment Cost of Removal</t>
  </si>
  <si>
    <t>FERC Account</t>
  </si>
  <si>
    <t xml:space="preserve">   357 - Underground Conduit</t>
  </si>
  <si>
    <t>TO5 Transmission Plant Deprec. Rates WP</t>
  </si>
  <si>
    <t xml:space="preserve">   358 - Underground Conductors &amp; Devices</t>
  </si>
  <si>
    <t xml:space="preserve">   359 - Roads &amp; Trails</t>
  </si>
  <si>
    <t xml:space="preserve">   350.1 - Land</t>
  </si>
  <si>
    <t xml:space="preserve">   350.2 - Land Rights</t>
  </si>
  <si>
    <t xml:space="preserve">     Subtotal Annual Cost of Removal</t>
  </si>
  <si>
    <t xml:space="preserve">     Total Annual Cost of Removal</t>
  </si>
  <si>
    <t xml:space="preserve">     Total Other Specific Expenses</t>
  </si>
  <si>
    <t>AV-2A; Line 42</t>
  </si>
  <si>
    <t>AV-2B; Line 17</t>
  </si>
  <si>
    <t>as compared to the original SX-PQ Appendix XII Cycle 4 filing per ER22-133.</t>
  </si>
  <si>
    <t>Page 15 Line 57; Col. 5</t>
  </si>
  <si>
    <t>Sum Lines 20 thru 32</t>
  </si>
  <si>
    <t>Line 33 + Line 34</t>
  </si>
  <si>
    <t>Line 35 x Line 36</t>
  </si>
  <si>
    <t>Negative of Line 34 x Line 58</t>
  </si>
  <si>
    <t>Line 37 + Line 38</t>
  </si>
  <si>
    <t>Sum Lines 42 thru 45</t>
  </si>
  <si>
    <t>Line 42 Above</t>
  </si>
  <si>
    <t>Sum Lines 48 thru 55</t>
  </si>
  <si>
    <t>Line 46 / Line 56</t>
  </si>
  <si>
    <r>
      <t>(d)</t>
    </r>
    <r>
      <rPr>
        <b/>
        <vertAlign val="superscript"/>
        <sz val="12"/>
        <rFont val="Times New Roman"/>
        <family val="1"/>
      </rPr>
      <t xml:space="preserve"> </t>
    </r>
  </si>
  <si>
    <t>Items in BOLD have changed due to the removal of CIAC related ADIT per SDG&amp;E's TO5 Cycle 4 Letter Order determination in ER22-527 as compared to the original TO5 Cycle 4 filing.</t>
  </si>
  <si>
    <t>None of the CIAC related ADIT is allocated to Citizens, thus only the SDG&amp;E amounts reported in the filings are being revised.</t>
  </si>
  <si>
    <t>nonetheless a ($0.009K) monthly cost adjustment for various 2020 adjustments.</t>
  </si>
  <si>
    <t>Items in BOLD have changed due to A&amp;G adjustments and removal of CIAC related ADIT per SDG&amp;E's TO5 Cycle 4 Letter Order determination in ER22-527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</si>
</sst>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0_);\(0\)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  <numFmt numFmtId="176" formatCode="00000"/>
    <numFmt numFmtId="177" formatCode="[$-409]d\-mmm\-yy;@"/>
    <numFmt numFmtId="178" formatCode="_(&quot;$&quot;* #,##0.0000000_);_(&quot;$&quot;* \(#,##0.0000000\);_(&quot;$&quot;* &quot;-&quot;??_);_(@_)"/>
    <numFmt numFmtId="179" formatCode="_(* #,##0.0000_);_(* \(#,##0.0000\);_(* &quot;-&quot;??_);_(@_)"/>
    <numFmt numFmtId="180" formatCode="_(* #,##0.000000000000000_);_(* \(#,##0.0000000000000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z val="12"/>
      <color rgb="FF0000FF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3"/>
      <name val="Times New Roman"/>
      <family val="1"/>
    </font>
    <font>
      <vertAlign val="superscript"/>
      <sz val="12"/>
      <color rgb="FFFF0000"/>
      <name val="Times New Roman"/>
      <family val="1"/>
    </font>
    <font>
      <vertAlign val="superscript"/>
      <sz val="12"/>
      <name val="Times New Roman"/>
      <family val="1"/>
    </font>
    <font>
      <strike/>
      <sz val="12"/>
      <color rgb="FFFF0000"/>
      <name val="Times New Roman"/>
      <family val="1"/>
    </font>
    <font>
      <b/>
      <strike/>
      <vertAlign val="superscript"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6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1" fontId="1" fillId="0" borderId="0" applyFont="0" applyFill="0" applyBorder="0" applyAlignment="0" applyProtection="0"/>
    <xf numFmtId="0" fontId="1" fillId="0" borderId="0"/>
    <xf numFmtId="0" fontId="13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832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1" xfId="6" applyNumberFormat="1" applyFont="1" applyBorder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37" fontId="9" fillId="0" borderId="0" xfId="0" applyNumberFormat="1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5" fontId="9" fillId="0" borderId="0" xfId="1" applyNumberFormat="1" applyFont="1"/>
    <xf numFmtId="0" fontId="19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9" fillId="0" borderId="0" xfId="2" applyNumberFormat="1" applyFont="1" applyFill="1" applyBorder="1"/>
    <xf numFmtId="165" fontId="9" fillId="2" borderId="1" xfId="1" applyNumberFormat="1" applyFont="1" applyFill="1" applyBorder="1" applyAlignment="1">
      <alignment horizontal="right" vertical="center"/>
    </xf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21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9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9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2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8" fillId="0" borderId="1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23" xfId="0" quotePrefix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164" fontId="9" fillId="0" borderId="16" xfId="2" applyNumberFormat="1" applyFont="1" applyFill="1" applyBorder="1" applyAlignment="1">
      <alignment vertical="center"/>
    </xf>
    <xf numFmtId="165" fontId="9" fillId="0" borderId="16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25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25" xfId="2" applyNumberFormat="1" applyFont="1" applyFill="1" applyBorder="1" applyAlignment="1">
      <alignment vertical="center"/>
    </xf>
    <xf numFmtId="164" fontId="5" fillId="0" borderId="16" xfId="2" applyNumberFormat="1" applyFont="1" applyFill="1" applyBorder="1" applyAlignment="1">
      <alignment vertical="center"/>
    </xf>
    <xf numFmtId="164" fontId="5" fillId="0" borderId="18" xfId="2" applyNumberFormat="1" applyFont="1" applyFill="1" applyBorder="1" applyAlignment="1">
      <alignment vertical="center"/>
    </xf>
    <xf numFmtId="0" fontId="18" fillId="0" borderId="31" xfId="0" applyFont="1" applyBorder="1" applyAlignment="1">
      <alignment horizontal="center"/>
    </xf>
    <xf numFmtId="164" fontId="5" fillId="0" borderId="32" xfId="2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3" xfId="0" applyNumberFormat="1" applyFont="1" applyBorder="1" applyAlignment="1">
      <alignment vertical="center"/>
    </xf>
    <xf numFmtId="37" fontId="5" fillId="0" borderId="22" xfId="0" applyNumberFormat="1" applyFont="1" applyBorder="1" applyAlignment="1">
      <alignment horizontal="center" vertical="center"/>
    </xf>
    <xf numFmtId="37" fontId="5" fillId="0" borderId="6" xfId="0" applyNumberFormat="1" applyFont="1" applyBorder="1" applyAlignment="1">
      <alignment vertical="center"/>
    </xf>
    <xf numFmtId="37" fontId="5" fillId="0" borderId="12" xfId="0" quotePrefix="1" applyNumberFormat="1" applyFont="1" applyBorder="1" applyAlignment="1">
      <alignment horizontal="center" vertical="center"/>
    </xf>
    <xf numFmtId="37" fontId="5" fillId="0" borderId="6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24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6" xfId="16" applyNumberFormat="1" applyFont="1" applyBorder="1" applyAlignment="1">
      <alignment horizontal="center" vertical="center"/>
    </xf>
    <xf numFmtId="37" fontId="5" fillId="0" borderId="0" xfId="16" applyNumberFormat="1" applyFont="1" applyAlignment="1">
      <alignment horizontal="center"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28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9" xfId="16" applyNumberFormat="1" applyFont="1" applyBorder="1" applyAlignment="1">
      <alignment horizontal="center" vertical="center"/>
    </xf>
    <xf numFmtId="37" fontId="5" fillId="0" borderId="3" xfId="16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37" fontId="5" fillId="0" borderId="8" xfId="0" applyNumberFormat="1" applyFont="1" applyBorder="1" applyAlignment="1">
      <alignment horizontal="center" vertical="center"/>
    </xf>
    <xf numFmtId="37" fontId="9" fillId="0" borderId="24" xfId="0" applyNumberFormat="1" applyFont="1" applyBorder="1" applyAlignment="1">
      <alignment horizontal="center" vertical="center"/>
    </xf>
    <xf numFmtId="37" fontId="20" fillId="0" borderId="0" xfId="0" applyNumberFormat="1" applyFont="1" applyAlignment="1">
      <alignment vertical="center"/>
    </xf>
    <xf numFmtId="37" fontId="9" fillId="0" borderId="16" xfId="16" applyNumberFormat="1" applyFont="1" applyBorder="1" applyAlignment="1">
      <alignment horizontal="center" vertical="center"/>
    </xf>
    <xf numFmtId="37" fontId="9" fillId="0" borderId="0" xfId="16" applyNumberFormat="1" applyFont="1" applyAlignment="1">
      <alignment horizontal="center" vertical="center"/>
    </xf>
    <xf numFmtId="37" fontId="9" fillId="0" borderId="12" xfId="16" applyNumberFormat="1" applyFont="1" applyBorder="1" applyAlignment="1">
      <alignment horizontal="center" vertical="center"/>
    </xf>
    <xf numFmtId="37" fontId="9" fillId="0" borderId="11" xfId="16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5" fontId="9" fillId="0" borderId="16" xfId="1" applyNumberFormat="1" applyFont="1" applyFill="1" applyBorder="1" applyAlignment="1">
      <alignment horizontal="right" vertical="center"/>
    </xf>
    <xf numFmtId="165" fontId="5" fillId="0" borderId="25" xfId="1" applyNumberFormat="1" applyFont="1" applyFill="1" applyBorder="1"/>
    <xf numFmtId="43" fontId="9" fillId="0" borderId="0" xfId="1" applyFont="1" applyBorder="1" applyAlignment="1">
      <alignment vertical="center"/>
    </xf>
    <xf numFmtId="37" fontId="9" fillId="0" borderId="16" xfId="0" applyNumberFormat="1" applyFont="1" applyBorder="1" applyAlignment="1">
      <alignment vertical="center"/>
    </xf>
    <xf numFmtId="37" fontId="9" fillId="0" borderId="11" xfId="0" applyNumberFormat="1" applyFont="1" applyBorder="1" applyAlignment="1">
      <alignment vertical="center"/>
    </xf>
    <xf numFmtId="164" fontId="5" fillId="0" borderId="18" xfId="2" applyNumberFormat="1" applyFont="1" applyBorder="1" applyAlignment="1">
      <alignment vertical="center"/>
    </xf>
    <xf numFmtId="37" fontId="9" fillId="0" borderId="11" xfId="0" applyNumberFormat="1" applyFont="1" applyBorder="1" applyAlignment="1">
      <alignment horizontal="center" vertical="center"/>
    </xf>
    <xf numFmtId="37" fontId="9" fillId="0" borderId="28" xfId="0" applyNumberFormat="1" applyFont="1" applyBorder="1" applyAlignment="1">
      <alignment vertical="center"/>
    </xf>
    <xf numFmtId="37" fontId="9" fillId="0" borderId="9" xfId="1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7" fontId="9" fillId="0" borderId="8" xfId="0" applyNumberFormat="1" applyFont="1" applyBorder="1" applyAlignment="1">
      <alignment vertical="center"/>
    </xf>
    <xf numFmtId="37" fontId="17" fillId="0" borderId="10" xfId="0" applyNumberFormat="1" applyFont="1" applyBorder="1" applyAlignment="1">
      <alignment horizontal="left" vertical="center"/>
    </xf>
    <xf numFmtId="37" fontId="9" fillId="0" borderId="10" xfId="11" applyNumberFormat="1" applyFont="1" applyBorder="1" applyAlignment="1">
      <alignment horizontal="center"/>
    </xf>
    <xf numFmtId="37" fontId="9" fillId="0" borderId="0" xfId="0" applyNumberFormat="1" applyFont="1" applyAlignment="1">
      <alignment vertical="top"/>
    </xf>
    <xf numFmtId="37" fontId="21" fillId="0" borderId="0" xfId="0" applyNumberFormat="1" applyFont="1"/>
    <xf numFmtId="37" fontId="10" fillId="0" borderId="0" xfId="0" applyNumberFormat="1" applyFont="1" applyAlignment="1">
      <alignment horizontal="right" vertical="center"/>
    </xf>
    <xf numFmtId="37" fontId="9" fillId="0" borderId="10" xfId="11" applyNumberFormat="1" applyFont="1" applyBorder="1" applyAlignment="1">
      <alignment horizontal="center" vertical="top"/>
    </xf>
    <xf numFmtId="167" fontId="9" fillId="0" borderId="10" xfId="11" applyNumberFormat="1" applyFont="1" applyBorder="1" applyAlignment="1">
      <alignment horizontal="center" wrapText="1"/>
    </xf>
    <xf numFmtId="37" fontId="9" fillId="0" borderId="0" xfId="0" applyNumberFormat="1" applyFont="1" applyAlignment="1">
      <alignment wrapText="1"/>
    </xf>
    <xf numFmtId="37" fontId="9" fillId="0" borderId="10" xfId="17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37" fontId="9" fillId="0" borderId="10" xfId="0" applyNumberFormat="1" applyFont="1" applyBorder="1" applyAlignment="1">
      <alignment vertical="center"/>
    </xf>
    <xf numFmtId="37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37" fontId="9" fillId="0" borderId="7" xfId="0" applyNumberFormat="1" applyFont="1" applyBorder="1" applyAlignment="1">
      <alignment vertical="center"/>
    </xf>
    <xf numFmtId="37" fontId="9" fillId="0" borderId="3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9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21" xfId="2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164" fontId="9" fillId="0" borderId="20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2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9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0" fontId="9" fillId="3" borderId="2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9" xfId="0" applyNumberFormat="1" applyFont="1" applyBorder="1" applyAlignment="1">
      <alignment vertical="center"/>
    </xf>
    <xf numFmtId="10" fontId="9" fillId="0" borderId="2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2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2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9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3" xfId="11" applyFont="1" applyBorder="1"/>
    <xf numFmtId="0" fontId="9" fillId="0" borderId="11" xfId="11" applyFont="1" applyBorder="1" applyAlignment="1">
      <alignment horizontal="center" vertical="center"/>
    </xf>
    <xf numFmtId="0" fontId="5" fillId="0" borderId="22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0" fontId="5" fillId="0" borderId="5" xfId="11" applyFont="1" applyBorder="1" applyAlignment="1">
      <alignment horizontal="center"/>
    </xf>
    <xf numFmtId="0" fontId="9" fillId="0" borderId="10" xfId="11" applyFont="1" applyBorder="1" applyAlignment="1">
      <alignment horizontal="center" vertical="center"/>
    </xf>
    <xf numFmtId="0" fontId="5" fillId="0" borderId="26" xfId="11" applyFont="1" applyBorder="1" applyAlignment="1">
      <alignment horizontal="center"/>
    </xf>
    <xf numFmtId="0" fontId="5" fillId="0" borderId="1" xfId="11" applyFont="1" applyBorder="1" applyAlignment="1">
      <alignment horizontal="center"/>
    </xf>
    <xf numFmtId="0" fontId="5" fillId="0" borderId="27" xfId="11" applyFont="1" applyBorder="1"/>
    <xf numFmtId="10" fontId="5" fillId="0" borderId="16" xfId="20" applyNumberFormat="1" applyFont="1" applyBorder="1" applyAlignment="1">
      <alignment horizontal="center"/>
    </xf>
    <xf numFmtId="10" fontId="5" fillId="0" borderId="0" xfId="20" applyNumberFormat="1" applyFont="1" applyFill="1" applyBorder="1" applyAlignment="1">
      <alignment horizontal="center"/>
    </xf>
    <xf numFmtId="10" fontId="5" fillId="0" borderId="0" xfId="20" applyNumberFormat="1" applyFont="1" applyBorder="1" applyAlignment="1">
      <alignment horizontal="center"/>
    </xf>
    <xf numFmtId="0" fontId="9" fillId="0" borderId="25" xfId="11" applyFont="1" applyBorder="1" applyAlignment="1">
      <alignment horizontal="left"/>
    </xf>
    <xf numFmtId="164" fontId="9" fillId="2" borderId="16" xfId="21" applyNumberFormat="1" applyFont="1" applyFill="1" applyBorder="1" applyAlignment="1">
      <alignment horizontal="right" vertical="center"/>
    </xf>
    <xf numFmtId="164" fontId="9" fillId="0" borderId="0" xfId="21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5" xfId="11" applyFont="1" applyBorder="1"/>
    <xf numFmtId="164" fontId="9" fillId="0" borderId="16" xfId="11" applyNumberFormat="1" applyFont="1" applyBorder="1" applyAlignment="1">
      <alignment horizontal="right" vertical="center"/>
    </xf>
    <xf numFmtId="164" fontId="9" fillId="0" borderId="0" xfId="11" applyNumberFormat="1" applyFont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2" borderId="14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5" xfId="11" applyFont="1" applyBorder="1" applyAlignment="1">
      <alignment horizontal="left" indent="2"/>
    </xf>
    <xf numFmtId="41" fontId="9" fillId="0" borderId="0" xfId="13" applyNumberFormat="1" applyFont="1" applyFill="1" applyBorder="1" applyAlignment="1">
      <alignment horizontal="center"/>
    </xf>
    <xf numFmtId="0" fontId="5" fillId="0" borderId="25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6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65" fontId="9" fillId="3" borderId="14" xfId="1" applyNumberFormat="1" applyFont="1" applyFill="1" applyBorder="1" applyAlignment="1">
      <alignment vertical="center"/>
    </xf>
    <xf numFmtId="170" fontId="5" fillId="0" borderId="16" xfId="11" applyNumberFormat="1" applyFont="1" applyBorder="1" applyAlignment="1">
      <alignment vertical="center"/>
    </xf>
    <xf numFmtId="170" fontId="5" fillId="0" borderId="0" xfId="11" applyNumberFormat="1" applyFont="1" applyAlignment="1">
      <alignment vertical="center"/>
    </xf>
    <xf numFmtId="164" fontId="5" fillId="0" borderId="18" xfId="21" applyNumberFormat="1" applyFont="1" applyBorder="1" applyAlignment="1">
      <alignment horizontal="right" vertical="center"/>
    </xf>
    <xf numFmtId="9" fontId="9" fillId="0" borderId="0" xfId="3" applyFont="1"/>
    <xf numFmtId="0" fontId="5" fillId="0" borderId="30" xfId="11" applyFont="1" applyBorder="1"/>
    <xf numFmtId="0" fontId="5" fillId="0" borderId="9" xfId="11" applyFont="1" applyBorder="1"/>
    <xf numFmtId="0" fontId="9" fillId="0" borderId="3" xfId="19" applyFont="1" applyBorder="1"/>
    <xf numFmtId="44" fontId="5" fillId="0" borderId="3" xfId="11" applyNumberFormat="1" applyFont="1" applyBorder="1"/>
    <xf numFmtId="0" fontId="5" fillId="0" borderId="25" xfId="11" applyFont="1" applyBorder="1" applyAlignment="1">
      <alignment horizontal="center"/>
    </xf>
    <xf numFmtId="0" fontId="5" fillId="0" borderId="25" xfId="11" applyFont="1" applyBorder="1"/>
    <xf numFmtId="170" fontId="9" fillId="0" borderId="16" xfId="21" applyNumberFormat="1" applyFont="1" applyFill="1" applyBorder="1" applyAlignment="1">
      <alignment horizontal="right"/>
    </xf>
    <xf numFmtId="170" fontId="9" fillId="0" borderId="0" xfId="21" applyNumberFormat="1" applyFont="1" applyFill="1" applyBorder="1" applyAlignment="1">
      <alignment horizontal="right"/>
    </xf>
    <xf numFmtId="170" fontId="9" fillId="0" borderId="16" xfId="11" applyNumberFormat="1" applyFont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71" fontId="5" fillId="0" borderId="16" xfId="1" applyNumberFormat="1" applyFont="1" applyFill="1" applyBorder="1" applyAlignment="1">
      <alignment horizontal="right"/>
    </xf>
    <xf numFmtId="165" fontId="9" fillId="0" borderId="16" xfId="1" applyNumberFormat="1" applyFont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14" xfId="1" applyNumberFormat="1" applyFont="1" applyFill="1" applyBorder="1" applyAlignment="1">
      <alignment horizontal="right"/>
    </xf>
    <xf numFmtId="171" fontId="9" fillId="0" borderId="0" xfId="1" applyNumberFormat="1" applyFont="1" applyFill="1" applyBorder="1" applyAlignment="1">
      <alignment horizontal="right"/>
    </xf>
    <xf numFmtId="165" fontId="9" fillId="0" borderId="16" xfId="1" applyNumberFormat="1" applyFont="1" applyFill="1" applyBorder="1" applyAlignment="1">
      <alignment horizontal="right"/>
    </xf>
    <xf numFmtId="170" fontId="5" fillId="0" borderId="16" xfId="2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71" fontId="9" fillId="0" borderId="16" xfId="1" applyNumberFormat="1" applyFont="1" applyFill="1" applyBorder="1" applyAlignment="1">
      <alignment horizontal="right"/>
    </xf>
    <xf numFmtId="165" fontId="9" fillId="0" borderId="16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8" xfId="2" applyNumberFormat="1" applyFont="1" applyFill="1" applyBorder="1"/>
    <xf numFmtId="170" fontId="5" fillId="0" borderId="16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3" borderId="14" xfId="22" applyNumberFormat="1" applyFont="1" applyFill="1" applyBorder="1"/>
    <xf numFmtId="165" fontId="9" fillId="0" borderId="0" xfId="22" applyNumberFormat="1" applyFont="1" applyFill="1" applyBorder="1"/>
    <xf numFmtId="165" fontId="5" fillId="0" borderId="0" xfId="14" applyNumberFormat="1" applyFont="1" applyFill="1" applyBorder="1"/>
    <xf numFmtId="164" fontId="5" fillId="0" borderId="18" xfId="21" applyNumberFormat="1" applyFont="1" applyBorder="1" applyAlignment="1">
      <alignment horizontal="right"/>
    </xf>
    <xf numFmtId="165" fontId="5" fillId="0" borderId="9" xfId="14" applyNumberFormat="1" applyFont="1" applyBorder="1"/>
    <xf numFmtId="165" fontId="5" fillId="0" borderId="3" xfId="14" applyNumberFormat="1" applyFont="1" applyFill="1" applyBorder="1"/>
    <xf numFmtId="0" fontId="5" fillId="0" borderId="3" xfId="11" applyFont="1" applyBorder="1" applyAlignment="1">
      <alignment horizontal="center"/>
    </xf>
    <xf numFmtId="0" fontId="5" fillId="0" borderId="23" xfId="11" applyFont="1" applyBorder="1" applyAlignment="1">
      <alignment horizontal="center"/>
    </xf>
    <xf numFmtId="0" fontId="5" fillId="0" borderId="13" xfId="11" applyFont="1" applyBorder="1" applyAlignment="1">
      <alignment horizontal="center"/>
    </xf>
    <xf numFmtId="0" fontId="5" fillId="0" borderId="15" xfId="11" applyFont="1" applyBorder="1" applyAlignment="1">
      <alignment horizontal="center"/>
    </xf>
    <xf numFmtId="10" fontId="5" fillId="0" borderId="25" xfId="20" applyNumberFormat="1" applyFont="1" applyBorder="1" applyAlignment="1">
      <alignment horizontal="center"/>
    </xf>
    <xf numFmtId="10" fontId="5" fillId="0" borderId="17" xfId="20" applyNumberFormat="1" applyFont="1" applyBorder="1" applyAlignment="1">
      <alignment horizontal="center"/>
    </xf>
    <xf numFmtId="164" fontId="9" fillId="2" borderId="25" xfId="21" applyNumberFormat="1" applyFont="1" applyFill="1" applyBorder="1" applyAlignment="1">
      <alignment horizontal="right" vertical="center"/>
    </xf>
    <xf numFmtId="41" fontId="9" fillId="0" borderId="17" xfId="13" applyNumberFormat="1" applyFont="1" applyBorder="1" applyAlignment="1">
      <alignment horizontal="center"/>
    </xf>
    <xf numFmtId="164" fontId="9" fillId="0" borderId="25" xfId="11" applyNumberFormat="1" applyFont="1" applyBorder="1" applyAlignment="1">
      <alignment horizontal="right" vertical="center"/>
    </xf>
    <xf numFmtId="0" fontId="5" fillId="0" borderId="17" xfId="11" applyFont="1" applyBorder="1" applyAlignment="1">
      <alignment horizontal="center"/>
    </xf>
    <xf numFmtId="165" fontId="9" fillId="2" borderId="25" xfId="1" applyNumberFormat="1" applyFont="1" applyFill="1" applyBorder="1" applyAlignment="1">
      <alignment horizontal="right" vertical="center"/>
    </xf>
    <xf numFmtId="43" fontId="5" fillId="0" borderId="17" xfId="11" applyNumberFormat="1" applyFont="1" applyBorder="1" applyAlignment="1">
      <alignment horizontal="center"/>
    </xf>
    <xf numFmtId="164" fontId="9" fillId="0" borderId="16" xfId="2" applyNumberFormat="1" applyFont="1" applyFill="1" applyBorder="1" applyAlignment="1">
      <alignment horizontal="right" vertical="center"/>
    </xf>
    <xf numFmtId="41" fontId="5" fillId="0" borderId="17" xfId="13" applyNumberFormat="1" applyFont="1" applyBorder="1" applyAlignment="1">
      <alignment horizontal="left"/>
    </xf>
    <xf numFmtId="165" fontId="9" fillId="2" borderId="16" xfId="1" applyNumberFormat="1" applyFont="1" applyFill="1" applyBorder="1" applyAlignment="1">
      <alignment horizontal="right" vertical="center"/>
    </xf>
    <xf numFmtId="41" fontId="5" fillId="0" borderId="17" xfId="13" applyNumberFormat="1" applyFont="1" applyFill="1" applyBorder="1" applyAlignment="1">
      <alignment horizontal="left"/>
    </xf>
    <xf numFmtId="41" fontId="9" fillId="0" borderId="17" xfId="13" applyNumberFormat="1" applyFont="1" applyFill="1" applyBorder="1" applyAlignment="1">
      <alignment horizontal="center"/>
    </xf>
    <xf numFmtId="0" fontId="5" fillId="0" borderId="29" xfId="11" applyFont="1" applyBorder="1"/>
    <xf numFmtId="170" fontId="9" fillId="0" borderId="25" xfId="21" applyNumberFormat="1" applyFont="1" applyFill="1" applyBorder="1" applyAlignment="1">
      <alignment horizontal="right"/>
    </xf>
    <xf numFmtId="170" fontId="9" fillId="0" borderId="25" xfId="11" applyNumberFormat="1" applyFont="1" applyBorder="1" applyAlignment="1">
      <alignment horizontal="right"/>
    </xf>
    <xf numFmtId="0" fontId="9" fillId="0" borderId="17" xfId="11" applyFont="1" applyBorder="1" applyAlignment="1">
      <alignment horizontal="center"/>
    </xf>
    <xf numFmtId="171" fontId="9" fillId="0" borderId="25" xfId="1" applyNumberFormat="1" applyFont="1" applyFill="1" applyBorder="1" applyAlignment="1">
      <alignment horizontal="right"/>
    </xf>
    <xf numFmtId="165" fontId="9" fillId="0" borderId="25" xfId="1" applyNumberFormat="1" applyFont="1" applyBorder="1" applyAlignment="1">
      <alignment horizontal="right"/>
    </xf>
    <xf numFmtId="43" fontId="9" fillId="0" borderId="17" xfId="11" applyNumberFormat="1" applyFont="1" applyBorder="1" applyAlignment="1">
      <alignment horizontal="center"/>
    </xf>
    <xf numFmtId="165" fontId="9" fillId="0" borderId="25" xfId="1" applyNumberFormat="1" applyFont="1" applyFill="1" applyBorder="1" applyAlignment="1">
      <alignment horizontal="right"/>
    </xf>
    <xf numFmtId="170" fontId="9" fillId="0" borderId="25" xfId="2" applyNumberFormat="1" applyFont="1" applyFill="1" applyBorder="1" applyAlignment="1">
      <alignment horizontal="right"/>
    </xf>
    <xf numFmtId="41" fontId="5" fillId="0" borderId="17" xfId="13" applyNumberFormat="1" applyFont="1" applyBorder="1" applyAlignment="1">
      <alignment horizontal="center"/>
    </xf>
    <xf numFmtId="41" fontId="5" fillId="0" borderId="17" xfId="13" applyNumberFormat="1" applyFont="1" applyFill="1" applyBorder="1" applyAlignment="1">
      <alignment horizontal="center"/>
    </xf>
    <xf numFmtId="41" fontId="5" fillId="0" borderId="17" xfId="13" applyNumberFormat="1" applyFont="1" applyFill="1" applyBorder="1"/>
    <xf numFmtId="165" fontId="5" fillId="0" borderId="17" xfId="14" applyNumberFormat="1" applyFont="1" applyFill="1" applyBorder="1"/>
    <xf numFmtId="0" fontId="5" fillId="0" borderId="29" xfId="11" applyFont="1" applyBorder="1" applyAlignment="1">
      <alignment horizontal="center"/>
    </xf>
    <xf numFmtId="0" fontId="5" fillId="0" borderId="0" xfId="11" applyFont="1" applyBorder="1"/>
    <xf numFmtId="0" fontId="5" fillId="0" borderId="0" xfId="11" applyFont="1" applyBorder="1" applyAlignment="1">
      <alignment horizontal="center"/>
    </xf>
    <xf numFmtId="167" fontId="5" fillId="0" borderId="0" xfId="0" applyNumberFormat="1" applyFont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1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5" fontId="9" fillId="3" borderId="1" xfId="1" applyNumberFormat="1" applyFont="1" applyFill="1" applyBorder="1" applyAlignment="1">
      <alignment vertical="center"/>
    </xf>
    <xf numFmtId="164" fontId="9" fillId="0" borderId="0" xfId="21" applyNumberFormat="1" applyFont="1" applyBorder="1" applyAlignment="1">
      <alignment horizontal="right" vertical="center"/>
    </xf>
    <xf numFmtId="164" fontId="9" fillId="0" borderId="2" xfId="21" applyNumberFormat="1" applyFont="1" applyBorder="1" applyAlignment="1">
      <alignment horizontal="right" vertical="center"/>
    </xf>
    <xf numFmtId="0" fontId="0" fillId="0" borderId="3" xfId="0" applyBorder="1"/>
    <xf numFmtId="0" fontId="15" fillId="0" borderId="3" xfId="0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5" fillId="0" borderId="21" xfId="11" applyFont="1" applyBorder="1"/>
    <xf numFmtId="0" fontId="9" fillId="0" borderId="0" xfId="11" applyFont="1" applyBorder="1" applyAlignment="1">
      <alignment horizontal="left"/>
    </xf>
    <xf numFmtId="0" fontId="9" fillId="0" borderId="0" xfId="11" applyFont="1" applyBorder="1"/>
    <xf numFmtId="0" fontId="5" fillId="0" borderId="0" xfId="11" applyFont="1" applyBorder="1" applyAlignment="1">
      <alignment horizontal="left" indent="2"/>
    </xf>
    <xf numFmtId="0" fontId="5" fillId="0" borderId="0" xfId="11" applyFont="1" applyBorder="1" applyAlignment="1">
      <alignment horizontal="left"/>
    </xf>
    <xf numFmtId="0" fontId="5" fillId="0" borderId="0" xfId="11" applyFont="1" applyBorder="1" applyAlignment="1">
      <alignment horizontal="center" vertical="center" wrapText="1"/>
    </xf>
    <xf numFmtId="164" fontId="9" fillId="0" borderId="0" xfId="11" applyNumberFormat="1" applyFont="1" applyBorder="1" applyAlignment="1">
      <alignment horizontal="right" vertical="center"/>
    </xf>
    <xf numFmtId="164" fontId="9" fillId="0" borderId="0" xfId="11" applyNumberFormat="1" applyFont="1" applyBorder="1" applyAlignment="1">
      <alignment vertical="center"/>
    </xf>
    <xf numFmtId="170" fontId="5" fillId="0" borderId="0" xfId="11" applyNumberFormat="1" applyFont="1" applyBorder="1" applyAlignment="1">
      <alignment vertical="center"/>
    </xf>
    <xf numFmtId="0" fontId="5" fillId="0" borderId="34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Border="1" applyAlignment="1">
      <alignment horizontal="center" wrapText="1"/>
    </xf>
    <xf numFmtId="170" fontId="9" fillId="0" borderId="0" xfId="11" applyNumberFormat="1" applyFont="1" applyBorder="1" applyAlignment="1">
      <alignment horizontal="right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1" xfId="1" applyNumberFormat="1" applyFont="1" applyFill="1" applyBorder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3" xfId="14" applyNumberFormat="1" applyFont="1" applyBorder="1"/>
    <xf numFmtId="164" fontId="5" fillId="0" borderId="2" xfId="21" applyNumberFormat="1" applyFont="1" applyBorder="1" applyAlignment="1">
      <alignment horizontal="right"/>
    </xf>
    <xf numFmtId="165" fontId="9" fillId="3" borderId="1" xfId="22" applyNumberFormat="1" applyFont="1" applyFill="1" applyBorder="1"/>
    <xf numFmtId="165" fontId="9" fillId="0" borderId="1" xfId="22" applyNumberFormat="1" applyFont="1" applyFill="1" applyBorder="1"/>
    <xf numFmtId="0" fontId="5" fillId="0" borderId="0" xfId="23" applyFont="1" applyAlignment="1">
      <alignment horizontal="center" vertical="center"/>
    </xf>
    <xf numFmtId="0" fontId="5" fillId="0" borderId="0" xfId="23" applyFont="1"/>
    <xf numFmtId="0" fontId="9" fillId="0" borderId="0" xfId="19" applyFont="1"/>
    <xf numFmtId="49" fontId="5" fillId="0" borderId="0" xfId="11" applyNumberFormat="1" applyFont="1" applyAlignment="1">
      <alignment horizontal="center" vertical="center"/>
    </xf>
    <xf numFmtId="0" fontId="9" fillId="0" borderId="0" xfId="19" applyFont="1" applyAlignment="1">
      <alignment vertical="center"/>
    </xf>
    <xf numFmtId="0" fontId="9" fillId="0" borderId="0" xfId="23" applyFont="1" applyAlignment="1">
      <alignment horizontal="center" vertical="center"/>
    </xf>
    <xf numFmtId="0" fontId="9" fillId="0" borderId="35" xfId="23" applyFont="1" applyBorder="1" applyAlignment="1">
      <alignment horizontal="center"/>
    </xf>
    <xf numFmtId="166" fontId="9" fillId="0" borderId="0" xfId="23" applyNumberFormat="1" applyFont="1" applyAlignment="1">
      <alignment horizontal="right"/>
    </xf>
    <xf numFmtId="0" fontId="17" fillId="0" borderId="0" xfId="23" applyFont="1"/>
    <xf numFmtId="0" fontId="9" fillId="0" borderId="0" xfId="23" applyFont="1"/>
    <xf numFmtId="0" fontId="9" fillId="0" borderId="0" xfId="23" applyFont="1" applyAlignment="1">
      <alignment vertical="center"/>
    </xf>
    <xf numFmtId="0" fontId="9" fillId="0" borderId="0" xfId="23" applyFont="1" applyAlignment="1">
      <alignment horizontal="center"/>
    </xf>
    <xf numFmtId="0" fontId="5" fillId="0" borderId="0" xfId="23" applyFont="1" applyAlignment="1">
      <alignment vertical="center"/>
    </xf>
    <xf numFmtId="166" fontId="9" fillId="0" borderId="0" xfId="23" applyNumberFormat="1" applyFont="1" applyAlignment="1">
      <alignment horizontal="right" vertical="center"/>
    </xf>
    <xf numFmtId="10" fontId="9" fillId="2" borderId="0" xfId="23" applyNumberFormat="1" applyFont="1" applyFill="1" applyAlignment="1">
      <alignment horizontal="right" vertical="center"/>
    </xf>
    <xf numFmtId="10" fontId="9" fillId="0" borderId="0" xfId="23" applyNumberFormat="1" applyFont="1" applyAlignment="1">
      <alignment horizontal="right"/>
    </xf>
    <xf numFmtId="166" fontId="9" fillId="0" borderId="0" xfId="23" applyNumberFormat="1" applyFont="1" applyAlignment="1">
      <alignment vertical="center"/>
    </xf>
    <xf numFmtId="166" fontId="9" fillId="0" borderId="0" xfId="23" applyNumberFormat="1" applyFont="1"/>
    <xf numFmtId="10" fontId="9" fillId="2" borderId="0" xfId="23" applyNumberFormat="1" applyFont="1" applyFill="1" applyAlignment="1">
      <alignment vertical="center"/>
    </xf>
    <xf numFmtId="0" fontId="5" fillId="0" borderId="0" xfId="23" applyFont="1" applyProtection="1">
      <protection locked="0"/>
    </xf>
    <xf numFmtId="0" fontId="5" fillId="0" borderId="0" xfId="23" applyFont="1" applyAlignment="1" applyProtection="1">
      <alignment vertical="center"/>
      <protection locked="0"/>
    </xf>
    <xf numFmtId="166" fontId="9" fillId="0" borderId="21" xfId="23" applyNumberFormat="1" applyFont="1" applyBorder="1" applyAlignment="1" applyProtection="1">
      <alignment horizontal="right" vertical="center"/>
      <protection locked="0"/>
    </xf>
    <xf numFmtId="166" fontId="9" fillId="0" borderId="0" xfId="23" applyNumberFormat="1" applyFont="1" applyAlignment="1" applyProtection="1">
      <alignment horizontal="right"/>
      <protection locked="0"/>
    </xf>
    <xf numFmtId="166" fontId="9" fillId="0" borderId="0" xfId="23" quotePrefix="1" applyNumberFormat="1" applyFont="1" applyAlignment="1">
      <alignment horizontal="right" vertical="center"/>
    </xf>
    <xf numFmtId="166" fontId="9" fillId="0" borderId="0" xfId="23" quotePrefix="1" applyNumberFormat="1" applyFont="1" applyAlignment="1">
      <alignment horizontal="right"/>
    </xf>
    <xf numFmtId="168" fontId="9" fillId="3" borderId="0" xfId="23" applyNumberFormat="1" applyFont="1" applyFill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21" xfId="23" quotePrefix="1" applyNumberFormat="1" applyFont="1" applyBorder="1" applyAlignment="1">
      <alignment horizontal="right" vertical="center"/>
    </xf>
    <xf numFmtId="166" fontId="5" fillId="0" borderId="0" xfId="23" quotePrefix="1" applyNumberFormat="1" applyFont="1" applyAlignment="1">
      <alignment horizontal="right"/>
    </xf>
    <xf numFmtId="0" fontId="17" fillId="0" borderId="0" xfId="23" applyFont="1" applyAlignment="1">
      <alignment vertical="center"/>
    </xf>
    <xf numFmtId="164" fontId="9" fillId="3" borderId="0" xfId="13" applyNumberFormat="1" applyFont="1" applyFill="1" applyAlignment="1" applyProtection="1">
      <alignment vertical="center"/>
      <protection locked="0"/>
    </xf>
    <xf numFmtId="10" fontId="17" fillId="0" borderId="21" xfId="23" applyNumberFormat="1" applyFont="1" applyBorder="1" applyAlignment="1">
      <alignment horizontal="right" vertical="center"/>
    </xf>
    <xf numFmtId="10" fontId="17" fillId="0" borderId="0" xfId="23" applyNumberFormat="1" applyFont="1" applyAlignment="1">
      <alignment horizontal="right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23" applyFont="1" applyAlignment="1">
      <alignment horizontal="left" vertical="center"/>
    </xf>
    <xf numFmtId="172" fontId="9" fillId="0" borderId="0" xfId="23" applyNumberFormat="1" applyFont="1" applyAlignment="1">
      <alignment horizontal="left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0" fontId="17" fillId="0" borderId="0" xfId="23" applyFont="1" applyAlignment="1">
      <alignment horizontal="center" vertical="center"/>
    </xf>
    <xf numFmtId="0" fontId="17" fillId="0" borderId="0" xfId="23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Alignment="1" applyProtection="1">
      <alignment vertical="center"/>
      <protection locked="0"/>
    </xf>
    <xf numFmtId="164" fontId="9" fillId="0" borderId="0" xfId="13" applyNumberFormat="1" applyFont="1" applyFill="1" applyBorder="1" applyProtection="1">
      <protection locked="0"/>
    </xf>
    <xf numFmtId="5" fontId="9" fillId="0" borderId="0" xfId="23" applyNumberFormat="1" applyFont="1" applyAlignment="1" applyProtection="1">
      <alignment horizontal="right" vertical="center"/>
      <protection locked="0"/>
    </xf>
    <xf numFmtId="5" fontId="9" fillId="0" borderId="0" xfId="23" applyNumberFormat="1" applyFont="1" applyAlignment="1" applyProtection="1">
      <alignment horizontal="right"/>
      <protection locked="0"/>
    </xf>
    <xf numFmtId="5" fontId="5" fillId="0" borderId="0" xfId="23" applyNumberFormat="1" applyFont="1" applyAlignment="1" applyProtection="1">
      <alignment horizontal="right" vertical="center"/>
      <protection locked="0"/>
    </xf>
    <xf numFmtId="5" fontId="5" fillId="0" borderId="0" xfId="23" applyNumberFormat="1" applyFont="1" applyAlignment="1" applyProtection="1">
      <alignment horizontal="right"/>
      <protection locked="0"/>
    </xf>
    <xf numFmtId="0" fontId="5" fillId="0" borderId="0" xfId="23" applyFont="1" applyAlignment="1">
      <alignment horizontal="left"/>
    </xf>
    <xf numFmtId="164" fontId="5" fillId="2" borderId="36" xfId="23" applyNumberFormat="1" applyFont="1" applyFill="1" applyBorder="1" applyAlignment="1" applyProtection="1">
      <alignment horizontal="right" vertical="center"/>
      <protection locked="0"/>
    </xf>
    <xf numFmtId="0" fontId="9" fillId="0" borderId="0" xfId="23" applyFont="1" applyAlignment="1">
      <alignment horizontal="left"/>
    </xf>
    <xf numFmtId="10" fontId="9" fillId="0" borderId="0" xfId="24" applyNumberFormat="1" applyFont="1" applyBorder="1" applyAlignment="1">
      <alignment horizontal="right" vertical="center"/>
    </xf>
    <xf numFmtId="10" fontId="5" fillId="0" borderId="0" xfId="24" applyNumberFormat="1" applyFont="1" applyBorder="1" applyAlignment="1">
      <alignment horizontal="right"/>
    </xf>
    <xf numFmtId="10" fontId="5" fillId="0" borderId="0" xfId="20" applyNumberFormat="1" applyFont="1" applyBorder="1" applyAlignment="1">
      <alignment vertical="center"/>
    </xf>
    <xf numFmtId="10" fontId="5" fillId="0" borderId="0" xfId="20" applyNumberFormat="1" applyFont="1" applyBorder="1"/>
    <xf numFmtId="164" fontId="9" fillId="2" borderId="36" xfId="23" applyNumberFormat="1" applyFont="1" applyFill="1" applyBorder="1" applyAlignment="1" applyProtection="1">
      <alignment horizontal="right" vertical="center"/>
      <protection locked="0"/>
    </xf>
    <xf numFmtId="10" fontId="5" fillId="0" borderId="0" xfId="24" applyNumberFormat="1" applyFont="1" applyAlignment="1" applyProtection="1">
      <alignment horizontal="right" vertical="center"/>
    </xf>
    <xf numFmtId="10" fontId="5" fillId="0" borderId="0" xfId="24" applyNumberFormat="1" applyFont="1" applyAlignment="1" applyProtection="1">
      <alignment horizontal="right"/>
    </xf>
    <xf numFmtId="0" fontId="19" fillId="0" borderId="0" xfId="23" applyFont="1"/>
    <xf numFmtId="164" fontId="9" fillId="2" borderId="0" xfId="23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7" xfId="23" applyNumberFormat="1" applyFont="1" applyBorder="1" applyAlignment="1" applyProtection="1">
      <alignment horizontal="right" vertical="center"/>
      <protection locked="0"/>
    </xf>
    <xf numFmtId="164" fontId="5" fillId="0" borderId="0" xfId="23" applyNumberFormat="1" applyFont="1" applyAlignment="1" applyProtection="1">
      <alignment horizontal="right" vertical="center"/>
      <protection locked="0"/>
    </xf>
    <xf numFmtId="164" fontId="5" fillId="0" borderId="0" xfId="23" applyNumberFormat="1" applyFont="1" applyAlignment="1" applyProtection="1">
      <alignment horizontal="right"/>
      <protection locked="0"/>
    </xf>
    <xf numFmtId="168" fontId="9" fillId="2" borderId="0" xfId="20" applyNumberFormat="1" applyFont="1" applyFill="1" applyBorder="1" applyAlignment="1">
      <alignment horizontal="right" vertical="center"/>
    </xf>
    <xf numFmtId="10" fontId="9" fillId="0" borderId="0" xfId="24" applyNumberFormat="1" applyFont="1" applyBorder="1" applyAlignment="1">
      <alignment horizontal="right"/>
    </xf>
    <xf numFmtId="0" fontId="10" fillId="0" borderId="0" xfId="23" applyFont="1"/>
    <xf numFmtId="0" fontId="12" fillId="0" borderId="0" xfId="19" applyFont="1"/>
    <xf numFmtId="165" fontId="9" fillId="2" borderId="38" xfId="1" applyNumberFormat="1" applyFont="1" applyFill="1" applyBorder="1" applyAlignment="1">
      <alignment horizontal="center" vertical="center"/>
    </xf>
    <xf numFmtId="0" fontId="12" fillId="0" borderId="0" xfId="0" applyFont="1"/>
    <xf numFmtId="165" fontId="27" fillId="0" borderId="0" xfId="14" applyNumberFormat="1" applyFont="1" applyBorder="1" applyAlignment="1">
      <alignment vertical="center"/>
    </xf>
    <xf numFmtId="165" fontId="27" fillId="0" borderId="0" xfId="14" applyNumberFormat="1" applyFont="1" applyBorder="1"/>
    <xf numFmtId="164" fontId="9" fillId="0" borderId="0" xfId="21" applyNumberFormat="1" applyFont="1" applyAlignment="1">
      <alignment vertical="center"/>
    </xf>
    <xf numFmtId="164" fontId="10" fillId="0" borderId="0" xfId="21" applyNumberFormat="1" applyFont="1"/>
    <xf numFmtId="0" fontId="12" fillId="0" borderId="0" xfId="23" applyFont="1"/>
    <xf numFmtId="164" fontId="12" fillId="0" borderId="0" xfId="21" applyNumberFormat="1" applyFont="1" applyAlignment="1">
      <alignment vertical="center"/>
    </xf>
    <xf numFmtId="0" fontId="12" fillId="0" borderId="0" xfId="23" applyFont="1" applyAlignment="1">
      <alignment horizontal="center"/>
    </xf>
    <xf numFmtId="168" fontId="9" fillId="0" borderId="36" xfId="3" applyNumberFormat="1" applyFont="1" applyFill="1" applyBorder="1" applyAlignment="1">
      <alignment vertical="center"/>
    </xf>
    <xf numFmtId="10" fontId="28" fillId="0" borderId="0" xfId="20" applyNumberFormat="1" applyFont="1" applyBorder="1" applyAlignment="1" applyProtection="1">
      <alignment vertical="center"/>
    </xf>
    <xf numFmtId="10" fontId="28" fillId="0" borderId="0" xfId="20" applyNumberFormat="1" applyFont="1" applyBorder="1" applyProtection="1"/>
    <xf numFmtId="164" fontId="10" fillId="0" borderId="0" xfId="21" applyNumberFormat="1" applyFont="1" applyBorder="1" applyAlignment="1">
      <alignment horizontal="right"/>
    </xf>
    <xf numFmtId="164" fontId="12" fillId="0" borderId="0" xfId="21" applyNumberFormat="1" applyFont="1" applyBorder="1" applyAlignment="1">
      <alignment horizontal="right" vertical="center"/>
    </xf>
    <xf numFmtId="164" fontId="9" fillId="2" borderId="36" xfId="2" applyNumberFormat="1" applyFont="1" applyFill="1" applyBorder="1" applyAlignment="1">
      <alignment horizontal="right" vertical="center"/>
    </xf>
    <xf numFmtId="0" fontId="10" fillId="0" borderId="0" xfId="23" applyFont="1" applyAlignment="1">
      <alignment vertical="center"/>
    </xf>
    <xf numFmtId="10" fontId="9" fillId="0" borderId="2" xfId="24" applyNumberFormat="1" applyFont="1" applyBorder="1" applyAlignment="1">
      <alignment horizontal="right" vertical="center"/>
    </xf>
    <xf numFmtId="10" fontId="10" fillId="0" borderId="0" xfId="24" applyNumberFormat="1" applyFont="1" applyBorder="1" applyAlignment="1">
      <alignment horizontal="right"/>
    </xf>
    <xf numFmtId="10" fontId="5" fillId="0" borderId="0" xfId="20" applyNumberFormat="1" applyFont="1"/>
    <xf numFmtId="0" fontId="17" fillId="0" borderId="0" xfId="0" quotePrefix="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0" fontId="9" fillId="0" borderId="36" xfId="11" applyFont="1" applyBorder="1" applyAlignment="1">
      <alignment horizontal="left" vertical="center"/>
    </xf>
    <xf numFmtId="1" fontId="9" fillId="0" borderId="36" xfId="11" applyNumberFormat="1" applyFont="1" applyBorder="1" applyAlignment="1">
      <alignment horizontal="center" vertical="center"/>
    </xf>
    <xf numFmtId="165" fontId="9" fillId="0" borderId="36" xfId="1" applyNumberFormat="1" applyFont="1" applyFill="1" applyBorder="1" applyAlignment="1">
      <alignment vertical="center"/>
    </xf>
    <xf numFmtId="165" fontId="9" fillId="0" borderId="36" xfId="1" applyNumberFormat="1" applyFont="1" applyFill="1" applyBorder="1" applyAlignment="1">
      <alignment horizontal="right" vertical="center"/>
    </xf>
    <xf numFmtId="175" fontId="9" fillId="0" borderId="0" xfId="0" applyNumberFormat="1" applyFont="1" applyAlignment="1">
      <alignment vertical="center"/>
    </xf>
    <xf numFmtId="0" fontId="14" fillId="0" borderId="0" xfId="26" quotePrefix="1" applyFont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5" fontId="9" fillId="0" borderId="36" xfId="0" applyNumberFormat="1" applyFont="1" applyBorder="1" applyAlignment="1">
      <alignment horizontal="center" vertical="center"/>
    </xf>
    <xf numFmtId="0" fontId="19" fillId="0" borderId="0" xfId="11" applyFont="1"/>
    <xf numFmtId="0" fontId="9" fillId="0" borderId="0" xfId="11" applyFont="1"/>
    <xf numFmtId="0" fontId="19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5" fontId="5" fillId="3" borderId="36" xfId="1" applyNumberFormat="1" applyFont="1" applyFill="1" applyBorder="1" applyAlignment="1" applyProtection="1">
      <alignment vertical="center"/>
      <protection locked="0"/>
    </xf>
    <xf numFmtId="165" fontId="9" fillId="3" borderId="36" xfId="1" applyNumberFormat="1" applyFont="1" applyFill="1" applyBorder="1" applyAlignment="1" applyProtection="1">
      <alignment vertical="center"/>
      <protection locked="0"/>
    </xf>
    <xf numFmtId="10" fontId="9" fillId="2" borderId="36" xfId="0" applyNumberFormat="1" applyFont="1" applyFill="1" applyBorder="1" applyAlignment="1">
      <alignment horizontal="right" vertical="center"/>
    </xf>
    <xf numFmtId="165" fontId="9" fillId="0" borderId="36" xfId="1" applyNumberFormat="1" applyFont="1" applyFill="1" applyBorder="1" applyAlignment="1" applyProtection="1">
      <alignment vertical="center"/>
      <protection locked="0"/>
    </xf>
    <xf numFmtId="164" fontId="5" fillId="0" borderId="2" xfId="2" applyNumberFormat="1" applyFont="1" applyFill="1" applyBorder="1" applyAlignment="1">
      <alignment horizontal="right" vertical="center"/>
    </xf>
    <xf numFmtId="165" fontId="9" fillId="2" borderId="36" xfId="1" applyNumberFormat="1" applyFont="1" applyFill="1" applyBorder="1" applyAlignment="1" applyProtection="1">
      <alignment horizontal="right" vertical="center"/>
    </xf>
    <xf numFmtId="165" fontId="9" fillId="2" borderId="36" xfId="1" applyNumberFormat="1" applyFont="1" applyFill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65" fontId="9" fillId="0" borderId="39" xfId="1" applyNumberFormat="1" applyFont="1" applyFill="1" applyBorder="1" applyAlignment="1">
      <alignment vertical="center"/>
    </xf>
    <xf numFmtId="165" fontId="9" fillId="0" borderId="41" xfId="1" applyNumberFormat="1" applyFont="1" applyFill="1" applyBorder="1" applyAlignment="1">
      <alignment vertical="center"/>
    </xf>
    <xf numFmtId="165" fontId="9" fillId="0" borderId="40" xfId="1" applyNumberFormat="1" applyFont="1" applyFill="1" applyBorder="1" applyAlignment="1">
      <alignment vertical="center"/>
    </xf>
    <xf numFmtId="165" fontId="9" fillId="0" borderId="36" xfId="1" applyNumberFormat="1" applyFont="1" applyFill="1" applyBorder="1"/>
    <xf numFmtId="0" fontId="9" fillId="0" borderId="0" xfId="25" applyFont="1"/>
    <xf numFmtId="0" fontId="14" fillId="0" borderId="10" xfId="25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7" fontId="5" fillId="0" borderId="16" xfId="16" applyNumberFormat="1" applyFont="1" applyBorder="1" applyAlignment="1">
      <alignment horizontal="left" vertical="center"/>
    </xf>
    <xf numFmtId="164" fontId="5" fillId="0" borderId="16" xfId="2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5" fillId="0" borderId="0" xfId="0" applyNumberFormat="1" applyFont="1" applyAlignment="1">
      <alignment horizontal="right" vertical="center"/>
    </xf>
    <xf numFmtId="37" fontId="5" fillId="0" borderId="11" xfId="0" applyNumberFormat="1" applyFont="1" applyBorder="1" applyAlignment="1">
      <alignment vertical="center"/>
    </xf>
    <xf numFmtId="43" fontId="10" fillId="0" borderId="0" xfId="1" applyFont="1" applyAlignment="1">
      <alignment horizontal="right" vertical="center"/>
    </xf>
    <xf numFmtId="164" fontId="5" fillId="0" borderId="2" xfId="2" applyNumberFormat="1" applyFont="1" applyBorder="1" applyAlignment="1">
      <alignment vertical="center"/>
    </xf>
    <xf numFmtId="0" fontId="23" fillId="0" borderId="10" xfId="25" applyFont="1" applyBorder="1" applyAlignment="1">
      <alignment horizontal="center"/>
    </xf>
    <xf numFmtId="37" fontId="5" fillId="0" borderId="0" xfId="28" applyNumberFormat="1" applyFont="1" applyAlignment="1" applyProtection="1">
      <alignment horizontal="center" vertical="center"/>
      <protection locked="0"/>
    </xf>
    <xf numFmtId="37" fontId="5" fillId="0" borderId="0" xfId="28" applyNumberFormat="1" applyFont="1" applyAlignment="1">
      <alignment vertical="center"/>
    </xf>
    <xf numFmtId="15" fontId="9" fillId="0" borderId="36" xfId="11" applyNumberFormat="1" applyFont="1" applyBorder="1" applyAlignment="1">
      <alignment horizontal="center" vertical="center"/>
    </xf>
    <xf numFmtId="0" fontId="9" fillId="0" borderId="36" xfId="11" applyFont="1" applyBorder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0" fontId="9" fillId="2" borderId="36" xfId="11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2" xfId="13" applyNumberFormat="1" applyFont="1" applyBorder="1" applyAlignment="1" applyProtection="1">
      <alignment horizontal="right" vertical="center"/>
      <protection locked="0"/>
    </xf>
    <xf numFmtId="165" fontId="9" fillId="0" borderId="0" xfId="29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4" fontId="9" fillId="3" borderId="36" xfId="13" applyNumberFormat="1" applyFont="1" applyFill="1" applyBorder="1" applyAlignment="1" applyProtection="1">
      <alignment horizontal="center" vertical="center"/>
      <protection locked="0"/>
    </xf>
    <xf numFmtId="165" fontId="9" fillId="0" borderId="0" xfId="29" applyNumberFormat="1" applyFont="1" applyBorder="1" applyAlignment="1" applyProtection="1">
      <alignment vertical="center"/>
      <protection locked="0"/>
    </xf>
    <xf numFmtId="165" fontId="9" fillId="0" borderId="0" xfId="29" applyNumberFormat="1" applyFont="1" applyAlignment="1" applyProtection="1">
      <alignment vertical="center"/>
      <protection locked="0"/>
    </xf>
    <xf numFmtId="165" fontId="5" fillId="2" borderId="0" xfId="29" applyNumberFormat="1" applyFont="1" applyFill="1" applyBorder="1" applyAlignment="1" applyProtection="1">
      <alignment horizontal="right" vertical="center"/>
      <protection locked="0"/>
    </xf>
    <xf numFmtId="165" fontId="9" fillId="0" borderId="0" xfId="29" applyNumberFormat="1" applyFont="1" applyFill="1" applyBorder="1" applyAlignment="1" applyProtection="1">
      <alignment vertical="center"/>
      <protection locked="0"/>
    </xf>
    <xf numFmtId="165" fontId="9" fillId="2" borderId="36" xfId="1" applyNumberFormat="1" applyFont="1" applyFill="1" applyBorder="1" applyAlignment="1" applyProtection="1">
      <alignment vertical="center"/>
      <protection locked="0"/>
    </xf>
    <xf numFmtId="0" fontId="12" fillId="0" borderId="0" xfId="11" applyFont="1" applyAlignment="1">
      <alignment vertical="center"/>
    </xf>
    <xf numFmtId="164" fontId="5" fillId="0" borderId="0" xfId="13" applyNumberFormat="1" applyFont="1" applyAlignment="1">
      <alignment horizontal="right" vertical="center"/>
    </xf>
    <xf numFmtId="10" fontId="9" fillId="3" borderId="36" xfId="30" applyNumberFormat="1" applyFont="1" applyFill="1" applyBorder="1" applyAlignment="1">
      <alignment vertical="center"/>
    </xf>
    <xf numFmtId="10" fontId="9" fillId="0" borderId="0" xfId="30" applyNumberFormat="1" applyFont="1" applyBorder="1" applyAlignment="1">
      <alignment vertical="center"/>
    </xf>
    <xf numFmtId="164" fontId="5" fillId="0" borderId="2" xfId="13" applyNumberFormat="1" applyFont="1" applyBorder="1" applyAlignment="1" applyProtection="1">
      <alignment horizontal="right" vertical="center"/>
      <protection locked="0"/>
    </xf>
    <xf numFmtId="0" fontId="9" fillId="0" borderId="0" xfId="31" applyFont="1" applyAlignment="1">
      <alignment vertical="center"/>
    </xf>
    <xf numFmtId="0" fontId="5" fillId="0" borderId="0" xfId="32" applyFont="1" applyAlignment="1">
      <alignment horizontal="left" vertical="center"/>
    </xf>
    <xf numFmtId="0" fontId="9" fillId="0" borderId="36" xfId="0" applyFont="1" applyBorder="1" applyAlignment="1">
      <alignment horizontal="center" vertical="center" wrapText="1"/>
    </xf>
    <xf numFmtId="164" fontId="9" fillId="3" borderId="36" xfId="2" applyNumberFormat="1" applyFont="1" applyFill="1" applyBorder="1" applyAlignment="1" applyProtection="1">
      <alignment vertical="center"/>
      <protection locked="0"/>
    </xf>
    <xf numFmtId="44" fontId="9" fillId="0" borderId="0" xfId="0" applyNumberFormat="1" applyFont="1" applyAlignment="1">
      <alignment vertical="center"/>
    </xf>
    <xf numFmtId="10" fontId="9" fillId="0" borderId="36" xfId="3" applyNumberFormat="1" applyFont="1" applyFill="1" applyBorder="1" applyAlignment="1">
      <alignment horizontal="right" vertical="center"/>
    </xf>
    <xf numFmtId="10" fontId="9" fillId="0" borderId="36" xfId="3" applyNumberFormat="1" applyFont="1" applyBorder="1" applyAlignment="1">
      <alignment horizontal="right" vertical="center"/>
    </xf>
    <xf numFmtId="176" fontId="9" fillId="0" borderId="3" xfId="3" applyNumberFormat="1" applyFont="1" applyBorder="1" applyAlignment="1">
      <alignment horizontal="right" vertical="center"/>
    </xf>
    <xf numFmtId="10" fontId="9" fillId="4" borderId="2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36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vertical="center"/>
    </xf>
    <xf numFmtId="9" fontId="9" fillId="3" borderId="36" xfId="3" applyFont="1" applyFill="1" applyBorder="1" applyAlignment="1">
      <alignment horizontal="right" vertical="center"/>
    </xf>
    <xf numFmtId="0" fontId="9" fillId="3" borderId="36" xfId="3" applyNumberFormat="1" applyFont="1" applyFill="1" applyBorder="1" applyAlignment="1">
      <alignment horizontal="right" vertical="center"/>
    </xf>
    <xf numFmtId="168" fontId="9" fillId="0" borderId="36" xfId="3" applyNumberFormat="1" applyFont="1" applyBorder="1" applyAlignment="1">
      <alignment horizontal="right" vertical="center"/>
    </xf>
    <xf numFmtId="168" fontId="9" fillId="2" borderId="36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9" fontId="9" fillId="2" borderId="36" xfId="3" applyFont="1" applyFill="1" applyBorder="1" applyAlignment="1">
      <alignment horizontal="right" vertical="center"/>
    </xf>
    <xf numFmtId="10" fontId="9" fillId="2" borderId="36" xfId="3" applyNumberFormat="1" applyFont="1" applyFill="1" applyBorder="1" applyAlignment="1">
      <alignment horizontal="right" vertical="center"/>
    </xf>
    <xf numFmtId="168" fontId="9" fillId="2" borderId="36" xfId="0" applyNumberFormat="1" applyFont="1" applyFill="1" applyBorder="1" applyAlignment="1">
      <alignment horizontal="right" vertical="center"/>
    </xf>
    <xf numFmtId="43" fontId="7" fillId="0" borderId="0" xfId="4" applyNumberFormat="1" applyFont="1"/>
    <xf numFmtId="165" fontId="7" fillId="0" borderId="36" xfId="1" applyNumberFormat="1" applyFont="1" applyBorder="1"/>
    <xf numFmtId="0" fontId="18" fillId="0" borderId="0" xfId="0" applyFont="1" applyBorder="1" applyAlignment="1">
      <alignment horizontal="center"/>
    </xf>
    <xf numFmtId="0" fontId="5" fillId="0" borderId="0" xfId="11" applyFont="1" applyAlignment="1">
      <alignment horizontal="right"/>
    </xf>
    <xf numFmtId="0" fontId="5" fillId="0" borderId="0" xfId="11" applyFont="1" applyAlignment="1">
      <alignment horizontal="center"/>
    </xf>
    <xf numFmtId="0" fontId="5" fillId="0" borderId="0" xfId="23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0" borderId="40" xfId="11" applyFont="1" applyBorder="1" applyAlignment="1">
      <alignment horizontal="center"/>
    </xf>
    <xf numFmtId="0" fontId="5" fillId="0" borderId="39" xfId="11" applyFont="1" applyBorder="1" applyAlignment="1">
      <alignment horizontal="center"/>
    </xf>
    <xf numFmtId="0" fontId="5" fillId="0" borderId="36" xfId="11" applyFont="1" applyBorder="1" applyAlignment="1">
      <alignment horizontal="center"/>
    </xf>
    <xf numFmtId="165" fontId="9" fillId="2" borderId="39" xfId="1" applyNumberFormat="1" applyFont="1" applyFill="1" applyBorder="1" applyAlignment="1">
      <alignment horizontal="right" vertical="center"/>
    </xf>
    <xf numFmtId="165" fontId="9" fillId="3" borderId="39" xfId="1" applyNumberFormat="1" applyFont="1" applyFill="1" applyBorder="1" applyAlignment="1">
      <alignment vertical="center"/>
    </xf>
    <xf numFmtId="171" fontId="9" fillId="0" borderId="39" xfId="1" applyNumberFormat="1" applyFont="1" applyFill="1" applyBorder="1" applyAlignment="1">
      <alignment horizontal="right"/>
    </xf>
    <xf numFmtId="165" fontId="9" fillId="3" borderId="39" xfId="22" applyNumberFormat="1" applyFont="1" applyFill="1" applyBorder="1"/>
    <xf numFmtId="10" fontId="9" fillId="0" borderId="36" xfId="3" quotePrefix="1" applyNumberFormat="1" applyFont="1" applyBorder="1" applyAlignment="1">
      <alignment horizontal="right" vertical="center"/>
    </xf>
    <xf numFmtId="165" fontId="29" fillId="0" borderId="25" xfId="1" applyNumberFormat="1" applyFont="1" applyFill="1" applyBorder="1" applyAlignment="1">
      <alignment vertical="center"/>
    </xf>
    <xf numFmtId="167" fontId="5" fillId="0" borderId="24" xfId="0" applyNumberFormat="1" applyFont="1" applyBorder="1" applyAlignment="1">
      <alignment horizontal="center" vertical="center"/>
    </xf>
    <xf numFmtId="164" fontId="5" fillId="0" borderId="2" xfId="2" applyNumberFormat="1" applyFont="1" applyFill="1" applyBorder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0" fontId="5" fillId="0" borderId="0" xfId="11" quotePrefix="1" applyFont="1" applyAlignment="1">
      <alignment horizontal="center"/>
    </xf>
    <xf numFmtId="167" fontId="5" fillId="0" borderId="0" xfId="11" applyNumberFormat="1" applyFont="1" applyAlignment="1">
      <alignment horizontal="center"/>
    </xf>
    <xf numFmtId="5" fontId="9" fillId="0" borderId="36" xfId="11" applyNumberFormat="1" applyFont="1" applyBorder="1" applyAlignment="1">
      <alignment horizontal="center"/>
    </xf>
    <xf numFmtId="0" fontId="9" fillId="0" borderId="36" xfId="11" applyFont="1" applyBorder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7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Fill="1" applyBorder="1" applyAlignment="1" applyProtection="1">
      <alignment horizontal="right"/>
      <protection locked="0"/>
    </xf>
    <xf numFmtId="165" fontId="9" fillId="2" borderId="0" xfId="29" applyNumberFormat="1" applyFont="1" applyFill="1" applyBorder="1" applyAlignment="1" applyProtection="1">
      <alignment horizontal="right" vertical="center"/>
      <protection locked="0"/>
    </xf>
    <xf numFmtId="165" fontId="9" fillId="0" borderId="0" xfId="29" applyNumberFormat="1" applyFont="1" applyFill="1" applyBorder="1" applyAlignment="1" applyProtection="1">
      <alignment horizontal="right"/>
      <protection locked="0"/>
    </xf>
    <xf numFmtId="165" fontId="9" fillId="2" borderId="36" xfId="29" applyNumberFormat="1" applyFont="1" applyFill="1" applyBorder="1" applyAlignment="1" applyProtection="1">
      <alignment horizontal="right" vertical="center"/>
      <protection locked="0"/>
    </xf>
    <xf numFmtId="164" fontId="9" fillId="0" borderId="20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9" applyNumberFormat="1" applyFont="1" applyFill="1" applyAlignment="1" applyProtection="1">
      <alignment horizontal="center" vertical="center"/>
    </xf>
    <xf numFmtId="165" fontId="5" fillId="0" borderId="0" xfId="29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9" applyFont="1" applyFill="1" applyBorder="1" applyAlignment="1" applyProtection="1">
      <alignment horizontal="center" vertical="center"/>
    </xf>
    <xf numFmtId="164" fontId="9" fillId="0" borderId="20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9" applyFont="1" applyFill="1" applyBorder="1" applyAlignment="1" applyProtection="1">
      <alignment horizontal="right" vertical="center"/>
    </xf>
    <xf numFmtId="165" fontId="5" fillId="0" borderId="0" xfId="29" applyNumberFormat="1" applyFont="1" applyFill="1" applyAlignment="1" applyProtection="1">
      <alignment horizontal="right" vertical="center"/>
    </xf>
    <xf numFmtId="165" fontId="5" fillId="0" borderId="0" xfId="29" applyNumberFormat="1" applyFont="1" applyFill="1" applyAlignment="1" applyProtection="1">
      <alignment horizontal="right"/>
    </xf>
    <xf numFmtId="165" fontId="5" fillId="2" borderId="36" xfId="29" applyNumberFormat="1" applyFont="1" applyFill="1" applyBorder="1" applyAlignment="1" applyProtection="1">
      <alignment horizontal="right" vertical="center"/>
      <protection locked="0"/>
    </xf>
    <xf numFmtId="164" fontId="5" fillId="0" borderId="20" xfId="13" applyNumberFormat="1" applyFont="1" applyFill="1" applyBorder="1" applyAlignment="1" applyProtection="1">
      <alignment horizontal="right" vertical="center"/>
    </xf>
    <xf numFmtId="165" fontId="5" fillId="0" borderId="0" xfId="29" applyNumberFormat="1" applyFont="1" applyFill="1" applyBorder="1" applyAlignment="1" applyProtection="1">
      <alignment horizontal="center" vertical="center"/>
    </xf>
    <xf numFmtId="165" fontId="5" fillId="0" borderId="0" xfId="29" applyNumberFormat="1" applyFont="1" applyFill="1" applyBorder="1" applyAlignment="1" applyProtection="1">
      <alignment horizontal="center"/>
    </xf>
    <xf numFmtId="165" fontId="5" fillId="2" borderId="36" xfId="29" applyNumberFormat="1" applyFont="1" applyFill="1" applyBorder="1" applyAlignment="1" applyProtection="1">
      <alignment horizontal="center" vertical="center"/>
    </xf>
    <xf numFmtId="164" fontId="5" fillId="0" borderId="2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9" applyNumberFormat="1" applyFont="1" applyFill="1" applyBorder="1" applyAlignment="1" applyProtection="1">
      <alignment horizontal="right" vertical="center"/>
    </xf>
    <xf numFmtId="165" fontId="9" fillId="4" borderId="36" xfId="29" applyNumberFormat="1" applyFont="1" applyFill="1" applyBorder="1" applyAlignment="1" applyProtection="1">
      <alignment horizontal="right" vertical="center"/>
    </xf>
    <xf numFmtId="164" fontId="9" fillId="4" borderId="2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3" applyFont="1"/>
    <xf numFmtId="165" fontId="9" fillId="2" borderId="0" xfId="29" applyNumberFormat="1" applyFont="1" applyFill="1" applyAlignment="1" applyProtection="1">
      <alignment horizontal="right" vertical="center"/>
    </xf>
    <xf numFmtId="10" fontId="5" fillId="0" borderId="0" xfId="30" applyNumberFormat="1" applyFont="1"/>
    <xf numFmtId="165" fontId="9" fillId="2" borderId="36" xfId="29" applyNumberFormat="1" applyFont="1" applyFill="1" applyBorder="1" applyAlignment="1" applyProtection="1">
      <alignment horizontal="right" vertical="center"/>
    </xf>
    <xf numFmtId="167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0" xfId="13" applyNumberFormat="1" applyFont="1" applyFill="1" applyAlignment="1" applyProtection="1">
      <alignment horizontal="right"/>
    </xf>
    <xf numFmtId="165" fontId="9" fillId="0" borderId="0" xfId="29" applyNumberFormat="1" applyFont="1" applyFill="1" applyAlignment="1" applyProtection="1">
      <alignment horizontal="right" vertical="center"/>
    </xf>
    <xf numFmtId="165" fontId="9" fillId="0" borderId="0" xfId="29" applyNumberFormat="1" applyFont="1" applyFill="1" applyAlignment="1" applyProtection="1">
      <alignment horizontal="right"/>
    </xf>
    <xf numFmtId="165" fontId="9" fillId="0" borderId="36" xfId="29" applyNumberFormat="1" applyFont="1" applyFill="1" applyBorder="1" applyAlignment="1" applyProtection="1">
      <alignment horizontal="right" vertical="center"/>
    </xf>
    <xf numFmtId="165" fontId="9" fillId="0" borderId="0" xfId="29" applyNumberFormat="1" applyFont="1" applyFill="1" applyBorder="1" applyAlignment="1" applyProtection="1">
      <alignment horizontal="right"/>
    </xf>
    <xf numFmtId="164" fontId="9" fillId="0" borderId="19" xfId="13" applyNumberFormat="1" applyFont="1" applyFill="1" applyBorder="1" applyAlignment="1" applyProtection="1">
      <alignment horizontal="right" vertical="center"/>
    </xf>
    <xf numFmtId="164" fontId="9" fillId="0" borderId="2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164" fontId="3" fillId="0" borderId="0" xfId="2" applyNumberFormat="1" applyFont="1" applyBorder="1"/>
    <xf numFmtId="0" fontId="9" fillId="0" borderId="0" xfId="0" applyFont="1" applyBorder="1" applyAlignment="1">
      <alignment horizontal="center"/>
    </xf>
    <xf numFmtId="165" fontId="9" fillId="3" borderId="36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9" fillId="0" borderId="10" xfId="11" applyFont="1" applyBorder="1" applyAlignment="1">
      <alignment horizontal="center"/>
    </xf>
    <xf numFmtId="0" fontId="9" fillId="0" borderId="11" xfId="11" applyFont="1" applyBorder="1" applyAlignment="1">
      <alignment horizont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36" xfId="1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10" fontId="9" fillId="3" borderId="0" xfId="3" applyNumberFormat="1" applyFont="1" applyFill="1" applyBorder="1"/>
    <xf numFmtId="164" fontId="7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right" vertical="center"/>
    </xf>
    <xf numFmtId="10" fontId="7" fillId="0" borderId="0" xfId="3" applyNumberFormat="1" applyFont="1" applyAlignment="1">
      <alignment vertical="center"/>
    </xf>
    <xf numFmtId="173" fontId="7" fillId="0" borderId="0" xfId="3" applyNumberFormat="1" applyFont="1" applyAlignment="1">
      <alignment vertical="center"/>
    </xf>
    <xf numFmtId="165" fontId="7" fillId="0" borderId="36" xfId="1" applyNumberFormat="1" applyFont="1" applyFill="1" applyBorder="1" applyAlignment="1">
      <alignment vertical="center"/>
    </xf>
    <xf numFmtId="10" fontId="9" fillId="3" borderId="36" xfId="3" applyNumberFormat="1" applyFont="1" applyFill="1" applyBorder="1"/>
    <xf numFmtId="165" fontId="7" fillId="0" borderId="36" xfId="1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174" fontId="7" fillId="0" borderId="0" xfId="2" applyNumberFormat="1" applyFont="1" applyAlignment="1">
      <alignment vertical="center"/>
    </xf>
    <xf numFmtId="174" fontId="9" fillId="0" borderId="0" xfId="2" applyNumberFormat="1" applyFont="1" applyFill="1" applyAlignment="1">
      <alignment vertical="center"/>
    </xf>
    <xf numFmtId="175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0" fontId="3" fillId="0" borderId="2" xfId="2" applyNumberFormat="1" applyFont="1" applyBorder="1"/>
    <xf numFmtId="164" fontId="9" fillId="0" borderId="2" xfId="21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7" fontId="9" fillId="0" borderId="0" xfId="0" applyNumberFormat="1" applyFont="1" applyAlignment="1">
      <alignment horizontal="right"/>
    </xf>
    <xf numFmtId="37" fontId="9" fillId="0" borderId="36" xfId="0" applyNumberFormat="1" applyFont="1" applyBorder="1" applyAlignment="1">
      <alignment horizontal="right"/>
    </xf>
    <xf numFmtId="165" fontId="9" fillId="0" borderId="0" xfId="1" applyNumberFormat="1" applyFont="1" applyFill="1" applyBorder="1" applyAlignment="1"/>
    <xf numFmtId="165" fontId="9" fillId="0" borderId="0" xfId="1" applyNumberFormat="1" applyFont="1" applyFill="1"/>
    <xf numFmtId="165" fontId="9" fillId="0" borderId="0" xfId="1" applyNumberFormat="1" applyFont="1" applyFill="1" applyBorder="1" applyAlignment="1">
      <alignment vertical="top"/>
    </xf>
    <xf numFmtId="165" fontId="21" fillId="0" borderId="0" xfId="1" applyNumberFormat="1" applyFont="1" applyFill="1" applyBorder="1" applyAlignment="1">
      <alignment vertical="top"/>
    </xf>
    <xf numFmtId="165" fontId="9" fillId="0" borderId="36" xfId="1" applyNumberFormat="1" applyFont="1" applyFill="1" applyBorder="1" applyAlignment="1">
      <alignment vertical="top"/>
    </xf>
    <xf numFmtId="49" fontId="14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top"/>
    </xf>
    <xf numFmtId="164" fontId="9" fillId="0" borderId="0" xfId="2" applyNumberFormat="1" applyFont="1" applyBorder="1" applyAlignment="1">
      <alignment horizontal="center" vertical="center"/>
    </xf>
    <xf numFmtId="164" fontId="9" fillId="2" borderId="0" xfId="13" applyNumberFormat="1" applyFont="1" applyFill="1" applyAlignment="1" applyProtection="1">
      <alignment vertical="center"/>
      <protection locked="0"/>
    </xf>
    <xf numFmtId="165" fontId="9" fillId="2" borderId="0" xfId="1" applyNumberFormat="1" applyFont="1" applyFill="1" applyBorder="1" applyAlignment="1">
      <alignment horizontal="right" vertical="center"/>
    </xf>
    <xf numFmtId="165" fontId="9" fillId="0" borderId="0" xfId="0" applyNumberFormat="1" applyFont="1" applyAlignment="1">
      <alignment horizontal="center"/>
    </xf>
    <xf numFmtId="170" fontId="9" fillId="0" borderId="0" xfId="11" applyNumberFormat="1" applyFont="1" applyAlignment="1">
      <alignment vertical="center"/>
    </xf>
    <xf numFmtId="164" fontId="9" fillId="0" borderId="2" xfId="0" applyNumberFormat="1" applyFont="1" applyBorder="1" applyAlignment="1">
      <alignment horizont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0" fontId="9" fillId="0" borderId="0" xfId="23" applyNumberFormat="1" applyFont="1" applyAlignment="1">
      <alignment horizontal="right" vertical="center"/>
    </xf>
    <xf numFmtId="10" fontId="9" fillId="0" borderId="2" xfId="23" quotePrefix="1" applyNumberFormat="1" applyFont="1" applyBorder="1" applyAlignment="1">
      <alignment horizontal="right" vertical="center"/>
    </xf>
    <xf numFmtId="164" fontId="9" fillId="0" borderId="2" xfId="2" applyNumberFormat="1" applyFont="1" applyBorder="1" applyAlignment="1">
      <alignment horizontal="right" vertical="center"/>
    </xf>
    <xf numFmtId="164" fontId="9" fillId="2" borderId="36" xfId="13" applyNumberFormat="1" applyFont="1" applyFill="1" applyBorder="1" applyAlignment="1" applyProtection="1">
      <alignment vertical="center"/>
      <protection locked="0"/>
    </xf>
    <xf numFmtId="164" fontId="9" fillId="0" borderId="38" xfId="23" applyNumberFormat="1" applyFont="1" applyBorder="1" applyAlignment="1" applyProtection="1">
      <alignment horizontal="right" vertical="center"/>
      <protection locked="0"/>
    </xf>
    <xf numFmtId="1" fontId="9" fillId="0" borderId="0" xfId="11" applyNumberFormat="1" applyFont="1" applyBorder="1" applyAlignment="1">
      <alignment horizontal="center" vertical="center"/>
    </xf>
    <xf numFmtId="164" fontId="7" fillId="0" borderId="2" xfId="2" applyNumberFormat="1" applyFont="1" applyFill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167" fontId="9" fillId="0" borderId="24" xfId="0" applyNumberFormat="1" applyFont="1" applyBorder="1" applyAlignment="1">
      <alignment horizontal="center" vertical="center"/>
    </xf>
    <xf numFmtId="170" fontId="1" fillId="0" borderId="0" xfId="4" applyNumberFormat="1"/>
    <xf numFmtId="174" fontId="7" fillId="0" borderId="0" xfId="2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1" applyFont="1" applyAlignment="1">
      <alignment horizontal="center" vertical="center"/>
    </xf>
    <xf numFmtId="15" fontId="9" fillId="2" borderId="36" xfId="11" applyNumberFormat="1" applyFont="1" applyFill="1" applyBorder="1" applyAlignment="1">
      <alignment horizontal="center" vertical="center"/>
    </xf>
    <xf numFmtId="164" fontId="9" fillId="3" borderId="0" xfId="2" applyNumberFormat="1" applyFont="1" applyFill="1" applyAlignment="1">
      <alignment vertical="center"/>
    </xf>
    <xf numFmtId="164" fontId="9" fillId="0" borderId="0" xfId="2" applyNumberFormat="1" applyFont="1" applyAlignment="1">
      <alignment vertical="center"/>
    </xf>
    <xf numFmtId="41" fontId="9" fillId="3" borderId="0" xfId="0" applyNumberFormat="1" applyFont="1" applyFill="1" applyAlignment="1">
      <alignment vertical="center"/>
    </xf>
    <xf numFmtId="41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1" fontId="9" fillId="0" borderId="36" xfId="0" applyNumberFormat="1" applyFont="1" applyBorder="1" applyAlignment="1">
      <alignment vertical="center"/>
    </xf>
    <xf numFmtId="164" fontId="14" fillId="0" borderId="0" xfId="2" applyNumberFormat="1" applyFont="1" applyFill="1" applyAlignment="1">
      <alignment horizontal="center" vertical="center"/>
    </xf>
    <xf numFmtId="5" fontId="9" fillId="0" borderId="0" xfId="0" applyNumberFormat="1" applyFont="1" applyAlignment="1">
      <alignment horizontal="center"/>
    </xf>
    <xf numFmtId="164" fontId="9" fillId="4" borderId="0" xfId="2" applyNumberFormat="1" applyFont="1" applyFill="1" applyBorder="1" applyAlignment="1">
      <alignment vertical="center"/>
    </xf>
    <xf numFmtId="164" fontId="9" fillId="0" borderId="2" xfId="2" applyNumberFormat="1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77" fontId="5" fillId="0" borderId="36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78" fontId="9" fillId="0" borderId="0" xfId="2" applyNumberFormat="1" applyFont="1" applyFill="1" applyAlignment="1">
      <alignment vertical="center"/>
    </xf>
    <xf numFmtId="164" fontId="9" fillId="0" borderId="0" xfId="2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5" fillId="0" borderId="19" xfId="2" applyNumberFormat="1" applyFont="1" applyBorder="1" applyAlignment="1">
      <alignment vertical="center"/>
    </xf>
    <xf numFmtId="41" fontId="9" fillId="0" borderId="0" xfId="34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35" applyFont="1" applyAlignment="1">
      <alignment horizontal="center"/>
    </xf>
    <xf numFmtId="0" fontId="5" fillId="0" borderId="3" xfId="0" applyFont="1" applyBorder="1" applyAlignment="1">
      <alignment horizontal="left" vertical="center"/>
    </xf>
    <xf numFmtId="164" fontId="5" fillId="0" borderId="3" xfId="2" applyNumberFormat="1" applyFont="1" applyBorder="1" applyAlignment="1">
      <alignment vertical="center"/>
    </xf>
    <xf numFmtId="165" fontId="9" fillId="0" borderId="3" xfId="1" applyNumberFormat="1" applyFont="1" applyBorder="1" applyAlignment="1">
      <alignment vertical="center"/>
    </xf>
    <xf numFmtId="164" fontId="9" fillId="0" borderId="3" xfId="2" applyNumberFormat="1" applyFont="1" applyBorder="1" applyAlignment="1">
      <alignment horizontal="center" vertical="center"/>
    </xf>
    <xf numFmtId="0" fontId="9" fillId="0" borderId="0" xfId="35" applyFont="1"/>
    <xf numFmtId="0" fontId="14" fillId="0" borderId="0" xfId="35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11" applyFont="1" applyAlignment="1">
      <alignment horizontal="center"/>
    </xf>
    <xf numFmtId="0" fontId="5" fillId="0" borderId="0" xfId="23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0" borderId="0" xfId="11" applyFont="1"/>
    <xf numFmtId="0" fontId="5" fillId="0" borderId="0" xfId="11" quotePrefix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0" borderId="0" xfId="11" applyFont="1"/>
    <xf numFmtId="164" fontId="5" fillId="0" borderId="0" xfId="2" applyNumberFormat="1" applyFont="1" applyAlignment="1">
      <alignment vertical="center"/>
    </xf>
    <xf numFmtId="41" fontId="5" fillId="3" borderId="0" xfId="0" applyNumberFormat="1" applyFont="1" applyFill="1" applyAlignment="1">
      <alignment vertical="center"/>
    </xf>
    <xf numFmtId="41" fontId="5" fillId="0" borderId="0" xfId="0" applyNumberFormat="1" applyFont="1" applyAlignment="1">
      <alignment vertical="center"/>
    </xf>
    <xf numFmtId="164" fontId="9" fillId="0" borderId="0" xfId="2" applyNumberFormat="1" applyFont="1" applyFill="1" applyAlignment="1">
      <alignment horizontal="right" vertical="center"/>
    </xf>
    <xf numFmtId="164" fontId="9" fillId="0" borderId="0" xfId="13" applyNumberFormat="1" applyFont="1" applyAlignment="1">
      <alignment horizontal="right" vertical="center"/>
    </xf>
    <xf numFmtId="168" fontId="5" fillId="2" borderId="0" xfId="20" applyNumberFormat="1" applyFont="1" applyFill="1" applyBorder="1" applyAlignment="1">
      <alignment horizontal="right" vertical="center"/>
    </xf>
    <xf numFmtId="164" fontId="5" fillId="2" borderId="0" xfId="13" applyNumberFormat="1" applyFont="1" applyFill="1" applyBorder="1" applyAlignment="1" applyProtection="1">
      <alignment horizontal="right" vertical="center"/>
    </xf>
    <xf numFmtId="168" fontId="5" fillId="0" borderId="0" xfId="3" applyNumberFormat="1" applyFont="1" applyAlignment="1">
      <alignment horizontal="right" vertical="center"/>
    </xf>
    <xf numFmtId="168" fontId="5" fillId="0" borderId="0" xfId="3" applyNumberFormat="1" applyFont="1" applyFill="1" applyAlignment="1">
      <alignment horizontal="right" vertical="center"/>
    </xf>
    <xf numFmtId="168" fontId="5" fillId="0" borderId="36" xfId="3" applyNumberFormat="1" applyFont="1" applyBorder="1" applyAlignment="1">
      <alignment horizontal="right" vertical="center"/>
    </xf>
    <xf numFmtId="168" fontId="5" fillId="0" borderId="2" xfId="3" applyNumberFormat="1" applyFont="1" applyBorder="1" applyAlignment="1">
      <alignment horizontal="right" vertical="center"/>
    </xf>
    <xf numFmtId="168" fontId="5" fillId="0" borderId="36" xfId="3" applyNumberFormat="1" applyFont="1" applyFill="1" applyBorder="1" applyAlignment="1">
      <alignment vertical="center"/>
    </xf>
    <xf numFmtId="0" fontId="5" fillId="0" borderId="0" xfId="19" applyFont="1" applyAlignment="1">
      <alignment horizontal="center"/>
    </xf>
    <xf numFmtId="0" fontId="5" fillId="0" borderId="0" xfId="19" applyFont="1" applyAlignment="1">
      <alignment horizontal="center" vertical="center"/>
    </xf>
    <xf numFmtId="0" fontId="5" fillId="0" borderId="0" xfId="19" quotePrefix="1" applyFont="1" applyAlignment="1">
      <alignment horizontal="center" vertical="center"/>
    </xf>
    <xf numFmtId="0" fontId="5" fillId="0" borderId="0" xfId="19" quotePrefix="1" applyFont="1" applyAlignment="1">
      <alignment horizontal="center"/>
    </xf>
    <xf numFmtId="0" fontId="9" fillId="0" borderId="0" xfId="11" quotePrefix="1" applyFont="1" applyAlignment="1">
      <alignment horizontal="center" vertical="center"/>
    </xf>
    <xf numFmtId="0" fontId="9" fillId="0" borderId="0" xfId="19" applyFont="1" applyAlignment="1">
      <alignment horizontal="center"/>
    </xf>
    <xf numFmtId="0" fontId="9" fillId="0" borderId="36" xfId="19" applyFont="1" applyBorder="1" applyAlignment="1">
      <alignment horizontal="center"/>
    </xf>
    <xf numFmtId="0" fontId="17" fillId="0" borderId="0" xfId="19" applyFont="1"/>
    <xf numFmtId="0" fontId="9" fillId="0" borderId="0" xfId="36" applyFont="1"/>
    <xf numFmtId="164" fontId="9" fillId="3" borderId="0" xfId="37" applyNumberFormat="1" applyFont="1" applyFill="1" applyAlignment="1">
      <alignment vertical="center"/>
    </xf>
    <xf numFmtId="164" fontId="9" fillId="0" borderId="0" xfId="37" applyNumberFormat="1" applyFont="1"/>
    <xf numFmtId="0" fontId="9" fillId="0" borderId="0" xfId="36" applyFont="1" applyAlignment="1">
      <alignment vertical="center"/>
    </xf>
    <xf numFmtId="168" fontId="9" fillId="2" borderId="36" xfId="24" applyNumberFormat="1" applyFont="1" applyFill="1" applyBorder="1" applyAlignment="1">
      <alignment horizontal="right" vertical="center"/>
    </xf>
    <xf numFmtId="164" fontId="9" fillId="0" borderId="0" xfId="37" applyNumberFormat="1" applyFont="1" applyAlignment="1">
      <alignment horizontal="right" vertical="center"/>
    </xf>
    <xf numFmtId="164" fontId="9" fillId="0" borderId="0" xfId="37" applyNumberFormat="1" applyFont="1" applyBorder="1" applyAlignment="1">
      <alignment horizontal="right" vertical="center"/>
    </xf>
    <xf numFmtId="168" fontId="9" fillId="0" borderId="0" xfId="24" applyNumberFormat="1" applyFont="1" applyAlignment="1">
      <alignment horizontal="right"/>
    </xf>
    <xf numFmtId="43" fontId="5" fillId="0" borderId="0" xfId="36" applyNumberFormat="1" applyFont="1" applyAlignment="1">
      <alignment vertical="center"/>
    </xf>
    <xf numFmtId="164" fontId="9" fillId="0" borderId="0" xfId="37" applyNumberFormat="1" applyFont="1" applyAlignment="1">
      <alignment horizontal="right"/>
    </xf>
    <xf numFmtId="0" fontId="17" fillId="0" borderId="0" xfId="36" applyFont="1"/>
    <xf numFmtId="1" fontId="5" fillId="0" borderId="0" xfId="36" applyNumberFormat="1" applyFont="1" applyAlignment="1">
      <alignment vertical="center"/>
    </xf>
    <xf numFmtId="0" fontId="9" fillId="0" borderId="0" xfId="36" applyFont="1" applyAlignment="1">
      <alignment vertical="top"/>
    </xf>
    <xf numFmtId="169" fontId="5" fillId="0" borderId="0" xfId="19" applyNumberFormat="1" applyFont="1"/>
    <xf numFmtId="168" fontId="9" fillId="0" borderId="0" xfId="23" applyNumberFormat="1" applyFont="1" applyAlignment="1">
      <alignment horizontal="right"/>
    </xf>
    <xf numFmtId="164" fontId="9" fillId="2" borderId="0" xfId="37" applyNumberFormat="1" applyFont="1" applyFill="1" applyBorder="1" applyAlignment="1">
      <alignment vertical="center"/>
    </xf>
    <xf numFmtId="0" fontId="9" fillId="0" borderId="0" xfId="36" applyFont="1" applyAlignment="1">
      <alignment horizontal="center" vertical="top" wrapText="1"/>
    </xf>
    <xf numFmtId="0" fontId="9" fillId="0" borderId="0" xfId="19" applyFont="1" applyAlignment="1">
      <alignment horizontal="left"/>
    </xf>
    <xf numFmtId="179" fontId="9" fillId="3" borderId="0" xfId="38" applyNumberFormat="1" applyFont="1" applyFill="1" applyAlignment="1">
      <alignment vertical="center"/>
    </xf>
    <xf numFmtId="164" fontId="9" fillId="0" borderId="0" xfId="37" applyNumberFormat="1" applyFont="1" applyFill="1" applyAlignment="1">
      <alignment vertical="center"/>
    </xf>
    <xf numFmtId="164" fontId="9" fillId="0" borderId="0" xfId="37" applyNumberFormat="1" applyFont="1" applyFill="1"/>
    <xf numFmtId="165" fontId="9" fillId="0" borderId="0" xfId="38" applyNumberFormat="1" applyFont="1" applyAlignment="1">
      <alignment vertical="center"/>
    </xf>
    <xf numFmtId="165" fontId="9" fillId="3" borderId="0" xfId="1" applyNumberFormat="1" applyFont="1" applyFill="1" applyAlignment="1">
      <alignment vertical="center"/>
    </xf>
    <xf numFmtId="165" fontId="9" fillId="3" borderId="0" xfId="38" applyNumberFormat="1" applyFont="1" applyFill="1" applyAlignment="1">
      <alignment vertical="center"/>
    </xf>
    <xf numFmtId="165" fontId="9" fillId="0" borderId="0" xfId="38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9" fillId="3" borderId="0" xfId="38" applyNumberFormat="1" applyFont="1" applyFill="1" applyBorder="1" applyAlignment="1">
      <alignment vertical="center"/>
    </xf>
    <xf numFmtId="164" fontId="9" fillId="0" borderId="0" xfId="19" applyNumberFormat="1" applyFont="1" applyAlignment="1">
      <alignment vertical="center"/>
    </xf>
    <xf numFmtId="164" fontId="5" fillId="0" borderId="0" xfId="19" applyNumberFormat="1" applyFont="1" applyAlignment="1">
      <alignment vertical="center"/>
    </xf>
    <xf numFmtId="164" fontId="5" fillId="0" borderId="0" xfId="19" applyNumberFormat="1" applyFont="1"/>
    <xf numFmtId="168" fontId="9" fillId="3" borderId="0" xfId="3" applyNumberFormat="1" applyFont="1" applyFill="1" applyAlignment="1">
      <alignment horizontal="right" vertical="center"/>
    </xf>
    <xf numFmtId="165" fontId="9" fillId="0" borderId="36" xfId="1" applyNumberFormat="1" applyFont="1" applyBorder="1" applyAlignment="1">
      <alignment vertical="center"/>
    </xf>
    <xf numFmtId="164" fontId="5" fillId="0" borderId="0" xfId="2" applyNumberFormat="1" applyFont="1" applyBorder="1"/>
    <xf numFmtId="0" fontId="5" fillId="0" borderId="0" xfId="19" applyFont="1"/>
    <xf numFmtId="164" fontId="9" fillId="0" borderId="2" xfId="19" applyNumberFormat="1" applyFont="1" applyBorder="1" applyAlignment="1">
      <alignment horizontal="right" vertical="center"/>
    </xf>
    <xf numFmtId="164" fontId="5" fillId="0" borderId="0" xfId="19" applyNumberFormat="1" applyFont="1" applyAlignment="1">
      <alignment horizontal="right"/>
    </xf>
    <xf numFmtId="44" fontId="5" fillId="0" borderId="0" xfId="19" applyNumberFormat="1" applyFont="1"/>
    <xf numFmtId="0" fontId="33" fillId="0" borderId="0" xfId="19" quotePrefix="1" applyFont="1" applyAlignment="1">
      <alignment horizontal="center" vertical="center"/>
    </xf>
    <xf numFmtId="0" fontId="32" fillId="0" borderId="0" xfId="19" applyFont="1"/>
    <xf numFmtId="0" fontId="32" fillId="0" borderId="0" xfId="0" applyFont="1" applyAlignment="1">
      <alignment horizontal="center" vertical="center"/>
    </xf>
    <xf numFmtId="168" fontId="5" fillId="2" borderId="36" xfId="24" applyNumberFormat="1" applyFont="1" applyFill="1" applyBorder="1" applyAlignment="1">
      <alignment horizontal="right" vertical="center"/>
    </xf>
    <xf numFmtId="171" fontId="5" fillId="0" borderId="39" xfId="1" applyNumberFormat="1" applyFont="1" applyFill="1" applyBorder="1" applyAlignment="1">
      <alignment horizontal="right"/>
    </xf>
    <xf numFmtId="171" fontId="5" fillId="0" borderId="1" xfId="1" applyNumberFormat="1" applyFont="1" applyFill="1" applyBorder="1" applyAlignment="1">
      <alignment horizontal="right"/>
    </xf>
    <xf numFmtId="164" fontId="9" fillId="0" borderId="37" xfId="23" applyNumberFormat="1" applyFont="1" applyBorder="1" applyAlignment="1" applyProtection="1">
      <alignment horizontal="right" vertical="center"/>
      <protection locked="0"/>
    </xf>
    <xf numFmtId="0" fontId="5" fillId="0" borderId="0" xfId="0" quotePrefix="1" applyFont="1" applyAlignment="1">
      <alignment horizontal="center"/>
    </xf>
    <xf numFmtId="164" fontId="5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164" fontId="9" fillId="0" borderId="21" xfId="2" applyNumberFormat="1" applyFont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80" fontId="1" fillId="0" borderId="0" xfId="1" applyNumberFormat="1"/>
    <xf numFmtId="164" fontId="7" fillId="0" borderId="0" xfId="2" applyNumberFormat="1" applyFont="1" applyFill="1" applyBorder="1" applyAlignment="1">
      <alignment vertical="center"/>
    </xf>
    <xf numFmtId="165" fontId="5" fillId="0" borderId="16" xfId="1" applyNumberFormat="1" applyFont="1" applyFill="1" applyBorder="1" applyAlignment="1">
      <alignment vertical="center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2" fontId="5" fillId="2" borderId="0" xfId="23" applyNumberFormat="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23" applyFont="1" applyAlignment="1">
      <alignment horizontal="center"/>
    </xf>
    <xf numFmtId="0" fontId="5" fillId="0" borderId="0" xfId="23" applyFont="1" applyAlignment="1" applyProtection="1">
      <alignment horizontal="center"/>
      <protection locked="0"/>
    </xf>
    <xf numFmtId="0" fontId="5" fillId="0" borderId="0" xfId="19" applyFont="1" applyAlignment="1">
      <alignment horizontal="center"/>
    </xf>
    <xf numFmtId="2" fontId="5" fillId="2" borderId="0" xfId="19" applyNumberFormat="1" applyFont="1" applyFill="1" applyAlignment="1">
      <alignment horizontal="center"/>
    </xf>
    <xf numFmtId="0" fontId="5" fillId="0" borderId="0" xfId="19" quotePrefix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11" applyFont="1"/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39">
    <cellStyle name="Comma" xfId="1" builtinId="3"/>
    <cellStyle name="Comma [0]" xfId="34" builtinId="6"/>
    <cellStyle name="Comma 2" xfId="9" xr:uid="{E218AF85-C6C9-44D7-9826-DAAE82C52D81}"/>
    <cellStyle name="Comma 2 10 2" xfId="29" xr:uid="{1A440B24-83E7-48A9-BF3F-43DED02E8437}"/>
    <cellStyle name="Comma 2 2" xfId="14" xr:uid="{AF071F67-3B0C-4EA1-BB2D-77CA586E1771}"/>
    <cellStyle name="Comma 4" xfId="6" xr:uid="{B22F5E81-ABE4-4EEE-9861-61D4A72D0EC8}"/>
    <cellStyle name="Comma 79" xfId="22" xr:uid="{70FD1783-1E2A-4A0C-8E08-8B8328F1C457}"/>
    <cellStyle name="Comma 81" xfId="38" xr:uid="{1B45014A-97EA-447A-BDBA-C4E0121279D6}"/>
    <cellStyle name="Currency" xfId="2" builtinId="4"/>
    <cellStyle name="Currency 2" xfId="7" xr:uid="{2FB3A6EC-A591-418E-AE53-135728C8FF55}"/>
    <cellStyle name="Currency 2 2" xfId="13" xr:uid="{BE5CA40B-4EF2-46C0-ACCA-0BF3AC0AF312}"/>
    <cellStyle name="Currency 30" xfId="37" xr:uid="{408B0A0A-B81E-44AB-8E65-E28A65C9135F}"/>
    <cellStyle name="Currency 4" xfId="5" xr:uid="{0A571740-701C-4662-8164-0257FFEF0B5F}"/>
    <cellStyle name="Currency 4 3" xfId="21" xr:uid="{9B1E9624-E95D-4E37-A9D6-EFEB828EBEA8}"/>
    <cellStyle name="Normal" xfId="0" builtinId="0"/>
    <cellStyle name="Normal 10 18" xfId="26" xr:uid="{28E62634-0252-4126-95EF-F50304483256}"/>
    <cellStyle name="Normal 12 3" xfId="35" xr:uid="{F57775A4-F002-494C-8F9A-D8F4A8DA16D4}"/>
    <cellStyle name="Normal 12 4" xfId="32" xr:uid="{E01B4A8D-A77C-4E1B-B7FA-765F95B4B0B3}"/>
    <cellStyle name="Normal 2" xfId="11" xr:uid="{CF6AB890-B773-46E7-BCE6-08FB6AEB0DA0}"/>
    <cellStyle name="Normal 2 2 2" xfId="17" xr:uid="{92A4FFDA-8860-4BAD-9EAB-44F0DE9FCFF8}"/>
    <cellStyle name="Normal 2 2 2 2" xfId="25" xr:uid="{32CDF306-7647-4DCA-AE08-C65B8D466C60}"/>
    <cellStyle name="Normal 2 2 6" xfId="27" xr:uid="{CCAFE435-1243-4CED-981B-645B00CA3137}"/>
    <cellStyle name="Normal 29" xfId="19" xr:uid="{6A52BBCB-32F0-4AFA-B971-925038B08277}"/>
    <cellStyle name="Normal 29 2" xfId="36" xr:uid="{D0AD0B4D-E989-40F3-8569-F0EEF1C74A4D}"/>
    <cellStyle name="Normal 3 2" xfId="18" xr:uid="{03100693-46EF-4B5B-9F9D-D6D3C25C0406}"/>
    <cellStyle name="Normal 3 2 2" xfId="28" xr:uid="{69ED09F3-8154-4E45-BE4C-534C12218F5F}"/>
    <cellStyle name="Normal 4" xfId="4" xr:uid="{43D116BF-F776-4CC1-8D01-7D68022FBD06}"/>
    <cellStyle name="Normal 72" xfId="33" xr:uid="{CEB114C6-1808-46DE-9448-99DA392C50BD}"/>
    <cellStyle name="Normal 8" xfId="12" xr:uid="{58534AD9-7916-478A-A9F1-0462037A1FEC}"/>
    <cellStyle name="Normal 9" xfId="8" xr:uid="{93A86AC0-49E3-4B08-85E9-0569D134CF47}"/>
    <cellStyle name="Normal 9 6" xfId="31" xr:uid="{1BD78D70-AA43-4588-A83F-7E19D6F844BC}"/>
    <cellStyle name="Normal_A&amp;gallc1999" xfId="16" xr:uid="{2FFB1A0F-1F23-429E-960E-C59C7E6D56EA}"/>
    <cellStyle name="Normal_Statement BK (2008)" xfId="23" xr:uid="{CAC8C099-7813-48D2-880B-DED03A5BA36E}"/>
    <cellStyle name="Percent" xfId="3" builtinId="5"/>
    <cellStyle name="Percent 10" xfId="24" xr:uid="{B490E828-D192-4B31-8202-A310DC6CA985}"/>
    <cellStyle name="Percent 2" xfId="10" xr:uid="{68EB3EBF-0DBC-4DCD-9C99-F0A5ACE39AE1}"/>
    <cellStyle name="Percent 2 2 2 5" xfId="30" xr:uid="{7D4F2786-915E-414B-845A-E96F963CFB53}"/>
    <cellStyle name="Percent 2 2 7" xfId="20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2BA08D4A-A0DB-4B2E-9EB2-55A026BC4F2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1E751C44-6C52-4F89-A527-FD384B936B7D}"/>
            </a:ext>
          </a:extLst>
        </xdr:cNvPr>
        <xdr:cNvSpPr>
          <a:spLocks noChangeShapeType="1"/>
        </xdr:cNvSpPr>
      </xdr:nvSpPr>
      <xdr:spPr bwMode="auto">
        <a:xfrm>
          <a:off x="1898652" y="180784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B0587497-528D-4276-B928-2B831E9AF2FE}"/>
            </a:ext>
          </a:extLst>
        </xdr:cNvPr>
        <xdr:cNvSpPr>
          <a:spLocks noChangeShapeType="1"/>
        </xdr:cNvSpPr>
      </xdr:nvSpPr>
      <xdr:spPr bwMode="auto">
        <a:xfrm>
          <a:off x="1755780" y="20416837"/>
          <a:ext cx="2880994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9F568E25-5F73-4787-B797-ADACBD58443F}"/>
            </a:ext>
          </a:extLst>
        </xdr:cNvPr>
        <xdr:cNvSpPr>
          <a:spLocks noChangeShapeType="1"/>
        </xdr:cNvSpPr>
      </xdr:nvSpPr>
      <xdr:spPr bwMode="auto">
        <a:xfrm>
          <a:off x="1898652" y="26998613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7F8A05FF-FDB3-45CC-8BBD-0D552E185006}"/>
            </a:ext>
          </a:extLst>
        </xdr:cNvPr>
        <xdr:cNvSpPr>
          <a:spLocks noChangeShapeType="1"/>
        </xdr:cNvSpPr>
      </xdr:nvSpPr>
      <xdr:spPr bwMode="auto">
        <a:xfrm>
          <a:off x="1898652" y="26998613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150</xdr:row>
      <xdr:rowOff>-1</xdr:rowOff>
    </xdr:from>
    <xdr:to>
      <xdr:col>2</xdr:col>
      <xdr:colOff>312424</xdr:colOff>
      <xdr:row>150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2586C438-5324-411A-B048-DCE98F9301B9}"/>
            </a:ext>
          </a:extLst>
        </xdr:cNvPr>
        <xdr:cNvSpPr>
          <a:spLocks noChangeShapeType="1"/>
        </xdr:cNvSpPr>
      </xdr:nvSpPr>
      <xdr:spPr bwMode="auto">
        <a:xfrm>
          <a:off x="1755780" y="29332237"/>
          <a:ext cx="2880994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B924C81-D263-470B-989F-31F8332D017A}"/>
            </a:ext>
          </a:extLst>
        </xdr:cNvPr>
        <xdr:cNvSpPr>
          <a:spLocks noChangeShapeType="1"/>
        </xdr:cNvSpPr>
      </xdr:nvSpPr>
      <xdr:spPr bwMode="auto">
        <a:xfrm>
          <a:off x="1887539" y="18418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B62B6CC-D9CD-409C-B0C5-FF9FEE9ACF30}"/>
            </a:ext>
          </a:extLst>
        </xdr:cNvPr>
        <xdr:cNvSpPr>
          <a:spLocks noChangeShapeType="1"/>
        </xdr:cNvSpPr>
      </xdr:nvSpPr>
      <xdr:spPr bwMode="auto">
        <a:xfrm>
          <a:off x="1741492" y="20812124"/>
          <a:ext cx="2793682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3F2F556-FF9E-4725-AAA3-6C6A48A5DF7E}"/>
            </a:ext>
          </a:extLst>
        </xdr:cNvPr>
        <xdr:cNvSpPr>
          <a:spLocks noChangeShapeType="1"/>
        </xdr:cNvSpPr>
      </xdr:nvSpPr>
      <xdr:spPr bwMode="auto">
        <a:xfrm>
          <a:off x="188753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E3D22D9-3A12-46D1-9ADF-832A3B447E25}"/>
            </a:ext>
          </a:extLst>
        </xdr:cNvPr>
        <xdr:cNvSpPr>
          <a:spLocks noChangeShapeType="1"/>
        </xdr:cNvSpPr>
      </xdr:nvSpPr>
      <xdr:spPr bwMode="auto">
        <a:xfrm>
          <a:off x="188753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FADF524A-D397-496A-AE9A-8F3326675F4E}"/>
            </a:ext>
          </a:extLst>
        </xdr:cNvPr>
        <xdr:cNvSpPr>
          <a:spLocks noChangeShapeType="1"/>
        </xdr:cNvSpPr>
      </xdr:nvSpPr>
      <xdr:spPr bwMode="auto">
        <a:xfrm>
          <a:off x="1741492" y="29937074"/>
          <a:ext cx="2793682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21875" defaultRowHeight="14.4" x14ac:dyDescent="0.3"/>
  <cols>
    <col min="1" max="1" width="4.77734375" style="1" bestFit="1" customWidth="1"/>
    <col min="2" max="2" width="71.5546875" style="1" customWidth="1"/>
    <col min="3" max="3" width="1.5546875" style="1" customWidth="1"/>
    <col min="4" max="4" width="20.77734375" style="1" customWidth="1"/>
    <col min="5" max="5" width="1.5546875" style="1" customWidth="1"/>
    <col min="6" max="6" width="40.5546875" style="1" customWidth="1"/>
    <col min="7" max="7" width="4.77734375" style="1" customWidth="1"/>
    <col min="8" max="8" width="21.21875" style="1" customWidth="1"/>
    <col min="9" max="16384" width="9.21875" style="1"/>
  </cols>
  <sheetData>
    <row r="2" spans="1:8" ht="17.399999999999999" x14ac:dyDescent="0.3">
      <c r="B2" s="2" t="s">
        <v>0</v>
      </c>
      <c r="C2" s="2"/>
      <c r="D2" s="3"/>
      <c r="E2" s="3"/>
      <c r="F2" s="3"/>
    </row>
    <row r="3" spans="1:8" ht="17.399999999999999" x14ac:dyDescent="0.3">
      <c r="B3" s="216" t="s">
        <v>394</v>
      </c>
      <c r="C3" s="2"/>
      <c r="D3" s="3"/>
      <c r="E3" s="3"/>
      <c r="F3" s="3"/>
    </row>
    <row r="4" spans="1:8" ht="17.399999999999999" x14ac:dyDescent="0.3">
      <c r="B4" s="804" t="s">
        <v>545</v>
      </c>
      <c r="C4" s="804"/>
      <c r="D4" s="804"/>
      <c r="E4" s="804"/>
      <c r="F4" s="804"/>
    </row>
    <row r="5" spans="1:8" ht="17.399999999999999" x14ac:dyDescent="0.3">
      <c r="B5" s="218" t="s">
        <v>508</v>
      </c>
      <c r="C5" s="2"/>
      <c r="D5" s="2"/>
      <c r="E5" s="2"/>
      <c r="F5" s="2"/>
    </row>
    <row r="6" spans="1:8" ht="15.6" x14ac:dyDescent="0.3">
      <c r="B6" s="803" t="s">
        <v>1</v>
      </c>
      <c r="C6" s="803"/>
      <c r="D6" s="803"/>
      <c r="E6" s="803"/>
      <c r="F6" s="803"/>
      <c r="G6" s="4"/>
      <c r="H6" s="4"/>
    </row>
    <row r="7" spans="1:8" ht="15.6" x14ac:dyDescent="0.3">
      <c r="B7" s="5"/>
      <c r="C7" s="5"/>
      <c r="D7" s="6"/>
      <c r="E7" s="7"/>
      <c r="F7" s="5"/>
      <c r="G7" s="5"/>
    </row>
    <row r="8" spans="1:8" ht="15.6" x14ac:dyDescent="0.3">
      <c r="A8" s="8" t="s">
        <v>2</v>
      </c>
      <c r="G8" s="8" t="s">
        <v>2</v>
      </c>
    </row>
    <row r="9" spans="1:8" ht="15.6" x14ac:dyDescent="0.3">
      <c r="A9" s="11" t="s">
        <v>6</v>
      </c>
      <c r="B9" s="9" t="s">
        <v>3</v>
      </c>
      <c r="C9" s="9"/>
      <c r="D9" s="9" t="s">
        <v>4</v>
      </c>
      <c r="E9" s="10"/>
      <c r="F9" s="9" t="s">
        <v>5</v>
      </c>
      <c r="G9" s="11" t="s">
        <v>6</v>
      </c>
    </row>
    <row r="10" spans="1:8" ht="15.6" x14ac:dyDescent="0.3">
      <c r="A10" s="620"/>
      <c r="B10" s="5"/>
      <c r="C10" s="5"/>
      <c r="D10" s="12"/>
      <c r="E10" s="12"/>
      <c r="F10" s="12"/>
      <c r="G10" s="620"/>
    </row>
    <row r="11" spans="1:8" ht="15.6" x14ac:dyDescent="0.3">
      <c r="A11" s="8">
        <v>1</v>
      </c>
      <c r="B11" s="7" t="s">
        <v>509</v>
      </c>
      <c r="C11" s="7"/>
      <c r="D11" s="12"/>
      <c r="E11" s="12"/>
      <c r="F11" s="12"/>
      <c r="G11" s="8">
        <v>1</v>
      </c>
    </row>
    <row r="12" spans="1:8" ht="15.6" x14ac:dyDescent="0.3">
      <c r="A12" s="8">
        <f>A11+1</f>
        <v>2</v>
      </c>
      <c r="B12" s="7"/>
      <c r="C12" s="7"/>
      <c r="D12" s="12"/>
      <c r="E12" s="12"/>
      <c r="F12" s="12"/>
      <c r="G12" s="8">
        <f>G11+1</f>
        <v>2</v>
      </c>
    </row>
    <row r="13" spans="1:8" ht="31.2" x14ac:dyDescent="0.3">
      <c r="A13" s="41">
        <f>A12+1</f>
        <v>3</v>
      </c>
      <c r="B13" s="222" t="s">
        <v>215</v>
      </c>
      <c r="C13" s="13"/>
      <c r="D13" s="14">
        <f>'Pg2 Appendix XII C4 Comparison'!G28</f>
        <v>-0.10169291943930148</v>
      </c>
      <c r="E13" s="14"/>
      <c r="F13" s="12" t="s">
        <v>395</v>
      </c>
      <c r="G13" s="41">
        <f>G12+1</f>
        <v>3</v>
      </c>
    </row>
    <row r="14" spans="1:8" ht="15.6" x14ac:dyDescent="0.3">
      <c r="A14" s="8">
        <f t="shared" ref="A14:A21" si="0">A13+1</f>
        <v>4</v>
      </c>
      <c r="B14" s="5"/>
      <c r="C14" s="12"/>
      <c r="D14" s="14"/>
      <c r="E14" s="14"/>
      <c r="F14" s="12"/>
      <c r="G14" s="8">
        <f t="shared" ref="G14:G21" si="1">G13+1</f>
        <v>4</v>
      </c>
    </row>
    <row r="15" spans="1:8" ht="15.6" x14ac:dyDescent="0.3">
      <c r="A15" s="8">
        <f t="shared" si="0"/>
        <v>5</v>
      </c>
      <c r="B15" s="5" t="s">
        <v>8</v>
      </c>
      <c r="C15" s="12"/>
      <c r="D15" s="15">
        <f>'Pg15 Appendix XII C4 Int Calc'!G66</f>
        <v>-1.0830460883766733E-2</v>
      </c>
      <c r="E15" s="16"/>
      <c r="F15" s="12" t="s">
        <v>642</v>
      </c>
      <c r="G15" s="8">
        <f t="shared" si="1"/>
        <v>5</v>
      </c>
    </row>
    <row r="16" spans="1:8" ht="15.6" x14ac:dyDescent="0.3">
      <c r="A16" s="8">
        <f t="shared" si="0"/>
        <v>6</v>
      </c>
      <c r="B16" s="5"/>
      <c r="C16" s="12"/>
      <c r="D16" s="17"/>
      <c r="E16" s="17"/>
      <c r="F16" s="12"/>
      <c r="G16" s="8">
        <f t="shared" si="1"/>
        <v>6</v>
      </c>
    </row>
    <row r="17" spans="1:8" ht="15.6" x14ac:dyDescent="0.3">
      <c r="A17" s="8">
        <f t="shared" si="0"/>
        <v>7</v>
      </c>
      <c r="B17" s="618" t="s">
        <v>230</v>
      </c>
      <c r="C17" s="10"/>
      <c r="D17" s="619">
        <f>D13+D15</f>
        <v>-0.11252338032306822</v>
      </c>
      <c r="E17" s="14"/>
      <c r="F17" s="12" t="s">
        <v>388</v>
      </c>
      <c r="G17" s="8">
        <f t="shared" si="1"/>
        <v>7</v>
      </c>
      <c r="H17" s="800"/>
    </row>
    <row r="18" spans="1:8" ht="15.6" x14ac:dyDescent="0.3">
      <c r="A18" s="8">
        <f t="shared" si="0"/>
        <v>8</v>
      </c>
      <c r="B18" s="5"/>
      <c r="C18" s="12"/>
      <c r="D18" s="217"/>
      <c r="E18" s="5"/>
      <c r="F18" s="5"/>
      <c r="G18" s="8">
        <f t="shared" si="1"/>
        <v>8</v>
      </c>
    </row>
    <row r="19" spans="1:8" ht="15.6" x14ac:dyDescent="0.3">
      <c r="A19" s="8">
        <f t="shared" si="0"/>
        <v>9</v>
      </c>
      <c r="B19" s="343" t="s">
        <v>229</v>
      </c>
      <c r="C19" s="12"/>
      <c r="D19" s="540">
        <v>12</v>
      </c>
      <c r="E19" s="5"/>
      <c r="F19" s="5"/>
      <c r="G19" s="8">
        <f t="shared" si="1"/>
        <v>9</v>
      </c>
    </row>
    <row r="20" spans="1:8" ht="15.6" x14ac:dyDescent="0.3">
      <c r="A20" s="8">
        <f t="shared" si="0"/>
        <v>10</v>
      </c>
      <c r="B20" s="5"/>
      <c r="C20" s="12"/>
      <c r="D20" s="217"/>
      <c r="E20" s="5"/>
      <c r="F20" s="5"/>
      <c r="G20" s="8">
        <f t="shared" si="1"/>
        <v>10</v>
      </c>
    </row>
    <row r="21" spans="1:8" ht="16.2" thickBot="1" x14ac:dyDescent="0.35">
      <c r="A21" s="8">
        <f t="shared" si="0"/>
        <v>11</v>
      </c>
      <c r="B21" s="618" t="s">
        <v>341</v>
      </c>
      <c r="C21" s="5"/>
      <c r="D21" s="651">
        <f>D17/12</f>
        <v>-9.3769483602556842E-3</v>
      </c>
      <c r="E21" s="5"/>
      <c r="F21" s="12" t="s">
        <v>389</v>
      </c>
      <c r="G21" s="8">
        <f t="shared" si="1"/>
        <v>11</v>
      </c>
      <c r="H21" s="681"/>
    </row>
    <row r="22" spans="1:8" ht="16.2" thickTop="1" x14ac:dyDescent="0.3">
      <c r="A22" s="8"/>
      <c r="B22" s="219"/>
      <c r="C22" s="5"/>
      <c r="D22" s="539"/>
      <c r="E22" s="5"/>
      <c r="F22" s="5"/>
      <c r="G22" s="5"/>
    </row>
    <row r="23" spans="1:8" ht="15.6" x14ac:dyDescent="0.3">
      <c r="B23" s="5"/>
      <c r="C23" s="5"/>
      <c r="D23" s="5"/>
      <c r="E23" s="5"/>
      <c r="F23" s="5"/>
      <c r="G23" s="5"/>
    </row>
    <row r="24" spans="1:8" ht="17.399999999999999" x14ac:dyDescent="0.3">
      <c r="A24" s="18">
        <v>1</v>
      </c>
      <c r="B24" s="19" t="s">
        <v>342</v>
      </c>
      <c r="C24" s="5"/>
      <c r="D24" s="5"/>
      <c r="E24" s="5"/>
      <c r="F24" s="5"/>
      <c r="G24" s="5"/>
    </row>
    <row r="25" spans="1:8" ht="15.6" x14ac:dyDescent="0.3">
      <c r="B25" s="19" t="s">
        <v>559</v>
      </c>
      <c r="C25" s="5"/>
      <c r="D25" s="5"/>
      <c r="E25" s="5"/>
      <c r="F25" s="5"/>
      <c r="G25" s="5"/>
    </row>
    <row r="26" spans="1:8" ht="15.6" x14ac:dyDescent="0.3">
      <c r="B26" s="5" t="s">
        <v>655</v>
      </c>
      <c r="C26" s="5"/>
      <c r="D26" s="5"/>
      <c r="E26" s="5"/>
      <c r="F26" s="5"/>
      <c r="G26" s="5"/>
    </row>
    <row r="27" spans="1:8" ht="15.6" x14ac:dyDescent="0.3">
      <c r="B27" s="5"/>
      <c r="C27" s="5"/>
      <c r="D27" s="5"/>
      <c r="E27" s="5"/>
      <c r="F27" s="5"/>
      <c r="G27" s="5"/>
    </row>
    <row r="28" spans="1:8" ht="15.6" x14ac:dyDescent="0.3">
      <c r="B28" s="5"/>
      <c r="C28" s="5"/>
      <c r="D28" s="5"/>
      <c r="E28" s="5"/>
      <c r="F28" s="5"/>
      <c r="G28" s="5"/>
    </row>
    <row r="29" spans="1:8" ht="17.399999999999999" x14ac:dyDescent="0.3">
      <c r="A29" s="18"/>
      <c r="B29" s="5"/>
      <c r="C29" s="5"/>
      <c r="D29" s="5"/>
      <c r="E29" s="5"/>
      <c r="F29" s="5"/>
      <c r="G29" s="5"/>
    </row>
    <row r="30" spans="1:8" ht="15.6" x14ac:dyDescent="0.3">
      <c r="B30" s="5"/>
      <c r="C30" s="5"/>
      <c r="D30" s="5"/>
      <c r="E30" s="5"/>
      <c r="F30" s="5"/>
      <c r="G30" s="5"/>
    </row>
    <row r="31" spans="1:8" ht="15.6" x14ac:dyDescent="0.3">
      <c r="B31" s="5"/>
      <c r="C31" s="5"/>
      <c r="D31" s="5"/>
      <c r="E31" s="5"/>
      <c r="F31" s="5"/>
      <c r="G31" s="5"/>
    </row>
    <row r="32" spans="1:8" ht="15.6" x14ac:dyDescent="0.3">
      <c r="B32" s="5"/>
      <c r="C32" s="5"/>
      <c r="D32" s="5"/>
      <c r="E32" s="5"/>
      <c r="F32" s="5"/>
      <c r="G32" s="5"/>
    </row>
    <row r="33" spans="2:7" ht="15.6" x14ac:dyDescent="0.3">
      <c r="B33" s="5"/>
      <c r="C33" s="5"/>
      <c r="D33" s="5"/>
      <c r="E33" s="5"/>
      <c r="F33" s="5"/>
      <c r="G33" s="5"/>
    </row>
    <row r="34" spans="2:7" ht="15.6" x14ac:dyDescent="0.3">
      <c r="B34" s="5"/>
      <c r="C34" s="5"/>
      <c r="D34" s="5"/>
      <c r="E34" s="5"/>
      <c r="F34" s="5"/>
      <c r="G34" s="5"/>
    </row>
    <row r="35" spans="2:7" ht="15.6" x14ac:dyDescent="0.3">
      <c r="B35" s="5"/>
      <c r="C35" s="5"/>
      <c r="D35" s="5"/>
      <c r="E35" s="5"/>
      <c r="F35" s="5"/>
      <c r="G35" s="5"/>
    </row>
    <row r="36" spans="2:7" ht="15.6" x14ac:dyDescent="0.3">
      <c r="B36" s="5"/>
      <c r="C36" s="5"/>
      <c r="D36" s="5"/>
      <c r="E36" s="5"/>
      <c r="F36" s="5"/>
      <c r="G36" s="5"/>
    </row>
    <row r="37" spans="2:7" ht="15.6" x14ac:dyDescent="0.3">
      <c r="B37" s="5"/>
      <c r="C37" s="5"/>
      <c r="D37" s="5"/>
      <c r="E37" s="5"/>
      <c r="F37" s="5"/>
      <c r="G37" s="5"/>
    </row>
    <row r="38" spans="2:7" ht="15.6" x14ac:dyDescent="0.3">
      <c r="B38" s="5"/>
      <c r="C38" s="5"/>
      <c r="D38" s="5"/>
      <c r="E38" s="5"/>
      <c r="F38" s="5"/>
      <c r="G38" s="5"/>
    </row>
    <row r="39" spans="2:7" ht="15.6" x14ac:dyDescent="0.3">
      <c r="B39" s="5"/>
      <c r="C39" s="5"/>
      <c r="D39" s="5"/>
      <c r="E39" s="5"/>
      <c r="F39" s="5"/>
      <c r="G39" s="5"/>
    </row>
    <row r="40" spans="2:7" ht="15.6" x14ac:dyDescent="0.3">
      <c r="B40" s="5"/>
      <c r="C40" s="5"/>
      <c r="D40" s="5"/>
      <c r="E40" s="5"/>
      <c r="F40" s="5"/>
      <c r="G40" s="5"/>
    </row>
    <row r="41" spans="2:7" ht="15.6" x14ac:dyDescent="0.3">
      <c r="B41" s="5"/>
      <c r="C41" s="5"/>
      <c r="D41" s="5"/>
      <c r="E41" s="5"/>
      <c r="F41" s="5"/>
      <c r="G41" s="5"/>
    </row>
  </sheetData>
  <mergeCells count="2">
    <mergeCell ref="B6:F6"/>
    <mergeCell ref="B4:F4"/>
  </mergeCells>
  <printOptions horizontalCentered="1"/>
  <pageMargins left="0.5" right="0.5" top="0.5" bottom="0.5" header="0.25" footer="0.25"/>
  <pageSetup scale="65" orientation="portrait" r:id="rId1"/>
  <headerFooter scaleWithDoc="0" alignWithMargins="0">
    <oddFooter>&amp;CPage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B6FEB-61CE-4B27-8997-5D4B8A298CD3}">
  <sheetPr>
    <pageSetUpPr fitToPage="1"/>
  </sheetPr>
  <dimension ref="A1:N29"/>
  <sheetViews>
    <sheetView zoomScale="80" zoomScaleNormal="80" workbookViewId="0"/>
  </sheetViews>
  <sheetFormatPr defaultColWidth="9.109375" defaultRowHeight="15.6" x14ac:dyDescent="0.3"/>
  <cols>
    <col min="1" max="1" width="5.109375" style="41" customWidth="1"/>
    <col min="2" max="2" width="56" style="42" customWidth="1"/>
    <col min="3" max="3" width="24" style="42" customWidth="1"/>
    <col min="4" max="4" width="1.6640625" style="42" customWidth="1"/>
    <col min="5" max="5" width="16.77734375" style="42" customWidth="1"/>
    <col min="6" max="6" width="1.6640625" style="42" customWidth="1"/>
    <col min="7" max="7" width="16.77734375" style="42" customWidth="1"/>
    <col min="8" max="8" width="1.6640625" style="42" customWidth="1"/>
    <col min="9" max="9" width="17.77734375" style="42" bestFit="1" customWidth="1"/>
    <col min="10" max="10" width="1.6640625" style="42" customWidth="1"/>
    <col min="11" max="11" width="39.33203125" style="42" bestFit="1" customWidth="1"/>
    <col min="12" max="12" width="5.109375" style="42" customWidth="1"/>
    <col min="13" max="13" width="9.109375" style="42"/>
    <col min="14" max="14" width="20.33203125" style="42" bestFit="1" customWidth="1"/>
    <col min="15" max="16384" width="9.109375" style="42"/>
  </cols>
  <sheetData>
    <row r="1" spans="1:14" x14ac:dyDescent="0.3">
      <c r="A1" s="718" t="s">
        <v>614</v>
      </c>
    </row>
    <row r="2" spans="1:14" x14ac:dyDescent="0.3">
      <c r="H2" s="41"/>
      <c r="I2" s="41"/>
      <c r="J2" s="41"/>
      <c r="K2" s="41"/>
      <c r="L2" s="41"/>
    </row>
    <row r="3" spans="1:14" x14ac:dyDescent="0.3">
      <c r="B3" s="815" t="s">
        <v>24</v>
      </c>
      <c r="C3" s="815"/>
      <c r="D3" s="815"/>
      <c r="E3" s="815"/>
      <c r="F3" s="815"/>
      <c r="G3" s="815"/>
      <c r="H3" s="815"/>
      <c r="I3" s="815"/>
      <c r="J3" s="815"/>
      <c r="K3" s="815"/>
      <c r="L3" s="41"/>
    </row>
    <row r="4" spans="1:14" ht="18" x14ac:dyDescent="0.3">
      <c r="B4" s="815" t="s">
        <v>562</v>
      </c>
      <c r="C4" s="815"/>
      <c r="D4" s="815"/>
      <c r="E4" s="815"/>
      <c r="F4" s="815"/>
      <c r="G4" s="815"/>
      <c r="H4" s="815"/>
      <c r="I4" s="815"/>
      <c r="J4" s="815"/>
      <c r="K4" s="815"/>
      <c r="L4" s="41"/>
    </row>
    <row r="5" spans="1:14" x14ac:dyDescent="0.3">
      <c r="B5" s="815" t="s">
        <v>563</v>
      </c>
      <c r="C5" s="815"/>
      <c r="D5" s="815"/>
      <c r="E5" s="815"/>
      <c r="F5" s="815"/>
      <c r="G5" s="815"/>
      <c r="H5" s="815"/>
      <c r="I5" s="815"/>
      <c r="J5" s="815"/>
      <c r="K5" s="815"/>
      <c r="L5" s="41"/>
    </row>
    <row r="6" spans="1:14" x14ac:dyDescent="0.3">
      <c r="B6" s="816" t="s">
        <v>544</v>
      </c>
      <c r="C6" s="816"/>
      <c r="D6" s="816"/>
      <c r="E6" s="816"/>
      <c r="F6" s="816"/>
      <c r="G6" s="816"/>
      <c r="H6" s="816"/>
      <c r="I6" s="816"/>
      <c r="J6" s="816"/>
      <c r="K6" s="816"/>
      <c r="L6" s="41"/>
    </row>
    <row r="7" spans="1:14" x14ac:dyDescent="0.3">
      <c r="B7" s="817" t="s">
        <v>1</v>
      </c>
      <c r="C7" s="818"/>
      <c r="D7" s="818"/>
      <c r="E7" s="818"/>
      <c r="F7" s="818"/>
      <c r="G7" s="818"/>
      <c r="H7" s="818"/>
      <c r="I7" s="818"/>
      <c r="J7" s="818"/>
      <c r="K7" s="818"/>
      <c r="L7" s="41"/>
    </row>
    <row r="8" spans="1:14" x14ac:dyDescent="0.3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4" x14ac:dyDescent="0.3">
      <c r="A9" s="41" t="s">
        <v>2</v>
      </c>
      <c r="B9" s="683"/>
      <c r="C9" s="41" t="s">
        <v>27</v>
      </c>
      <c r="D9" s="683"/>
      <c r="E9" s="72" t="s">
        <v>10</v>
      </c>
      <c r="F9" s="41"/>
      <c r="G9" s="72" t="s">
        <v>56</v>
      </c>
      <c r="H9" s="41"/>
      <c r="I9" s="72" t="s">
        <v>564</v>
      </c>
      <c r="J9" s="41"/>
      <c r="K9" s="41"/>
      <c r="L9" s="41" t="s">
        <v>2</v>
      </c>
    </row>
    <row r="10" spans="1:14" x14ac:dyDescent="0.3">
      <c r="A10" s="41" t="s">
        <v>6</v>
      </c>
      <c r="C10" s="463" t="s">
        <v>28</v>
      </c>
      <c r="E10" s="687" t="s">
        <v>605</v>
      </c>
      <c r="F10" s="686"/>
      <c r="G10" s="687" t="s">
        <v>606</v>
      </c>
      <c r="H10" s="683"/>
      <c r="I10" s="464" t="s">
        <v>110</v>
      </c>
      <c r="J10" s="683"/>
      <c r="K10" s="463" t="s">
        <v>5</v>
      </c>
      <c r="L10" s="41" t="s">
        <v>6</v>
      </c>
    </row>
    <row r="11" spans="1:14" x14ac:dyDescent="0.3">
      <c r="H11" s="41"/>
      <c r="I11" s="41"/>
      <c r="J11" s="41"/>
      <c r="K11" s="41"/>
      <c r="L11" s="41"/>
    </row>
    <row r="12" spans="1:14" x14ac:dyDescent="0.3">
      <c r="A12" s="41">
        <v>1</v>
      </c>
      <c r="B12" s="42" t="s">
        <v>565</v>
      </c>
      <c r="E12" s="688">
        <f>'Pg8.2A As Filed AF-1'!I17+'Pg8.2A As Filed AF-1'!I33</f>
        <v>229259.12075949862</v>
      </c>
      <c r="F12" s="689"/>
      <c r="G12" s="688">
        <f>'Pg8.3A As Filed AF-2'!I17+'Pg8.3A As Filed AF-2'!I33</f>
        <v>166268.59600825864</v>
      </c>
      <c r="H12" s="41"/>
      <c r="I12" s="689">
        <f>(E12+G12)/2</f>
        <v>197763.85838387863</v>
      </c>
      <c r="J12" s="41"/>
      <c r="K12" s="41" t="s">
        <v>607</v>
      </c>
      <c r="L12" s="41">
        <f>A12</f>
        <v>1</v>
      </c>
    </row>
    <row r="13" spans="1:14" x14ac:dyDescent="0.3">
      <c r="A13" s="41">
        <f>A12+1</f>
        <v>2</v>
      </c>
      <c r="H13" s="41"/>
      <c r="I13" s="41"/>
      <c r="J13" s="41"/>
      <c r="K13" s="41"/>
      <c r="L13" s="41">
        <f>L12+1</f>
        <v>2</v>
      </c>
    </row>
    <row r="14" spans="1:14" s="692" customFormat="1" x14ac:dyDescent="0.3">
      <c r="A14" s="41">
        <f t="shared" ref="A14:A24" si="0">A13+1</f>
        <v>3</v>
      </c>
      <c r="B14" s="42" t="s">
        <v>566</v>
      </c>
      <c r="C14" s="42"/>
      <c r="D14" s="42"/>
      <c r="E14" s="690">
        <f>'Pg8.2A As Filed AF-1'!I22+'Pg8.2A As Filed AF-1'!I38</f>
        <v>-1104048.2764413659</v>
      </c>
      <c r="F14" s="42"/>
      <c r="G14" s="690">
        <f>'Pg8.3A As Filed AF-2'!I22+'Pg8.3A As Filed AF-2'!I38</f>
        <v>-1111900.2103013669</v>
      </c>
      <c r="H14" s="41"/>
      <c r="I14" s="691">
        <f>(E14+G14)/2</f>
        <v>-1107974.2433713665</v>
      </c>
      <c r="J14" s="41"/>
      <c r="K14" s="41" t="s">
        <v>608</v>
      </c>
      <c r="L14" s="41">
        <f t="shared" ref="L14:L24" si="1">L13+1</f>
        <v>3</v>
      </c>
      <c r="M14" s="42"/>
    </row>
    <row r="15" spans="1:14" s="692" customFormat="1" x14ac:dyDescent="0.3">
      <c r="A15" s="41">
        <f t="shared" si="0"/>
        <v>4</v>
      </c>
      <c r="B15" s="42"/>
      <c r="C15" s="42"/>
      <c r="D15" s="42"/>
      <c r="E15" s="42"/>
      <c r="F15" s="42"/>
      <c r="G15" s="42"/>
      <c r="H15" s="41"/>
      <c r="I15" s="41"/>
      <c r="J15" s="41"/>
      <c r="K15" s="8"/>
      <c r="L15" s="41">
        <f t="shared" si="1"/>
        <v>4</v>
      </c>
    </row>
    <row r="16" spans="1:14" s="692" customFormat="1" x14ac:dyDescent="0.3">
      <c r="A16" s="41">
        <f t="shared" si="0"/>
        <v>5</v>
      </c>
      <c r="B16" s="42" t="s">
        <v>567</v>
      </c>
      <c r="C16" s="42"/>
      <c r="D16" s="42"/>
      <c r="E16" s="621">
        <f>'Pg8.2A As Filed AF-1'!I27+'Pg8.2A As Filed AF-1'!I43</f>
        <v>-5987.5143200000075</v>
      </c>
      <c r="F16" s="42"/>
      <c r="G16" s="621">
        <f>'Pg8.3A As Filed AF-2'!I27+'Pg8.3A As Filed AF-2'!I43</f>
        <v>-7906.4293200000075</v>
      </c>
      <c r="H16" s="41"/>
      <c r="I16" s="693">
        <f>(E16+G16)/2</f>
        <v>-6946.9718200000079</v>
      </c>
      <c r="J16" s="41"/>
      <c r="K16" s="41" t="s">
        <v>609</v>
      </c>
      <c r="L16" s="41">
        <f t="shared" si="1"/>
        <v>5</v>
      </c>
      <c r="M16" s="42"/>
      <c r="N16" s="42"/>
    </row>
    <row r="17" spans="1:14" x14ac:dyDescent="0.3">
      <c r="A17" s="41">
        <f t="shared" si="0"/>
        <v>6</v>
      </c>
      <c r="B17" s="20"/>
      <c r="E17" s="689"/>
      <c r="F17" s="689"/>
      <c r="G17" s="689"/>
      <c r="I17" s="689"/>
      <c r="J17" s="41"/>
      <c r="K17" s="8"/>
      <c r="L17" s="41">
        <f t="shared" si="1"/>
        <v>6</v>
      </c>
    </row>
    <row r="18" spans="1:14" ht="19.2" thickBot="1" x14ac:dyDescent="0.35">
      <c r="A18" s="41">
        <f t="shared" si="0"/>
        <v>7</v>
      </c>
      <c r="B18" s="20" t="s">
        <v>568</v>
      </c>
      <c r="C18" s="41"/>
      <c r="E18" s="679">
        <f>SUM(E12:E16)</f>
        <v>-880776.67000186734</v>
      </c>
      <c r="F18" s="694"/>
      <c r="G18" s="679">
        <f>SUM(G12:G16)</f>
        <v>-953538.04361310822</v>
      </c>
      <c r="H18" s="694"/>
      <c r="I18" s="679">
        <f>SUM(I12:I16)</f>
        <v>-917157.3568074879</v>
      </c>
      <c r="J18" s="41"/>
      <c r="K18" s="695" t="str">
        <f>"Sum Lines "&amp;A12&amp;" thru "&amp;A16</f>
        <v>Sum Lines 1 thru 5</v>
      </c>
      <c r="L18" s="41">
        <f t="shared" si="1"/>
        <v>7</v>
      </c>
      <c r="N18" s="707"/>
    </row>
    <row r="19" spans="1:14" ht="16.2" thickTop="1" x14ac:dyDescent="0.3">
      <c r="A19" s="41">
        <f t="shared" si="0"/>
        <v>8</v>
      </c>
      <c r="J19" s="41"/>
      <c r="K19" s="8"/>
      <c r="L19" s="41">
        <f t="shared" si="1"/>
        <v>8</v>
      </c>
    </row>
    <row r="20" spans="1:14" ht="16.2" thickBot="1" x14ac:dyDescent="0.35">
      <c r="A20" s="41">
        <f t="shared" si="0"/>
        <v>9</v>
      </c>
      <c r="B20" s="20" t="s">
        <v>569</v>
      </c>
      <c r="E20" s="696">
        <v>0</v>
      </c>
      <c r="G20" s="696">
        <v>0</v>
      </c>
      <c r="I20" s="697">
        <f>(E20+G20)/2</f>
        <v>0</v>
      </c>
      <c r="J20" s="41"/>
      <c r="K20" s="41" t="s">
        <v>19</v>
      </c>
      <c r="L20" s="41">
        <f t="shared" si="1"/>
        <v>9</v>
      </c>
    </row>
    <row r="21" spans="1:14" ht="16.2" thickTop="1" x14ac:dyDescent="0.3">
      <c r="A21" s="41">
        <f t="shared" si="0"/>
        <v>10</v>
      </c>
      <c r="B21" s="20"/>
      <c r="I21" s="685"/>
      <c r="J21" s="41"/>
      <c r="K21" s="8"/>
      <c r="L21" s="41">
        <f t="shared" si="1"/>
        <v>10</v>
      </c>
    </row>
    <row r="22" spans="1:14" ht="16.2" thickBot="1" x14ac:dyDescent="0.35">
      <c r="A22" s="41">
        <f t="shared" si="0"/>
        <v>11</v>
      </c>
      <c r="B22" s="20" t="s">
        <v>570</v>
      </c>
      <c r="E22" s="698">
        <v>0</v>
      </c>
      <c r="F22" s="699"/>
      <c r="G22" s="698">
        <v>0</v>
      </c>
      <c r="H22" s="700"/>
      <c r="I22" s="697">
        <f>(E22+G22)/2</f>
        <v>0</v>
      </c>
      <c r="K22" s="41" t="s">
        <v>610</v>
      </c>
      <c r="L22" s="41">
        <f t="shared" si="1"/>
        <v>11</v>
      </c>
    </row>
    <row r="23" spans="1:14" ht="16.2" thickTop="1" x14ac:dyDescent="0.3">
      <c r="A23" s="41">
        <f t="shared" si="0"/>
        <v>12</v>
      </c>
      <c r="B23" s="20"/>
      <c r="E23" s="39"/>
      <c r="F23" s="701"/>
      <c r="G23" s="39"/>
      <c r="H23" s="700"/>
      <c r="I23" s="685"/>
      <c r="K23" s="8"/>
      <c r="L23" s="41">
        <f t="shared" si="1"/>
        <v>12</v>
      </c>
    </row>
    <row r="24" spans="1:14" ht="16.2" thickBot="1" x14ac:dyDescent="0.35">
      <c r="A24" s="41">
        <f t="shared" si="0"/>
        <v>13</v>
      </c>
      <c r="B24" s="20" t="s">
        <v>571</v>
      </c>
      <c r="E24" s="696">
        <v>0</v>
      </c>
      <c r="F24" s="699"/>
      <c r="G24" s="696">
        <v>0</v>
      </c>
      <c r="H24" s="700"/>
      <c r="I24" s="697">
        <f>(E24+G24)/2</f>
        <v>0</v>
      </c>
      <c r="K24" s="41" t="s">
        <v>19</v>
      </c>
      <c r="L24" s="41">
        <f t="shared" si="1"/>
        <v>13</v>
      </c>
    </row>
    <row r="25" spans="1:14" ht="16.2" thickTop="1" x14ac:dyDescent="0.3">
      <c r="L25" s="41"/>
    </row>
    <row r="27" spans="1:14" ht="18" x14ac:dyDescent="0.3">
      <c r="A27" s="159">
        <v>1</v>
      </c>
      <c r="B27" s="20" t="s">
        <v>572</v>
      </c>
    </row>
    <row r="28" spans="1:14" ht="18" x14ac:dyDescent="0.3">
      <c r="A28" s="159">
        <v>2</v>
      </c>
      <c r="B28" s="42" t="s">
        <v>573</v>
      </c>
    </row>
    <row r="29" spans="1:14" x14ac:dyDescent="0.3">
      <c r="A29" s="42"/>
      <c r="B29" s="48" t="s">
        <v>574</v>
      </c>
    </row>
  </sheetData>
  <mergeCells count="5">
    <mergeCell ref="B3:K3"/>
    <mergeCell ref="B4:K4"/>
    <mergeCell ref="B5:K5"/>
    <mergeCell ref="B6:K6"/>
    <mergeCell ref="B7:K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Roman,Bold"&amp;8AS FILED</oddHeader>
    <oddFooter>&amp;CPage 8.1&amp;R&amp;F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31A9E-35ED-4003-9255-5FE196CBDD10}">
  <sheetPr>
    <pageSetUpPr fitToPage="1"/>
  </sheetPr>
  <dimension ref="A1:M49"/>
  <sheetViews>
    <sheetView zoomScale="80" zoomScaleNormal="80" workbookViewId="0"/>
  </sheetViews>
  <sheetFormatPr defaultColWidth="8.77734375" defaultRowHeight="15.6" x14ac:dyDescent="0.3"/>
  <cols>
    <col min="1" max="1" width="5.77734375" style="41" customWidth="1"/>
    <col min="2" max="2" width="62.77734375" style="42" bestFit="1" customWidth="1"/>
    <col min="3" max="3" width="16.77734375" style="42" customWidth="1"/>
    <col min="4" max="4" width="1.6640625" style="42" customWidth="1"/>
    <col min="5" max="5" width="16.77734375" style="42" customWidth="1"/>
    <col min="6" max="6" width="1.6640625" style="42" customWidth="1"/>
    <col min="7" max="7" width="16.77734375" style="42" customWidth="1"/>
    <col min="8" max="8" width="1.6640625" style="42" customWidth="1"/>
    <col min="9" max="9" width="23.33203125" style="42" bestFit="1" customWidth="1"/>
    <col min="10" max="10" width="2" style="42" bestFit="1" customWidth="1"/>
    <col min="11" max="11" width="62.6640625" style="42" customWidth="1"/>
    <col min="12" max="12" width="5.109375" style="41" customWidth="1"/>
    <col min="13" max="16384" width="8.77734375" style="42"/>
  </cols>
  <sheetData>
    <row r="1" spans="1:13" x14ac:dyDescent="0.3">
      <c r="A1" s="718"/>
    </row>
    <row r="2" spans="1:13" x14ac:dyDescent="0.3">
      <c r="B2" s="815" t="s">
        <v>24</v>
      </c>
      <c r="C2" s="815"/>
      <c r="D2" s="815"/>
      <c r="E2" s="815"/>
      <c r="F2" s="815"/>
      <c r="G2" s="815"/>
      <c r="H2" s="815"/>
      <c r="I2" s="815"/>
      <c r="J2" s="815"/>
      <c r="K2" s="815"/>
    </row>
    <row r="3" spans="1:13" x14ac:dyDescent="0.3">
      <c r="B3" s="815" t="s">
        <v>575</v>
      </c>
      <c r="C3" s="815"/>
      <c r="D3" s="815"/>
      <c r="E3" s="815"/>
      <c r="F3" s="815"/>
      <c r="G3" s="815"/>
      <c r="H3" s="815"/>
      <c r="I3" s="815"/>
      <c r="J3" s="815"/>
      <c r="K3" s="815"/>
    </row>
    <row r="4" spans="1:13" x14ac:dyDescent="0.3">
      <c r="B4" s="815" t="s">
        <v>576</v>
      </c>
      <c r="C4" s="815"/>
      <c r="D4" s="815"/>
      <c r="E4" s="815"/>
      <c r="F4" s="815"/>
      <c r="G4" s="815"/>
      <c r="H4" s="815"/>
      <c r="I4" s="815"/>
      <c r="J4" s="815"/>
      <c r="K4" s="815"/>
    </row>
    <row r="5" spans="1:13" x14ac:dyDescent="0.3">
      <c r="B5" s="815" t="s">
        <v>611</v>
      </c>
      <c r="C5" s="815"/>
      <c r="D5" s="815"/>
      <c r="E5" s="815"/>
      <c r="F5" s="815"/>
      <c r="G5" s="815"/>
      <c r="H5" s="815"/>
      <c r="I5" s="815"/>
      <c r="J5" s="815"/>
      <c r="K5" s="815"/>
    </row>
    <row r="6" spans="1:13" ht="15.75" customHeight="1" x14ac:dyDescent="0.3">
      <c r="B6" s="817" t="s">
        <v>1</v>
      </c>
      <c r="C6" s="817"/>
      <c r="D6" s="817"/>
      <c r="E6" s="817"/>
      <c r="F6" s="817"/>
      <c r="G6" s="817"/>
      <c r="H6" s="817"/>
      <c r="I6" s="817"/>
      <c r="J6" s="817"/>
      <c r="K6" s="817"/>
    </row>
    <row r="8" spans="1:13" x14ac:dyDescent="0.3">
      <c r="B8" s="723"/>
      <c r="C8" s="722" t="s">
        <v>10</v>
      </c>
      <c r="D8" s="722"/>
      <c r="E8" s="722" t="s">
        <v>56</v>
      </c>
      <c r="F8" s="722"/>
      <c r="G8" s="722" t="s">
        <v>170</v>
      </c>
      <c r="H8" s="722"/>
      <c r="I8" s="722" t="s">
        <v>577</v>
      </c>
      <c r="J8" s="722"/>
      <c r="K8" s="722"/>
    </row>
    <row r="9" spans="1:13" x14ac:dyDescent="0.3">
      <c r="A9" s="41" t="s">
        <v>2</v>
      </c>
      <c r="B9" s="723"/>
      <c r="C9" s="722" t="s">
        <v>578</v>
      </c>
      <c r="D9" s="722"/>
      <c r="E9" s="722" t="s">
        <v>579</v>
      </c>
      <c r="F9" s="722"/>
      <c r="G9" s="722" t="s">
        <v>579</v>
      </c>
      <c r="H9" s="722"/>
      <c r="I9" s="722"/>
      <c r="J9" s="722"/>
      <c r="K9" s="722"/>
      <c r="L9" s="41" t="s">
        <v>2</v>
      </c>
    </row>
    <row r="10" spans="1:13" x14ac:dyDescent="0.3">
      <c r="A10" s="41" t="s">
        <v>6</v>
      </c>
      <c r="B10" s="476" t="s">
        <v>3</v>
      </c>
      <c r="C10" s="702" t="s">
        <v>580</v>
      </c>
      <c r="D10" s="702"/>
      <c r="E10" s="702" t="s">
        <v>581</v>
      </c>
      <c r="F10" s="702"/>
      <c r="G10" s="702" t="s">
        <v>582</v>
      </c>
      <c r="H10" s="702"/>
      <c r="I10" s="476" t="s">
        <v>9</v>
      </c>
      <c r="J10" s="476"/>
      <c r="K10" s="476" t="s">
        <v>5</v>
      </c>
      <c r="L10" s="41" t="s">
        <v>6</v>
      </c>
    </row>
    <row r="11" spans="1:13" x14ac:dyDescent="0.3">
      <c r="B11" s="723"/>
      <c r="C11" s="703"/>
      <c r="D11" s="703"/>
      <c r="E11" s="703"/>
      <c r="F11" s="703"/>
      <c r="G11" s="703"/>
      <c r="H11" s="703"/>
      <c r="I11" s="53"/>
      <c r="J11" s="53"/>
      <c r="K11" s="53"/>
    </row>
    <row r="12" spans="1:13" x14ac:dyDescent="0.3">
      <c r="A12" s="41">
        <v>1</v>
      </c>
      <c r="B12" s="48" t="s">
        <v>583</v>
      </c>
      <c r="C12" s="704"/>
      <c r="D12" s="704"/>
      <c r="E12" s="704"/>
      <c r="F12" s="704"/>
      <c r="G12" s="704"/>
      <c r="H12" s="704"/>
      <c r="I12" s="53"/>
      <c r="J12" s="53"/>
      <c r="K12" s="53"/>
      <c r="L12" s="41">
        <f>A12</f>
        <v>1</v>
      </c>
    </row>
    <row r="13" spans="1:13" x14ac:dyDescent="0.3">
      <c r="A13" s="41">
        <f>A12+1</f>
        <v>2</v>
      </c>
      <c r="B13" s="48" t="s">
        <v>584</v>
      </c>
      <c r="C13" s="64">
        <v>772.52322837828797</v>
      </c>
      <c r="D13" s="64"/>
      <c r="E13" s="64">
        <v>0</v>
      </c>
      <c r="F13" s="64"/>
      <c r="G13" s="64">
        <v>214.49058265600002</v>
      </c>
      <c r="H13" s="705"/>
      <c r="I13" s="689">
        <f>SUM(C13:G13)</f>
        <v>987.01381103428798</v>
      </c>
      <c r="J13" s="689"/>
      <c r="K13" s="706" t="s">
        <v>585</v>
      </c>
      <c r="L13" s="41">
        <f>L12+1</f>
        <v>2</v>
      </c>
      <c r="M13" s="707"/>
    </row>
    <row r="14" spans="1:13" x14ac:dyDescent="0.3">
      <c r="A14" s="41">
        <f t="shared" ref="A14:A45" si="0">A13+1</f>
        <v>3</v>
      </c>
      <c r="B14" s="48" t="s">
        <v>586</v>
      </c>
      <c r="C14" s="178">
        <v>245.18064680224461</v>
      </c>
      <c r="D14" s="178"/>
      <c r="E14" s="178">
        <v>0</v>
      </c>
      <c r="F14" s="178"/>
      <c r="G14" s="178">
        <v>555.45000000000005</v>
      </c>
      <c r="H14" s="178"/>
      <c r="I14" s="40">
        <f>SUM(C14:G14)</f>
        <v>800.63064680224466</v>
      </c>
      <c r="J14" s="40"/>
      <c r="K14" s="706" t="s">
        <v>585</v>
      </c>
      <c r="L14" s="41">
        <f t="shared" ref="L14:L45" si="1">L13+1</f>
        <v>3</v>
      </c>
    </row>
    <row r="15" spans="1:13" x14ac:dyDescent="0.3">
      <c r="A15" s="41">
        <f t="shared" si="0"/>
        <v>4</v>
      </c>
      <c r="B15" s="48" t="s">
        <v>587</v>
      </c>
      <c r="C15" s="178">
        <v>119232.95199162784</v>
      </c>
      <c r="D15" s="178"/>
      <c r="E15" s="178">
        <v>108238.52431003426</v>
      </c>
      <c r="F15" s="178"/>
      <c r="G15" s="178">
        <v>0</v>
      </c>
      <c r="H15" s="178"/>
      <c r="I15" s="40">
        <f>SUM(C15:G15)</f>
        <v>227471.4763016621</v>
      </c>
      <c r="J15" s="40"/>
      <c r="K15" s="706" t="s">
        <v>585</v>
      </c>
      <c r="L15" s="41">
        <f t="shared" si="1"/>
        <v>4</v>
      </c>
    </row>
    <row r="16" spans="1:13" ht="16.2" thickBot="1" x14ac:dyDescent="0.35">
      <c r="A16" s="41">
        <f t="shared" si="0"/>
        <v>5</v>
      </c>
      <c r="B16" s="57" t="s">
        <v>588</v>
      </c>
      <c r="C16" s="66">
        <f>SUM(C13:C15)</f>
        <v>120250.65586680837</v>
      </c>
      <c r="D16" s="40"/>
      <c r="E16" s="66">
        <f>SUM(E13:E15)</f>
        <v>108238.52431003426</v>
      </c>
      <c r="F16" s="157"/>
      <c r="G16" s="66">
        <f>SUM(G13:G15)</f>
        <v>769.94058265600006</v>
      </c>
      <c r="H16" s="40"/>
      <c r="I16" s="66">
        <f>SUM(I13:I15)</f>
        <v>229259.12075949862</v>
      </c>
      <c r="J16" s="143"/>
      <c r="K16" s="664" t="str">
        <f>"Sum Lines "&amp;A13&amp;" thru "&amp;A15</f>
        <v>Sum Lines 2 thru 4</v>
      </c>
      <c r="L16" s="41">
        <f t="shared" si="1"/>
        <v>5</v>
      </c>
    </row>
    <row r="17" spans="1:12" ht="16.2" thickTop="1" x14ac:dyDescent="0.3">
      <c r="A17" s="41">
        <f t="shared" si="0"/>
        <v>6</v>
      </c>
      <c r="C17" s="709"/>
      <c r="D17" s="709"/>
      <c r="E17" s="709"/>
      <c r="F17" s="709"/>
      <c r="G17" s="709"/>
      <c r="H17" s="709"/>
      <c r="I17" s="709"/>
      <c r="J17" s="709"/>
      <c r="K17" s="709"/>
      <c r="L17" s="41">
        <f t="shared" si="1"/>
        <v>6</v>
      </c>
    </row>
    <row r="18" spans="1:12" x14ac:dyDescent="0.3">
      <c r="A18" s="41">
        <f t="shared" si="0"/>
        <v>7</v>
      </c>
      <c r="B18" s="48" t="s">
        <v>589</v>
      </c>
      <c r="C18" s="704"/>
      <c r="D18" s="704"/>
      <c r="E18" s="704"/>
      <c r="F18" s="704"/>
      <c r="G18" s="704"/>
      <c r="H18" s="704"/>
      <c r="I18" s="53"/>
      <c r="J18" s="53"/>
      <c r="K18" s="53"/>
      <c r="L18" s="41">
        <f t="shared" si="1"/>
        <v>7</v>
      </c>
    </row>
    <row r="19" spans="1:12" x14ac:dyDescent="0.3">
      <c r="A19" s="41">
        <f t="shared" si="0"/>
        <v>8</v>
      </c>
      <c r="B19" s="710" t="s">
        <v>590</v>
      </c>
      <c r="C19" s="731">
        <v>-733916.84893159161</v>
      </c>
      <c r="D19" s="27" t="s">
        <v>16</v>
      </c>
      <c r="E19" s="731">
        <v>-378242.87900000002</v>
      </c>
      <c r="F19" s="27" t="s">
        <v>16</v>
      </c>
      <c r="G19" s="689">
        <v>-8049.9021669952472</v>
      </c>
      <c r="H19" s="689"/>
      <c r="I19" s="731">
        <f>SUM(C19:G19)</f>
        <v>-1120209.6300985869</v>
      </c>
      <c r="J19" s="27" t="s">
        <v>16</v>
      </c>
      <c r="K19" s="706" t="s">
        <v>591</v>
      </c>
      <c r="L19" s="41">
        <f t="shared" si="1"/>
        <v>8</v>
      </c>
    </row>
    <row r="20" spans="1:12" x14ac:dyDescent="0.3">
      <c r="A20" s="41">
        <f t="shared" si="0"/>
        <v>9</v>
      </c>
      <c r="C20" s="40">
        <v>0</v>
      </c>
      <c r="D20" s="40"/>
      <c r="E20" s="40">
        <v>0</v>
      </c>
      <c r="F20" s="40"/>
      <c r="G20" s="40">
        <v>0</v>
      </c>
      <c r="H20" s="40"/>
      <c r="I20" s="40">
        <f>SUM(C20:G20)</f>
        <v>0</v>
      </c>
      <c r="J20" s="40"/>
      <c r="K20" s="40"/>
      <c r="L20" s="41">
        <f t="shared" si="1"/>
        <v>9</v>
      </c>
    </row>
    <row r="21" spans="1:12" ht="16.2" thickBot="1" x14ac:dyDescent="0.35">
      <c r="A21" s="41">
        <f t="shared" si="0"/>
        <v>10</v>
      </c>
      <c r="B21" s="57" t="s">
        <v>592</v>
      </c>
      <c r="C21" s="708">
        <f>SUM(C19:C20)</f>
        <v>-733916.84893159161</v>
      </c>
      <c r="D21" s="27" t="s">
        <v>16</v>
      </c>
      <c r="E21" s="708">
        <f>SUM(E19:E20)</f>
        <v>-378242.87900000002</v>
      </c>
      <c r="F21" s="27" t="s">
        <v>16</v>
      </c>
      <c r="G21" s="66">
        <f>SUM(G19:G20)</f>
        <v>-8049.9021669952472</v>
      </c>
      <c r="H21" s="40"/>
      <c r="I21" s="708">
        <f>SUM(I19:I20)</f>
        <v>-1120209.6300985869</v>
      </c>
      <c r="J21" s="27" t="s">
        <v>16</v>
      </c>
      <c r="K21" s="664" t="str">
        <f>"Sum Lines "&amp;A19&amp;" thru "&amp;A20</f>
        <v>Sum Lines 8 thru 9</v>
      </c>
      <c r="L21" s="41">
        <f t="shared" si="1"/>
        <v>10</v>
      </c>
    </row>
    <row r="22" spans="1:12" ht="16.2" thickTop="1" x14ac:dyDescent="0.3">
      <c r="A22" s="41">
        <f t="shared" si="0"/>
        <v>11</v>
      </c>
      <c r="L22" s="41">
        <f t="shared" si="1"/>
        <v>11</v>
      </c>
    </row>
    <row r="23" spans="1:12" x14ac:dyDescent="0.3">
      <c r="A23" s="41">
        <f t="shared" si="0"/>
        <v>12</v>
      </c>
      <c r="B23" s="48" t="s">
        <v>593</v>
      </c>
      <c r="C23" s="704"/>
      <c r="D23" s="704"/>
      <c r="E23" s="704"/>
      <c r="F23" s="704"/>
      <c r="G23" s="704"/>
      <c r="H23" s="704"/>
      <c r="I23" s="53"/>
      <c r="J23" s="53"/>
      <c r="K23" s="41"/>
      <c r="L23" s="41">
        <f t="shared" si="1"/>
        <v>12</v>
      </c>
    </row>
    <row r="24" spans="1:12" x14ac:dyDescent="0.3">
      <c r="A24" s="41">
        <f t="shared" si="0"/>
        <v>13</v>
      </c>
      <c r="B24" s="48" t="s">
        <v>594</v>
      </c>
      <c r="C24" s="64">
        <v>-5987.5143200000075</v>
      </c>
      <c r="D24" s="64"/>
      <c r="E24" s="64">
        <v>0</v>
      </c>
      <c r="F24" s="64"/>
      <c r="G24" s="64">
        <v>0</v>
      </c>
      <c r="H24" s="705"/>
      <c r="I24" s="689">
        <f>SUM(C24:G24)</f>
        <v>-5987.5143200000075</v>
      </c>
      <c r="J24" s="689"/>
      <c r="K24" s="706" t="s">
        <v>595</v>
      </c>
      <c r="L24" s="41">
        <f t="shared" si="1"/>
        <v>13</v>
      </c>
    </row>
    <row r="25" spans="1:12" x14ac:dyDescent="0.3">
      <c r="A25" s="41">
        <f t="shared" si="0"/>
        <v>14</v>
      </c>
      <c r="B25" s="48"/>
      <c r="C25" s="40">
        <v>0</v>
      </c>
      <c r="D25" s="40"/>
      <c r="E25" s="40">
        <v>0</v>
      </c>
      <c r="F25" s="40"/>
      <c r="G25" s="40">
        <v>0</v>
      </c>
      <c r="H25" s="40"/>
      <c r="I25" s="40">
        <f>SUM(C25:G25)</f>
        <v>0</v>
      </c>
      <c r="J25" s="40"/>
      <c r="K25" s="40"/>
      <c r="L25" s="41">
        <f t="shared" si="1"/>
        <v>14</v>
      </c>
    </row>
    <row r="26" spans="1:12" ht="16.2" thickBot="1" x14ac:dyDescent="0.35">
      <c r="A26" s="41">
        <f t="shared" si="0"/>
        <v>15</v>
      </c>
      <c r="B26" s="57" t="s">
        <v>596</v>
      </c>
      <c r="C26" s="66">
        <f>SUM(C24:C25)</f>
        <v>-5987.5143200000075</v>
      </c>
      <c r="D26" s="40"/>
      <c r="E26" s="66">
        <f>SUM(E24:E25)</f>
        <v>0</v>
      </c>
      <c r="F26" s="157"/>
      <c r="G26" s="66">
        <f>SUM(G24:G25)</f>
        <v>0</v>
      </c>
      <c r="H26" s="40"/>
      <c r="I26" s="66">
        <f>SUM(I24:I25)</f>
        <v>-5987.5143200000075</v>
      </c>
      <c r="J26" s="143"/>
      <c r="K26" s="664" t="str">
        <f>"Sum Lines "&amp;A24&amp;" thru "&amp;A25</f>
        <v>Sum Lines 13 thru 14</v>
      </c>
      <c r="L26" s="41">
        <f t="shared" si="1"/>
        <v>15</v>
      </c>
    </row>
    <row r="27" spans="1:12" ht="16.8" thickTop="1" thickBot="1" x14ac:dyDescent="0.35">
      <c r="A27" s="41">
        <f t="shared" si="0"/>
        <v>16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41">
        <f t="shared" si="1"/>
        <v>16</v>
      </c>
    </row>
    <row r="28" spans="1:12" x14ac:dyDescent="0.3">
      <c r="A28" s="41">
        <f t="shared" si="0"/>
        <v>17</v>
      </c>
      <c r="L28" s="41">
        <f t="shared" si="1"/>
        <v>17</v>
      </c>
    </row>
    <row r="29" spans="1:12" x14ac:dyDescent="0.3">
      <c r="A29" s="41">
        <f t="shared" si="0"/>
        <v>18</v>
      </c>
      <c r="B29" s="48" t="s">
        <v>597</v>
      </c>
      <c r="C29" s="704"/>
      <c r="D29" s="704"/>
      <c r="E29" s="704"/>
      <c r="F29" s="704"/>
      <c r="G29" s="704"/>
      <c r="H29" s="704"/>
      <c r="I29" s="53"/>
      <c r="J29" s="53"/>
      <c r="K29" s="53"/>
      <c r="L29" s="41">
        <f t="shared" si="1"/>
        <v>18</v>
      </c>
    </row>
    <row r="30" spans="1:12" x14ac:dyDescent="0.3">
      <c r="A30" s="41">
        <f t="shared" si="0"/>
        <v>19</v>
      </c>
      <c r="B30" s="48" t="s">
        <v>587</v>
      </c>
      <c r="C30" s="689">
        <v>0</v>
      </c>
      <c r="D30" s="689"/>
      <c r="E30" s="689">
        <v>0</v>
      </c>
      <c r="F30" s="689"/>
      <c r="G30" s="689">
        <v>0</v>
      </c>
      <c r="H30" s="64"/>
      <c r="I30" s="689">
        <f>SUM(C30:G30)</f>
        <v>0</v>
      </c>
      <c r="J30" s="689"/>
      <c r="K30" s="711" t="s">
        <v>612</v>
      </c>
      <c r="L30" s="41">
        <f t="shared" si="1"/>
        <v>19</v>
      </c>
    </row>
    <row r="31" spans="1:12" x14ac:dyDescent="0.3">
      <c r="A31" s="41">
        <f t="shared" si="0"/>
        <v>20</v>
      </c>
      <c r="C31" s="40">
        <v>0</v>
      </c>
      <c r="D31" s="40"/>
      <c r="E31" s="40">
        <v>0</v>
      </c>
      <c r="F31" s="40"/>
      <c r="G31" s="40">
        <v>0</v>
      </c>
      <c r="H31" s="40"/>
      <c r="I31" s="40">
        <f>SUM(C31:G31)</f>
        <v>0</v>
      </c>
      <c r="J31" s="40"/>
      <c r="K31" s="40"/>
      <c r="L31" s="41">
        <f t="shared" si="1"/>
        <v>20</v>
      </c>
    </row>
    <row r="32" spans="1:12" ht="16.2" thickBot="1" x14ac:dyDescent="0.35">
      <c r="A32" s="41">
        <f t="shared" si="0"/>
        <v>21</v>
      </c>
      <c r="B32" s="57" t="s">
        <v>588</v>
      </c>
      <c r="C32" s="708">
        <f>SUM(C30:C31)</f>
        <v>0</v>
      </c>
      <c r="D32" s="40"/>
      <c r="E32" s="708">
        <f>SUM(E30:E31)</f>
        <v>0</v>
      </c>
      <c r="F32" s="143"/>
      <c r="G32" s="708">
        <f>SUM(G30:G31)</f>
        <v>0</v>
      </c>
      <c r="H32" s="40"/>
      <c r="I32" s="708">
        <f>SUM(I30:I31)</f>
        <v>0</v>
      </c>
      <c r="J32" s="143"/>
      <c r="K32" s="664" t="str">
        <f>"Sum Lines "&amp;A30&amp;" thru "&amp;A31</f>
        <v>Sum Lines 19 thru 20</v>
      </c>
      <c r="L32" s="41">
        <f t="shared" si="1"/>
        <v>21</v>
      </c>
    </row>
    <row r="33" spans="1:12" ht="16.2" thickTop="1" x14ac:dyDescent="0.3">
      <c r="A33" s="41">
        <f t="shared" si="0"/>
        <v>22</v>
      </c>
      <c r="C33" s="709"/>
      <c r="D33" s="709"/>
      <c r="E33" s="709"/>
      <c r="F33" s="709"/>
      <c r="G33" s="709"/>
      <c r="H33" s="709"/>
      <c r="I33" s="709"/>
      <c r="J33" s="709"/>
      <c r="K33" s="709"/>
      <c r="L33" s="41">
        <f t="shared" si="1"/>
        <v>22</v>
      </c>
    </row>
    <row r="34" spans="1:12" x14ac:dyDescent="0.3">
      <c r="A34" s="41">
        <f t="shared" si="0"/>
        <v>23</v>
      </c>
      <c r="B34" s="48" t="s">
        <v>598</v>
      </c>
      <c r="C34" s="704"/>
      <c r="D34" s="704"/>
      <c r="E34" s="704"/>
      <c r="F34" s="704"/>
      <c r="G34" s="704"/>
      <c r="H34" s="704"/>
      <c r="I34" s="53"/>
      <c r="J34" s="53"/>
      <c r="K34" s="53"/>
      <c r="L34" s="41">
        <f t="shared" si="1"/>
        <v>23</v>
      </c>
    </row>
    <row r="35" spans="1:12" x14ac:dyDescent="0.3">
      <c r="A35" s="41">
        <f t="shared" si="0"/>
        <v>24</v>
      </c>
      <c r="B35" s="710" t="s">
        <v>590</v>
      </c>
      <c r="C35" s="689">
        <v>-2872.3400080000001</v>
      </c>
      <c r="D35" s="689"/>
      <c r="E35" s="689">
        <v>0</v>
      </c>
      <c r="F35" s="689"/>
      <c r="G35" s="689">
        <v>0</v>
      </c>
      <c r="H35" s="689"/>
      <c r="I35" s="689">
        <f>SUM(C35:G35)</f>
        <v>-2872.3400080000001</v>
      </c>
      <c r="J35" s="689"/>
      <c r="K35" s="706" t="s">
        <v>599</v>
      </c>
      <c r="L35" s="41">
        <f t="shared" si="1"/>
        <v>24</v>
      </c>
    </row>
    <row r="36" spans="1:12" x14ac:dyDescent="0.3">
      <c r="A36" s="41">
        <f t="shared" si="0"/>
        <v>25</v>
      </c>
      <c r="C36" s="40">
        <v>0</v>
      </c>
      <c r="D36" s="40"/>
      <c r="E36" s="40">
        <v>0</v>
      </c>
      <c r="F36" s="40"/>
      <c r="G36" s="40">
        <v>0</v>
      </c>
      <c r="H36" s="40"/>
      <c r="I36" s="40">
        <f>SUM(C36:G36)</f>
        <v>0</v>
      </c>
      <c r="J36" s="40"/>
      <c r="K36" s="40"/>
      <c r="L36" s="41">
        <f t="shared" si="1"/>
        <v>25</v>
      </c>
    </row>
    <row r="37" spans="1:12" ht="16.2" thickBot="1" x14ac:dyDescent="0.35">
      <c r="A37" s="41">
        <f t="shared" si="0"/>
        <v>26</v>
      </c>
      <c r="B37" s="57" t="s">
        <v>592</v>
      </c>
      <c r="C37" s="66">
        <f>SUM(C35:C36)</f>
        <v>-2872.3400080000001</v>
      </c>
      <c r="D37" s="40"/>
      <c r="E37" s="66">
        <f>SUM(E35:E36)</f>
        <v>0</v>
      </c>
      <c r="F37" s="157"/>
      <c r="G37" s="66">
        <f>SUM(G35:G36)</f>
        <v>0</v>
      </c>
      <c r="H37" s="40"/>
      <c r="I37" s="66">
        <f>SUM(I35:I36)</f>
        <v>-2872.3400080000001</v>
      </c>
      <c r="J37" s="143"/>
      <c r="K37" s="664" t="str">
        <f>"Sum Lines "&amp;A35&amp;" thru "&amp;A36</f>
        <v>Sum Lines 24 thru 25</v>
      </c>
      <c r="L37" s="41">
        <f t="shared" si="1"/>
        <v>26</v>
      </c>
    </row>
    <row r="38" spans="1:12" ht="16.2" thickTop="1" x14ac:dyDescent="0.3">
      <c r="A38" s="41">
        <f t="shared" si="0"/>
        <v>27</v>
      </c>
      <c r="L38" s="41">
        <f t="shared" si="1"/>
        <v>27</v>
      </c>
    </row>
    <row r="39" spans="1:12" x14ac:dyDescent="0.3">
      <c r="A39" s="41">
        <f t="shared" si="0"/>
        <v>28</v>
      </c>
      <c r="B39" s="48" t="s">
        <v>600</v>
      </c>
      <c r="C39" s="704"/>
      <c r="D39" s="704"/>
      <c r="E39" s="704"/>
      <c r="F39" s="704"/>
      <c r="G39" s="704"/>
      <c r="H39" s="704"/>
      <c r="I39" s="53"/>
      <c r="J39" s="53"/>
      <c r="K39" s="41"/>
      <c r="L39" s="41">
        <f t="shared" si="1"/>
        <v>28</v>
      </c>
    </row>
    <row r="40" spans="1:12" x14ac:dyDescent="0.3">
      <c r="A40" s="41">
        <f t="shared" si="0"/>
        <v>29</v>
      </c>
      <c r="B40" s="48"/>
      <c r="C40" s="689">
        <v>0</v>
      </c>
      <c r="D40" s="689"/>
      <c r="E40" s="689">
        <v>0</v>
      </c>
      <c r="F40" s="689"/>
      <c r="G40" s="689">
        <v>0</v>
      </c>
      <c r="H40" s="689"/>
      <c r="I40" s="689">
        <f>SUM(C40:G40)</f>
        <v>0</v>
      </c>
      <c r="J40" s="689"/>
      <c r="K40" s="711" t="s">
        <v>612</v>
      </c>
      <c r="L40" s="41">
        <f t="shared" si="1"/>
        <v>29</v>
      </c>
    </row>
    <row r="41" spans="1:12" x14ac:dyDescent="0.3">
      <c r="A41" s="41">
        <f t="shared" si="0"/>
        <v>30</v>
      </c>
      <c r="B41" s="48"/>
      <c r="C41" s="40">
        <v>0</v>
      </c>
      <c r="D41" s="40"/>
      <c r="E41" s="40">
        <v>0</v>
      </c>
      <c r="F41" s="40"/>
      <c r="G41" s="40">
        <v>0</v>
      </c>
      <c r="H41" s="40"/>
      <c r="I41" s="40">
        <f>SUM(C41:G41)</f>
        <v>0</v>
      </c>
      <c r="J41" s="40"/>
      <c r="K41" s="40"/>
      <c r="L41" s="41">
        <f t="shared" si="1"/>
        <v>30</v>
      </c>
    </row>
    <row r="42" spans="1:12" ht="16.2" thickBot="1" x14ac:dyDescent="0.35">
      <c r="A42" s="41">
        <f t="shared" si="0"/>
        <v>31</v>
      </c>
      <c r="B42" s="57" t="s">
        <v>596</v>
      </c>
      <c r="C42" s="708">
        <f>SUM(C40:C41)</f>
        <v>0</v>
      </c>
      <c r="D42" s="40"/>
      <c r="E42" s="708">
        <f>SUM(E40:E41)</f>
        <v>0</v>
      </c>
      <c r="F42" s="143"/>
      <c r="G42" s="708">
        <f>SUM(G40:G41)</f>
        <v>0</v>
      </c>
      <c r="H42" s="40"/>
      <c r="I42" s="708">
        <f>SUM(I40:I41)</f>
        <v>0</v>
      </c>
      <c r="J42" s="143"/>
      <c r="K42" s="664" t="str">
        <f>"Sum Lines "&amp;A40&amp;" thru "&amp;A41</f>
        <v>Sum Lines 29 thru 30</v>
      </c>
      <c r="L42" s="41">
        <f t="shared" si="1"/>
        <v>31</v>
      </c>
    </row>
    <row r="43" spans="1:12" ht="16.8" thickTop="1" thickBot="1" x14ac:dyDescent="0.35">
      <c r="A43" s="41">
        <f t="shared" si="0"/>
        <v>32</v>
      </c>
      <c r="B43" s="712"/>
      <c r="C43" s="713"/>
      <c r="D43" s="714"/>
      <c r="E43" s="713"/>
      <c r="F43" s="713"/>
      <c r="G43" s="713"/>
      <c r="H43" s="714"/>
      <c r="I43" s="713"/>
      <c r="J43" s="713"/>
      <c r="K43" s="715"/>
      <c r="L43" s="41">
        <f t="shared" si="1"/>
        <v>32</v>
      </c>
    </row>
    <row r="44" spans="1:12" x14ac:dyDescent="0.3">
      <c r="A44" s="41">
        <f t="shared" si="0"/>
        <v>33</v>
      </c>
      <c r="B44" s="57"/>
      <c r="C44" s="143"/>
      <c r="D44" s="40"/>
      <c r="E44" s="143"/>
      <c r="F44" s="143"/>
      <c r="G44" s="143"/>
      <c r="H44" s="40"/>
      <c r="I44" s="143"/>
      <c r="J44" s="143"/>
      <c r="K44" s="664"/>
      <c r="L44" s="41">
        <f t="shared" si="1"/>
        <v>33</v>
      </c>
    </row>
    <row r="45" spans="1:12" x14ac:dyDescent="0.3">
      <c r="A45" s="41">
        <f t="shared" si="0"/>
        <v>34</v>
      </c>
      <c r="B45" s="716" t="s">
        <v>570</v>
      </c>
      <c r="C45" s="33">
        <v>0</v>
      </c>
      <c r="D45" s="40"/>
      <c r="E45" s="33">
        <v>0</v>
      </c>
      <c r="F45" s="143"/>
      <c r="G45" s="33">
        <v>0</v>
      </c>
      <c r="H45" s="40"/>
      <c r="I45" s="689">
        <f>SUM(C45:G45)</f>
        <v>0</v>
      </c>
      <c r="J45" s="689"/>
      <c r="K45" s="711" t="s">
        <v>612</v>
      </c>
      <c r="L45" s="41">
        <f t="shared" si="1"/>
        <v>34</v>
      </c>
    </row>
    <row r="46" spans="1:12" x14ac:dyDescent="0.3">
      <c r="B46" s="57"/>
      <c r="C46" s="143"/>
      <c r="D46" s="40"/>
      <c r="E46" s="143"/>
      <c r="F46" s="143"/>
      <c r="G46" s="143"/>
      <c r="H46" s="40"/>
      <c r="I46" s="143"/>
      <c r="J46" s="143"/>
      <c r="K46" s="664"/>
    </row>
    <row r="47" spans="1:12" x14ac:dyDescent="0.3">
      <c r="I47" s="707"/>
      <c r="J47" s="707"/>
    </row>
    <row r="48" spans="1:12" x14ac:dyDescent="0.3">
      <c r="A48" s="27" t="s">
        <v>16</v>
      </c>
      <c r="B48" s="24" t="str">
        <f>'Pg8 Rev Stmt AF'!B26</f>
        <v>Items in BOLD have changed due to the removal of CIAC related ADIT per SDG&amp;E's TO5 Cycle 4 Letter Order determination in ER22-527 as compared to the original TO5 Cycle 4 filing.</v>
      </c>
      <c r="I48" s="707"/>
      <c r="J48" s="707"/>
    </row>
    <row r="49" spans="1:2" x14ac:dyDescent="0.3">
      <c r="A49" s="27"/>
      <c r="B49" s="723" t="str">
        <f>'Pg8 Rev Stmt AF'!B27</f>
        <v>None of the CIAC related ADIT is allocated to Citizens, thus only the SDG&amp;E amounts reported in the filings are being revised.</v>
      </c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61" orientation="landscape" r:id="rId1"/>
  <headerFooter scaleWithDoc="0" alignWithMargins="0">
    <oddHeader>&amp;C&amp;"Times New Roman,Bold"&amp;8REVISED</oddHeader>
    <oddFooter>&amp;CPage 8.2&amp;R&amp;F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B2E49-6294-4E5A-80F4-82D583F1292C}">
  <sheetPr>
    <pageSetUpPr fitToPage="1"/>
  </sheetPr>
  <dimension ref="A1:L49"/>
  <sheetViews>
    <sheetView zoomScale="80" zoomScaleNormal="80" workbookViewId="0"/>
  </sheetViews>
  <sheetFormatPr defaultColWidth="8.77734375" defaultRowHeight="15.6" x14ac:dyDescent="0.3"/>
  <cols>
    <col min="1" max="1" width="5.77734375" style="41" customWidth="1"/>
    <col min="2" max="2" width="62.77734375" style="42" bestFit="1" customWidth="1"/>
    <col min="3" max="3" width="16.77734375" style="42" customWidth="1"/>
    <col min="4" max="4" width="1.6640625" style="42" customWidth="1"/>
    <col min="5" max="5" width="16.77734375" style="42" customWidth="1"/>
    <col min="6" max="6" width="1.6640625" style="42" customWidth="1"/>
    <col min="7" max="7" width="16.77734375" style="42" customWidth="1"/>
    <col min="8" max="8" width="1.6640625" style="42" customWidth="1"/>
    <col min="9" max="9" width="23.33203125" style="42" bestFit="1" customWidth="1"/>
    <col min="10" max="10" width="62.6640625" style="42" customWidth="1"/>
    <col min="11" max="11" width="5.109375" style="41" customWidth="1"/>
    <col min="12" max="16384" width="8.77734375" style="42"/>
  </cols>
  <sheetData>
    <row r="1" spans="1:12" x14ac:dyDescent="0.3">
      <c r="A1" s="718" t="s">
        <v>614</v>
      </c>
    </row>
    <row r="2" spans="1:12" x14ac:dyDescent="0.3">
      <c r="A2" s="718"/>
    </row>
    <row r="3" spans="1:12" x14ac:dyDescent="0.3">
      <c r="B3" s="815" t="s">
        <v>24</v>
      </c>
      <c r="C3" s="815"/>
      <c r="D3" s="815"/>
      <c r="E3" s="815"/>
      <c r="F3" s="815"/>
      <c r="G3" s="815"/>
      <c r="H3" s="815"/>
      <c r="I3" s="815"/>
      <c r="J3" s="815"/>
    </row>
    <row r="4" spans="1:12" x14ac:dyDescent="0.3">
      <c r="B4" s="815" t="s">
        <v>575</v>
      </c>
      <c r="C4" s="815"/>
      <c r="D4" s="815"/>
      <c r="E4" s="815"/>
      <c r="F4" s="815"/>
      <c r="G4" s="815"/>
      <c r="H4" s="815"/>
      <c r="I4" s="815"/>
      <c r="J4" s="815"/>
    </row>
    <row r="5" spans="1:12" x14ac:dyDescent="0.3">
      <c r="B5" s="815" t="s">
        <v>576</v>
      </c>
      <c r="C5" s="815"/>
      <c r="D5" s="815"/>
      <c r="E5" s="815"/>
      <c r="F5" s="815"/>
      <c r="G5" s="815"/>
      <c r="H5" s="815"/>
      <c r="I5" s="815"/>
      <c r="J5" s="815"/>
    </row>
    <row r="6" spans="1:12" x14ac:dyDescent="0.3">
      <c r="B6" s="815" t="s">
        <v>611</v>
      </c>
      <c r="C6" s="815"/>
      <c r="D6" s="815"/>
      <c r="E6" s="815"/>
      <c r="F6" s="815"/>
      <c r="G6" s="815"/>
      <c r="H6" s="815"/>
      <c r="I6" s="815"/>
      <c r="J6" s="815"/>
    </row>
    <row r="7" spans="1:12" ht="15.75" customHeight="1" x14ac:dyDescent="0.3">
      <c r="B7" s="817" t="s">
        <v>1</v>
      </c>
      <c r="C7" s="817"/>
      <c r="D7" s="817"/>
      <c r="E7" s="817"/>
      <c r="F7" s="817"/>
      <c r="G7" s="817"/>
      <c r="H7" s="817"/>
      <c r="I7" s="817"/>
      <c r="J7" s="817"/>
    </row>
    <row r="9" spans="1:12" x14ac:dyDescent="0.3">
      <c r="B9" s="685"/>
      <c r="C9" s="684" t="s">
        <v>10</v>
      </c>
      <c r="D9" s="684"/>
      <c r="E9" s="684" t="s">
        <v>56</v>
      </c>
      <c r="F9" s="684"/>
      <c r="G9" s="684" t="s">
        <v>170</v>
      </c>
      <c r="H9" s="684"/>
      <c r="I9" s="684" t="s">
        <v>577</v>
      </c>
      <c r="J9" s="684"/>
    </row>
    <row r="10" spans="1:12" x14ac:dyDescent="0.3">
      <c r="A10" s="41" t="s">
        <v>2</v>
      </c>
      <c r="B10" s="685"/>
      <c r="C10" s="684" t="s">
        <v>578</v>
      </c>
      <c r="D10" s="684"/>
      <c r="E10" s="684" t="s">
        <v>579</v>
      </c>
      <c r="F10" s="684"/>
      <c r="G10" s="684" t="s">
        <v>579</v>
      </c>
      <c r="H10" s="684"/>
      <c r="I10" s="684"/>
      <c r="J10" s="684"/>
      <c r="K10" s="41" t="s">
        <v>2</v>
      </c>
    </row>
    <row r="11" spans="1:12" x14ac:dyDescent="0.3">
      <c r="A11" s="41" t="s">
        <v>6</v>
      </c>
      <c r="B11" s="476" t="s">
        <v>3</v>
      </c>
      <c r="C11" s="702" t="s">
        <v>580</v>
      </c>
      <c r="D11" s="702"/>
      <c r="E11" s="702" t="s">
        <v>581</v>
      </c>
      <c r="F11" s="702"/>
      <c r="G11" s="702" t="s">
        <v>582</v>
      </c>
      <c r="H11" s="702"/>
      <c r="I11" s="476" t="s">
        <v>9</v>
      </c>
      <c r="J11" s="476" t="s">
        <v>5</v>
      </c>
      <c r="K11" s="41" t="s">
        <v>6</v>
      </c>
    </row>
    <row r="12" spans="1:12" x14ac:dyDescent="0.3">
      <c r="B12" s="685"/>
      <c r="C12" s="703"/>
      <c r="D12" s="703"/>
      <c r="E12" s="703"/>
      <c r="F12" s="703"/>
      <c r="G12" s="703"/>
      <c r="H12" s="703"/>
      <c r="I12" s="53"/>
      <c r="J12" s="53"/>
    </row>
    <row r="13" spans="1:12" x14ac:dyDescent="0.3">
      <c r="A13" s="41">
        <v>1</v>
      </c>
      <c r="B13" s="48" t="s">
        <v>583</v>
      </c>
      <c r="C13" s="704"/>
      <c r="D13" s="704"/>
      <c r="E13" s="704"/>
      <c r="F13" s="704"/>
      <c r="G13" s="704"/>
      <c r="H13" s="704"/>
      <c r="I13" s="53"/>
      <c r="J13" s="53"/>
      <c r="K13" s="41">
        <f>A13</f>
        <v>1</v>
      </c>
    </row>
    <row r="14" spans="1:12" x14ac:dyDescent="0.3">
      <c r="A14" s="41">
        <f>A13+1</f>
        <v>2</v>
      </c>
      <c r="B14" s="48" t="s">
        <v>584</v>
      </c>
      <c r="C14" s="64">
        <v>772.52322837828797</v>
      </c>
      <c r="D14" s="64"/>
      <c r="E14" s="64">
        <v>0</v>
      </c>
      <c r="F14" s="64"/>
      <c r="G14" s="64">
        <v>214.49058265600002</v>
      </c>
      <c r="H14" s="705"/>
      <c r="I14" s="689">
        <f>SUM(C14:G14)</f>
        <v>987.01381103428798</v>
      </c>
      <c r="J14" s="706" t="s">
        <v>585</v>
      </c>
      <c r="K14" s="41">
        <f>K13+1</f>
        <v>2</v>
      </c>
      <c r="L14" s="707"/>
    </row>
    <row r="15" spans="1:12" x14ac:dyDescent="0.3">
      <c r="A15" s="41">
        <f t="shared" ref="A15:A46" si="0">A14+1</f>
        <v>3</v>
      </c>
      <c r="B15" s="48" t="s">
        <v>586</v>
      </c>
      <c r="C15" s="178">
        <v>245.18064680224461</v>
      </c>
      <c r="D15" s="178"/>
      <c r="E15" s="178">
        <v>0</v>
      </c>
      <c r="F15" s="178"/>
      <c r="G15" s="178">
        <v>555.45000000000005</v>
      </c>
      <c r="H15" s="178"/>
      <c r="I15" s="40">
        <f>SUM(C15:G15)</f>
        <v>800.63064680224466</v>
      </c>
      <c r="J15" s="706" t="s">
        <v>585</v>
      </c>
      <c r="K15" s="41">
        <f t="shared" ref="K15:K46" si="1">K14+1</f>
        <v>3</v>
      </c>
    </row>
    <row r="16" spans="1:12" x14ac:dyDescent="0.3">
      <c r="A16" s="41">
        <f t="shared" si="0"/>
        <v>4</v>
      </c>
      <c r="B16" s="48" t="s">
        <v>587</v>
      </c>
      <c r="C16" s="178">
        <v>119232.95199162784</v>
      </c>
      <c r="D16" s="178"/>
      <c r="E16" s="178">
        <v>108238.52431003426</v>
      </c>
      <c r="F16" s="178"/>
      <c r="G16" s="178">
        <v>0</v>
      </c>
      <c r="H16" s="178"/>
      <c r="I16" s="40">
        <f>SUM(C16:G16)</f>
        <v>227471.4763016621</v>
      </c>
      <c r="J16" s="706" t="s">
        <v>585</v>
      </c>
      <c r="K16" s="41">
        <f t="shared" si="1"/>
        <v>4</v>
      </c>
    </row>
    <row r="17" spans="1:11" ht="16.2" thickBot="1" x14ac:dyDescent="0.35">
      <c r="A17" s="41">
        <f t="shared" si="0"/>
        <v>5</v>
      </c>
      <c r="B17" s="57" t="s">
        <v>588</v>
      </c>
      <c r="C17" s="708">
        <f>SUM(C14:C16)</f>
        <v>120250.65586680837</v>
      </c>
      <c r="D17" s="40"/>
      <c r="E17" s="708">
        <f>SUM(E14:E16)</f>
        <v>108238.52431003426</v>
      </c>
      <c r="F17" s="143"/>
      <c r="G17" s="708">
        <f>SUM(G14:G16)</f>
        <v>769.94058265600006</v>
      </c>
      <c r="H17" s="40"/>
      <c r="I17" s="708">
        <f>SUM(I14:I16)</f>
        <v>229259.12075949862</v>
      </c>
      <c r="J17" s="664" t="str">
        <f>"Sum Lines "&amp;A14&amp;" thru "&amp;A16</f>
        <v>Sum Lines 2 thru 4</v>
      </c>
      <c r="K17" s="41">
        <f t="shared" si="1"/>
        <v>5</v>
      </c>
    </row>
    <row r="18" spans="1:11" ht="16.2" thickTop="1" x14ac:dyDescent="0.3">
      <c r="A18" s="41">
        <f t="shared" si="0"/>
        <v>6</v>
      </c>
      <c r="C18" s="709"/>
      <c r="D18" s="709"/>
      <c r="E18" s="709"/>
      <c r="F18" s="709"/>
      <c r="G18" s="709"/>
      <c r="H18" s="709"/>
      <c r="I18" s="709"/>
      <c r="J18" s="709"/>
      <c r="K18" s="41">
        <f t="shared" si="1"/>
        <v>6</v>
      </c>
    </row>
    <row r="19" spans="1:11" x14ac:dyDescent="0.3">
      <c r="A19" s="41">
        <f t="shared" si="0"/>
        <v>7</v>
      </c>
      <c r="B19" s="48" t="s">
        <v>589</v>
      </c>
      <c r="C19" s="704"/>
      <c r="D19" s="704"/>
      <c r="E19" s="704"/>
      <c r="F19" s="704"/>
      <c r="G19" s="704"/>
      <c r="H19" s="704"/>
      <c r="I19" s="53"/>
      <c r="J19" s="53"/>
      <c r="K19" s="41">
        <f t="shared" si="1"/>
        <v>7</v>
      </c>
    </row>
    <row r="20" spans="1:11" x14ac:dyDescent="0.3">
      <c r="A20" s="41">
        <f t="shared" si="0"/>
        <v>8</v>
      </c>
      <c r="B20" s="710" t="s">
        <v>590</v>
      </c>
      <c r="C20" s="689">
        <v>-720245.32493159163</v>
      </c>
      <c r="D20" s="689"/>
      <c r="E20" s="689">
        <v>-372880.70933477907</v>
      </c>
      <c r="F20" s="689"/>
      <c r="G20" s="689">
        <v>-8049.9021669952472</v>
      </c>
      <c r="H20" s="689"/>
      <c r="I20" s="689">
        <f>SUM(C20:G20)</f>
        <v>-1101175.936433366</v>
      </c>
      <c r="J20" s="706" t="s">
        <v>591</v>
      </c>
      <c r="K20" s="41">
        <f t="shared" si="1"/>
        <v>8</v>
      </c>
    </row>
    <row r="21" spans="1:11" x14ac:dyDescent="0.3">
      <c r="A21" s="41">
        <f t="shared" si="0"/>
        <v>9</v>
      </c>
      <c r="C21" s="40">
        <v>0</v>
      </c>
      <c r="D21" s="40"/>
      <c r="E21" s="40">
        <v>0</v>
      </c>
      <c r="F21" s="40"/>
      <c r="G21" s="40">
        <v>0</v>
      </c>
      <c r="H21" s="40"/>
      <c r="I21" s="40">
        <f>SUM(C21:G21)</f>
        <v>0</v>
      </c>
      <c r="J21" s="40"/>
      <c r="K21" s="41">
        <f t="shared" si="1"/>
        <v>9</v>
      </c>
    </row>
    <row r="22" spans="1:11" ht="16.2" thickBot="1" x14ac:dyDescent="0.35">
      <c r="A22" s="41">
        <f t="shared" si="0"/>
        <v>10</v>
      </c>
      <c r="B22" s="57" t="s">
        <v>592</v>
      </c>
      <c r="C22" s="708">
        <f>SUM(C20:C21)</f>
        <v>-720245.32493159163</v>
      </c>
      <c r="D22" s="40"/>
      <c r="E22" s="708">
        <f>SUM(E20:E21)</f>
        <v>-372880.70933477907</v>
      </c>
      <c r="F22" s="143"/>
      <c r="G22" s="708">
        <f>SUM(G20:G21)</f>
        <v>-8049.9021669952472</v>
      </c>
      <c r="H22" s="40"/>
      <c r="I22" s="708">
        <f>SUM(I20:I21)</f>
        <v>-1101175.936433366</v>
      </c>
      <c r="J22" s="664" t="str">
        <f>"Sum Lines "&amp;A20&amp;" thru "&amp;A21</f>
        <v>Sum Lines 8 thru 9</v>
      </c>
      <c r="K22" s="41">
        <f t="shared" si="1"/>
        <v>10</v>
      </c>
    </row>
    <row r="23" spans="1:11" ht="16.2" thickTop="1" x14ac:dyDescent="0.3">
      <c r="A23" s="41">
        <f t="shared" si="0"/>
        <v>11</v>
      </c>
      <c r="K23" s="41">
        <f t="shared" si="1"/>
        <v>11</v>
      </c>
    </row>
    <row r="24" spans="1:11" x14ac:dyDescent="0.3">
      <c r="A24" s="41">
        <f t="shared" si="0"/>
        <v>12</v>
      </c>
      <c r="B24" s="48" t="s">
        <v>593</v>
      </c>
      <c r="C24" s="704"/>
      <c r="D24" s="704"/>
      <c r="E24" s="704"/>
      <c r="F24" s="704"/>
      <c r="G24" s="704"/>
      <c r="H24" s="704"/>
      <c r="I24" s="53"/>
      <c r="J24" s="41"/>
      <c r="K24" s="41">
        <f t="shared" si="1"/>
        <v>12</v>
      </c>
    </row>
    <row r="25" spans="1:11" x14ac:dyDescent="0.3">
      <c r="A25" s="41">
        <f t="shared" si="0"/>
        <v>13</v>
      </c>
      <c r="B25" s="48" t="s">
        <v>594</v>
      </c>
      <c r="C25" s="64">
        <v>-5987.5143200000075</v>
      </c>
      <c r="D25" s="64"/>
      <c r="E25" s="64">
        <v>0</v>
      </c>
      <c r="F25" s="64"/>
      <c r="G25" s="64">
        <v>0</v>
      </c>
      <c r="H25" s="705"/>
      <c r="I25" s="689">
        <f>SUM(C25:G25)</f>
        <v>-5987.5143200000075</v>
      </c>
      <c r="J25" s="706" t="s">
        <v>595</v>
      </c>
      <c r="K25" s="41">
        <f t="shared" si="1"/>
        <v>13</v>
      </c>
    </row>
    <row r="26" spans="1:11" x14ac:dyDescent="0.3">
      <c r="A26" s="41">
        <f t="shared" si="0"/>
        <v>14</v>
      </c>
      <c r="B26" s="48"/>
      <c r="C26" s="40">
        <v>0</v>
      </c>
      <c r="D26" s="40"/>
      <c r="E26" s="40">
        <v>0</v>
      </c>
      <c r="F26" s="40"/>
      <c r="G26" s="40">
        <v>0</v>
      </c>
      <c r="H26" s="40"/>
      <c r="I26" s="40">
        <f>SUM(C26:G26)</f>
        <v>0</v>
      </c>
      <c r="J26" s="40"/>
      <c r="K26" s="41">
        <f t="shared" si="1"/>
        <v>14</v>
      </c>
    </row>
    <row r="27" spans="1:11" ht="16.2" thickBot="1" x14ac:dyDescent="0.35">
      <c r="A27" s="41">
        <f t="shared" si="0"/>
        <v>15</v>
      </c>
      <c r="B27" s="57" t="s">
        <v>596</v>
      </c>
      <c r="C27" s="708">
        <f>SUM(C25:C26)</f>
        <v>-5987.5143200000075</v>
      </c>
      <c r="D27" s="40"/>
      <c r="E27" s="708">
        <f>SUM(E25:E26)</f>
        <v>0</v>
      </c>
      <c r="F27" s="143"/>
      <c r="G27" s="708">
        <f>SUM(G25:G26)</f>
        <v>0</v>
      </c>
      <c r="H27" s="40"/>
      <c r="I27" s="708">
        <f>SUM(I25:I26)</f>
        <v>-5987.5143200000075</v>
      </c>
      <c r="J27" s="664" t="str">
        <f>"Sum Lines "&amp;A25&amp;" thru "&amp;A26</f>
        <v>Sum Lines 13 thru 14</v>
      </c>
      <c r="K27" s="41">
        <f t="shared" si="1"/>
        <v>15</v>
      </c>
    </row>
    <row r="28" spans="1:11" ht="16.8" thickTop="1" thickBot="1" x14ac:dyDescent="0.35">
      <c r="A28" s="41">
        <f t="shared" si="0"/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41">
        <f t="shared" si="1"/>
        <v>16</v>
      </c>
    </row>
    <row r="29" spans="1:11" x14ac:dyDescent="0.3">
      <c r="A29" s="41">
        <f t="shared" si="0"/>
        <v>17</v>
      </c>
      <c r="K29" s="41">
        <f t="shared" si="1"/>
        <v>17</v>
      </c>
    </row>
    <row r="30" spans="1:11" x14ac:dyDescent="0.3">
      <c r="A30" s="41">
        <f t="shared" si="0"/>
        <v>18</v>
      </c>
      <c r="B30" s="48" t="s">
        <v>597</v>
      </c>
      <c r="C30" s="704"/>
      <c r="D30" s="704"/>
      <c r="E30" s="704"/>
      <c r="F30" s="704"/>
      <c r="G30" s="704"/>
      <c r="H30" s="704"/>
      <c r="I30" s="53"/>
      <c r="J30" s="53"/>
      <c r="K30" s="41">
        <f t="shared" si="1"/>
        <v>18</v>
      </c>
    </row>
    <row r="31" spans="1:11" x14ac:dyDescent="0.3">
      <c r="A31" s="41">
        <f t="shared" si="0"/>
        <v>19</v>
      </c>
      <c r="B31" s="48" t="s">
        <v>587</v>
      </c>
      <c r="C31" s="689">
        <v>0</v>
      </c>
      <c r="D31" s="689"/>
      <c r="E31" s="689">
        <v>0</v>
      </c>
      <c r="F31" s="689"/>
      <c r="G31" s="689">
        <v>0</v>
      </c>
      <c r="H31" s="64"/>
      <c r="I31" s="689">
        <f>SUM(C31:G31)</f>
        <v>0</v>
      </c>
      <c r="J31" s="711" t="s">
        <v>612</v>
      </c>
      <c r="K31" s="41">
        <f t="shared" si="1"/>
        <v>19</v>
      </c>
    </row>
    <row r="32" spans="1:11" x14ac:dyDescent="0.3">
      <c r="A32" s="41">
        <f t="shared" si="0"/>
        <v>20</v>
      </c>
      <c r="C32" s="40">
        <v>0</v>
      </c>
      <c r="D32" s="40"/>
      <c r="E32" s="40">
        <v>0</v>
      </c>
      <c r="F32" s="40"/>
      <c r="G32" s="40">
        <v>0</v>
      </c>
      <c r="H32" s="40"/>
      <c r="I32" s="40">
        <f>SUM(C32:G32)</f>
        <v>0</v>
      </c>
      <c r="J32" s="40"/>
      <c r="K32" s="41">
        <f t="shared" si="1"/>
        <v>20</v>
      </c>
    </row>
    <row r="33" spans="1:11" ht="16.2" thickBot="1" x14ac:dyDescent="0.35">
      <c r="A33" s="41">
        <f t="shared" si="0"/>
        <v>21</v>
      </c>
      <c r="B33" s="57" t="s">
        <v>588</v>
      </c>
      <c r="C33" s="708">
        <f>SUM(C31:C32)</f>
        <v>0</v>
      </c>
      <c r="D33" s="40"/>
      <c r="E33" s="708">
        <f>SUM(E31:E32)</f>
        <v>0</v>
      </c>
      <c r="F33" s="143"/>
      <c r="G33" s="708">
        <f>SUM(G31:G32)</f>
        <v>0</v>
      </c>
      <c r="H33" s="40"/>
      <c r="I33" s="708">
        <f>SUM(I31:I32)</f>
        <v>0</v>
      </c>
      <c r="J33" s="664" t="str">
        <f>"Sum Lines "&amp;A31&amp;" thru "&amp;A32</f>
        <v>Sum Lines 19 thru 20</v>
      </c>
      <c r="K33" s="41">
        <f t="shared" si="1"/>
        <v>21</v>
      </c>
    </row>
    <row r="34" spans="1:11" ht="16.2" thickTop="1" x14ac:dyDescent="0.3">
      <c r="A34" s="41">
        <f t="shared" si="0"/>
        <v>22</v>
      </c>
      <c r="C34" s="709"/>
      <c r="D34" s="709"/>
      <c r="E34" s="709"/>
      <c r="F34" s="709"/>
      <c r="G34" s="709"/>
      <c r="H34" s="709"/>
      <c r="I34" s="709"/>
      <c r="J34" s="709"/>
      <c r="K34" s="41">
        <f t="shared" si="1"/>
        <v>22</v>
      </c>
    </row>
    <row r="35" spans="1:11" x14ac:dyDescent="0.3">
      <c r="A35" s="41">
        <f t="shared" si="0"/>
        <v>23</v>
      </c>
      <c r="B35" s="48" t="s">
        <v>598</v>
      </c>
      <c r="C35" s="704"/>
      <c r="D35" s="704"/>
      <c r="E35" s="704"/>
      <c r="F35" s="704"/>
      <c r="G35" s="704"/>
      <c r="H35" s="704"/>
      <c r="I35" s="53"/>
      <c r="J35" s="53"/>
      <c r="K35" s="41">
        <f t="shared" si="1"/>
        <v>23</v>
      </c>
    </row>
    <row r="36" spans="1:11" x14ac:dyDescent="0.3">
      <c r="A36" s="41">
        <f t="shared" si="0"/>
        <v>24</v>
      </c>
      <c r="B36" s="710" t="s">
        <v>590</v>
      </c>
      <c r="C36" s="689">
        <v>-2872.3400080000001</v>
      </c>
      <c r="D36" s="689"/>
      <c r="E36" s="689">
        <v>0</v>
      </c>
      <c r="F36" s="689"/>
      <c r="G36" s="689">
        <v>0</v>
      </c>
      <c r="H36" s="689"/>
      <c r="I36" s="689">
        <f>SUM(C36:G36)</f>
        <v>-2872.3400080000001</v>
      </c>
      <c r="J36" s="706" t="s">
        <v>599</v>
      </c>
      <c r="K36" s="41">
        <f t="shared" si="1"/>
        <v>24</v>
      </c>
    </row>
    <row r="37" spans="1:11" x14ac:dyDescent="0.3">
      <c r="A37" s="41">
        <f t="shared" si="0"/>
        <v>25</v>
      </c>
      <c r="C37" s="40">
        <v>0</v>
      </c>
      <c r="D37" s="40"/>
      <c r="E37" s="40">
        <v>0</v>
      </c>
      <c r="F37" s="40"/>
      <c r="G37" s="40">
        <v>0</v>
      </c>
      <c r="H37" s="40"/>
      <c r="I37" s="40">
        <f>SUM(C37:G37)</f>
        <v>0</v>
      </c>
      <c r="J37" s="40"/>
      <c r="K37" s="41">
        <f t="shared" si="1"/>
        <v>25</v>
      </c>
    </row>
    <row r="38" spans="1:11" ht="16.2" thickBot="1" x14ac:dyDescent="0.35">
      <c r="A38" s="41">
        <f t="shared" si="0"/>
        <v>26</v>
      </c>
      <c r="B38" s="57" t="s">
        <v>592</v>
      </c>
      <c r="C38" s="708">
        <f>SUM(C36:C37)</f>
        <v>-2872.3400080000001</v>
      </c>
      <c r="D38" s="40"/>
      <c r="E38" s="708">
        <f>SUM(E36:E37)</f>
        <v>0</v>
      </c>
      <c r="F38" s="143"/>
      <c r="G38" s="708">
        <f>SUM(G36:G37)</f>
        <v>0</v>
      </c>
      <c r="H38" s="40"/>
      <c r="I38" s="708">
        <f>SUM(I36:I37)</f>
        <v>-2872.3400080000001</v>
      </c>
      <c r="J38" s="664" t="str">
        <f>"Sum Lines "&amp;A36&amp;" thru "&amp;A37</f>
        <v>Sum Lines 24 thru 25</v>
      </c>
      <c r="K38" s="41">
        <f t="shared" si="1"/>
        <v>26</v>
      </c>
    </row>
    <row r="39" spans="1:11" ht="16.2" thickTop="1" x14ac:dyDescent="0.3">
      <c r="A39" s="41">
        <f t="shared" si="0"/>
        <v>27</v>
      </c>
      <c r="K39" s="41">
        <f t="shared" si="1"/>
        <v>27</v>
      </c>
    </row>
    <row r="40" spans="1:11" x14ac:dyDescent="0.3">
      <c r="A40" s="41">
        <f t="shared" si="0"/>
        <v>28</v>
      </c>
      <c r="B40" s="48" t="s">
        <v>600</v>
      </c>
      <c r="C40" s="704"/>
      <c r="D40" s="704"/>
      <c r="E40" s="704"/>
      <c r="F40" s="704"/>
      <c r="G40" s="704"/>
      <c r="H40" s="704"/>
      <c r="I40" s="53"/>
      <c r="J40" s="41"/>
      <c r="K40" s="41">
        <f t="shared" si="1"/>
        <v>28</v>
      </c>
    </row>
    <row r="41" spans="1:11" x14ac:dyDescent="0.3">
      <c r="A41" s="41">
        <f t="shared" si="0"/>
        <v>29</v>
      </c>
      <c r="B41" s="48"/>
      <c r="C41" s="689">
        <v>0</v>
      </c>
      <c r="D41" s="689"/>
      <c r="E41" s="689">
        <v>0</v>
      </c>
      <c r="F41" s="689"/>
      <c r="G41" s="689">
        <v>0</v>
      </c>
      <c r="H41" s="689"/>
      <c r="I41" s="689">
        <f>SUM(C41:G41)</f>
        <v>0</v>
      </c>
      <c r="J41" s="711" t="s">
        <v>612</v>
      </c>
      <c r="K41" s="41">
        <f t="shared" si="1"/>
        <v>29</v>
      </c>
    </row>
    <row r="42" spans="1:11" x14ac:dyDescent="0.3">
      <c r="A42" s="41">
        <f t="shared" si="0"/>
        <v>30</v>
      </c>
      <c r="B42" s="48"/>
      <c r="C42" s="40">
        <v>0</v>
      </c>
      <c r="D42" s="40"/>
      <c r="E42" s="40">
        <v>0</v>
      </c>
      <c r="F42" s="40"/>
      <c r="G42" s="40">
        <v>0</v>
      </c>
      <c r="H42" s="40"/>
      <c r="I42" s="40">
        <f>SUM(C42:G42)</f>
        <v>0</v>
      </c>
      <c r="J42" s="40"/>
      <c r="K42" s="41">
        <f t="shared" si="1"/>
        <v>30</v>
      </c>
    </row>
    <row r="43" spans="1:11" ht="16.2" thickBot="1" x14ac:dyDescent="0.35">
      <c r="A43" s="41">
        <f t="shared" si="0"/>
        <v>31</v>
      </c>
      <c r="B43" s="57" t="s">
        <v>596</v>
      </c>
      <c r="C43" s="708">
        <f>SUM(C41:C42)</f>
        <v>0</v>
      </c>
      <c r="D43" s="40"/>
      <c r="E43" s="708">
        <f>SUM(E41:E42)</f>
        <v>0</v>
      </c>
      <c r="F43" s="143"/>
      <c r="G43" s="708">
        <f>SUM(G41:G42)</f>
        <v>0</v>
      </c>
      <c r="H43" s="40"/>
      <c r="I43" s="708">
        <f>SUM(I41:I42)</f>
        <v>0</v>
      </c>
      <c r="J43" s="664" t="str">
        <f>"Sum Lines "&amp;A41&amp;" thru "&amp;A42</f>
        <v>Sum Lines 29 thru 30</v>
      </c>
      <c r="K43" s="41">
        <f t="shared" si="1"/>
        <v>31</v>
      </c>
    </row>
    <row r="44" spans="1:11" ht="16.8" thickTop="1" thickBot="1" x14ac:dyDescent="0.35">
      <c r="A44" s="41">
        <f t="shared" si="0"/>
        <v>32</v>
      </c>
      <c r="B44" s="712"/>
      <c r="C44" s="713"/>
      <c r="D44" s="714"/>
      <c r="E44" s="713"/>
      <c r="F44" s="713"/>
      <c r="G44" s="713"/>
      <c r="H44" s="714"/>
      <c r="I44" s="713"/>
      <c r="J44" s="715"/>
      <c r="K44" s="41">
        <f t="shared" si="1"/>
        <v>32</v>
      </c>
    </row>
    <row r="45" spans="1:11" x14ac:dyDescent="0.3">
      <c r="A45" s="41">
        <f t="shared" si="0"/>
        <v>33</v>
      </c>
      <c r="B45" s="57"/>
      <c r="C45" s="143"/>
      <c r="D45" s="40"/>
      <c r="E45" s="143"/>
      <c r="F45" s="143"/>
      <c r="G45" s="143"/>
      <c r="H45" s="40"/>
      <c r="I45" s="143"/>
      <c r="J45" s="664"/>
      <c r="K45" s="41">
        <f t="shared" si="1"/>
        <v>33</v>
      </c>
    </row>
    <row r="46" spans="1:11" x14ac:dyDescent="0.3">
      <c r="A46" s="41">
        <f t="shared" si="0"/>
        <v>34</v>
      </c>
      <c r="B46" s="716" t="s">
        <v>570</v>
      </c>
      <c r="C46" s="33">
        <v>0</v>
      </c>
      <c r="D46" s="40"/>
      <c r="E46" s="33">
        <v>0</v>
      </c>
      <c r="F46" s="143"/>
      <c r="G46" s="33">
        <v>0</v>
      </c>
      <c r="H46" s="40"/>
      <c r="I46" s="689">
        <f>SUM(C46:G46)</f>
        <v>0</v>
      </c>
      <c r="J46" s="711" t="s">
        <v>612</v>
      </c>
      <c r="K46" s="41">
        <f t="shared" si="1"/>
        <v>34</v>
      </c>
    </row>
    <row r="47" spans="1:11" x14ac:dyDescent="0.3">
      <c r="B47" s="57"/>
      <c r="C47" s="143"/>
      <c r="D47" s="40"/>
      <c r="E47" s="143"/>
      <c r="F47" s="143"/>
      <c r="G47" s="143"/>
      <c r="H47" s="40"/>
      <c r="I47" s="143"/>
      <c r="J47" s="664"/>
    </row>
    <row r="48" spans="1:11" x14ac:dyDescent="0.3">
      <c r="I48" s="707"/>
    </row>
    <row r="49" spans="1:9" ht="18" x14ac:dyDescent="0.3">
      <c r="A49" s="717"/>
      <c r="B49" s="716"/>
      <c r="I49" s="707"/>
    </row>
  </sheetData>
  <mergeCells count="5">
    <mergeCell ref="B3:J3"/>
    <mergeCell ref="B4:J4"/>
    <mergeCell ref="B5:J5"/>
    <mergeCell ref="B6:J6"/>
    <mergeCell ref="B7:J7"/>
  </mergeCells>
  <printOptions horizontalCentered="1"/>
  <pageMargins left="0.25" right="0.25" top="0.5" bottom="0.5" header="0.35" footer="0.25"/>
  <pageSetup scale="62" orientation="landscape" r:id="rId1"/>
  <headerFooter scaleWithDoc="0" alignWithMargins="0">
    <oddHeader>&amp;C&amp;"Times New Roman,Bold"&amp;8AS FILED</oddHeader>
    <oddFooter>&amp;CPage 8.2A&amp;R&amp;F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4E612-EC09-4187-B07F-59459C626E1F}">
  <sheetPr>
    <pageSetUpPr fitToPage="1"/>
  </sheetPr>
  <dimension ref="A1:N49"/>
  <sheetViews>
    <sheetView zoomScale="80" zoomScaleNormal="80" workbookViewId="0"/>
  </sheetViews>
  <sheetFormatPr defaultColWidth="8.77734375" defaultRowHeight="15.6" x14ac:dyDescent="0.3"/>
  <cols>
    <col min="1" max="1" width="5.77734375" style="41" customWidth="1"/>
    <col min="2" max="2" width="62.77734375" style="42" bestFit="1" customWidth="1"/>
    <col min="3" max="3" width="16.77734375" style="42" customWidth="1"/>
    <col min="4" max="4" width="1.6640625" style="42" customWidth="1"/>
    <col min="5" max="5" width="16.77734375" style="42" customWidth="1"/>
    <col min="6" max="6" width="1.6640625" style="42" customWidth="1"/>
    <col min="7" max="7" width="16.77734375" style="42" customWidth="1"/>
    <col min="8" max="8" width="1.6640625" style="42" customWidth="1"/>
    <col min="9" max="9" width="23.33203125" style="42" bestFit="1" customWidth="1"/>
    <col min="10" max="10" width="2" style="42" bestFit="1" customWidth="1"/>
    <col min="11" max="11" width="62.6640625" style="42" customWidth="1"/>
    <col min="12" max="12" width="5.109375" style="41" customWidth="1"/>
    <col min="13" max="13" width="8.77734375" style="42"/>
    <col min="14" max="14" width="17.21875" style="42" bestFit="1" customWidth="1"/>
    <col min="15" max="16384" width="8.77734375" style="42"/>
  </cols>
  <sheetData>
    <row r="1" spans="1:12" x14ac:dyDescent="0.3">
      <c r="A1" s="718"/>
    </row>
    <row r="2" spans="1:12" x14ac:dyDescent="0.3">
      <c r="B2" s="815" t="s">
        <v>24</v>
      </c>
      <c r="C2" s="815"/>
      <c r="D2" s="815"/>
      <c r="E2" s="815"/>
      <c r="F2" s="815"/>
      <c r="G2" s="815"/>
      <c r="H2" s="815"/>
      <c r="I2" s="815"/>
      <c r="J2" s="815"/>
      <c r="K2" s="815"/>
    </row>
    <row r="3" spans="1:12" x14ac:dyDescent="0.3">
      <c r="B3" s="815" t="s">
        <v>575</v>
      </c>
      <c r="C3" s="815"/>
      <c r="D3" s="815"/>
      <c r="E3" s="815"/>
      <c r="F3" s="815"/>
      <c r="G3" s="815"/>
      <c r="H3" s="815"/>
      <c r="I3" s="815"/>
      <c r="J3" s="815"/>
      <c r="K3" s="815"/>
    </row>
    <row r="4" spans="1:12" x14ac:dyDescent="0.3">
      <c r="B4" s="815" t="s">
        <v>576</v>
      </c>
      <c r="C4" s="815"/>
      <c r="D4" s="815"/>
      <c r="E4" s="815"/>
      <c r="F4" s="815"/>
      <c r="G4" s="815"/>
      <c r="H4" s="815"/>
      <c r="I4" s="815"/>
      <c r="J4" s="815"/>
      <c r="K4" s="815"/>
    </row>
    <row r="5" spans="1:12" x14ac:dyDescent="0.3">
      <c r="B5" s="815" t="s">
        <v>613</v>
      </c>
      <c r="C5" s="815"/>
      <c r="D5" s="815"/>
      <c r="E5" s="815"/>
      <c r="F5" s="815"/>
      <c r="G5" s="815"/>
      <c r="H5" s="815"/>
      <c r="I5" s="815"/>
      <c r="J5" s="815"/>
      <c r="K5" s="815"/>
    </row>
    <row r="6" spans="1:12" ht="15.75" customHeight="1" x14ac:dyDescent="0.3">
      <c r="B6" s="817" t="s">
        <v>1</v>
      </c>
      <c r="C6" s="817"/>
      <c r="D6" s="817"/>
      <c r="E6" s="817"/>
      <c r="F6" s="817"/>
      <c r="G6" s="817"/>
      <c r="H6" s="817"/>
      <c r="I6" s="817"/>
      <c r="J6" s="817"/>
      <c r="K6" s="817"/>
    </row>
    <row r="8" spans="1:12" x14ac:dyDescent="0.3">
      <c r="B8" s="723"/>
      <c r="C8" s="722" t="s">
        <v>10</v>
      </c>
      <c r="D8" s="722"/>
      <c r="E8" s="722" t="s">
        <v>56</v>
      </c>
      <c r="F8" s="722"/>
      <c r="G8" s="722" t="s">
        <v>170</v>
      </c>
      <c r="H8" s="722"/>
      <c r="I8" s="722" t="s">
        <v>577</v>
      </c>
      <c r="J8" s="722"/>
      <c r="K8" s="722"/>
    </row>
    <row r="9" spans="1:12" x14ac:dyDescent="0.3">
      <c r="A9" s="41" t="s">
        <v>2</v>
      </c>
      <c r="B9" s="723"/>
      <c r="C9" s="722" t="s">
        <v>578</v>
      </c>
      <c r="D9" s="722"/>
      <c r="E9" s="722" t="s">
        <v>579</v>
      </c>
      <c r="F9" s="722"/>
      <c r="G9" s="722" t="s">
        <v>579</v>
      </c>
      <c r="H9" s="722"/>
      <c r="I9" s="722"/>
      <c r="J9" s="722"/>
      <c r="K9" s="722"/>
      <c r="L9" s="41" t="s">
        <v>2</v>
      </c>
    </row>
    <row r="10" spans="1:12" x14ac:dyDescent="0.3">
      <c r="A10" s="41" t="s">
        <v>6</v>
      </c>
      <c r="B10" s="476" t="s">
        <v>3</v>
      </c>
      <c r="C10" s="702" t="s">
        <v>580</v>
      </c>
      <c r="D10" s="702"/>
      <c r="E10" s="702" t="s">
        <v>581</v>
      </c>
      <c r="F10" s="702"/>
      <c r="G10" s="702" t="s">
        <v>582</v>
      </c>
      <c r="H10" s="702"/>
      <c r="I10" s="476" t="s">
        <v>9</v>
      </c>
      <c r="J10" s="476"/>
      <c r="K10" s="476" t="s">
        <v>5</v>
      </c>
      <c r="L10" s="41" t="s">
        <v>6</v>
      </c>
    </row>
    <row r="11" spans="1:12" x14ac:dyDescent="0.3">
      <c r="B11" s="723"/>
      <c r="C11" s="703"/>
      <c r="D11" s="703"/>
      <c r="E11" s="703"/>
      <c r="F11" s="703"/>
      <c r="G11" s="703"/>
      <c r="H11" s="703"/>
      <c r="I11" s="53"/>
      <c r="J11" s="53"/>
      <c r="K11" s="53"/>
    </row>
    <row r="12" spans="1:12" x14ac:dyDescent="0.3">
      <c r="A12" s="41">
        <v>1</v>
      </c>
      <c r="B12" s="48" t="s">
        <v>583</v>
      </c>
      <c r="C12" s="704"/>
      <c r="D12" s="704"/>
      <c r="E12" s="704"/>
      <c r="F12" s="704"/>
      <c r="G12" s="704"/>
      <c r="H12" s="704"/>
      <c r="I12" s="53"/>
      <c r="J12" s="53"/>
      <c r="K12" s="53"/>
      <c r="L12" s="41">
        <f>A12</f>
        <v>1</v>
      </c>
    </row>
    <row r="13" spans="1:12" x14ac:dyDescent="0.3">
      <c r="A13" s="41">
        <f>A12+1</f>
        <v>2</v>
      </c>
      <c r="B13" s="48" t="s">
        <v>584</v>
      </c>
      <c r="C13" s="64">
        <v>1631.0041476828096</v>
      </c>
      <c r="D13" s="64"/>
      <c r="E13" s="64">
        <v>0</v>
      </c>
      <c r="F13" s="64"/>
      <c r="G13" s="64">
        <v>214.49058265600002</v>
      </c>
      <c r="H13" s="705"/>
      <c r="I13" s="689">
        <f>SUM(C13:G13)</f>
        <v>1845.4947303388096</v>
      </c>
      <c r="J13" s="689"/>
      <c r="K13" s="706" t="s">
        <v>601</v>
      </c>
      <c r="L13" s="41">
        <f>L12+1</f>
        <v>2</v>
      </c>
    </row>
    <row r="14" spans="1:12" x14ac:dyDescent="0.3">
      <c r="A14" s="41">
        <f t="shared" ref="A14:A45" si="0">A13+1</f>
        <v>3</v>
      </c>
      <c r="B14" s="48" t="s">
        <v>586</v>
      </c>
      <c r="C14" s="178">
        <v>228.70718375781695</v>
      </c>
      <c r="D14" s="178"/>
      <c r="E14" s="178">
        <v>0</v>
      </c>
      <c r="F14" s="178"/>
      <c r="G14" s="178">
        <v>181.15539416209805</v>
      </c>
      <c r="H14" s="178"/>
      <c r="I14" s="40">
        <f>SUM(C14:G14)</f>
        <v>409.862577919915</v>
      </c>
      <c r="J14" s="40"/>
      <c r="K14" s="706" t="s">
        <v>601</v>
      </c>
      <c r="L14" s="41">
        <f t="shared" ref="L14:L45" si="1">L13+1</f>
        <v>3</v>
      </c>
    </row>
    <row r="15" spans="1:12" x14ac:dyDescent="0.3">
      <c r="A15" s="41">
        <f t="shared" si="0"/>
        <v>4</v>
      </c>
      <c r="B15" s="48" t="s">
        <v>587</v>
      </c>
      <c r="C15" s="178">
        <v>57302.915114485193</v>
      </c>
      <c r="D15" s="178"/>
      <c r="E15" s="178">
        <v>106710.32358551471</v>
      </c>
      <c r="F15" s="178"/>
      <c r="G15" s="178">
        <v>0</v>
      </c>
      <c r="H15" s="178"/>
      <c r="I15" s="40">
        <f>SUM(C15:G15)</f>
        <v>164013.2386999999</v>
      </c>
      <c r="J15" s="40"/>
      <c r="K15" s="706" t="s">
        <v>601</v>
      </c>
      <c r="L15" s="41">
        <f t="shared" si="1"/>
        <v>4</v>
      </c>
    </row>
    <row r="16" spans="1:12" ht="16.2" thickBot="1" x14ac:dyDescent="0.35">
      <c r="A16" s="41">
        <f t="shared" si="0"/>
        <v>5</v>
      </c>
      <c r="B16" s="57" t="s">
        <v>588</v>
      </c>
      <c r="C16" s="66">
        <f>SUM(C13:C15)</f>
        <v>59162.626445925816</v>
      </c>
      <c r="D16" s="40"/>
      <c r="E16" s="66">
        <f>SUM(E13:E15)</f>
        <v>106710.32358551471</v>
      </c>
      <c r="F16" s="157"/>
      <c r="G16" s="66">
        <f>SUM(G13:G15)</f>
        <v>395.64597681809806</v>
      </c>
      <c r="H16" s="40"/>
      <c r="I16" s="66">
        <f>SUM(I13:I15)</f>
        <v>166268.59600825864</v>
      </c>
      <c r="J16" s="143"/>
      <c r="K16" s="664" t="str">
        <f>"Sum Lines "&amp;A13&amp;" thru "&amp;A15</f>
        <v>Sum Lines 2 thru 4</v>
      </c>
      <c r="L16" s="41">
        <f t="shared" si="1"/>
        <v>5</v>
      </c>
    </row>
    <row r="17" spans="1:14" ht="16.2" thickTop="1" x14ac:dyDescent="0.3">
      <c r="A17" s="41">
        <f t="shared" si="0"/>
        <v>6</v>
      </c>
      <c r="C17" s="709"/>
      <c r="D17" s="709"/>
      <c r="E17" s="709"/>
      <c r="F17" s="709"/>
      <c r="G17" s="709"/>
      <c r="H17" s="709"/>
      <c r="I17" s="709"/>
      <c r="J17" s="709"/>
      <c r="K17" s="709"/>
      <c r="L17" s="41">
        <f t="shared" si="1"/>
        <v>6</v>
      </c>
    </row>
    <row r="18" spans="1:14" x14ac:dyDescent="0.3">
      <c r="A18" s="41">
        <f t="shared" si="0"/>
        <v>7</v>
      </c>
      <c r="B18" s="48" t="s">
        <v>589</v>
      </c>
      <c r="C18" s="704"/>
      <c r="D18" s="704"/>
      <c r="E18" s="704"/>
      <c r="F18" s="704"/>
      <c r="G18" s="704"/>
      <c r="H18" s="704"/>
      <c r="I18" s="53"/>
      <c r="J18" s="53"/>
      <c r="K18" s="53"/>
      <c r="L18" s="41">
        <f t="shared" si="1"/>
        <v>7</v>
      </c>
    </row>
    <row r="19" spans="1:14" x14ac:dyDescent="0.3">
      <c r="A19" s="41">
        <f t="shared" si="0"/>
        <v>8</v>
      </c>
      <c r="B19" s="710" t="s">
        <v>590</v>
      </c>
      <c r="C19" s="731">
        <v>-748685.48836096679</v>
      </c>
      <c r="D19" s="27" t="s">
        <v>16</v>
      </c>
      <c r="E19" s="731">
        <v>-374936.34452875692</v>
      </c>
      <c r="F19" s="27" t="s">
        <v>16</v>
      </c>
      <c r="G19" s="689">
        <v>-6419.03</v>
      </c>
      <c r="H19" s="689"/>
      <c r="I19" s="731">
        <f>SUM(C19:G19)</f>
        <v>-1130040.8628897236</v>
      </c>
      <c r="J19" s="27" t="s">
        <v>16</v>
      </c>
      <c r="K19" s="706" t="s">
        <v>602</v>
      </c>
      <c r="L19" s="41">
        <f t="shared" si="1"/>
        <v>8</v>
      </c>
      <c r="N19" s="40"/>
    </row>
    <row r="20" spans="1:14" x14ac:dyDescent="0.3">
      <c r="A20" s="41">
        <f t="shared" si="0"/>
        <v>9</v>
      </c>
      <c r="C20" s="40">
        <v>0</v>
      </c>
      <c r="D20" s="40"/>
      <c r="E20" s="40">
        <v>0</v>
      </c>
      <c r="F20" s="40"/>
      <c r="G20" s="40">
        <v>0</v>
      </c>
      <c r="H20" s="40"/>
      <c r="I20" s="40">
        <f>SUM(C20:G20)</f>
        <v>0</v>
      </c>
      <c r="J20" s="40"/>
      <c r="K20" s="40"/>
      <c r="L20" s="41">
        <f t="shared" si="1"/>
        <v>9</v>
      </c>
    </row>
    <row r="21" spans="1:14" ht="16.2" thickBot="1" x14ac:dyDescent="0.35">
      <c r="A21" s="41">
        <f t="shared" si="0"/>
        <v>10</v>
      </c>
      <c r="B21" s="57" t="s">
        <v>592</v>
      </c>
      <c r="C21" s="708">
        <f>SUM(C19:C20)</f>
        <v>-748685.48836096679</v>
      </c>
      <c r="D21" s="27" t="s">
        <v>16</v>
      </c>
      <c r="E21" s="708">
        <f>SUM(E19:E20)</f>
        <v>-374936.34452875692</v>
      </c>
      <c r="F21" s="27" t="s">
        <v>16</v>
      </c>
      <c r="G21" s="66">
        <f>SUM(G19:G20)</f>
        <v>-6419.03</v>
      </c>
      <c r="H21" s="40"/>
      <c r="I21" s="708">
        <f>SUM(I19:I20)</f>
        <v>-1130040.8628897236</v>
      </c>
      <c r="J21" s="27" t="s">
        <v>16</v>
      </c>
      <c r="K21" s="664" t="str">
        <f>"Sum Lines "&amp;A19&amp;" thru "&amp;A20</f>
        <v>Sum Lines 8 thru 9</v>
      </c>
      <c r="L21" s="41">
        <f t="shared" si="1"/>
        <v>10</v>
      </c>
    </row>
    <row r="22" spans="1:14" ht="16.2" thickTop="1" x14ac:dyDescent="0.3">
      <c r="A22" s="41">
        <f t="shared" si="0"/>
        <v>11</v>
      </c>
      <c r="L22" s="41">
        <f t="shared" si="1"/>
        <v>11</v>
      </c>
    </row>
    <row r="23" spans="1:14" x14ac:dyDescent="0.3">
      <c r="A23" s="41">
        <f t="shared" si="0"/>
        <v>12</v>
      </c>
      <c r="B23" s="48" t="s">
        <v>593</v>
      </c>
      <c r="C23" s="704"/>
      <c r="D23" s="704"/>
      <c r="E23" s="704"/>
      <c r="F23" s="704"/>
      <c r="G23" s="704"/>
      <c r="H23" s="704"/>
      <c r="I23" s="53"/>
      <c r="J23" s="53"/>
      <c r="K23" s="41"/>
      <c r="L23" s="41">
        <f t="shared" si="1"/>
        <v>12</v>
      </c>
    </row>
    <row r="24" spans="1:14" x14ac:dyDescent="0.3">
      <c r="A24" s="41">
        <f t="shared" si="0"/>
        <v>13</v>
      </c>
      <c r="B24" s="48" t="s">
        <v>594</v>
      </c>
      <c r="C24" s="64">
        <v>-7906.4293200000075</v>
      </c>
      <c r="D24" s="64"/>
      <c r="E24" s="64">
        <v>0</v>
      </c>
      <c r="F24" s="64"/>
      <c r="G24" s="64">
        <v>0</v>
      </c>
      <c r="H24" s="705"/>
      <c r="I24" s="689">
        <f>SUM(C24:G24)</f>
        <v>-7906.4293200000075</v>
      </c>
      <c r="J24" s="689"/>
      <c r="K24" s="706" t="s">
        <v>603</v>
      </c>
      <c r="L24" s="41">
        <f t="shared" si="1"/>
        <v>13</v>
      </c>
    </row>
    <row r="25" spans="1:14" x14ac:dyDescent="0.3">
      <c r="A25" s="41">
        <f t="shared" si="0"/>
        <v>14</v>
      </c>
      <c r="B25" s="48"/>
      <c r="C25" s="40">
        <v>0</v>
      </c>
      <c r="D25" s="40"/>
      <c r="E25" s="40">
        <v>0</v>
      </c>
      <c r="F25" s="40"/>
      <c r="G25" s="40">
        <v>0</v>
      </c>
      <c r="H25" s="40"/>
      <c r="I25" s="40">
        <f>SUM(C25:G25)</f>
        <v>0</v>
      </c>
      <c r="J25" s="40"/>
      <c r="K25" s="40"/>
      <c r="L25" s="41">
        <f t="shared" si="1"/>
        <v>14</v>
      </c>
    </row>
    <row r="26" spans="1:14" ht="16.2" thickBot="1" x14ac:dyDescent="0.35">
      <c r="A26" s="41">
        <f t="shared" si="0"/>
        <v>15</v>
      </c>
      <c r="B26" s="57" t="s">
        <v>596</v>
      </c>
      <c r="C26" s="66">
        <f>SUM(C24:C25)</f>
        <v>-7906.4293200000075</v>
      </c>
      <c r="D26" s="40"/>
      <c r="E26" s="66">
        <f>SUM(E24:E25)</f>
        <v>0</v>
      </c>
      <c r="F26" s="157"/>
      <c r="G26" s="66">
        <f>SUM(G24:G25)</f>
        <v>0</v>
      </c>
      <c r="H26" s="40"/>
      <c r="I26" s="66">
        <f>SUM(I24:I25)</f>
        <v>-7906.4293200000075</v>
      </c>
      <c r="J26" s="143"/>
      <c r="K26" s="664" t="str">
        <f>"Sum Lines "&amp;A24&amp;" thru "&amp;A25</f>
        <v>Sum Lines 13 thru 14</v>
      </c>
      <c r="L26" s="41">
        <f t="shared" si="1"/>
        <v>15</v>
      </c>
    </row>
    <row r="27" spans="1:14" ht="16.8" thickTop="1" thickBot="1" x14ac:dyDescent="0.35">
      <c r="A27" s="41">
        <f t="shared" si="0"/>
        <v>16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41">
        <f t="shared" si="1"/>
        <v>16</v>
      </c>
    </row>
    <row r="28" spans="1:14" x14ac:dyDescent="0.3">
      <c r="A28" s="41">
        <f t="shared" si="0"/>
        <v>17</v>
      </c>
      <c r="L28" s="41">
        <f t="shared" si="1"/>
        <v>17</v>
      </c>
    </row>
    <row r="29" spans="1:14" x14ac:dyDescent="0.3">
      <c r="A29" s="41">
        <f t="shared" si="0"/>
        <v>18</v>
      </c>
      <c r="B29" s="48" t="s">
        <v>597</v>
      </c>
      <c r="C29" s="704"/>
      <c r="D29" s="704"/>
      <c r="E29" s="704"/>
      <c r="F29" s="704"/>
      <c r="G29" s="704"/>
      <c r="H29" s="704"/>
      <c r="I29" s="53"/>
      <c r="J29" s="53"/>
      <c r="K29" s="53"/>
      <c r="L29" s="41">
        <f t="shared" si="1"/>
        <v>18</v>
      </c>
    </row>
    <row r="30" spans="1:14" x14ac:dyDescent="0.3">
      <c r="A30" s="41">
        <f t="shared" si="0"/>
        <v>19</v>
      </c>
      <c r="B30" s="48" t="s">
        <v>587</v>
      </c>
      <c r="C30" s="689">
        <v>0</v>
      </c>
      <c r="D30" s="689"/>
      <c r="E30" s="689">
        <v>0</v>
      </c>
      <c r="F30" s="689"/>
      <c r="G30" s="689">
        <v>0</v>
      </c>
      <c r="H30" s="64"/>
      <c r="I30" s="689">
        <f>SUM(C30:G30)</f>
        <v>0</v>
      </c>
      <c r="J30" s="689"/>
      <c r="K30" s="706" t="s">
        <v>535</v>
      </c>
      <c r="L30" s="41">
        <f t="shared" si="1"/>
        <v>19</v>
      </c>
    </row>
    <row r="31" spans="1:14" x14ac:dyDescent="0.3">
      <c r="A31" s="41">
        <f t="shared" si="0"/>
        <v>20</v>
      </c>
      <c r="C31" s="40">
        <v>0</v>
      </c>
      <c r="D31" s="40"/>
      <c r="E31" s="40">
        <v>0</v>
      </c>
      <c r="F31" s="40"/>
      <c r="G31" s="40">
        <v>0</v>
      </c>
      <c r="H31" s="40"/>
      <c r="I31" s="40">
        <f>SUM(C31:G31)</f>
        <v>0</v>
      </c>
      <c r="J31" s="40"/>
      <c r="K31" s="40"/>
      <c r="L31" s="41">
        <f t="shared" si="1"/>
        <v>20</v>
      </c>
    </row>
    <row r="32" spans="1:14" ht="16.2" thickBot="1" x14ac:dyDescent="0.35">
      <c r="A32" s="41">
        <f t="shared" si="0"/>
        <v>21</v>
      </c>
      <c r="B32" s="57" t="s">
        <v>588</v>
      </c>
      <c r="C32" s="708">
        <f>SUM(C30:C31)</f>
        <v>0</v>
      </c>
      <c r="D32" s="40"/>
      <c r="E32" s="708">
        <f>SUM(E30:E31)</f>
        <v>0</v>
      </c>
      <c r="F32" s="143"/>
      <c r="G32" s="708">
        <f>SUM(G30:G31)</f>
        <v>0</v>
      </c>
      <c r="H32" s="40"/>
      <c r="I32" s="708">
        <f>SUM(I30:I31)</f>
        <v>0</v>
      </c>
      <c r="J32" s="143"/>
      <c r="K32" s="664" t="str">
        <f>"Sum Lines "&amp;A30&amp;" thru "&amp;A31</f>
        <v>Sum Lines 19 thru 20</v>
      </c>
      <c r="L32" s="41">
        <f t="shared" si="1"/>
        <v>21</v>
      </c>
    </row>
    <row r="33" spans="1:12" ht="16.2" thickTop="1" x14ac:dyDescent="0.3">
      <c r="A33" s="41">
        <f t="shared" si="0"/>
        <v>22</v>
      </c>
      <c r="C33" s="709"/>
      <c r="D33" s="709"/>
      <c r="E33" s="709"/>
      <c r="F33" s="709"/>
      <c r="G33" s="709"/>
      <c r="H33" s="709"/>
      <c r="I33" s="709"/>
      <c r="J33" s="709"/>
      <c r="K33" s="709"/>
      <c r="L33" s="41">
        <f t="shared" si="1"/>
        <v>22</v>
      </c>
    </row>
    <row r="34" spans="1:12" x14ac:dyDescent="0.3">
      <c r="A34" s="41">
        <f t="shared" si="0"/>
        <v>23</v>
      </c>
      <c r="B34" s="48" t="s">
        <v>598</v>
      </c>
      <c r="C34" s="704"/>
      <c r="D34" s="704"/>
      <c r="E34" s="704"/>
      <c r="F34" s="704"/>
      <c r="G34" s="704"/>
      <c r="H34" s="704"/>
      <c r="I34" s="53"/>
      <c r="J34" s="53"/>
      <c r="K34" s="53"/>
      <c r="L34" s="41">
        <f t="shared" si="1"/>
        <v>23</v>
      </c>
    </row>
    <row r="35" spans="1:12" x14ac:dyDescent="0.3">
      <c r="A35" s="41">
        <f t="shared" si="0"/>
        <v>24</v>
      </c>
      <c r="B35" s="710" t="s">
        <v>590</v>
      </c>
      <c r="C35" s="689">
        <v>-3028.9349403999995</v>
      </c>
      <c r="D35" s="689"/>
      <c r="E35" s="689">
        <v>0</v>
      </c>
      <c r="F35" s="689"/>
      <c r="G35" s="689">
        <v>0</v>
      </c>
      <c r="H35" s="689"/>
      <c r="I35" s="689">
        <f>SUM(C35:G35)</f>
        <v>-3028.9349403999995</v>
      </c>
      <c r="J35" s="689"/>
      <c r="K35" s="706" t="s">
        <v>604</v>
      </c>
      <c r="L35" s="41">
        <f t="shared" si="1"/>
        <v>24</v>
      </c>
    </row>
    <row r="36" spans="1:12" x14ac:dyDescent="0.3">
      <c r="A36" s="41">
        <f t="shared" si="0"/>
        <v>25</v>
      </c>
      <c r="C36" s="40">
        <v>0</v>
      </c>
      <c r="D36" s="40"/>
      <c r="E36" s="40">
        <v>0</v>
      </c>
      <c r="F36" s="40"/>
      <c r="G36" s="40">
        <v>0</v>
      </c>
      <c r="H36" s="40"/>
      <c r="I36" s="40">
        <f>SUM(C36:G36)</f>
        <v>0</v>
      </c>
      <c r="J36" s="40"/>
      <c r="K36" s="40"/>
      <c r="L36" s="41">
        <f t="shared" si="1"/>
        <v>25</v>
      </c>
    </row>
    <row r="37" spans="1:12" ht="16.2" thickBot="1" x14ac:dyDescent="0.35">
      <c r="A37" s="41">
        <f t="shared" si="0"/>
        <v>26</v>
      </c>
      <c r="B37" s="57" t="s">
        <v>592</v>
      </c>
      <c r="C37" s="66">
        <f>SUM(C35:C36)</f>
        <v>-3028.9349403999995</v>
      </c>
      <c r="D37" s="40"/>
      <c r="E37" s="66">
        <f>SUM(E35:E36)</f>
        <v>0</v>
      </c>
      <c r="F37" s="157"/>
      <c r="G37" s="66">
        <f>SUM(G35:G36)</f>
        <v>0</v>
      </c>
      <c r="H37" s="40"/>
      <c r="I37" s="66">
        <f>SUM(I35:I36)</f>
        <v>-3028.9349403999995</v>
      </c>
      <c r="J37" s="143"/>
      <c r="K37" s="664" t="str">
        <f>"Sum Lines "&amp;A35&amp;" thru "&amp;A36</f>
        <v>Sum Lines 24 thru 25</v>
      </c>
      <c r="L37" s="41">
        <f t="shared" si="1"/>
        <v>26</v>
      </c>
    </row>
    <row r="38" spans="1:12" ht="16.2" thickTop="1" x14ac:dyDescent="0.3">
      <c r="A38" s="41">
        <f t="shared" si="0"/>
        <v>27</v>
      </c>
      <c r="L38" s="41">
        <f t="shared" si="1"/>
        <v>27</v>
      </c>
    </row>
    <row r="39" spans="1:12" x14ac:dyDescent="0.3">
      <c r="A39" s="41">
        <f t="shared" si="0"/>
        <v>28</v>
      </c>
      <c r="B39" s="48" t="s">
        <v>600</v>
      </c>
      <c r="C39" s="704"/>
      <c r="D39" s="704"/>
      <c r="E39" s="704"/>
      <c r="F39" s="704"/>
      <c r="G39" s="704"/>
      <c r="H39" s="704"/>
      <c r="I39" s="53"/>
      <c r="J39" s="53"/>
      <c r="K39" s="41"/>
      <c r="L39" s="41">
        <f t="shared" si="1"/>
        <v>28</v>
      </c>
    </row>
    <row r="40" spans="1:12" x14ac:dyDescent="0.3">
      <c r="A40" s="41">
        <f t="shared" si="0"/>
        <v>29</v>
      </c>
      <c r="B40" s="48"/>
      <c r="C40" s="689">
        <v>0</v>
      </c>
      <c r="D40" s="689"/>
      <c r="E40" s="689">
        <v>0</v>
      </c>
      <c r="F40" s="689"/>
      <c r="G40" s="689">
        <v>0</v>
      </c>
      <c r="H40" s="689"/>
      <c r="I40" s="689">
        <f>SUM(C40:G40)</f>
        <v>0</v>
      </c>
      <c r="J40" s="689"/>
      <c r="K40" s="711" t="s">
        <v>535</v>
      </c>
      <c r="L40" s="41">
        <f t="shared" si="1"/>
        <v>29</v>
      </c>
    </row>
    <row r="41" spans="1:12" x14ac:dyDescent="0.3">
      <c r="A41" s="41">
        <f t="shared" si="0"/>
        <v>30</v>
      </c>
      <c r="B41" s="48"/>
      <c r="C41" s="40">
        <v>0</v>
      </c>
      <c r="D41" s="40"/>
      <c r="E41" s="40">
        <v>0</v>
      </c>
      <c r="F41" s="40"/>
      <c r="G41" s="40">
        <v>0</v>
      </c>
      <c r="H41" s="40"/>
      <c r="I41" s="40">
        <f>SUM(C41:G41)</f>
        <v>0</v>
      </c>
      <c r="J41" s="40"/>
      <c r="K41" s="40"/>
      <c r="L41" s="41">
        <f t="shared" si="1"/>
        <v>30</v>
      </c>
    </row>
    <row r="42" spans="1:12" ht="16.2" thickBot="1" x14ac:dyDescent="0.35">
      <c r="A42" s="41">
        <f t="shared" si="0"/>
        <v>31</v>
      </c>
      <c r="B42" s="57" t="s">
        <v>596</v>
      </c>
      <c r="C42" s="708">
        <f>SUM(C40:C41)</f>
        <v>0</v>
      </c>
      <c r="D42" s="40"/>
      <c r="E42" s="708">
        <f>SUM(E40:E41)</f>
        <v>0</v>
      </c>
      <c r="F42" s="143"/>
      <c r="G42" s="708">
        <f>SUM(G40:G41)</f>
        <v>0</v>
      </c>
      <c r="H42" s="40"/>
      <c r="I42" s="708">
        <f>SUM(I40:I41)</f>
        <v>0</v>
      </c>
      <c r="J42" s="143"/>
      <c r="K42" s="664" t="str">
        <f>"Sum Lines "&amp;A40&amp;" thru "&amp;A41</f>
        <v>Sum Lines 29 thru 30</v>
      </c>
      <c r="L42" s="41">
        <f t="shared" si="1"/>
        <v>31</v>
      </c>
    </row>
    <row r="43" spans="1:12" ht="16.8" thickTop="1" thickBot="1" x14ac:dyDescent="0.35">
      <c r="A43" s="41">
        <f t="shared" si="0"/>
        <v>32</v>
      </c>
      <c r="B43" s="712"/>
      <c r="C43" s="713"/>
      <c r="D43" s="714"/>
      <c r="E43" s="713"/>
      <c r="F43" s="713"/>
      <c r="G43" s="713"/>
      <c r="H43" s="714"/>
      <c r="I43" s="713"/>
      <c r="J43" s="713"/>
      <c r="K43" s="715"/>
      <c r="L43" s="41">
        <f t="shared" si="1"/>
        <v>32</v>
      </c>
    </row>
    <row r="44" spans="1:12" x14ac:dyDescent="0.3">
      <c r="A44" s="41">
        <f t="shared" si="0"/>
        <v>33</v>
      </c>
      <c r="B44" s="57"/>
      <c r="C44" s="143"/>
      <c r="D44" s="40"/>
      <c r="E44" s="143"/>
      <c r="F44" s="143"/>
      <c r="G44" s="143"/>
      <c r="H44" s="40"/>
      <c r="I44" s="143"/>
      <c r="J44" s="143"/>
      <c r="K44" s="664"/>
      <c r="L44" s="41">
        <f t="shared" si="1"/>
        <v>33</v>
      </c>
    </row>
    <row r="45" spans="1:12" x14ac:dyDescent="0.3">
      <c r="A45" s="41">
        <f t="shared" si="0"/>
        <v>34</v>
      </c>
      <c r="B45" s="716" t="s">
        <v>570</v>
      </c>
      <c r="C45" s="33">
        <v>0</v>
      </c>
      <c r="D45" s="40"/>
      <c r="E45" s="33">
        <v>0</v>
      </c>
      <c r="F45" s="143"/>
      <c r="G45" s="33">
        <v>0</v>
      </c>
      <c r="H45" s="40"/>
      <c r="I45" s="689">
        <f>SUM(C45:G45)</f>
        <v>0</v>
      </c>
      <c r="J45" s="689"/>
      <c r="K45" s="711" t="s">
        <v>535</v>
      </c>
      <c r="L45" s="41">
        <f t="shared" si="1"/>
        <v>34</v>
      </c>
    </row>
    <row r="46" spans="1:12" x14ac:dyDescent="0.3">
      <c r="B46" s="57"/>
      <c r="C46" s="143"/>
      <c r="D46" s="40"/>
      <c r="E46" s="143"/>
      <c r="F46" s="143"/>
      <c r="G46" s="143"/>
      <c r="H46" s="40"/>
      <c r="I46" s="143"/>
      <c r="J46" s="143"/>
      <c r="K46" s="664"/>
    </row>
    <row r="48" spans="1:12" x14ac:dyDescent="0.3">
      <c r="A48" s="27" t="s">
        <v>16</v>
      </c>
      <c r="B48" s="24" t="str">
        <f>'Pg8 Rev Stmt AF'!B26</f>
        <v>Items in BOLD have changed due to the removal of CIAC related ADIT per SDG&amp;E's TO5 Cycle 4 Letter Order determination in ER22-527 as compared to the original TO5 Cycle 4 filing.</v>
      </c>
    </row>
    <row r="49" spans="1:2" x14ac:dyDescent="0.3">
      <c r="A49" s="27"/>
      <c r="B49" s="723" t="str">
        <f>'Pg8 Rev Stmt AF'!B27</f>
        <v>None of the CIAC related ADIT is allocated to Citizens, thus only the SDG&amp;E amounts reported in the filings are being revised.</v>
      </c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61" orientation="landscape" r:id="rId1"/>
  <headerFooter scaleWithDoc="0" alignWithMargins="0">
    <oddHeader>&amp;C&amp;"Times New Roman,Bold"&amp;8REVISED</oddHeader>
    <oddFooter>&amp;CPage 8.3&amp;R&amp;F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1AEF-8FD5-427B-9CD9-60EF889377B9}">
  <sheetPr>
    <pageSetUpPr fitToPage="1"/>
  </sheetPr>
  <dimension ref="A1:M49"/>
  <sheetViews>
    <sheetView zoomScale="80" zoomScaleNormal="80" workbookViewId="0"/>
  </sheetViews>
  <sheetFormatPr defaultColWidth="8.77734375" defaultRowHeight="15.6" x14ac:dyDescent="0.3"/>
  <cols>
    <col min="1" max="1" width="5.77734375" style="41" customWidth="1"/>
    <col min="2" max="2" width="62.77734375" style="42" bestFit="1" customWidth="1"/>
    <col min="3" max="3" width="16.77734375" style="42" customWidth="1"/>
    <col min="4" max="4" width="1.6640625" style="42" customWidth="1"/>
    <col min="5" max="5" width="16.77734375" style="42" customWidth="1"/>
    <col min="6" max="6" width="1.6640625" style="42" customWidth="1"/>
    <col min="7" max="7" width="16.77734375" style="42" customWidth="1"/>
    <col min="8" max="8" width="1.6640625" style="42" customWidth="1"/>
    <col min="9" max="9" width="23.33203125" style="42" bestFit="1" customWidth="1"/>
    <col min="10" max="10" width="62.6640625" style="42" customWidth="1"/>
    <col min="11" max="11" width="5.109375" style="41" customWidth="1"/>
    <col min="12" max="12" width="8.77734375" style="42"/>
    <col min="13" max="13" width="17.21875" style="42" bestFit="1" customWidth="1"/>
    <col min="14" max="16384" width="8.77734375" style="42"/>
  </cols>
  <sheetData>
    <row r="1" spans="1:11" x14ac:dyDescent="0.3">
      <c r="A1" s="718" t="s">
        <v>614</v>
      </c>
    </row>
    <row r="2" spans="1:11" x14ac:dyDescent="0.3">
      <c r="A2" s="718"/>
    </row>
    <row r="3" spans="1:11" x14ac:dyDescent="0.3">
      <c r="B3" s="815" t="s">
        <v>24</v>
      </c>
      <c r="C3" s="815"/>
      <c r="D3" s="815"/>
      <c r="E3" s="815"/>
      <c r="F3" s="815"/>
      <c r="G3" s="815"/>
      <c r="H3" s="815"/>
      <c r="I3" s="815"/>
      <c r="J3" s="815"/>
    </row>
    <row r="4" spans="1:11" x14ac:dyDescent="0.3">
      <c r="B4" s="815" t="s">
        <v>575</v>
      </c>
      <c r="C4" s="815"/>
      <c r="D4" s="815"/>
      <c r="E4" s="815"/>
      <c r="F4" s="815"/>
      <c r="G4" s="815"/>
      <c r="H4" s="815"/>
      <c r="I4" s="815"/>
      <c r="J4" s="815"/>
    </row>
    <row r="5" spans="1:11" x14ac:dyDescent="0.3">
      <c r="B5" s="815" t="s">
        <v>576</v>
      </c>
      <c r="C5" s="815"/>
      <c r="D5" s="815"/>
      <c r="E5" s="815"/>
      <c r="F5" s="815"/>
      <c r="G5" s="815"/>
      <c r="H5" s="815"/>
      <c r="I5" s="815"/>
      <c r="J5" s="815"/>
    </row>
    <row r="6" spans="1:11" x14ac:dyDescent="0.3">
      <c r="B6" s="815" t="s">
        <v>613</v>
      </c>
      <c r="C6" s="815"/>
      <c r="D6" s="815"/>
      <c r="E6" s="815"/>
      <c r="F6" s="815"/>
      <c r="G6" s="815"/>
      <c r="H6" s="815"/>
      <c r="I6" s="815"/>
      <c r="J6" s="815"/>
    </row>
    <row r="7" spans="1:11" ht="15.75" customHeight="1" x14ac:dyDescent="0.3">
      <c r="B7" s="817" t="s">
        <v>1</v>
      </c>
      <c r="C7" s="817"/>
      <c r="D7" s="817"/>
      <c r="E7" s="817"/>
      <c r="F7" s="817"/>
      <c r="G7" s="817"/>
      <c r="H7" s="817"/>
      <c r="I7" s="817"/>
      <c r="J7" s="817"/>
    </row>
    <row r="9" spans="1:11" x14ac:dyDescent="0.3">
      <c r="B9" s="685"/>
      <c r="C9" s="684" t="s">
        <v>10</v>
      </c>
      <c r="D9" s="684"/>
      <c r="E9" s="684" t="s">
        <v>56</v>
      </c>
      <c r="F9" s="684"/>
      <c r="G9" s="684" t="s">
        <v>170</v>
      </c>
      <c r="H9" s="684"/>
      <c r="I9" s="684" t="s">
        <v>577</v>
      </c>
      <c r="J9" s="684"/>
    </row>
    <row r="10" spans="1:11" x14ac:dyDescent="0.3">
      <c r="A10" s="41" t="s">
        <v>2</v>
      </c>
      <c r="B10" s="685"/>
      <c r="C10" s="684" t="s">
        <v>578</v>
      </c>
      <c r="D10" s="684"/>
      <c r="E10" s="684" t="s">
        <v>579</v>
      </c>
      <c r="F10" s="684"/>
      <c r="G10" s="684" t="s">
        <v>579</v>
      </c>
      <c r="H10" s="684"/>
      <c r="I10" s="684"/>
      <c r="J10" s="684"/>
      <c r="K10" s="41" t="s">
        <v>2</v>
      </c>
    </row>
    <row r="11" spans="1:11" x14ac:dyDescent="0.3">
      <c r="A11" s="41" t="s">
        <v>6</v>
      </c>
      <c r="B11" s="476" t="s">
        <v>3</v>
      </c>
      <c r="C11" s="702" t="s">
        <v>580</v>
      </c>
      <c r="D11" s="702"/>
      <c r="E11" s="702" t="s">
        <v>581</v>
      </c>
      <c r="F11" s="702"/>
      <c r="G11" s="702" t="s">
        <v>582</v>
      </c>
      <c r="H11" s="702"/>
      <c r="I11" s="476" t="s">
        <v>9</v>
      </c>
      <c r="J11" s="476" t="s">
        <v>5</v>
      </c>
      <c r="K11" s="41" t="s">
        <v>6</v>
      </c>
    </row>
    <row r="12" spans="1:11" x14ac:dyDescent="0.3">
      <c r="B12" s="685"/>
      <c r="C12" s="703"/>
      <c r="D12" s="703"/>
      <c r="E12" s="703"/>
      <c r="F12" s="703"/>
      <c r="G12" s="703"/>
      <c r="H12" s="703"/>
      <c r="I12" s="53"/>
      <c r="J12" s="53"/>
    </row>
    <row r="13" spans="1:11" x14ac:dyDescent="0.3">
      <c r="A13" s="41">
        <v>1</v>
      </c>
      <c r="B13" s="48" t="s">
        <v>583</v>
      </c>
      <c r="C13" s="704"/>
      <c r="D13" s="704"/>
      <c r="E13" s="704"/>
      <c r="F13" s="704"/>
      <c r="G13" s="704"/>
      <c r="H13" s="704"/>
      <c r="I13" s="53"/>
      <c r="J13" s="53"/>
      <c r="K13" s="41">
        <f>A13</f>
        <v>1</v>
      </c>
    </row>
    <row r="14" spans="1:11" x14ac:dyDescent="0.3">
      <c r="A14" s="41">
        <f>A13+1</f>
        <v>2</v>
      </c>
      <c r="B14" s="48" t="s">
        <v>584</v>
      </c>
      <c r="C14" s="64">
        <v>1631.0041476828096</v>
      </c>
      <c r="D14" s="64"/>
      <c r="E14" s="64">
        <v>0</v>
      </c>
      <c r="F14" s="64"/>
      <c r="G14" s="64">
        <v>214.49058265600002</v>
      </c>
      <c r="H14" s="705"/>
      <c r="I14" s="689">
        <f>SUM(C14:G14)</f>
        <v>1845.4947303388096</v>
      </c>
      <c r="J14" s="706" t="s">
        <v>601</v>
      </c>
      <c r="K14" s="41">
        <f>K13+1</f>
        <v>2</v>
      </c>
    </row>
    <row r="15" spans="1:11" x14ac:dyDescent="0.3">
      <c r="A15" s="41">
        <f t="shared" ref="A15:A46" si="0">A14+1</f>
        <v>3</v>
      </c>
      <c r="B15" s="48" t="s">
        <v>586</v>
      </c>
      <c r="C15" s="178">
        <v>228.70718375781695</v>
      </c>
      <c r="D15" s="178"/>
      <c r="E15" s="178">
        <v>0</v>
      </c>
      <c r="F15" s="178"/>
      <c r="G15" s="178">
        <v>181.15539416209805</v>
      </c>
      <c r="H15" s="178"/>
      <c r="I15" s="40">
        <f>SUM(C15:G15)</f>
        <v>409.862577919915</v>
      </c>
      <c r="J15" s="706" t="s">
        <v>601</v>
      </c>
      <c r="K15" s="41">
        <f t="shared" ref="K15:K46" si="1">K14+1</f>
        <v>3</v>
      </c>
    </row>
    <row r="16" spans="1:11" x14ac:dyDescent="0.3">
      <c r="A16" s="41">
        <f t="shared" si="0"/>
        <v>4</v>
      </c>
      <c r="B16" s="48" t="s">
        <v>587</v>
      </c>
      <c r="C16" s="178">
        <v>57302.915114485193</v>
      </c>
      <c r="D16" s="178"/>
      <c r="E16" s="178">
        <v>106710.32358551471</v>
      </c>
      <c r="F16" s="178"/>
      <c r="G16" s="178">
        <v>0</v>
      </c>
      <c r="H16" s="178"/>
      <c r="I16" s="40">
        <f>SUM(C16:G16)</f>
        <v>164013.2386999999</v>
      </c>
      <c r="J16" s="706" t="s">
        <v>601</v>
      </c>
      <c r="K16" s="41">
        <f t="shared" si="1"/>
        <v>4</v>
      </c>
    </row>
    <row r="17" spans="1:13" ht="16.2" thickBot="1" x14ac:dyDescent="0.35">
      <c r="A17" s="41">
        <f t="shared" si="0"/>
        <v>5</v>
      </c>
      <c r="B17" s="57" t="s">
        <v>588</v>
      </c>
      <c r="C17" s="708">
        <f>SUM(C14:C16)</f>
        <v>59162.626445925816</v>
      </c>
      <c r="D17" s="40"/>
      <c r="E17" s="708">
        <f>SUM(E14:E16)</f>
        <v>106710.32358551471</v>
      </c>
      <c r="F17" s="143"/>
      <c r="G17" s="708">
        <f>SUM(G14:G16)</f>
        <v>395.64597681809806</v>
      </c>
      <c r="H17" s="40"/>
      <c r="I17" s="708">
        <f>SUM(I14:I16)</f>
        <v>166268.59600825864</v>
      </c>
      <c r="J17" s="664" t="str">
        <f>"Sum Lines "&amp;A14&amp;" thru "&amp;A16</f>
        <v>Sum Lines 2 thru 4</v>
      </c>
      <c r="K17" s="41">
        <f t="shared" si="1"/>
        <v>5</v>
      </c>
    </row>
    <row r="18" spans="1:13" ht="16.2" thickTop="1" x14ac:dyDescent="0.3">
      <c r="A18" s="41">
        <f t="shared" si="0"/>
        <v>6</v>
      </c>
      <c r="C18" s="709"/>
      <c r="D18" s="709"/>
      <c r="E18" s="709"/>
      <c r="F18" s="709"/>
      <c r="G18" s="709"/>
      <c r="H18" s="709"/>
      <c r="I18" s="709"/>
      <c r="J18" s="709"/>
      <c r="K18" s="41">
        <f t="shared" si="1"/>
        <v>6</v>
      </c>
    </row>
    <row r="19" spans="1:13" x14ac:dyDescent="0.3">
      <c r="A19" s="41">
        <f t="shared" si="0"/>
        <v>7</v>
      </c>
      <c r="B19" s="48" t="s">
        <v>589</v>
      </c>
      <c r="C19" s="704"/>
      <c r="D19" s="704"/>
      <c r="E19" s="704"/>
      <c r="F19" s="704"/>
      <c r="G19" s="704"/>
      <c r="H19" s="704"/>
      <c r="I19" s="53"/>
      <c r="J19" s="53"/>
      <c r="K19" s="41">
        <f t="shared" si="1"/>
        <v>7</v>
      </c>
    </row>
    <row r="20" spans="1:13" x14ac:dyDescent="0.3">
      <c r="A20" s="41">
        <f t="shared" si="0"/>
        <v>8</v>
      </c>
      <c r="B20" s="710" t="s">
        <v>590</v>
      </c>
      <c r="C20" s="689">
        <v>-732250.0203609668</v>
      </c>
      <c r="D20" s="689"/>
      <c r="E20" s="689">
        <v>-370202.22499999998</v>
      </c>
      <c r="F20" s="689"/>
      <c r="G20" s="689">
        <v>-6419.03</v>
      </c>
      <c r="H20" s="689"/>
      <c r="I20" s="689">
        <f>SUM(C20:G20)</f>
        <v>-1108871.2753609668</v>
      </c>
      <c r="J20" s="706" t="s">
        <v>602</v>
      </c>
      <c r="K20" s="41">
        <f t="shared" si="1"/>
        <v>8</v>
      </c>
      <c r="M20" s="40"/>
    </row>
    <row r="21" spans="1:13" x14ac:dyDescent="0.3">
      <c r="A21" s="41">
        <f t="shared" si="0"/>
        <v>9</v>
      </c>
      <c r="C21" s="40">
        <v>0</v>
      </c>
      <c r="D21" s="40"/>
      <c r="E21" s="40">
        <v>0</v>
      </c>
      <c r="F21" s="40"/>
      <c r="G21" s="40">
        <v>0</v>
      </c>
      <c r="H21" s="40"/>
      <c r="I21" s="40">
        <f>SUM(C21:G21)</f>
        <v>0</v>
      </c>
      <c r="J21" s="40"/>
      <c r="K21" s="41">
        <f t="shared" si="1"/>
        <v>9</v>
      </c>
    </row>
    <row r="22" spans="1:13" ht="16.2" thickBot="1" x14ac:dyDescent="0.35">
      <c r="A22" s="41">
        <f t="shared" si="0"/>
        <v>10</v>
      </c>
      <c r="B22" s="57" t="s">
        <v>592</v>
      </c>
      <c r="C22" s="708">
        <f>SUM(C20:C21)</f>
        <v>-732250.0203609668</v>
      </c>
      <c r="D22" s="40"/>
      <c r="E22" s="708">
        <f>SUM(E20:E21)</f>
        <v>-370202.22499999998</v>
      </c>
      <c r="F22" s="143"/>
      <c r="G22" s="708">
        <f>SUM(G20:G21)</f>
        <v>-6419.03</v>
      </c>
      <c r="H22" s="40"/>
      <c r="I22" s="708">
        <f>SUM(I20:I21)</f>
        <v>-1108871.2753609668</v>
      </c>
      <c r="J22" s="664" t="str">
        <f>"Sum Lines "&amp;A20&amp;" thru "&amp;A21</f>
        <v>Sum Lines 8 thru 9</v>
      </c>
      <c r="K22" s="41">
        <f t="shared" si="1"/>
        <v>10</v>
      </c>
    </row>
    <row r="23" spans="1:13" ht="16.2" thickTop="1" x14ac:dyDescent="0.3">
      <c r="A23" s="41">
        <f t="shared" si="0"/>
        <v>11</v>
      </c>
      <c r="K23" s="41">
        <f t="shared" si="1"/>
        <v>11</v>
      </c>
    </row>
    <row r="24" spans="1:13" x14ac:dyDescent="0.3">
      <c r="A24" s="41">
        <f t="shared" si="0"/>
        <v>12</v>
      </c>
      <c r="B24" s="48" t="s">
        <v>593</v>
      </c>
      <c r="C24" s="704"/>
      <c r="D24" s="704"/>
      <c r="E24" s="704"/>
      <c r="F24" s="704"/>
      <c r="G24" s="704"/>
      <c r="H24" s="704"/>
      <c r="I24" s="53"/>
      <c r="J24" s="41"/>
      <c r="K24" s="41">
        <f t="shared" si="1"/>
        <v>12</v>
      </c>
    </row>
    <row r="25" spans="1:13" x14ac:dyDescent="0.3">
      <c r="A25" s="41">
        <f t="shared" si="0"/>
        <v>13</v>
      </c>
      <c r="B25" s="48" t="s">
        <v>594</v>
      </c>
      <c r="C25" s="64">
        <v>-7906.4293200000075</v>
      </c>
      <c r="D25" s="64"/>
      <c r="E25" s="64">
        <v>0</v>
      </c>
      <c r="F25" s="64"/>
      <c r="G25" s="64">
        <v>0</v>
      </c>
      <c r="H25" s="705"/>
      <c r="I25" s="689">
        <f>SUM(C25:G25)</f>
        <v>-7906.4293200000075</v>
      </c>
      <c r="J25" s="706" t="s">
        <v>603</v>
      </c>
      <c r="K25" s="41">
        <f t="shared" si="1"/>
        <v>13</v>
      </c>
    </row>
    <row r="26" spans="1:13" x14ac:dyDescent="0.3">
      <c r="A26" s="41">
        <f t="shared" si="0"/>
        <v>14</v>
      </c>
      <c r="B26" s="48"/>
      <c r="C26" s="40">
        <v>0</v>
      </c>
      <c r="D26" s="40"/>
      <c r="E26" s="40">
        <v>0</v>
      </c>
      <c r="F26" s="40"/>
      <c r="G26" s="40">
        <v>0</v>
      </c>
      <c r="H26" s="40"/>
      <c r="I26" s="40">
        <f>SUM(C26:G26)</f>
        <v>0</v>
      </c>
      <c r="J26" s="40"/>
      <c r="K26" s="41">
        <f t="shared" si="1"/>
        <v>14</v>
      </c>
    </row>
    <row r="27" spans="1:13" ht="16.2" thickBot="1" x14ac:dyDescent="0.35">
      <c r="A27" s="41">
        <f t="shared" si="0"/>
        <v>15</v>
      </c>
      <c r="B27" s="57" t="s">
        <v>596</v>
      </c>
      <c r="C27" s="708">
        <f>SUM(C25:C26)</f>
        <v>-7906.4293200000075</v>
      </c>
      <c r="D27" s="40"/>
      <c r="E27" s="708">
        <f>SUM(E25:E26)</f>
        <v>0</v>
      </c>
      <c r="F27" s="143"/>
      <c r="G27" s="708">
        <f>SUM(G25:G26)</f>
        <v>0</v>
      </c>
      <c r="H27" s="40"/>
      <c r="I27" s="708">
        <f>SUM(I25:I26)</f>
        <v>-7906.4293200000075</v>
      </c>
      <c r="J27" s="664" t="str">
        <f>"Sum Lines "&amp;A25&amp;" thru "&amp;A26</f>
        <v>Sum Lines 13 thru 14</v>
      </c>
      <c r="K27" s="41">
        <f t="shared" si="1"/>
        <v>15</v>
      </c>
    </row>
    <row r="28" spans="1:13" ht="16.8" thickTop="1" thickBot="1" x14ac:dyDescent="0.35">
      <c r="A28" s="41">
        <f t="shared" si="0"/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41">
        <f t="shared" si="1"/>
        <v>16</v>
      </c>
    </row>
    <row r="29" spans="1:13" x14ac:dyDescent="0.3">
      <c r="A29" s="41">
        <f t="shared" si="0"/>
        <v>17</v>
      </c>
      <c r="K29" s="41">
        <f t="shared" si="1"/>
        <v>17</v>
      </c>
    </row>
    <row r="30" spans="1:13" x14ac:dyDescent="0.3">
      <c r="A30" s="41">
        <f t="shared" si="0"/>
        <v>18</v>
      </c>
      <c r="B30" s="48" t="s">
        <v>597</v>
      </c>
      <c r="C30" s="704"/>
      <c r="D30" s="704"/>
      <c r="E30" s="704"/>
      <c r="F30" s="704"/>
      <c r="G30" s="704"/>
      <c r="H30" s="704"/>
      <c r="I30" s="53"/>
      <c r="J30" s="53"/>
      <c r="K30" s="41">
        <f t="shared" si="1"/>
        <v>18</v>
      </c>
    </row>
    <row r="31" spans="1:13" x14ac:dyDescent="0.3">
      <c r="A31" s="41">
        <f t="shared" si="0"/>
        <v>19</v>
      </c>
      <c r="B31" s="48" t="s">
        <v>587</v>
      </c>
      <c r="C31" s="689">
        <v>0</v>
      </c>
      <c r="D31" s="689"/>
      <c r="E31" s="689">
        <v>0</v>
      </c>
      <c r="F31" s="689"/>
      <c r="G31" s="689">
        <v>0</v>
      </c>
      <c r="H31" s="64"/>
      <c r="I31" s="689">
        <f>SUM(C31:G31)</f>
        <v>0</v>
      </c>
      <c r="J31" s="706" t="s">
        <v>535</v>
      </c>
      <c r="K31" s="41">
        <f t="shared" si="1"/>
        <v>19</v>
      </c>
    </row>
    <row r="32" spans="1:13" x14ac:dyDescent="0.3">
      <c r="A32" s="41">
        <f t="shared" si="0"/>
        <v>20</v>
      </c>
      <c r="C32" s="40">
        <v>0</v>
      </c>
      <c r="D32" s="40"/>
      <c r="E32" s="40">
        <v>0</v>
      </c>
      <c r="F32" s="40"/>
      <c r="G32" s="40">
        <v>0</v>
      </c>
      <c r="H32" s="40"/>
      <c r="I32" s="40">
        <f>SUM(C32:G32)</f>
        <v>0</v>
      </c>
      <c r="J32" s="40"/>
      <c r="K32" s="41">
        <f t="shared" si="1"/>
        <v>20</v>
      </c>
    </row>
    <row r="33" spans="1:11" ht="16.2" thickBot="1" x14ac:dyDescent="0.35">
      <c r="A33" s="41">
        <f t="shared" si="0"/>
        <v>21</v>
      </c>
      <c r="B33" s="57" t="s">
        <v>588</v>
      </c>
      <c r="C33" s="708">
        <f>SUM(C31:C32)</f>
        <v>0</v>
      </c>
      <c r="D33" s="40"/>
      <c r="E33" s="708">
        <f>SUM(E31:E32)</f>
        <v>0</v>
      </c>
      <c r="F33" s="143"/>
      <c r="G33" s="708">
        <f>SUM(G31:G32)</f>
        <v>0</v>
      </c>
      <c r="H33" s="40"/>
      <c r="I33" s="708">
        <f>SUM(I31:I32)</f>
        <v>0</v>
      </c>
      <c r="J33" s="664" t="str">
        <f>"Sum Lines "&amp;A31&amp;" thru "&amp;A32</f>
        <v>Sum Lines 19 thru 20</v>
      </c>
      <c r="K33" s="41">
        <f t="shared" si="1"/>
        <v>21</v>
      </c>
    </row>
    <row r="34" spans="1:11" ht="16.2" thickTop="1" x14ac:dyDescent="0.3">
      <c r="A34" s="41">
        <f t="shared" si="0"/>
        <v>22</v>
      </c>
      <c r="C34" s="709"/>
      <c r="D34" s="709"/>
      <c r="E34" s="709"/>
      <c r="F34" s="709"/>
      <c r="G34" s="709"/>
      <c r="H34" s="709"/>
      <c r="I34" s="709"/>
      <c r="J34" s="709"/>
      <c r="K34" s="41">
        <f t="shared" si="1"/>
        <v>22</v>
      </c>
    </row>
    <row r="35" spans="1:11" x14ac:dyDescent="0.3">
      <c r="A35" s="41">
        <f t="shared" si="0"/>
        <v>23</v>
      </c>
      <c r="B35" s="48" t="s">
        <v>598</v>
      </c>
      <c r="C35" s="704"/>
      <c r="D35" s="704"/>
      <c r="E35" s="704"/>
      <c r="F35" s="704"/>
      <c r="G35" s="704"/>
      <c r="H35" s="704"/>
      <c r="I35" s="53"/>
      <c r="J35" s="53"/>
      <c r="K35" s="41">
        <f t="shared" si="1"/>
        <v>23</v>
      </c>
    </row>
    <row r="36" spans="1:11" x14ac:dyDescent="0.3">
      <c r="A36" s="41">
        <f t="shared" si="0"/>
        <v>24</v>
      </c>
      <c r="B36" s="710" t="s">
        <v>590</v>
      </c>
      <c r="C36" s="689">
        <v>-3028.9349403999995</v>
      </c>
      <c r="D36" s="689"/>
      <c r="E36" s="689">
        <v>0</v>
      </c>
      <c r="F36" s="689"/>
      <c r="G36" s="689">
        <v>0</v>
      </c>
      <c r="H36" s="689"/>
      <c r="I36" s="689">
        <f>SUM(C36:G36)</f>
        <v>-3028.9349403999995</v>
      </c>
      <c r="J36" s="706" t="s">
        <v>604</v>
      </c>
      <c r="K36" s="41">
        <f t="shared" si="1"/>
        <v>24</v>
      </c>
    </row>
    <row r="37" spans="1:11" x14ac:dyDescent="0.3">
      <c r="A37" s="41">
        <f t="shared" si="0"/>
        <v>25</v>
      </c>
      <c r="C37" s="40">
        <v>0</v>
      </c>
      <c r="D37" s="40"/>
      <c r="E37" s="40">
        <v>0</v>
      </c>
      <c r="F37" s="40"/>
      <c r="G37" s="40">
        <v>0</v>
      </c>
      <c r="H37" s="40"/>
      <c r="I37" s="40">
        <f>SUM(C37:G37)</f>
        <v>0</v>
      </c>
      <c r="J37" s="40"/>
      <c r="K37" s="41">
        <f t="shared" si="1"/>
        <v>25</v>
      </c>
    </row>
    <row r="38" spans="1:11" ht="16.2" thickBot="1" x14ac:dyDescent="0.35">
      <c r="A38" s="41">
        <f t="shared" si="0"/>
        <v>26</v>
      </c>
      <c r="B38" s="57" t="s">
        <v>592</v>
      </c>
      <c r="C38" s="708">
        <f>SUM(C36:C37)</f>
        <v>-3028.9349403999995</v>
      </c>
      <c r="D38" s="40"/>
      <c r="E38" s="708">
        <f>SUM(E36:E37)</f>
        <v>0</v>
      </c>
      <c r="F38" s="143"/>
      <c r="G38" s="708">
        <f>SUM(G36:G37)</f>
        <v>0</v>
      </c>
      <c r="H38" s="40"/>
      <c r="I38" s="708">
        <f>SUM(I36:I37)</f>
        <v>-3028.9349403999995</v>
      </c>
      <c r="J38" s="664" t="str">
        <f>"Sum Lines "&amp;A36&amp;" thru "&amp;A37</f>
        <v>Sum Lines 24 thru 25</v>
      </c>
      <c r="K38" s="41">
        <f t="shared" si="1"/>
        <v>26</v>
      </c>
    </row>
    <row r="39" spans="1:11" ht="16.2" thickTop="1" x14ac:dyDescent="0.3">
      <c r="A39" s="41">
        <f t="shared" si="0"/>
        <v>27</v>
      </c>
      <c r="K39" s="41">
        <f t="shared" si="1"/>
        <v>27</v>
      </c>
    </row>
    <row r="40" spans="1:11" x14ac:dyDescent="0.3">
      <c r="A40" s="41">
        <f t="shared" si="0"/>
        <v>28</v>
      </c>
      <c r="B40" s="48" t="s">
        <v>600</v>
      </c>
      <c r="C40" s="704"/>
      <c r="D40" s="704"/>
      <c r="E40" s="704"/>
      <c r="F40" s="704"/>
      <c r="G40" s="704"/>
      <c r="H40" s="704"/>
      <c r="I40" s="53"/>
      <c r="J40" s="41"/>
      <c r="K40" s="41">
        <f t="shared" si="1"/>
        <v>28</v>
      </c>
    </row>
    <row r="41" spans="1:11" x14ac:dyDescent="0.3">
      <c r="A41" s="41">
        <f t="shared" si="0"/>
        <v>29</v>
      </c>
      <c r="B41" s="48"/>
      <c r="C41" s="689">
        <v>0</v>
      </c>
      <c r="D41" s="689"/>
      <c r="E41" s="689">
        <v>0</v>
      </c>
      <c r="F41" s="689"/>
      <c r="G41" s="689">
        <v>0</v>
      </c>
      <c r="H41" s="689"/>
      <c r="I41" s="689">
        <f>SUM(C41:G41)</f>
        <v>0</v>
      </c>
      <c r="J41" s="711" t="s">
        <v>535</v>
      </c>
      <c r="K41" s="41">
        <f t="shared" si="1"/>
        <v>29</v>
      </c>
    </row>
    <row r="42" spans="1:11" x14ac:dyDescent="0.3">
      <c r="A42" s="41">
        <f t="shared" si="0"/>
        <v>30</v>
      </c>
      <c r="B42" s="48"/>
      <c r="C42" s="40">
        <v>0</v>
      </c>
      <c r="D42" s="40"/>
      <c r="E42" s="40">
        <v>0</v>
      </c>
      <c r="F42" s="40"/>
      <c r="G42" s="40">
        <v>0</v>
      </c>
      <c r="H42" s="40"/>
      <c r="I42" s="40">
        <f>SUM(C42:G42)</f>
        <v>0</v>
      </c>
      <c r="J42" s="40"/>
      <c r="K42" s="41">
        <f t="shared" si="1"/>
        <v>30</v>
      </c>
    </row>
    <row r="43" spans="1:11" ht="16.2" thickBot="1" x14ac:dyDescent="0.35">
      <c r="A43" s="41">
        <f t="shared" si="0"/>
        <v>31</v>
      </c>
      <c r="B43" s="57" t="s">
        <v>596</v>
      </c>
      <c r="C43" s="708">
        <f>SUM(C41:C42)</f>
        <v>0</v>
      </c>
      <c r="D43" s="40"/>
      <c r="E43" s="708">
        <f>SUM(E41:E42)</f>
        <v>0</v>
      </c>
      <c r="F43" s="143"/>
      <c r="G43" s="708">
        <f>SUM(G41:G42)</f>
        <v>0</v>
      </c>
      <c r="H43" s="40"/>
      <c r="I43" s="708">
        <f>SUM(I41:I42)</f>
        <v>0</v>
      </c>
      <c r="J43" s="664" t="str">
        <f>"Sum Lines "&amp;A41&amp;" thru "&amp;A42</f>
        <v>Sum Lines 29 thru 30</v>
      </c>
      <c r="K43" s="41">
        <f t="shared" si="1"/>
        <v>31</v>
      </c>
    </row>
    <row r="44" spans="1:11" ht="16.8" thickTop="1" thickBot="1" x14ac:dyDescent="0.35">
      <c r="A44" s="41">
        <f t="shared" si="0"/>
        <v>32</v>
      </c>
      <c r="B44" s="712"/>
      <c r="C44" s="713"/>
      <c r="D44" s="714"/>
      <c r="E44" s="713"/>
      <c r="F44" s="713"/>
      <c r="G44" s="713"/>
      <c r="H44" s="714"/>
      <c r="I44" s="713"/>
      <c r="J44" s="715"/>
      <c r="K44" s="41">
        <f t="shared" si="1"/>
        <v>32</v>
      </c>
    </row>
    <row r="45" spans="1:11" x14ac:dyDescent="0.3">
      <c r="A45" s="41">
        <f t="shared" si="0"/>
        <v>33</v>
      </c>
      <c r="B45" s="57"/>
      <c r="C45" s="143"/>
      <c r="D45" s="40"/>
      <c r="E45" s="143"/>
      <c r="F45" s="143"/>
      <c r="G45" s="143"/>
      <c r="H45" s="40"/>
      <c r="I45" s="143"/>
      <c r="J45" s="664"/>
      <c r="K45" s="41">
        <f t="shared" si="1"/>
        <v>33</v>
      </c>
    </row>
    <row r="46" spans="1:11" x14ac:dyDescent="0.3">
      <c r="A46" s="41">
        <f t="shared" si="0"/>
        <v>34</v>
      </c>
      <c r="B46" s="716" t="s">
        <v>570</v>
      </c>
      <c r="C46" s="33">
        <v>0</v>
      </c>
      <c r="D46" s="40"/>
      <c r="E46" s="33">
        <v>0</v>
      </c>
      <c r="F46" s="143"/>
      <c r="G46" s="33">
        <v>0</v>
      </c>
      <c r="H46" s="40"/>
      <c r="I46" s="689">
        <f>SUM(C46:G46)</f>
        <v>0</v>
      </c>
      <c r="J46" s="711" t="s">
        <v>535</v>
      </c>
      <c r="K46" s="41">
        <f t="shared" si="1"/>
        <v>34</v>
      </c>
    </row>
    <row r="47" spans="1:11" x14ac:dyDescent="0.3">
      <c r="B47" s="57"/>
      <c r="C47" s="143"/>
      <c r="D47" s="40"/>
      <c r="E47" s="143"/>
      <c r="F47" s="143"/>
      <c r="G47" s="143"/>
      <c r="H47" s="40"/>
      <c r="I47" s="143"/>
      <c r="J47" s="664"/>
    </row>
    <row r="49" spans="1:2" ht="18" x14ac:dyDescent="0.3">
      <c r="A49" s="717"/>
      <c r="B49" s="716"/>
    </row>
  </sheetData>
  <mergeCells count="5">
    <mergeCell ref="B3:J3"/>
    <mergeCell ref="B4:J4"/>
    <mergeCell ref="B5:J5"/>
    <mergeCell ref="B6:J6"/>
    <mergeCell ref="B7:J7"/>
  </mergeCells>
  <printOptions horizontalCentered="1"/>
  <pageMargins left="0.25" right="0.25" top="0.5" bottom="0.5" header="0.35" footer="0.25"/>
  <pageSetup scale="62" orientation="landscape" r:id="rId1"/>
  <headerFooter scaleWithDoc="0" alignWithMargins="0">
    <oddHeader>&amp;C&amp;"Times New Roman,Bold"&amp;8AS FILED</oddHeader>
    <oddFooter>&amp;CPage 8.3A&amp;R&amp;F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4"/>
  <sheetViews>
    <sheetView zoomScale="80" zoomScaleNormal="80" workbookViewId="0"/>
  </sheetViews>
  <sheetFormatPr defaultColWidth="8.88671875" defaultRowHeight="15.6" x14ac:dyDescent="0.3"/>
  <cols>
    <col min="1" max="1" width="5.109375" style="41" bestFit="1" customWidth="1"/>
    <col min="2" max="2" width="80.5546875" style="42" customWidth="1"/>
    <col min="3" max="3" width="21.109375" style="42" customWidth="1"/>
    <col min="4" max="4" width="1.5546875" style="42" customWidth="1"/>
    <col min="5" max="5" width="16.88671875" style="42" customWidth="1"/>
    <col min="6" max="6" width="1.5546875" style="42" customWidth="1"/>
    <col min="7" max="7" width="53.88671875" style="42" customWidth="1"/>
    <col min="8" max="8" width="5.109375" style="42" customWidth="1"/>
    <col min="9" max="9" width="9.109375" style="42" bestFit="1" customWidth="1"/>
    <col min="10" max="10" width="20.44140625" style="42" bestFit="1" customWidth="1"/>
    <col min="11" max="16384" width="8.88671875" style="42"/>
  </cols>
  <sheetData>
    <row r="1" spans="1:8" x14ac:dyDescent="0.3">
      <c r="G1" s="43"/>
      <c r="H1" s="41"/>
    </row>
    <row r="2" spans="1:8" x14ac:dyDescent="0.3">
      <c r="B2" s="815" t="s">
        <v>24</v>
      </c>
      <c r="C2" s="815"/>
      <c r="D2" s="815"/>
      <c r="E2" s="815"/>
      <c r="F2" s="815"/>
      <c r="G2" s="815"/>
      <c r="H2" s="41"/>
    </row>
    <row r="3" spans="1:8" x14ac:dyDescent="0.3">
      <c r="B3" s="815" t="s">
        <v>25</v>
      </c>
      <c r="C3" s="815"/>
      <c r="D3" s="815"/>
      <c r="E3" s="815"/>
      <c r="F3" s="815"/>
      <c r="G3" s="815"/>
      <c r="H3" s="41"/>
    </row>
    <row r="4" spans="1:8" x14ac:dyDescent="0.3">
      <c r="B4" s="815" t="s">
        <v>26</v>
      </c>
      <c r="C4" s="815"/>
      <c r="D4" s="815"/>
      <c r="E4" s="815"/>
      <c r="F4" s="815"/>
      <c r="G4" s="815"/>
      <c r="H4" s="41"/>
    </row>
    <row r="5" spans="1:8" x14ac:dyDescent="0.3">
      <c r="B5" s="816" t="s">
        <v>544</v>
      </c>
      <c r="C5" s="816"/>
      <c r="D5" s="816"/>
      <c r="E5" s="816"/>
      <c r="F5" s="816"/>
      <c r="G5" s="816"/>
      <c r="H5" s="41"/>
    </row>
    <row r="6" spans="1:8" x14ac:dyDescent="0.3">
      <c r="B6" s="817" t="s">
        <v>1</v>
      </c>
      <c r="C6" s="818"/>
      <c r="D6" s="818"/>
      <c r="E6" s="818"/>
      <c r="F6" s="818"/>
      <c r="G6" s="818"/>
      <c r="H6" s="41"/>
    </row>
    <row r="7" spans="1:8" x14ac:dyDescent="0.3">
      <c r="B7" s="41"/>
      <c r="C7" s="41"/>
      <c r="D7" s="41"/>
      <c r="E7" s="44"/>
      <c r="F7" s="44"/>
      <c r="G7" s="41"/>
      <c r="H7" s="41"/>
    </row>
    <row r="8" spans="1:8" x14ac:dyDescent="0.3">
      <c r="A8" s="41" t="s">
        <v>2</v>
      </c>
      <c r="B8" s="545"/>
      <c r="C8" s="41" t="s">
        <v>27</v>
      </c>
      <c r="D8" s="545"/>
      <c r="E8" s="45"/>
      <c r="F8" s="45"/>
      <c r="G8" s="41"/>
      <c r="H8" s="41" t="s">
        <v>2</v>
      </c>
    </row>
    <row r="9" spans="1:8" x14ac:dyDescent="0.3">
      <c r="A9" s="41" t="s">
        <v>6</v>
      </c>
      <c r="C9" s="463" t="s">
        <v>28</v>
      </c>
      <c r="D9" s="545"/>
      <c r="E9" s="464" t="s">
        <v>4</v>
      </c>
      <c r="F9" s="45"/>
      <c r="G9" s="463" t="s">
        <v>5</v>
      </c>
      <c r="H9" s="41" t="s">
        <v>6</v>
      </c>
    </row>
    <row r="10" spans="1:8" x14ac:dyDescent="0.3">
      <c r="C10" s="545"/>
      <c r="D10" s="545"/>
      <c r="E10" s="45"/>
      <c r="F10" s="45"/>
      <c r="G10" s="41"/>
      <c r="H10" s="41"/>
    </row>
    <row r="11" spans="1:8" x14ac:dyDescent="0.3">
      <c r="A11" s="41">
        <v>1</v>
      </c>
      <c r="B11" s="465" t="s">
        <v>301</v>
      </c>
      <c r="C11" s="545"/>
      <c r="D11" s="545"/>
      <c r="E11" s="45"/>
      <c r="F11" s="45"/>
      <c r="G11" s="41"/>
      <c r="H11" s="41">
        <f>A11</f>
        <v>1</v>
      </c>
    </row>
    <row r="12" spans="1:8" x14ac:dyDescent="0.3">
      <c r="A12" s="41">
        <f>+A11+1</f>
        <v>2</v>
      </c>
      <c r="B12" s="466" t="s">
        <v>302</v>
      </c>
      <c r="C12" s="545"/>
      <c r="D12" s="545"/>
      <c r="E12" s="47">
        <v>0</v>
      </c>
      <c r="F12" s="45"/>
      <c r="G12" s="41" t="s">
        <v>436</v>
      </c>
      <c r="H12" s="41">
        <f>H11+1</f>
        <v>2</v>
      </c>
    </row>
    <row r="13" spans="1:8" x14ac:dyDescent="0.3">
      <c r="A13" s="41">
        <f t="shared" ref="A13:A69" si="0">+A12+1</f>
        <v>3</v>
      </c>
      <c r="C13" s="545"/>
      <c r="D13" s="545"/>
      <c r="E13" s="45"/>
      <c r="F13" s="45"/>
      <c r="G13" s="41"/>
      <c r="H13" s="41">
        <f t="shared" ref="H13:H69" si="1">H12+1</f>
        <v>3</v>
      </c>
    </row>
    <row r="14" spans="1:8" x14ac:dyDescent="0.3">
      <c r="A14" s="41">
        <f t="shared" si="0"/>
        <v>4</v>
      </c>
      <c r="B14" s="465" t="s">
        <v>303</v>
      </c>
      <c r="G14" s="41"/>
      <c r="H14" s="41">
        <f t="shared" si="1"/>
        <v>4</v>
      </c>
    </row>
    <row r="15" spans="1:8" x14ac:dyDescent="0.3">
      <c r="A15" s="41">
        <f t="shared" si="0"/>
        <v>5</v>
      </c>
      <c r="B15" s="20" t="s">
        <v>304</v>
      </c>
      <c r="C15" s="41"/>
      <c r="E15" s="47">
        <v>99948.700800000006</v>
      </c>
      <c r="G15" s="41" t="s">
        <v>437</v>
      </c>
      <c r="H15" s="41">
        <f t="shared" si="1"/>
        <v>5</v>
      </c>
    </row>
    <row r="16" spans="1:8" x14ac:dyDescent="0.3">
      <c r="A16" s="41">
        <f t="shared" si="0"/>
        <v>6</v>
      </c>
      <c r="B16" s="26" t="s">
        <v>29</v>
      </c>
      <c r="E16" s="49"/>
      <c r="G16" s="41"/>
      <c r="H16" s="41">
        <f t="shared" si="1"/>
        <v>6</v>
      </c>
    </row>
    <row r="17" spans="1:10" x14ac:dyDescent="0.3">
      <c r="A17" s="41">
        <f t="shared" si="0"/>
        <v>7</v>
      </c>
      <c r="B17" s="20" t="s">
        <v>305</v>
      </c>
      <c r="C17" s="41"/>
      <c r="E17" s="50">
        <v>-5200.3239999999996</v>
      </c>
      <c r="G17" s="41" t="s">
        <v>438</v>
      </c>
      <c r="H17" s="41">
        <f t="shared" si="1"/>
        <v>7</v>
      </c>
    </row>
    <row r="18" spans="1:10" x14ac:dyDescent="0.3">
      <c r="A18" s="41">
        <f t="shared" si="0"/>
        <v>8</v>
      </c>
      <c r="B18" s="20" t="s">
        <v>306</v>
      </c>
      <c r="E18" s="50">
        <v>-2469.29151</v>
      </c>
      <c r="G18" s="41" t="s">
        <v>439</v>
      </c>
      <c r="H18" s="41">
        <f t="shared" si="1"/>
        <v>8</v>
      </c>
    </row>
    <row r="19" spans="1:10" x14ac:dyDescent="0.3">
      <c r="A19" s="41">
        <f t="shared" si="0"/>
        <v>9</v>
      </c>
      <c r="B19" s="466" t="s">
        <v>307</v>
      </c>
      <c r="E19" s="50">
        <v>-6458.357</v>
      </c>
      <c r="G19" s="41" t="s">
        <v>440</v>
      </c>
      <c r="H19" s="41">
        <f t="shared" si="1"/>
        <v>9</v>
      </c>
    </row>
    <row r="20" spans="1:10" x14ac:dyDescent="0.3">
      <c r="A20" s="41">
        <f t="shared" si="0"/>
        <v>10</v>
      </c>
      <c r="B20" s="466" t="s">
        <v>308</v>
      </c>
      <c r="E20" s="50">
        <v>-9764.84</v>
      </c>
      <c r="G20" s="41" t="s">
        <v>441</v>
      </c>
      <c r="H20" s="41">
        <f t="shared" si="1"/>
        <v>10</v>
      </c>
    </row>
    <row r="21" spans="1:10" x14ac:dyDescent="0.3">
      <c r="A21" s="41">
        <f t="shared" si="0"/>
        <v>11</v>
      </c>
      <c r="B21" s="20" t="s">
        <v>309</v>
      </c>
      <c r="E21" s="50">
        <v>0</v>
      </c>
      <c r="G21" s="41" t="s">
        <v>442</v>
      </c>
      <c r="H21" s="41">
        <f t="shared" si="1"/>
        <v>11</v>
      </c>
    </row>
    <row r="22" spans="1:10" x14ac:dyDescent="0.3">
      <c r="A22" s="41">
        <f t="shared" si="0"/>
        <v>12</v>
      </c>
      <c r="B22" s="20" t="s">
        <v>310</v>
      </c>
      <c r="E22" s="50">
        <v>-325.87329000000057</v>
      </c>
      <c r="G22" s="41" t="s">
        <v>443</v>
      </c>
      <c r="H22" s="41">
        <f t="shared" si="1"/>
        <v>12</v>
      </c>
    </row>
    <row r="23" spans="1:10" x14ac:dyDescent="0.3">
      <c r="A23" s="41">
        <f t="shared" si="0"/>
        <v>13</v>
      </c>
      <c r="B23" s="466" t="s">
        <v>311</v>
      </c>
      <c r="E23" s="50">
        <v>-15716.966</v>
      </c>
      <c r="G23" s="41" t="s">
        <v>444</v>
      </c>
      <c r="H23" s="41">
        <f t="shared" si="1"/>
        <v>13</v>
      </c>
    </row>
    <row r="24" spans="1:10" x14ac:dyDescent="0.3">
      <c r="A24" s="41">
        <f t="shared" si="0"/>
        <v>14</v>
      </c>
      <c r="B24" s="466" t="s">
        <v>312</v>
      </c>
      <c r="E24" s="50">
        <v>-26863.351999999999</v>
      </c>
      <c r="G24" s="41" t="s">
        <v>445</v>
      </c>
      <c r="H24" s="41">
        <f t="shared" si="1"/>
        <v>14</v>
      </c>
    </row>
    <row r="25" spans="1:10" x14ac:dyDescent="0.3">
      <c r="A25" s="41">
        <f t="shared" si="0"/>
        <v>15</v>
      </c>
      <c r="B25" s="466" t="s">
        <v>313</v>
      </c>
      <c r="E25" s="50">
        <v>-1113.175</v>
      </c>
      <c r="G25" s="41" t="s">
        <v>446</v>
      </c>
      <c r="H25" s="41">
        <f t="shared" si="1"/>
        <v>15</v>
      </c>
    </row>
    <row r="26" spans="1:10" x14ac:dyDescent="0.3">
      <c r="A26" s="41">
        <f t="shared" si="0"/>
        <v>16</v>
      </c>
      <c r="B26" s="20" t="s">
        <v>314</v>
      </c>
      <c r="E26" s="51">
        <v>1614.6884600000001</v>
      </c>
      <c r="G26" s="41" t="s">
        <v>315</v>
      </c>
      <c r="H26" s="41">
        <f t="shared" si="1"/>
        <v>16</v>
      </c>
    </row>
    <row r="27" spans="1:10" x14ac:dyDescent="0.3">
      <c r="A27" s="41">
        <f t="shared" si="0"/>
        <v>17</v>
      </c>
      <c r="B27" s="20" t="s">
        <v>317</v>
      </c>
      <c r="E27" s="163">
        <f>SUM(E15:E26)</f>
        <v>33651.210460000017</v>
      </c>
      <c r="F27" s="27"/>
      <c r="G27" s="35" t="s">
        <v>447</v>
      </c>
      <c r="H27" s="41">
        <f t="shared" si="1"/>
        <v>17</v>
      </c>
    </row>
    <row r="28" spans="1:10" x14ac:dyDescent="0.3">
      <c r="A28" s="41">
        <f t="shared" si="0"/>
        <v>18</v>
      </c>
      <c r="E28" s="40"/>
      <c r="H28" s="41">
        <f t="shared" si="1"/>
        <v>18</v>
      </c>
    </row>
    <row r="29" spans="1:10" x14ac:dyDescent="0.3">
      <c r="A29" s="41">
        <f t="shared" si="0"/>
        <v>19</v>
      </c>
      <c r="B29" s="467" t="s">
        <v>318</v>
      </c>
      <c r="E29" s="52"/>
      <c r="G29" s="41"/>
      <c r="H29" s="41">
        <f t="shared" si="1"/>
        <v>19</v>
      </c>
    </row>
    <row r="30" spans="1:10" x14ac:dyDescent="0.3">
      <c r="A30" s="41">
        <f t="shared" si="0"/>
        <v>20</v>
      </c>
      <c r="B30" s="26" t="s">
        <v>319</v>
      </c>
      <c r="C30" s="41"/>
      <c r="E30" s="47">
        <f>'Pg9.2 Rev AH-3'!D30</f>
        <v>595154.03483999986</v>
      </c>
      <c r="G30" s="41" t="s">
        <v>547</v>
      </c>
      <c r="H30" s="41">
        <f t="shared" si="1"/>
        <v>20</v>
      </c>
    </row>
    <row r="31" spans="1:10" x14ac:dyDescent="0.3">
      <c r="A31" s="41">
        <f t="shared" si="0"/>
        <v>21</v>
      </c>
      <c r="B31" s="26" t="s">
        <v>30</v>
      </c>
      <c r="E31" s="52" t="s">
        <v>11</v>
      </c>
      <c r="G31" s="41"/>
      <c r="H31" s="41">
        <f t="shared" si="1"/>
        <v>21</v>
      </c>
    </row>
    <row r="32" spans="1:10" x14ac:dyDescent="0.3">
      <c r="A32" s="41">
        <f t="shared" si="0"/>
        <v>22</v>
      </c>
      <c r="B32" s="48" t="s">
        <v>31</v>
      </c>
      <c r="E32" s="50">
        <f>-'Pg9.2 Rev AH-3'!D61</f>
        <v>-2360.7200000000003</v>
      </c>
      <c r="G32" s="41" t="s">
        <v>548</v>
      </c>
      <c r="H32" s="41">
        <f t="shared" si="1"/>
        <v>22</v>
      </c>
      <c r="I32" s="468"/>
      <c r="J32" s="54"/>
    </row>
    <row r="33" spans="1:10" ht="31.2" x14ac:dyDescent="0.3">
      <c r="A33" s="41">
        <f t="shared" si="0"/>
        <v>23</v>
      </c>
      <c r="B33" s="48" t="s">
        <v>32</v>
      </c>
      <c r="E33" s="50">
        <f>-('Pg9.2 Rev AH-3'!D34+'Pg9.2 Rev AH-3'!D37+'Pg9.2 Rev AH-3'!D41+'Pg9.2 Rev AH-3'!D47+'Pg9.2 Rev AH-3'!D50+'Pg9.2 Rev AH-3'!D55+'Pg9.2 Rev AH-3'!D64)</f>
        <v>555.40800074000003</v>
      </c>
      <c r="G33" s="53" t="s">
        <v>549</v>
      </c>
      <c r="H33" s="41">
        <f t="shared" si="1"/>
        <v>23</v>
      </c>
      <c r="I33" s="468"/>
      <c r="J33" s="54"/>
    </row>
    <row r="34" spans="1:10" x14ac:dyDescent="0.3">
      <c r="A34" s="41">
        <f t="shared" si="0"/>
        <v>24</v>
      </c>
      <c r="B34" s="48" t="s">
        <v>121</v>
      </c>
      <c r="E34" s="50">
        <f>-'Pg9.2 Rev AH-3'!D57</f>
        <v>0</v>
      </c>
      <c r="G34" s="41" t="s">
        <v>550</v>
      </c>
      <c r="H34" s="41">
        <f t="shared" si="1"/>
        <v>24</v>
      </c>
    </row>
    <row r="35" spans="1:10" x14ac:dyDescent="0.3">
      <c r="A35" s="41">
        <f t="shared" si="0"/>
        <v>25</v>
      </c>
      <c r="B35" s="48" t="s">
        <v>33</v>
      </c>
      <c r="E35" s="50">
        <f>-'Pg9.2 Rev AH-3'!D58</f>
        <v>-2085.1866</v>
      </c>
      <c r="G35" s="41" t="s">
        <v>551</v>
      </c>
      <c r="H35" s="41">
        <f t="shared" si="1"/>
        <v>25</v>
      </c>
      <c r="J35" s="54"/>
    </row>
    <row r="36" spans="1:10" x14ac:dyDescent="0.3">
      <c r="A36" s="41">
        <f t="shared" si="0"/>
        <v>26</v>
      </c>
      <c r="B36" s="48" t="s">
        <v>34</v>
      </c>
      <c r="E36" s="50">
        <f>-'Pg9.2 Rev AH-3'!D54</f>
        <v>-13015.817289999999</v>
      </c>
      <c r="G36" s="41" t="s">
        <v>552</v>
      </c>
      <c r="H36" s="41">
        <f t="shared" si="1"/>
        <v>26</v>
      </c>
      <c r="J36" s="54"/>
    </row>
    <row r="37" spans="1:10" x14ac:dyDescent="0.3">
      <c r="A37" s="41">
        <f t="shared" si="0"/>
        <v>27</v>
      </c>
      <c r="B37" s="48" t="s">
        <v>35</v>
      </c>
      <c r="E37" s="50">
        <v>0</v>
      </c>
      <c r="G37" s="664" t="s">
        <v>535</v>
      </c>
      <c r="H37" s="41">
        <f t="shared" si="1"/>
        <v>27</v>
      </c>
      <c r="J37" s="54"/>
    </row>
    <row r="38" spans="1:10" x14ac:dyDescent="0.3">
      <c r="A38" s="41">
        <f t="shared" si="0"/>
        <v>28</v>
      </c>
      <c r="B38" s="48" t="s">
        <v>36</v>
      </c>
      <c r="E38" s="50">
        <f>-'Pg9.2 Rev AH-3'!E60+'Pg9.2 Rev AH-3'!H21</f>
        <v>204.155</v>
      </c>
      <c r="F38" s="27"/>
      <c r="G38" s="53" t="s">
        <v>558</v>
      </c>
      <c r="H38" s="41">
        <f t="shared" si="1"/>
        <v>28</v>
      </c>
      <c r="I38" s="468"/>
    </row>
    <row r="39" spans="1:10" x14ac:dyDescent="0.3">
      <c r="A39" s="41">
        <f t="shared" si="0"/>
        <v>29</v>
      </c>
      <c r="B39" s="48" t="s">
        <v>37</v>
      </c>
      <c r="E39" s="50">
        <f>-'Pg9.2 Rev AH-3'!E53</f>
        <v>-130506.76528000001</v>
      </c>
      <c r="G39" s="41" t="s">
        <v>553</v>
      </c>
      <c r="H39" s="41">
        <f t="shared" si="1"/>
        <v>29</v>
      </c>
      <c r="I39" s="468"/>
      <c r="J39" s="54"/>
    </row>
    <row r="40" spans="1:10" x14ac:dyDescent="0.3">
      <c r="A40" s="41">
        <f t="shared" si="0"/>
        <v>30</v>
      </c>
      <c r="B40" s="48" t="s">
        <v>38</v>
      </c>
      <c r="E40" s="50">
        <f>-'Pg9.2 Rev AH-3'!D65</f>
        <v>-12.147468914000001</v>
      </c>
      <c r="G40" s="53" t="s">
        <v>554</v>
      </c>
      <c r="H40" s="41">
        <f t="shared" si="1"/>
        <v>30</v>
      </c>
    </row>
    <row r="41" spans="1:10" x14ac:dyDescent="0.3">
      <c r="A41" s="41">
        <f t="shared" si="0"/>
        <v>31</v>
      </c>
      <c r="B41" s="48" t="s">
        <v>39</v>
      </c>
      <c r="E41" s="50">
        <f>-'Pg9.2 Rev AH-3'!D56</f>
        <v>-40.544630000000005</v>
      </c>
      <c r="G41" s="53" t="s">
        <v>555</v>
      </c>
      <c r="H41" s="41">
        <f t="shared" si="1"/>
        <v>31</v>
      </c>
    </row>
    <row r="42" spans="1:10" ht="46.8" x14ac:dyDescent="0.3">
      <c r="A42" s="41">
        <f t="shared" si="0"/>
        <v>32</v>
      </c>
      <c r="B42" s="48" t="s">
        <v>40</v>
      </c>
      <c r="E42" s="50">
        <f>-('Pg9.2 Rev AH-3'!D35+'Pg9.2 Rev AH-3'!D36+'Pg9.2 Rev AH-3'!D38+'Pg9.2 Rev AH-3'!D39+'Pg9.2 Rev AH-3'!D42+'Pg9.2 Rev AH-3'!D43+'Pg9.2 Rev AH-3'!D44+'Pg9.2 Rev AH-3'!D45+'Pg9.2 Rev AH-3'!D46+'Pg9.2 Rev AH-3'!D48+'Pg9.2 Rev AH-3'!D49+'Pg9.2 Rev AH-3'!D51+'Pg9.2 Rev AH-3'!D52+'Pg9.2 Rev AH-3'!D59+'Pg9.2 Rev AH-3'!D62+'Pg9.2 Rev AH-3'!D63+'Pg9.2 Rev AH-3'!E40)</f>
        <v>-24673.96447250203</v>
      </c>
      <c r="G42" s="53" t="s">
        <v>557</v>
      </c>
      <c r="H42" s="41">
        <f t="shared" si="1"/>
        <v>32</v>
      </c>
    </row>
    <row r="43" spans="1:10" x14ac:dyDescent="0.3">
      <c r="A43" s="41">
        <f t="shared" si="0"/>
        <v>33</v>
      </c>
      <c r="B43" s="42" t="s">
        <v>316</v>
      </c>
      <c r="E43" s="469">
        <f>'Pg9.2 Rev AH-3'!H30-'Pg9.2 Rev AH-3'!H21</f>
        <v>-90.331999999999994</v>
      </c>
      <c r="F43" s="27" t="s">
        <v>16</v>
      </c>
      <c r="G43" s="41" t="s">
        <v>561</v>
      </c>
      <c r="H43" s="41">
        <f t="shared" si="1"/>
        <v>33</v>
      </c>
      <c r="I43" s="54"/>
    </row>
    <row r="44" spans="1:10" x14ac:dyDescent="0.3">
      <c r="A44" s="41">
        <f t="shared" si="0"/>
        <v>34</v>
      </c>
      <c r="B44" s="26" t="s">
        <v>320</v>
      </c>
      <c r="E44" s="55">
        <f>SUM(E30:E43)</f>
        <v>423128.12009932386</v>
      </c>
      <c r="F44" s="27" t="s">
        <v>16</v>
      </c>
      <c r="G44" s="41" t="s">
        <v>536</v>
      </c>
      <c r="H44" s="41">
        <f t="shared" si="1"/>
        <v>34</v>
      </c>
    </row>
    <row r="45" spans="1:10" x14ac:dyDescent="0.3">
      <c r="A45" s="41">
        <f t="shared" si="0"/>
        <v>35</v>
      </c>
      <c r="B45" s="26" t="s">
        <v>41</v>
      </c>
      <c r="E45" s="470">
        <f>-'Pg9.2 Rev AH-3'!F15</f>
        <v>-8310.402</v>
      </c>
      <c r="G45" s="41" t="s">
        <v>537</v>
      </c>
      <c r="H45" s="41">
        <f t="shared" si="1"/>
        <v>35</v>
      </c>
    </row>
    <row r="46" spans="1:10" x14ac:dyDescent="0.3">
      <c r="A46" s="41">
        <f t="shared" si="0"/>
        <v>36</v>
      </c>
      <c r="B46" s="26" t="s">
        <v>321</v>
      </c>
      <c r="E46" s="55">
        <f>SUM(E44:E45)</f>
        <v>414817.71809932386</v>
      </c>
      <c r="F46" s="27" t="s">
        <v>16</v>
      </c>
      <c r="G46" s="41" t="s">
        <v>493</v>
      </c>
      <c r="H46" s="41">
        <f t="shared" si="1"/>
        <v>36</v>
      </c>
    </row>
    <row r="47" spans="1:10" x14ac:dyDescent="0.3">
      <c r="A47" s="41">
        <f t="shared" si="0"/>
        <v>37</v>
      </c>
      <c r="B47" s="20" t="s">
        <v>42</v>
      </c>
      <c r="E47" s="471">
        <v>0.10287974321775711</v>
      </c>
      <c r="G47" s="35" t="s">
        <v>448</v>
      </c>
      <c r="H47" s="41">
        <f t="shared" si="1"/>
        <v>37</v>
      </c>
    </row>
    <row r="48" spans="1:10" x14ac:dyDescent="0.3">
      <c r="A48" s="41">
        <f t="shared" si="0"/>
        <v>38</v>
      </c>
      <c r="B48" s="26" t="s">
        <v>322</v>
      </c>
      <c r="E48" s="56">
        <f>E46*E47</f>
        <v>42676.340320234398</v>
      </c>
      <c r="F48" s="27" t="s">
        <v>16</v>
      </c>
      <c r="G48" s="41" t="s">
        <v>538</v>
      </c>
      <c r="H48" s="41">
        <f t="shared" si="1"/>
        <v>38</v>
      </c>
    </row>
    <row r="49" spans="1:9" x14ac:dyDescent="0.3">
      <c r="A49" s="41">
        <f t="shared" si="0"/>
        <v>39</v>
      </c>
      <c r="B49" s="42" t="s">
        <v>43</v>
      </c>
      <c r="E49" s="472">
        <f>E69*(-E45)</f>
        <v>3315.0316733642535</v>
      </c>
      <c r="G49" s="41" t="s">
        <v>540</v>
      </c>
      <c r="H49" s="41">
        <f t="shared" si="1"/>
        <v>39</v>
      </c>
    </row>
    <row r="50" spans="1:9" ht="16.2" thickBot="1" x14ac:dyDescent="0.35">
      <c r="A50" s="41">
        <f t="shared" si="0"/>
        <v>40</v>
      </c>
      <c r="B50" s="48" t="s">
        <v>323</v>
      </c>
      <c r="E50" s="473">
        <f>E49+E48</f>
        <v>45991.371993598652</v>
      </c>
      <c r="F50" s="27" t="s">
        <v>16</v>
      </c>
      <c r="G50" s="41" t="s">
        <v>539</v>
      </c>
      <c r="H50" s="41">
        <f t="shared" si="1"/>
        <v>40</v>
      </c>
      <c r="I50" s="48"/>
    </row>
    <row r="51" spans="1:9" ht="16.2" thickTop="1" x14ac:dyDescent="0.3">
      <c r="A51" s="41">
        <f t="shared" si="0"/>
        <v>41</v>
      </c>
      <c r="B51" s="57"/>
      <c r="E51" s="58"/>
      <c r="G51" s="41"/>
      <c r="H51" s="41">
        <f t="shared" si="1"/>
        <v>41</v>
      </c>
    </row>
    <row r="52" spans="1:9" x14ac:dyDescent="0.3">
      <c r="A52" s="41">
        <f t="shared" si="0"/>
        <v>42</v>
      </c>
      <c r="B52" s="29" t="s">
        <v>44</v>
      </c>
      <c r="E52" s="59"/>
      <c r="G52" s="41"/>
      <c r="H52" s="41">
        <f t="shared" si="1"/>
        <v>42</v>
      </c>
    </row>
    <row r="53" spans="1:9" x14ac:dyDescent="0.3">
      <c r="A53" s="41">
        <f t="shared" si="0"/>
        <v>43</v>
      </c>
      <c r="B53" s="26" t="s">
        <v>45</v>
      </c>
      <c r="E53" s="36">
        <v>6659410.4084030753</v>
      </c>
      <c r="G53" s="41" t="s">
        <v>449</v>
      </c>
      <c r="H53" s="41">
        <f t="shared" si="1"/>
        <v>43</v>
      </c>
    </row>
    <row r="54" spans="1:9" x14ac:dyDescent="0.3">
      <c r="A54" s="41">
        <f t="shared" si="0"/>
        <v>44</v>
      </c>
      <c r="B54" s="26" t="s">
        <v>20</v>
      </c>
      <c r="E54" s="60">
        <v>0</v>
      </c>
      <c r="G54" s="41" t="s">
        <v>19</v>
      </c>
      <c r="H54" s="41">
        <f t="shared" si="1"/>
        <v>44</v>
      </c>
    </row>
    <row r="55" spans="1:9" x14ac:dyDescent="0.3">
      <c r="A55" s="41">
        <f t="shared" si="0"/>
        <v>45</v>
      </c>
      <c r="B55" s="26" t="s">
        <v>21</v>
      </c>
      <c r="E55" s="61">
        <v>47368.546650440985</v>
      </c>
      <c r="G55" s="62" t="s">
        <v>450</v>
      </c>
      <c r="H55" s="41">
        <f t="shared" si="1"/>
        <v>45</v>
      </c>
    </row>
    <row r="56" spans="1:9" x14ac:dyDescent="0.3">
      <c r="A56" s="41">
        <f t="shared" si="0"/>
        <v>46</v>
      </c>
      <c r="B56" s="26" t="s">
        <v>46</v>
      </c>
      <c r="E56" s="474">
        <v>117205.19981479381</v>
      </c>
      <c r="G56" s="62" t="s">
        <v>451</v>
      </c>
      <c r="H56" s="41">
        <f t="shared" si="1"/>
        <v>46</v>
      </c>
    </row>
    <row r="57" spans="1:9" ht="16.2" thickBot="1" x14ac:dyDescent="0.35">
      <c r="A57" s="41">
        <f t="shared" si="0"/>
        <v>47</v>
      </c>
      <c r="B57" s="26" t="s">
        <v>47</v>
      </c>
      <c r="E57" s="63">
        <f>SUM(E53:E56)</f>
        <v>6823984.1548683103</v>
      </c>
      <c r="G57" s="41" t="s">
        <v>452</v>
      </c>
      <c r="H57" s="41">
        <f t="shared" si="1"/>
        <v>47</v>
      </c>
      <c r="I57" s="48"/>
    </row>
    <row r="58" spans="1:9" ht="16.2" thickTop="1" x14ac:dyDescent="0.3">
      <c r="A58" s="41">
        <f t="shared" si="0"/>
        <v>48</v>
      </c>
      <c r="B58" s="57"/>
      <c r="E58" s="40"/>
      <c r="G58" s="41"/>
      <c r="H58" s="41">
        <f t="shared" si="1"/>
        <v>48</v>
      </c>
    </row>
    <row r="59" spans="1:9" x14ac:dyDescent="0.3">
      <c r="A59" s="41">
        <f t="shared" si="0"/>
        <v>49</v>
      </c>
      <c r="B59" s="26" t="s">
        <v>48</v>
      </c>
      <c r="E59" s="64">
        <f>E53</f>
        <v>6659410.4084030753</v>
      </c>
      <c r="G59" s="65" t="s">
        <v>453</v>
      </c>
      <c r="H59" s="41">
        <f t="shared" si="1"/>
        <v>49</v>
      </c>
    </row>
    <row r="60" spans="1:9" x14ac:dyDescent="0.3">
      <c r="A60" s="41">
        <f t="shared" si="0"/>
        <v>50</v>
      </c>
      <c r="B60" s="26" t="s">
        <v>49</v>
      </c>
      <c r="E60" s="37">
        <v>557045.05025384598</v>
      </c>
      <c r="G60" s="62" t="s">
        <v>454</v>
      </c>
      <c r="H60" s="41">
        <f t="shared" si="1"/>
        <v>50</v>
      </c>
    </row>
    <row r="61" spans="1:9" x14ac:dyDescent="0.3">
      <c r="A61" s="41">
        <f t="shared" si="0"/>
        <v>51</v>
      </c>
      <c r="B61" s="26" t="s">
        <v>50</v>
      </c>
      <c r="E61" s="60">
        <v>0</v>
      </c>
      <c r="G61" s="41" t="s">
        <v>19</v>
      </c>
      <c r="H61" s="41">
        <f t="shared" si="1"/>
        <v>51</v>
      </c>
    </row>
    <row r="62" spans="1:9" x14ac:dyDescent="0.3">
      <c r="A62" s="41">
        <f t="shared" si="0"/>
        <v>52</v>
      </c>
      <c r="B62" s="26" t="s">
        <v>51</v>
      </c>
      <c r="E62" s="37">
        <v>529465.61728230771</v>
      </c>
      <c r="G62" s="62" t="s">
        <v>455</v>
      </c>
      <c r="H62" s="41">
        <f t="shared" si="1"/>
        <v>52</v>
      </c>
    </row>
    <row r="63" spans="1:9" x14ac:dyDescent="0.3">
      <c r="A63" s="41">
        <f t="shared" si="0"/>
        <v>53</v>
      </c>
      <c r="B63" s="26" t="s">
        <v>52</v>
      </c>
      <c r="E63" s="37">
        <v>7761348.9741599998</v>
      </c>
      <c r="G63" s="62" t="s">
        <v>456</v>
      </c>
      <c r="H63" s="41">
        <f t="shared" si="1"/>
        <v>53</v>
      </c>
    </row>
    <row r="64" spans="1:9" x14ac:dyDescent="0.3">
      <c r="A64" s="41">
        <f t="shared" si="0"/>
        <v>54</v>
      </c>
      <c r="B64" s="48" t="s">
        <v>20</v>
      </c>
      <c r="E64" s="60">
        <v>0</v>
      </c>
      <c r="G64" s="41" t="s">
        <v>19</v>
      </c>
      <c r="H64" s="41">
        <f t="shared" si="1"/>
        <v>54</v>
      </c>
    </row>
    <row r="65" spans="1:9" x14ac:dyDescent="0.3">
      <c r="A65" s="41">
        <f t="shared" si="0"/>
        <v>55</v>
      </c>
      <c r="B65" s="26" t="s">
        <v>53</v>
      </c>
      <c r="E65" s="37">
        <v>460426.36935999995</v>
      </c>
      <c r="G65" s="62" t="s">
        <v>457</v>
      </c>
      <c r="H65" s="41">
        <f t="shared" si="1"/>
        <v>55</v>
      </c>
    </row>
    <row r="66" spans="1:9" x14ac:dyDescent="0.3">
      <c r="A66" s="41">
        <f t="shared" si="0"/>
        <v>56</v>
      </c>
      <c r="B66" s="26" t="s">
        <v>54</v>
      </c>
      <c r="E66" s="475">
        <v>1139244.6768331758</v>
      </c>
      <c r="G66" s="62" t="s">
        <v>458</v>
      </c>
      <c r="H66" s="41">
        <f t="shared" si="1"/>
        <v>56</v>
      </c>
    </row>
    <row r="67" spans="1:9" ht="16.2" thickBot="1" x14ac:dyDescent="0.35">
      <c r="A67" s="41">
        <f t="shared" si="0"/>
        <v>57</v>
      </c>
      <c r="B67" s="26" t="s">
        <v>55</v>
      </c>
      <c r="E67" s="66">
        <f>SUM(E59:E66)</f>
        <v>17106941.096292403</v>
      </c>
      <c r="G67" s="41" t="s">
        <v>459</v>
      </c>
      <c r="H67" s="41">
        <f t="shared" si="1"/>
        <v>57</v>
      </c>
      <c r="I67" s="48"/>
    </row>
    <row r="68" spans="1:9" ht="16.2" thickTop="1" x14ac:dyDescent="0.3">
      <c r="A68" s="41">
        <f t="shared" si="0"/>
        <v>58</v>
      </c>
      <c r="E68" s="67"/>
      <c r="G68" s="41"/>
      <c r="H68" s="41">
        <f t="shared" si="1"/>
        <v>58</v>
      </c>
    </row>
    <row r="69" spans="1:9" ht="18.600000000000001" thickBot="1" x14ac:dyDescent="0.35">
      <c r="A69" s="41">
        <f t="shared" si="0"/>
        <v>59</v>
      </c>
      <c r="B69" s="26" t="s">
        <v>324</v>
      </c>
      <c r="E69" s="68">
        <f>E57/E67</f>
        <v>0.39890148194566921</v>
      </c>
      <c r="G69" s="41" t="s">
        <v>541</v>
      </c>
      <c r="H69" s="41">
        <f t="shared" si="1"/>
        <v>59</v>
      </c>
      <c r="I69" s="48"/>
    </row>
    <row r="70" spans="1:9" ht="16.2" thickTop="1" x14ac:dyDescent="0.3">
      <c r="B70" s="48" t="s">
        <v>11</v>
      </c>
      <c r="E70" s="69"/>
      <c r="G70" s="41"/>
      <c r="H70" s="41"/>
    </row>
    <row r="71" spans="1:9" x14ac:dyDescent="0.3">
      <c r="B71" s="48"/>
      <c r="E71" s="69"/>
      <c r="G71" s="41"/>
      <c r="H71" s="41"/>
    </row>
    <row r="72" spans="1:9" x14ac:dyDescent="0.3">
      <c r="A72" s="541" t="s">
        <v>16</v>
      </c>
      <c r="B72" s="24" t="s">
        <v>617</v>
      </c>
      <c r="E72" s="69"/>
      <c r="F72" s="69"/>
      <c r="G72" s="41"/>
      <c r="H72" s="41"/>
    </row>
    <row r="73" spans="1:9" ht="18" x14ac:dyDescent="0.3">
      <c r="A73" s="71">
        <v>1</v>
      </c>
      <c r="B73" s="26" t="s">
        <v>494</v>
      </c>
      <c r="H73" s="41"/>
    </row>
    <row r="74" spans="1:9" x14ac:dyDescent="0.3">
      <c r="B74" s="48"/>
      <c r="E74" s="67"/>
      <c r="F74" s="67"/>
      <c r="G74" s="41"/>
      <c r="H74" s="41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Roman,Bold"&amp;9REVISED</oddHeader>
    <oddFooter>&amp;CPage 9&amp;R&amp;F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2FCC-C445-4BFC-BB3C-EE424542E92D}">
  <sheetPr>
    <pageSetUpPr fitToPage="1"/>
  </sheetPr>
  <dimension ref="A1:J73"/>
  <sheetViews>
    <sheetView zoomScale="80" zoomScaleNormal="80" workbookViewId="0"/>
  </sheetViews>
  <sheetFormatPr defaultColWidth="8.88671875" defaultRowHeight="15.6" x14ac:dyDescent="0.3"/>
  <cols>
    <col min="1" max="1" width="5.109375" style="41" bestFit="1" customWidth="1"/>
    <col min="2" max="2" width="80.5546875" style="42" customWidth="1"/>
    <col min="3" max="3" width="21.109375" style="42" customWidth="1"/>
    <col min="4" max="4" width="1.5546875" style="42" customWidth="1"/>
    <col min="5" max="5" width="16.88671875" style="42" customWidth="1"/>
    <col min="6" max="6" width="1.5546875" style="42" customWidth="1"/>
    <col min="7" max="7" width="53.88671875" style="42" customWidth="1"/>
    <col min="8" max="8" width="5.109375" style="42" customWidth="1"/>
    <col min="9" max="9" width="9.109375" style="42" bestFit="1" customWidth="1"/>
    <col min="10" max="10" width="20.44140625" style="42" bestFit="1" customWidth="1"/>
    <col min="11" max="16384" width="8.88671875" style="42"/>
  </cols>
  <sheetData>
    <row r="1" spans="1:8" x14ac:dyDescent="0.3">
      <c r="A1" s="718" t="s">
        <v>614</v>
      </c>
    </row>
    <row r="2" spans="1:8" x14ac:dyDescent="0.3">
      <c r="G2" s="43"/>
      <c r="H2" s="41"/>
    </row>
    <row r="3" spans="1:8" x14ac:dyDescent="0.3">
      <c r="B3" s="815" t="s">
        <v>24</v>
      </c>
      <c r="C3" s="815"/>
      <c r="D3" s="815"/>
      <c r="E3" s="815"/>
      <c r="F3" s="815"/>
      <c r="G3" s="815"/>
      <c r="H3" s="41"/>
    </row>
    <row r="4" spans="1:8" x14ac:dyDescent="0.3">
      <c r="B4" s="815" t="s">
        <v>25</v>
      </c>
      <c r="C4" s="815"/>
      <c r="D4" s="815"/>
      <c r="E4" s="815"/>
      <c r="F4" s="815"/>
      <c r="G4" s="815"/>
      <c r="H4" s="41"/>
    </row>
    <row r="5" spans="1:8" x14ac:dyDescent="0.3">
      <c r="B5" s="815" t="s">
        <v>26</v>
      </c>
      <c r="C5" s="815"/>
      <c r="D5" s="815"/>
      <c r="E5" s="815"/>
      <c r="F5" s="815"/>
      <c r="G5" s="815"/>
      <c r="H5" s="41"/>
    </row>
    <row r="6" spans="1:8" x14ac:dyDescent="0.3">
      <c r="B6" s="816" t="s">
        <v>544</v>
      </c>
      <c r="C6" s="816"/>
      <c r="D6" s="816"/>
      <c r="E6" s="816"/>
      <c r="F6" s="816"/>
      <c r="G6" s="816"/>
      <c r="H6" s="41"/>
    </row>
    <row r="7" spans="1:8" x14ac:dyDescent="0.3">
      <c r="B7" s="817" t="s">
        <v>1</v>
      </c>
      <c r="C7" s="818"/>
      <c r="D7" s="818"/>
      <c r="E7" s="818"/>
      <c r="F7" s="818"/>
      <c r="G7" s="818"/>
      <c r="H7" s="41"/>
    </row>
    <row r="8" spans="1:8" x14ac:dyDescent="0.3">
      <c r="B8" s="41"/>
      <c r="C8" s="41"/>
      <c r="D8" s="41"/>
      <c r="E8" s="44"/>
      <c r="F8" s="44"/>
      <c r="G8" s="41"/>
      <c r="H8" s="41"/>
    </row>
    <row r="9" spans="1:8" x14ac:dyDescent="0.3">
      <c r="A9" s="41" t="s">
        <v>2</v>
      </c>
      <c r="B9" s="728"/>
      <c r="C9" s="41" t="s">
        <v>27</v>
      </c>
      <c r="D9" s="728"/>
      <c r="E9" s="45"/>
      <c r="F9" s="45"/>
      <c r="G9" s="41"/>
      <c r="H9" s="41" t="s">
        <v>2</v>
      </c>
    </row>
    <row r="10" spans="1:8" x14ac:dyDescent="0.3">
      <c r="A10" s="41" t="s">
        <v>6</v>
      </c>
      <c r="C10" s="463" t="s">
        <v>28</v>
      </c>
      <c r="D10" s="728"/>
      <c r="E10" s="464" t="s">
        <v>4</v>
      </c>
      <c r="F10" s="45"/>
      <c r="G10" s="463" t="s">
        <v>5</v>
      </c>
      <c r="H10" s="41" t="s">
        <v>6</v>
      </c>
    </row>
    <row r="11" spans="1:8" x14ac:dyDescent="0.3">
      <c r="C11" s="728"/>
      <c r="D11" s="728"/>
      <c r="E11" s="45"/>
      <c r="F11" s="45"/>
      <c r="G11" s="41"/>
      <c r="H11" s="41"/>
    </row>
    <row r="12" spans="1:8" x14ac:dyDescent="0.3">
      <c r="A12" s="41">
        <v>1</v>
      </c>
      <c r="B12" s="465" t="s">
        <v>301</v>
      </c>
      <c r="C12" s="728"/>
      <c r="D12" s="728"/>
      <c r="E12" s="45"/>
      <c r="F12" s="45"/>
      <c r="G12" s="41"/>
      <c r="H12" s="41">
        <f>A12</f>
        <v>1</v>
      </c>
    </row>
    <row r="13" spans="1:8" x14ac:dyDescent="0.3">
      <c r="A13" s="41">
        <f>+A12+1</f>
        <v>2</v>
      </c>
      <c r="B13" s="466" t="s">
        <v>302</v>
      </c>
      <c r="C13" s="728"/>
      <c r="D13" s="728"/>
      <c r="E13" s="47">
        <v>0</v>
      </c>
      <c r="F13" s="45"/>
      <c r="G13" s="41" t="s">
        <v>436</v>
      </c>
      <c r="H13" s="41">
        <f>H12+1</f>
        <v>2</v>
      </c>
    </row>
    <row r="14" spans="1:8" x14ac:dyDescent="0.3">
      <c r="A14" s="41">
        <f t="shared" ref="A14:A69" si="0">+A13+1</f>
        <v>3</v>
      </c>
      <c r="C14" s="728"/>
      <c r="D14" s="728"/>
      <c r="E14" s="45"/>
      <c r="F14" s="45"/>
      <c r="G14" s="41"/>
      <c r="H14" s="41">
        <f t="shared" ref="H14:H69" si="1">H13+1</f>
        <v>3</v>
      </c>
    </row>
    <row r="15" spans="1:8" x14ac:dyDescent="0.3">
      <c r="A15" s="41">
        <f t="shared" si="0"/>
        <v>4</v>
      </c>
      <c r="B15" s="465" t="s">
        <v>303</v>
      </c>
      <c r="G15" s="41"/>
      <c r="H15" s="41">
        <f t="shared" si="1"/>
        <v>4</v>
      </c>
    </row>
    <row r="16" spans="1:8" x14ac:dyDescent="0.3">
      <c r="A16" s="41">
        <f t="shared" si="0"/>
        <v>5</v>
      </c>
      <c r="B16" s="20" t="s">
        <v>304</v>
      </c>
      <c r="C16" s="41"/>
      <c r="E16" s="47">
        <v>99948.700800000006</v>
      </c>
      <c r="G16" s="41" t="s">
        <v>437</v>
      </c>
      <c r="H16" s="41">
        <f t="shared" si="1"/>
        <v>5</v>
      </c>
    </row>
    <row r="17" spans="1:8" x14ac:dyDescent="0.3">
      <c r="A17" s="41">
        <f t="shared" si="0"/>
        <v>6</v>
      </c>
      <c r="B17" s="26" t="s">
        <v>29</v>
      </c>
      <c r="E17" s="49"/>
      <c r="G17" s="41"/>
      <c r="H17" s="41">
        <f t="shared" si="1"/>
        <v>6</v>
      </c>
    </row>
    <row r="18" spans="1:8" x14ac:dyDescent="0.3">
      <c r="A18" s="41">
        <f t="shared" si="0"/>
        <v>7</v>
      </c>
      <c r="B18" s="20" t="s">
        <v>305</v>
      </c>
      <c r="C18" s="41"/>
      <c r="E18" s="50">
        <v>-5200.3239999999996</v>
      </c>
      <c r="G18" s="41" t="s">
        <v>438</v>
      </c>
      <c r="H18" s="41">
        <f t="shared" si="1"/>
        <v>7</v>
      </c>
    </row>
    <row r="19" spans="1:8" x14ac:dyDescent="0.3">
      <c r="A19" s="41">
        <f t="shared" si="0"/>
        <v>8</v>
      </c>
      <c r="B19" s="20" t="s">
        <v>306</v>
      </c>
      <c r="E19" s="50">
        <v>-2469.29151</v>
      </c>
      <c r="G19" s="41" t="s">
        <v>439</v>
      </c>
      <c r="H19" s="41">
        <f t="shared" si="1"/>
        <v>8</v>
      </c>
    </row>
    <row r="20" spans="1:8" x14ac:dyDescent="0.3">
      <c r="A20" s="41">
        <f t="shared" si="0"/>
        <v>9</v>
      </c>
      <c r="B20" s="466" t="s">
        <v>307</v>
      </c>
      <c r="E20" s="50">
        <v>-6458.357</v>
      </c>
      <c r="G20" s="41" t="s">
        <v>440</v>
      </c>
      <c r="H20" s="41">
        <f t="shared" si="1"/>
        <v>9</v>
      </c>
    </row>
    <row r="21" spans="1:8" x14ac:dyDescent="0.3">
      <c r="A21" s="41">
        <f t="shared" si="0"/>
        <v>10</v>
      </c>
      <c r="B21" s="466" t="s">
        <v>308</v>
      </c>
      <c r="E21" s="50">
        <v>-9764.84</v>
      </c>
      <c r="G21" s="41" t="s">
        <v>441</v>
      </c>
      <c r="H21" s="41">
        <f t="shared" si="1"/>
        <v>10</v>
      </c>
    </row>
    <row r="22" spans="1:8" x14ac:dyDescent="0.3">
      <c r="A22" s="41">
        <f t="shared" si="0"/>
        <v>11</v>
      </c>
      <c r="B22" s="20" t="s">
        <v>309</v>
      </c>
      <c r="E22" s="50">
        <v>0</v>
      </c>
      <c r="G22" s="41" t="s">
        <v>442</v>
      </c>
      <c r="H22" s="41">
        <f t="shared" si="1"/>
        <v>11</v>
      </c>
    </row>
    <row r="23" spans="1:8" x14ac:dyDescent="0.3">
      <c r="A23" s="41">
        <f t="shared" si="0"/>
        <v>12</v>
      </c>
      <c r="B23" s="20" t="s">
        <v>310</v>
      </c>
      <c r="E23" s="50">
        <v>-325.87329000000057</v>
      </c>
      <c r="G23" s="41" t="s">
        <v>443</v>
      </c>
      <c r="H23" s="41">
        <f t="shared" si="1"/>
        <v>12</v>
      </c>
    </row>
    <row r="24" spans="1:8" x14ac:dyDescent="0.3">
      <c r="A24" s="41">
        <f t="shared" si="0"/>
        <v>13</v>
      </c>
      <c r="B24" s="466" t="s">
        <v>311</v>
      </c>
      <c r="E24" s="50">
        <v>-15716.966</v>
      </c>
      <c r="G24" s="41" t="s">
        <v>444</v>
      </c>
      <c r="H24" s="41">
        <f t="shared" si="1"/>
        <v>13</v>
      </c>
    </row>
    <row r="25" spans="1:8" x14ac:dyDescent="0.3">
      <c r="A25" s="41">
        <f t="shared" si="0"/>
        <v>14</v>
      </c>
      <c r="B25" s="466" t="s">
        <v>312</v>
      </c>
      <c r="E25" s="50">
        <v>-26863.351999999999</v>
      </c>
      <c r="G25" s="41" t="s">
        <v>445</v>
      </c>
      <c r="H25" s="41">
        <f t="shared" si="1"/>
        <v>14</v>
      </c>
    </row>
    <row r="26" spans="1:8" x14ac:dyDescent="0.3">
      <c r="A26" s="41">
        <f t="shared" si="0"/>
        <v>15</v>
      </c>
      <c r="B26" s="466" t="s">
        <v>313</v>
      </c>
      <c r="E26" s="50">
        <v>-1113.175</v>
      </c>
      <c r="G26" s="41" t="s">
        <v>446</v>
      </c>
      <c r="H26" s="41">
        <f t="shared" si="1"/>
        <v>15</v>
      </c>
    </row>
    <row r="27" spans="1:8" x14ac:dyDescent="0.3">
      <c r="A27" s="41">
        <f t="shared" si="0"/>
        <v>16</v>
      </c>
      <c r="B27" s="20" t="s">
        <v>314</v>
      </c>
      <c r="E27" s="51">
        <v>1614.6884600000001</v>
      </c>
      <c r="G27" s="41" t="s">
        <v>315</v>
      </c>
      <c r="H27" s="41">
        <f t="shared" si="1"/>
        <v>16</v>
      </c>
    </row>
    <row r="28" spans="1:8" x14ac:dyDescent="0.3">
      <c r="A28" s="41">
        <f t="shared" si="0"/>
        <v>17</v>
      </c>
      <c r="B28" s="20" t="s">
        <v>317</v>
      </c>
      <c r="E28" s="163">
        <f>SUM(E16:E27)</f>
        <v>33651.210460000017</v>
      </c>
      <c r="F28" s="27"/>
      <c r="G28" s="35" t="s">
        <v>447</v>
      </c>
      <c r="H28" s="41">
        <f t="shared" si="1"/>
        <v>17</v>
      </c>
    </row>
    <row r="29" spans="1:8" x14ac:dyDescent="0.3">
      <c r="A29" s="41">
        <f t="shared" si="0"/>
        <v>18</v>
      </c>
      <c r="E29" s="40"/>
      <c r="H29" s="41">
        <f t="shared" si="1"/>
        <v>18</v>
      </c>
    </row>
    <row r="30" spans="1:8" x14ac:dyDescent="0.3">
      <c r="A30" s="41">
        <f t="shared" si="0"/>
        <v>19</v>
      </c>
      <c r="B30" s="467" t="s">
        <v>318</v>
      </c>
      <c r="E30" s="52"/>
      <c r="G30" s="41"/>
      <c r="H30" s="41">
        <f t="shared" si="1"/>
        <v>19</v>
      </c>
    </row>
    <row r="31" spans="1:8" x14ac:dyDescent="0.3">
      <c r="A31" s="41">
        <f t="shared" si="0"/>
        <v>20</v>
      </c>
      <c r="B31" s="26" t="s">
        <v>319</v>
      </c>
      <c r="C31" s="41"/>
      <c r="E31" s="47">
        <f>'Pg9.2 Rev AH-3'!D30</f>
        <v>595154.03483999986</v>
      </c>
      <c r="G31" s="41" t="s">
        <v>547</v>
      </c>
      <c r="H31" s="41">
        <f t="shared" si="1"/>
        <v>20</v>
      </c>
    </row>
    <row r="32" spans="1:8" x14ac:dyDescent="0.3">
      <c r="A32" s="41">
        <f t="shared" si="0"/>
        <v>21</v>
      </c>
      <c r="B32" s="26" t="s">
        <v>30</v>
      </c>
      <c r="E32" s="52" t="s">
        <v>11</v>
      </c>
      <c r="G32" s="41"/>
      <c r="H32" s="41">
        <f t="shared" si="1"/>
        <v>21</v>
      </c>
    </row>
    <row r="33" spans="1:10" x14ac:dyDescent="0.3">
      <c r="A33" s="41">
        <f t="shared" si="0"/>
        <v>22</v>
      </c>
      <c r="B33" s="48" t="s">
        <v>31</v>
      </c>
      <c r="E33" s="50">
        <f>-'Pg9.2 Rev AH-3'!D61</f>
        <v>-2360.7200000000003</v>
      </c>
      <c r="G33" s="41" t="s">
        <v>548</v>
      </c>
      <c r="H33" s="41">
        <f t="shared" si="1"/>
        <v>22</v>
      </c>
      <c r="I33" s="468"/>
      <c r="J33" s="54"/>
    </row>
    <row r="34" spans="1:10" ht="31.2" x14ac:dyDescent="0.3">
      <c r="A34" s="41">
        <f t="shared" si="0"/>
        <v>23</v>
      </c>
      <c r="B34" s="48" t="s">
        <v>32</v>
      </c>
      <c r="E34" s="50">
        <f>-('Pg9.2 Rev AH-3'!D34+'Pg9.2 Rev AH-3'!D37+'Pg9.2 Rev AH-3'!D41+'Pg9.2 Rev AH-3'!D47+'Pg9.2 Rev AH-3'!D50+'Pg9.2 Rev AH-3'!D55+'Pg9.2 Rev AH-3'!D64)</f>
        <v>555.40800074000003</v>
      </c>
      <c r="G34" s="53" t="s">
        <v>549</v>
      </c>
      <c r="H34" s="41">
        <f t="shared" si="1"/>
        <v>23</v>
      </c>
      <c r="I34" s="468"/>
      <c r="J34" s="54"/>
    </row>
    <row r="35" spans="1:10" x14ac:dyDescent="0.3">
      <c r="A35" s="41">
        <f t="shared" si="0"/>
        <v>24</v>
      </c>
      <c r="B35" s="48" t="s">
        <v>121</v>
      </c>
      <c r="E35" s="50">
        <f>-'Pg9.2 Rev AH-3'!D57</f>
        <v>0</v>
      </c>
      <c r="G35" s="41" t="s">
        <v>550</v>
      </c>
      <c r="H35" s="41">
        <f t="shared" si="1"/>
        <v>24</v>
      </c>
    </row>
    <row r="36" spans="1:10" x14ac:dyDescent="0.3">
      <c r="A36" s="41">
        <f t="shared" si="0"/>
        <v>25</v>
      </c>
      <c r="B36" s="48" t="s">
        <v>33</v>
      </c>
      <c r="E36" s="50">
        <f>-'Pg9.2 Rev AH-3'!D58</f>
        <v>-2085.1866</v>
      </c>
      <c r="G36" s="41" t="s">
        <v>551</v>
      </c>
      <c r="H36" s="41">
        <f t="shared" si="1"/>
        <v>25</v>
      </c>
      <c r="J36" s="54"/>
    </row>
    <row r="37" spans="1:10" x14ac:dyDescent="0.3">
      <c r="A37" s="41">
        <f t="shared" si="0"/>
        <v>26</v>
      </c>
      <c r="B37" s="48" t="s">
        <v>34</v>
      </c>
      <c r="E37" s="50">
        <f>-'Pg9.2 Rev AH-3'!D54</f>
        <v>-13015.817289999999</v>
      </c>
      <c r="G37" s="41" t="s">
        <v>552</v>
      </c>
      <c r="H37" s="41">
        <f t="shared" si="1"/>
        <v>26</v>
      </c>
      <c r="J37" s="54"/>
    </row>
    <row r="38" spans="1:10" x14ac:dyDescent="0.3">
      <c r="A38" s="41">
        <f t="shared" si="0"/>
        <v>27</v>
      </c>
      <c r="B38" s="48" t="s">
        <v>35</v>
      </c>
      <c r="E38" s="50">
        <v>0</v>
      </c>
      <c r="G38" s="664" t="s">
        <v>535</v>
      </c>
      <c r="H38" s="41">
        <f t="shared" si="1"/>
        <v>27</v>
      </c>
      <c r="J38" s="54"/>
    </row>
    <row r="39" spans="1:10" x14ac:dyDescent="0.3">
      <c r="A39" s="41">
        <f t="shared" si="0"/>
        <v>28</v>
      </c>
      <c r="B39" s="48" t="s">
        <v>36</v>
      </c>
      <c r="E39" s="50">
        <f>-'Pg9.2 Rev AH-3'!E60+'Pg9.2 Rev AH-3'!H21</f>
        <v>204.155</v>
      </c>
      <c r="F39" s="27"/>
      <c r="G39" s="53" t="s">
        <v>558</v>
      </c>
      <c r="H39" s="41">
        <f t="shared" si="1"/>
        <v>28</v>
      </c>
      <c r="I39" s="468"/>
    </row>
    <row r="40" spans="1:10" x14ac:dyDescent="0.3">
      <c r="A40" s="41">
        <f t="shared" si="0"/>
        <v>29</v>
      </c>
      <c r="B40" s="48" t="s">
        <v>37</v>
      </c>
      <c r="E40" s="50">
        <f>-'Pg9.2 Rev AH-3'!E53</f>
        <v>-130506.76528000001</v>
      </c>
      <c r="G40" s="41" t="s">
        <v>553</v>
      </c>
      <c r="H40" s="41">
        <f t="shared" si="1"/>
        <v>29</v>
      </c>
      <c r="I40" s="468"/>
      <c r="J40" s="54"/>
    </row>
    <row r="41" spans="1:10" x14ac:dyDescent="0.3">
      <c r="A41" s="41">
        <f t="shared" si="0"/>
        <v>30</v>
      </c>
      <c r="B41" s="48" t="s">
        <v>38</v>
      </c>
      <c r="E41" s="50">
        <f>-'Pg9.2 Rev AH-3'!D65</f>
        <v>-12.147468914000001</v>
      </c>
      <c r="G41" s="53" t="s">
        <v>554</v>
      </c>
      <c r="H41" s="41">
        <f t="shared" si="1"/>
        <v>30</v>
      </c>
    </row>
    <row r="42" spans="1:10" x14ac:dyDescent="0.3">
      <c r="A42" s="41">
        <f t="shared" si="0"/>
        <v>31</v>
      </c>
      <c r="B42" s="48" t="s">
        <v>39</v>
      </c>
      <c r="E42" s="50">
        <f>-'Pg9.2 Rev AH-3'!D56</f>
        <v>-40.544630000000005</v>
      </c>
      <c r="G42" s="53" t="s">
        <v>555</v>
      </c>
      <c r="H42" s="41">
        <f t="shared" si="1"/>
        <v>31</v>
      </c>
    </row>
    <row r="43" spans="1:10" ht="46.8" x14ac:dyDescent="0.3">
      <c r="A43" s="41">
        <f t="shared" si="0"/>
        <v>32</v>
      </c>
      <c r="B43" s="48" t="s">
        <v>40</v>
      </c>
      <c r="E43" s="470">
        <f>-('Pg9.2 Rev AH-3'!D35+'Pg9.2 Rev AH-3'!D36+'Pg9.2 Rev AH-3'!D38+'Pg9.2 Rev AH-3'!D39+'Pg9.2 Rev AH-3'!D42+'Pg9.2 Rev AH-3'!D43+'Pg9.2 Rev AH-3'!D44+'Pg9.2 Rev AH-3'!D45+'Pg9.2 Rev AH-3'!D46+'Pg9.2 Rev AH-3'!D48+'Pg9.2 Rev AH-3'!D49+'Pg9.2 Rev AH-3'!D51+'Pg9.2 Rev AH-3'!D52+'Pg9.2 Rev AH-3'!D59+'Pg9.2 Rev AH-3'!D62+'Pg9.2 Rev AH-3'!D63+'Pg9.2 Rev AH-3'!E40)</f>
        <v>-24673.96447250203</v>
      </c>
      <c r="G43" s="53" t="s">
        <v>557</v>
      </c>
      <c r="H43" s="41">
        <f t="shared" si="1"/>
        <v>32</v>
      </c>
    </row>
    <row r="44" spans="1:10" x14ac:dyDescent="0.3">
      <c r="A44" s="41">
        <f t="shared" si="0"/>
        <v>33</v>
      </c>
      <c r="B44" s="26" t="s">
        <v>320</v>
      </c>
      <c r="E44" s="797">
        <f>SUM(E31:E43)</f>
        <v>423218.45209932385</v>
      </c>
      <c r="F44" s="27"/>
      <c r="G44" s="41" t="s">
        <v>643</v>
      </c>
      <c r="H44" s="41">
        <f t="shared" si="1"/>
        <v>33</v>
      </c>
    </row>
    <row r="45" spans="1:10" x14ac:dyDescent="0.3">
      <c r="A45" s="41">
        <f t="shared" si="0"/>
        <v>34</v>
      </c>
      <c r="B45" s="26" t="s">
        <v>41</v>
      </c>
      <c r="E45" s="470">
        <f>-'Pg9.2 Rev AH-3'!F15</f>
        <v>-8310.402</v>
      </c>
      <c r="G45" s="41" t="s">
        <v>537</v>
      </c>
      <c r="H45" s="41">
        <f t="shared" si="1"/>
        <v>34</v>
      </c>
    </row>
    <row r="46" spans="1:10" x14ac:dyDescent="0.3">
      <c r="A46" s="41">
        <f t="shared" si="0"/>
        <v>35</v>
      </c>
      <c r="B46" s="26" t="s">
        <v>321</v>
      </c>
      <c r="E46" s="797">
        <f>SUM(E44:E45)</f>
        <v>414908.05009932385</v>
      </c>
      <c r="F46" s="27"/>
      <c r="G46" s="41" t="s">
        <v>644</v>
      </c>
      <c r="H46" s="41">
        <f t="shared" si="1"/>
        <v>35</v>
      </c>
    </row>
    <row r="47" spans="1:10" x14ac:dyDescent="0.3">
      <c r="A47" s="41">
        <f t="shared" si="0"/>
        <v>36</v>
      </c>
      <c r="B47" s="20" t="s">
        <v>42</v>
      </c>
      <c r="E47" s="471">
        <v>0.10287974321775711</v>
      </c>
      <c r="G47" s="35" t="s">
        <v>448</v>
      </c>
      <c r="H47" s="41">
        <f t="shared" si="1"/>
        <v>36</v>
      </c>
    </row>
    <row r="48" spans="1:10" x14ac:dyDescent="0.3">
      <c r="A48" s="41">
        <f t="shared" si="0"/>
        <v>37</v>
      </c>
      <c r="B48" s="26" t="s">
        <v>322</v>
      </c>
      <c r="E48" s="798">
        <f>E46*E47</f>
        <v>42685.63365319874</v>
      </c>
      <c r="F48" s="27"/>
      <c r="G48" s="41" t="s">
        <v>645</v>
      </c>
      <c r="H48" s="41">
        <f t="shared" si="1"/>
        <v>37</v>
      </c>
    </row>
    <row r="49" spans="1:9" x14ac:dyDescent="0.3">
      <c r="A49" s="41">
        <f t="shared" si="0"/>
        <v>38</v>
      </c>
      <c r="B49" s="42" t="s">
        <v>43</v>
      </c>
      <c r="E49" s="472">
        <f>E69*(-E45)</f>
        <v>3315.0316733642535</v>
      </c>
      <c r="G49" s="41" t="s">
        <v>646</v>
      </c>
      <c r="H49" s="41">
        <f t="shared" si="1"/>
        <v>38</v>
      </c>
    </row>
    <row r="50" spans="1:9" ht="16.2" thickBot="1" x14ac:dyDescent="0.35">
      <c r="A50" s="41">
        <f t="shared" si="0"/>
        <v>39</v>
      </c>
      <c r="B50" s="48" t="s">
        <v>323</v>
      </c>
      <c r="E50" s="799">
        <f>E49+E48</f>
        <v>46000.665326562994</v>
      </c>
      <c r="F50" s="27"/>
      <c r="G50" s="41" t="s">
        <v>647</v>
      </c>
      <c r="H50" s="41">
        <f t="shared" si="1"/>
        <v>39</v>
      </c>
      <c r="I50" s="48"/>
    </row>
    <row r="51" spans="1:9" ht="16.2" thickTop="1" x14ac:dyDescent="0.3">
      <c r="A51" s="41">
        <f t="shared" si="0"/>
        <v>40</v>
      </c>
      <c r="B51" s="57"/>
      <c r="E51" s="58"/>
      <c r="G51" s="41"/>
      <c r="H51" s="41">
        <f t="shared" si="1"/>
        <v>40</v>
      </c>
    </row>
    <row r="52" spans="1:9" x14ac:dyDescent="0.3">
      <c r="A52" s="41">
        <f t="shared" si="0"/>
        <v>41</v>
      </c>
      <c r="B52" s="29" t="s">
        <v>44</v>
      </c>
      <c r="E52" s="59"/>
      <c r="G52" s="41"/>
      <c r="H52" s="41">
        <f t="shared" si="1"/>
        <v>41</v>
      </c>
    </row>
    <row r="53" spans="1:9" x14ac:dyDescent="0.3">
      <c r="A53" s="41">
        <f t="shared" si="0"/>
        <v>42</v>
      </c>
      <c r="B53" s="26" t="s">
        <v>45</v>
      </c>
      <c r="E53" s="36">
        <v>6659410.4084030753</v>
      </c>
      <c r="G53" s="41" t="s">
        <v>449</v>
      </c>
      <c r="H53" s="41">
        <f t="shared" si="1"/>
        <v>42</v>
      </c>
    </row>
    <row r="54" spans="1:9" x14ac:dyDescent="0.3">
      <c r="A54" s="41">
        <f t="shared" si="0"/>
        <v>43</v>
      </c>
      <c r="B54" s="26" t="s">
        <v>20</v>
      </c>
      <c r="E54" s="60">
        <v>0</v>
      </c>
      <c r="G54" s="41" t="s">
        <v>19</v>
      </c>
      <c r="H54" s="41">
        <f t="shared" si="1"/>
        <v>43</v>
      </c>
    </row>
    <row r="55" spans="1:9" x14ac:dyDescent="0.3">
      <c r="A55" s="41">
        <f t="shared" si="0"/>
        <v>44</v>
      </c>
      <c r="B55" s="26" t="s">
        <v>21</v>
      </c>
      <c r="E55" s="61">
        <v>47368.546650440985</v>
      </c>
      <c r="G55" s="62" t="s">
        <v>450</v>
      </c>
      <c r="H55" s="41">
        <f t="shared" si="1"/>
        <v>44</v>
      </c>
    </row>
    <row r="56" spans="1:9" x14ac:dyDescent="0.3">
      <c r="A56" s="41">
        <f t="shared" si="0"/>
        <v>45</v>
      </c>
      <c r="B56" s="26" t="s">
        <v>46</v>
      </c>
      <c r="E56" s="474">
        <v>117205.19981479381</v>
      </c>
      <c r="G56" s="62" t="s">
        <v>451</v>
      </c>
      <c r="H56" s="41">
        <f t="shared" si="1"/>
        <v>45</v>
      </c>
    </row>
    <row r="57" spans="1:9" ht="16.2" thickBot="1" x14ac:dyDescent="0.35">
      <c r="A57" s="41">
        <f t="shared" si="0"/>
        <v>46</v>
      </c>
      <c r="B57" s="26" t="s">
        <v>47</v>
      </c>
      <c r="E57" s="63">
        <f>SUM(E53:E56)</f>
        <v>6823984.1548683103</v>
      </c>
      <c r="G57" s="41" t="s">
        <v>648</v>
      </c>
      <c r="H57" s="41">
        <f t="shared" si="1"/>
        <v>46</v>
      </c>
      <c r="I57" s="48"/>
    </row>
    <row r="58" spans="1:9" ht="16.2" thickTop="1" x14ac:dyDescent="0.3">
      <c r="A58" s="41">
        <f t="shared" si="0"/>
        <v>47</v>
      </c>
      <c r="B58" s="57"/>
      <c r="E58" s="40"/>
      <c r="G58" s="41"/>
      <c r="H58" s="41">
        <f t="shared" si="1"/>
        <v>47</v>
      </c>
    </row>
    <row r="59" spans="1:9" x14ac:dyDescent="0.3">
      <c r="A59" s="41">
        <f t="shared" si="0"/>
        <v>48</v>
      </c>
      <c r="B59" s="26" t="s">
        <v>48</v>
      </c>
      <c r="E59" s="64">
        <f>E53</f>
        <v>6659410.4084030753</v>
      </c>
      <c r="G59" s="65" t="s">
        <v>649</v>
      </c>
      <c r="H59" s="41">
        <f t="shared" si="1"/>
        <v>48</v>
      </c>
    </row>
    <row r="60" spans="1:9" x14ac:dyDescent="0.3">
      <c r="A60" s="41">
        <f t="shared" si="0"/>
        <v>49</v>
      </c>
      <c r="B60" s="26" t="s">
        <v>49</v>
      </c>
      <c r="E60" s="37">
        <v>557045.05025384598</v>
      </c>
      <c r="G60" s="62" t="s">
        <v>454</v>
      </c>
      <c r="H60" s="41">
        <f t="shared" si="1"/>
        <v>49</v>
      </c>
    </row>
    <row r="61" spans="1:9" x14ac:dyDescent="0.3">
      <c r="A61" s="41">
        <f t="shared" si="0"/>
        <v>50</v>
      </c>
      <c r="B61" s="26" t="s">
        <v>50</v>
      </c>
      <c r="E61" s="60">
        <v>0</v>
      </c>
      <c r="G61" s="41" t="s">
        <v>19</v>
      </c>
      <c r="H61" s="41">
        <f t="shared" si="1"/>
        <v>50</v>
      </c>
    </row>
    <row r="62" spans="1:9" x14ac:dyDescent="0.3">
      <c r="A62" s="41">
        <f t="shared" si="0"/>
        <v>51</v>
      </c>
      <c r="B62" s="26" t="s">
        <v>51</v>
      </c>
      <c r="E62" s="37">
        <v>529465.61728230771</v>
      </c>
      <c r="G62" s="62" t="s">
        <v>455</v>
      </c>
      <c r="H62" s="41">
        <f t="shared" si="1"/>
        <v>51</v>
      </c>
    </row>
    <row r="63" spans="1:9" x14ac:dyDescent="0.3">
      <c r="A63" s="41">
        <f t="shared" si="0"/>
        <v>52</v>
      </c>
      <c r="B63" s="26" t="s">
        <v>52</v>
      </c>
      <c r="E63" s="37">
        <v>7761348.9741599998</v>
      </c>
      <c r="G63" s="62" t="s">
        <v>456</v>
      </c>
      <c r="H63" s="41">
        <f t="shared" si="1"/>
        <v>52</v>
      </c>
    </row>
    <row r="64" spans="1:9" x14ac:dyDescent="0.3">
      <c r="A64" s="41">
        <f t="shared" si="0"/>
        <v>53</v>
      </c>
      <c r="B64" s="48" t="s">
        <v>20</v>
      </c>
      <c r="E64" s="60">
        <v>0</v>
      </c>
      <c r="G64" s="41" t="s">
        <v>19</v>
      </c>
      <c r="H64" s="41">
        <f t="shared" si="1"/>
        <v>53</v>
      </c>
    </row>
    <row r="65" spans="1:9" x14ac:dyDescent="0.3">
      <c r="A65" s="41">
        <f t="shared" si="0"/>
        <v>54</v>
      </c>
      <c r="B65" s="26" t="s">
        <v>53</v>
      </c>
      <c r="E65" s="37">
        <v>460426.36935999995</v>
      </c>
      <c r="G65" s="62" t="s">
        <v>457</v>
      </c>
      <c r="H65" s="41">
        <f t="shared" si="1"/>
        <v>54</v>
      </c>
    </row>
    <row r="66" spans="1:9" x14ac:dyDescent="0.3">
      <c r="A66" s="41">
        <f t="shared" si="0"/>
        <v>55</v>
      </c>
      <c r="B66" s="26" t="s">
        <v>54</v>
      </c>
      <c r="E66" s="475">
        <v>1139244.6768331758</v>
      </c>
      <c r="G66" s="62" t="s">
        <v>458</v>
      </c>
      <c r="H66" s="41">
        <f t="shared" si="1"/>
        <v>55</v>
      </c>
    </row>
    <row r="67" spans="1:9" ht="16.2" thickBot="1" x14ac:dyDescent="0.35">
      <c r="A67" s="41">
        <f t="shared" si="0"/>
        <v>56</v>
      </c>
      <c r="B67" s="26" t="s">
        <v>55</v>
      </c>
      <c r="E67" s="66">
        <f>SUM(E59:E66)</f>
        <v>17106941.096292403</v>
      </c>
      <c r="G67" s="41" t="s">
        <v>650</v>
      </c>
      <c r="H67" s="41">
        <f t="shared" si="1"/>
        <v>56</v>
      </c>
      <c r="I67" s="48"/>
    </row>
    <row r="68" spans="1:9" ht="16.2" thickTop="1" x14ac:dyDescent="0.3">
      <c r="A68" s="41">
        <f t="shared" si="0"/>
        <v>57</v>
      </c>
      <c r="E68" s="67"/>
      <c r="G68" s="41"/>
      <c r="H68" s="41">
        <f t="shared" si="1"/>
        <v>57</v>
      </c>
    </row>
    <row r="69" spans="1:9" ht="18.600000000000001" thickBot="1" x14ac:dyDescent="0.35">
      <c r="A69" s="41">
        <f t="shared" si="0"/>
        <v>58</v>
      </c>
      <c r="B69" s="26" t="s">
        <v>324</v>
      </c>
      <c r="E69" s="68">
        <f>E57/E67</f>
        <v>0.39890148194566921</v>
      </c>
      <c r="G69" s="41" t="s">
        <v>651</v>
      </c>
      <c r="H69" s="41">
        <f t="shared" si="1"/>
        <v>58</v>
      </c>
      <c r="I69" s="48"/>
    </row>
    <row r="70" spans="1:9" ht="16.2" thickTop="1" x14ac:dyDescent="0.3">
      <c r="B70" s="48" t="s">
        <v>11</v>
      </c>
      <c r="E70" s="69"/>
      <c r="G70" s="41"/>
      <c r="H70" s="41"/>
    </row>
    <row r="71" spans="1:9" x14ac:dyDescent="0.3">
      <c r="B71" s="48"/>
      <c r="E71" s="69"/>
      <c r="G71" s="41"/>
      <c r="H71" s="41"/>
    </row>
    <row r="72" spans="1:9" ht="18" x14ac:dyDescent="0.3">
      <c r="A72" s="71">
        <v>1</v>
      </c>
      <c r="B72" s="26" t="s">
        <v>494</v>
      </c>
      <c r="H72" s="41"/>
    </row>
    <row r="73" spans="1:9" x14ac:dyDescent="0.3">
      <c r="B73" s="48"/>
      <c r="E73" s="67"/>
      <c r="F73" s="67"/>
      <c r="G73" s="41"/>
      <c r="H73" s="41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Roman,Bold"&amp;9AS FILED</oddHeader>
    <oddFooter>&amp;CPage 9.1&amp;R&amp;F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1:O102"/>
  <sheetViews>
    <sheetView zoomScale="80" zoomScaleNormal="80" workbookViewId="0"/>
  </sheetViews>
  <sheetFormatPr defaultColWidth="9.109375" defaultRowHeight="15.6" x14ac:dyDescent="0.3"/>
  <cols>
    <col min="1" max="1" width="5.109375" style="88" customWidth="1"/>
    <col min="2" max="2" width="8.5546875" style="89" customWidth="1"/>
    <col min="3" max="3" width="68.88671875" style="89" customWidth="1"/>
    <col min="4" max="6" width="16.88671875" style="89" customWidth="1"/>
    <col min="7" max="7" width="1.5546875" style="89" customWidth="1"/>
    <col min="8" max="8" width="16.88671875" style="89" customWidth="1"/>
    <col min="9" max="9" width="2.88671875" style="89" bestFit="1" customWidth="1"/>
    <col min="10" max="10" width="16.88671875" style="89" customWidth="1"/>
    <col min="11" max="11" width="34.5546875" style="89" customWidth="1"/>
    <col min="12" max="12" width="5.109375" style="88" customWidth="1"/>
    <col min="13" max="13" width="4" style="89" customWidth="1"/>
    <col min="14" max="14" width="13.109375" style="89" bestFit="1" customWidth="1"/>
    <col min="15" max="15" width="9.109375" style="89"/>
    <col min="16" max="16" width="9.88671875" style="89" customWidth="1"/>
    <col min="17" max="17" width="10" style="89" customWidth="1"/>
    <col min="18" max="16384" width="9.109375" style="89"/>
  </cols>
  <sheetData>
    <row r="1" spans="1:15" x14ac:dyDescent="0.3">
      <c r="K1" s="43"/>
    </row>
    <row r="2" spans="1:15" x14ac:dyDescent="0.3">
      <c r="B2" s="819" t="s">
        <v>24</v>
      </c>
      <c r="C2" s="819"/>
      <c r="D2" s="819"/>
      <c r="E2" s="819"/>
      <c r="F2" s="819"/>
      <c r="G2" s="819"/>
      <c r="H2" s="819"/>
      <c r="I2" s="819"/>
      <c r="J2" s="819"/>
      <c r="K2" s="819"/>
      <c r="L2" s="547"/>
    </row>
    <row r="3" spans="1:15" x14ac:dyDescent="0.3">
      <c r="B3" s="819" t="s">
        <v>68</v>
      </c>
      <c r="C3" s="819"/>
      <c r="D3" s="819"/>
      <c r="E3" s="819"/>
      <c r="F3" s="819"/>
      <c r="G3" s="819"/>
      <c r="H3" s="819"/>
      <c r="I3" s="819"/>
      <c r="J3" s="819"/>
      <c r="K3" s="819"/>
      <c r="L3" s="547"/>
    </row>
    <row r="4" spans="1:15" x14ac:dyDescent="0.3">
      <c r="B4" s="819" t="s">
        <v>514</v>
      </c>
      <c r="C4" s="819"/>
      <c r="D4" s="819"/>
      <c r="E4" s="819"/>
      <c r="F4" s="819"/>
      <c r="G4" s="819"/>
      <c r="H4" s="819"/>
      <c r="I4" s="819"/>
      <c r="J4" s="819"/>
      <c r="K4" s="819"/>
      <c r="L4" s="547"/>
    </row>
    <row r="5" spans="1:15" x14ac:dyDescent="0.3">
      <c r="B5" s="820" t="s">
        <v>1</v>
      </c>
      <c r="C5" s="820"/>
      <c r="D5" s="820"/>
      <c r="E5" s="820"/>
      <c r="F5" s="820"/>
      <c r="G5" s="820"/>
      <c r="H5" s="820"/>
      <c r="I5" s="820"/>
      <c r="J5" s="820"/>
      <c r="K5" s="820"/>
      <c r="L5" s="547"/>
    </row>
    <row r="6" spans="1:15" ht="16.2" thickBot="1" x14ac:dyDescent="0.35">
      <c r="D6" s="90"/>
      <c r="E6" s="90"/>
      <c r="F6" s="90"/>
      <c r="G6" s="90"/>
      <c r="H6" s="90"/>
      <c r="I6" s="90"/>
      <c r="J6" s="90"/>
      <c r="K6" s="90"/>
      <c r="N6" s="42"/>
    </row>
    <row r="7" spans="1:15" ht="18" x14ac:dyDescent="0.3">
      <c r="A7" s="547"/>
      <c r="B7" s="91"/>
      <c r="C7" s="92"/>
      <c r="D7" s="93" t="s">
        <v>10</v>
      </c>
      <c r="E7" s="94" t="s">
        <v>56</v>
      </c>
      <c r="F7" s="93" t="s">
        <v>57</v>
      </c>
      <c r="G7" s="94"/>
      <c r="H7" s="795" t="s">
        <v>652</v>
      </c>
      <c r="I7" s="73"/>
      <c r="J7" s="73" t="s">
        <v>58</v>
      </c>
      <c r="K7" s="95"/>
      <c r="L7" s="547"/>
    </row>
    <row r="8" spans="1:15" x14ac:dyDescent="0.3">
      <c r="A8" s="88" t="s">
        <v>2</v>
      </c>
      <c r="B8" s="96" t="s">
        <v>59</v>
      </c>
      <c r="C8" s="97"/>
      <c r="D8" s="98" t="s">
        <v>9</v>
      </c>
      <c r="E8" s="547" t="s">
        <v>60</v>
      </c>
      <c r="F8" s="98" t="s">
        <v>9</v>
      </c>
      <c r="G8" s="99"/>
      <c r="H8" s="545" t="s">
        <v>325</v>
      </c>
      <c r="I8" s="484"/>
      <c r="J8" s="74" t="s">
        <v>61</v>
      </c>
      <c r="K8" s="100"/>
      <c r="L8" s="88" t="s">
        <v>2</v>
      </c>
    </row>
    <row r="9" spans="1:15" ht="16.2" thickBot="1" x14ac:dyDescent="0.35">
      <c r="A9" s="88" t="s">
        <v>6</v>
      </c>
      <c r="B9" s="101" t="s">
        <v>62</v>
      </c>
      <c r="C9" s="102" t="s">
        <v>3</v>
      </c>
      <c r="D9" s="103" t="s">
        <v>63</v>
      </c>
      <c r="E9" s="102" t="s">
        <v>64</v>
      </c>
      <c r="F9" s="103" t="s">
        <v>65</v>
      </c>
      <c r="G9" s="104"/>
      <c r="H9" s="127" t="s">
        <v>326</v>
      </c>
      <c r="I9" s="128"/>
      <c r="J9" s="105" t="s">
        <v>69</v>
      </c>
      <c r="K9" s="106" t="s">
        <v>5</v>
      </c>
      <c r="L9" s="88" t="s">
        <v>6</v>
      </c>
      <c r="M9" s="88"/>
    </row>
    <row r="10" spans="1:15" ht="16.2" x14ac:dyDescent="0.3">
      <c r="B10" s="107"/>
      <c r="C10" s="108" t="s">
        <v>70</v>
      </c>
      <c r="D10" s="485"/>
      <c r="E10" s="485"/>
      <c r="F10" s="109"/>
      <c r="G10" s="110"/>
      <c r="H10" s="110"/>
      <c r="I10" s="110"/>
      <c r="J10" s="111"/>
      <c r="K10" s="112"/>
    </row>
    <row r="11" spans="1:15" ht="19.8" x14ac:dyDescent="0.3">
      <c r="A11" s="88">
        <v>1</v>
      </c>
      <c r="B11" s="107">
        <v>920</v>
      </c>
      <c r="C11" s="113" t="s">
        <v>71</v>
      </c>
      <c r="D11" s="76">
        <v>46411.108999999997</v>
      </c>
      <c r="E11" s="76">
        <f>E36</f>
        <v>968.08356942399996</v>
      </c>
      <c r="F11" s="76">
        <f>D11-E11</f>
        <v>45443.025430575995</v>
      </c>
      <c r="G11" s="27"/>
      <c r="H11" s="39"/>
      <c r="I11" s="558"/>
      <c r="J11" s="76">
        <f>F11+H11</f>
        <v>45443.025430575995</v>
      </c>
      <c r="K11" s="75" t="s">
        <v>72</v>
      </c>
      <c r="L11" s="88">
        <f>A11</f>
        <v>1</v>
      </c>
      <c r="M11" s="89" t="s">
        <v>11</v>
      </c>
      <c r="N11" s="114"/>
    </row>
    <row r="12" spans="1:15" ht="19.8" x14ac:dyDescent="0.3">
      <c r="A12" s="88">
        <f t="shared" ref="A12:A74" si="0">A11+1</f>
        <v>2</v>
      </c>
      <c r="B12" s="107">
        <v>921</v>
      </c>
      <c r="C12" s="113" t="s">
        <v>73</v>
      </c>
      <c r="D12" s="77">
        <v>28861</v>
      </c>
      <c r="E12" s="78">
        <f>E39</f>
        <v>9375.0137418520007</v>
      </c>
      <c r="F12" s="77">
        <f>D12-E12</f>
        <v>19485.986258147997</v>
      </c>
      <c r="G12" s="27"/>
      <c r="H12" s="78"/>
      <c r="I12" s="558"/>
      <c r="J12" s="77">
        <f>F12+H12</f>
        <v>19485.986258147997</v>
      </c>
      <c r="K12" s="75" t="s">
        <v>74</v>
      </c>
      <c r="L12" s="88">
        <f t="shared" ref="L12:L74" si="1">L11+1</f>
        <v>2</v>
      </c>
      <c r="N12" s="114"/>
      <c r="O12" s="115"/>
    </row>
    <row r="13" spans="1:15" x14ac:dyDescent="0.3">
      <c r="A13" s="88">
        <f t="shared" si="0"/>
        <v>3</v>
      </c>
      <c r="B13" s="107">
        <v>922</v>
      </c>
      <c r="C13" s="113" t="s">
        <v>75</v>
      </c>
      <c r="D13" s="77">
        <v>-18872.382000000001</v>
      </c>
      <c r="E13" s="78">
        <f>E40</f>
        <v>-125.07091</v>
      </c>
      <c r="F13" s="77">
        <f>D13-E13</f>
        <v>-18747.311090000003</v>
      </c>
      <c r="G13" s="78"/>
      <c r="H13" s="78"/>
      <c r="I13" s="79"/>
      <c r="J13" s="77">
        <f t="shared" ref="J13:J24" si="2">F13+H13</f>
        <v>-18747.311090000003</v>
      </c>
      <c r="K13" s="75" t="s">
        <v>76</v>
      </c>
      <c r="L13" s="88">
        <f t="shared" si="1"/>
        <v>3</v>
      </c>
      <c r="N13" s="114"/>
    </row>
    <row r="14" spans="1:15" ht="19.8" x14ac:dyDescent="0.3">
      <c r="A14" s="88">
        <f t="shared" si="0"/>
        <v>4</v>
      </c>
      <c r="B14" s="107">
        <v>923</v>
      </c>
      <c r="C14" s="113" t="s">
        <v>77</v>
      </c>
      <c r="D14" s="77">
        <v>108535.25900000001</v>
      </c>
      <c r="E14" s="78">
        <f>E46</f>
        <v>12845.547155421998</v>
      </c>
      <c r="F14" s="77">
        <f>D14-E14</f>
        <v>95689.711844578007</v>
      </c>
      <c r="G14" s="27"/>
      <c r="H14" s="78"/>
      <c r="I14" s="558"/>
      <c r="J14" s="77">
        <f t="shared" si="2"/>
        <v>95689.711844578007</v>
      </c>
      <c r="K14" s="75" t="s">
        <v>78</v>
      </c>
      <c r="L14" s="88">
        <f t="shared" si="1"/>
        <v>4</v>
      </c>
      <c r="N14" s="114"/>
    </row>
    <row r="15" spans="1:15" x14ac:dyDescent="0.3">
      <c r="A15" s="88">
        <f t="shared" si="0"/>
        <v>5</v>
      </c>
      <c r="B15" s="107">
        <v>924</v>
      </c>
      <c r="C15" s="113" t="s">
        <v>79</v>
      </c>
      <c r="D15" s="77">
        <v>8310.402</v>
      </c>
      <c r="E15" s="78">
        <v>0</v>
      </c>
      <c r="F15" s="77">
        <f t="shared" ref="F15:F16" si="3">D15-E15</f>
        <v>8310.402</v>
      </c>
      <c r="G15" s="78"/>
      <c r="H15" s="78"/>
      <c r="I15" s="79"/>
      <c r="J15" s="77">
        <f t="shared" si="2"/>
        <v>8310.402</v>
      </c>
      <c r="K15" s="75" t="s">
        <v>80</v>
      </c>
      <c r="L15" s="88">
        <f t="shared" si="1"/>
        <v>5</v>
      </c>
      <c r="N15" s="114"/>
    </row>
    <row r="16" spans="1:15" ht="19.8" x14ac:dyDescent="0.3">
      <c r="A16" s="88">
        <f t="shared" si="0"/>
        <v>6</v>
      </c>
      <c r="B16" s="96">
        <v>925</v>
      </c>
      <c r="C16" s="113" t="s">
        <v>81</v>
      </c>
      <c r="D16" s="77">
        <v>181130.33900000001</v>
      </c>
      <c r="E16" s="78">
        <f>E49</f>
        <v>1105.1051231060101</v>
      </c>
      <c r="F16" s="77">
        <f t="shared" si="3"/>
        <v>180025.233876894</v>
      </c>
      <c r="G16" s="27" t="s">
        <v>16</v>
      </c>
      <c r="H16" s="39">
        <v>-130.33199999999999</v>
      </c>
      <c r="I16" s="558">
        <v>5</v>
      </c>
      <c r="J16" s="802">
        <f>F16+H16</f>
        <v>179894.901876894</v>
      </c>
      <c r="K16" s="75" t="s">
        <v>82</v>
      </c>
      <c r="L16" s="88">
        <f t="shared" si="1"/>
        <v>6</v>
      </c>
      <c r="N16" s="114"/>
    </row>
    <row r="17" spans="1:14" ht="19.8" x14ac:dyDescent="0.3">
      <c r="A17" s="88">
        <f t="shared" si="0"/>
        <v>7</v>
      </c>
      <c r="B17" s="107">
        <v>926</v>
      </c>
      <c r="C17" s="113" t="s">
        <v>327</v>
      </c>
      <c r="D17" s="77">
        <v>62304.38</v>
      </c>
      <c r="E17" s="78">
        <f>E52</f>
        <v>2589.589301958019</v>
      </c>
      <c r="F17" s="77">
        <f>D17-E17</f>
        <v>59714.790698041979</v>
      </c>
      <c r="G17" s="27"/>
      <c r="H17" s="78"/>
      <c r="I17" s="558"/>
      <c r="J17" s="77">
        <f t="shared" si="2"/>
        <v>59714.790698041979</v>
      </c>
      <c r="K17" s="75" t="s">
        <v>83</v>
      </c>
      <c r="L17" s="88">
        <f t="shared" si="1"/>
        <v>7</v>
      </c>
      <c r="N17" s="116"/>
    </row>
    <row r="18" spans="1:14" x14ac:dyDescent="0.3">
      <c r="A18" s="88">
        <f t="shared" si="0"/>
        <v>8</v>
      </c>
      <c r="B18" s="107">
        <v>927</v>
      </c>
      <c r="C18" s="113" t="s">
        <v>84</v>
      </c>
      <c r="D18" s="77">
        <v>130506.765</v>
      </c>
      <c r="E18" s="78">
        <f>E53</f>
        <v>130506.76528000001</v>
      </c>
      <c r="F18" s="77">
        <f t="shared" ref="F18:F20" si="4">D18-E18</f>
        <v>-2.8000000747852027E-4</v>
      </c>
      <c r="G18" s="78"/>
      <c r="H18" s="78"/>
      <c r="I18" s="79"/>
      <c r="J18" s="77">
        <f t="shared" si="2"/>
        <v>-2.8000000747852027E-4</v>
      </c>
      <c r="K18" s="75" t="s">
        <v>85</v>
      </c>
      <c r="L18" s="88">
        <f t="shared" si="1"/>
        <v>8</v>
      </c>
      <c r="N18" s="116"/>
    </row>
    <row r="19" spans="1:14" x14ac:dyDescent="0.3">
      <c r="A19" s="88">
        <f t="shared" si="0"/>
        <v>9</v>
      </c>
      <c r="B19" s="107">
        <v>928</v>
      </c>
      <c r="C19" s="113" t="s">
        <v>328</v>
      </c>
      <c r="D19" s="77">
        <v>27995.793000000001</v>
      </c>
      <c r="E19" s="78">
        <f>E59</f>
        <v>16572.369439999999</v>
      </c>
      <c r="F19" s="77">
        <f t="shared" si="4"/>
        <v>11423.423560000003</v>
      </c>
      <c r="G19" s="78"/>
      <c r="H19" s="78"/>
      <c r="I19" s="118"/>
      <c r="J19" s="77">
        <f t="shared" si="2"/>
        <v>11423.423560000003</v>
      </c>
      <c r="K19" s="75" t="s">
        <v>86</v>
      </c>
      <c r="L19" s="88">
        <f t="shared" si="1"/>
        <v>9</v>
      </c>
      <c r="N19" s="116"/>
    </row>
    <row r="20" spans="1:14" x14ac:dyDescent="0.3">
      <c r="A20" s="88">
        <f t="shared" si="0"/>
        <v>10</v>
      </c>
      <c r="B20" s="107">
        <v>929</v>
      </c>
      <c r="C20" s="113" t="s">
        <v>87</v>
      </c>
      <c r="D20" s="77">
        <v>-2772.7849999999999</v>
      </c>
      <c r="E20" s="78">
        <v>0</v>
      </c>
      <c r="F20" s="77">
        <f t="shared" si="4"/>
        <v>-2772.7849999999999</v>
      </c>
      <c r="G20" s="78"/>
      <c r="H20" s="78"/>
      <c r="I20" s="79"/>
      <c r="J20" s="77">
        <f t="shared" si="2"/>
        <v>-2772.7849999999999</v>
      </c>
      <c r="K20" s="75" t="s">
        <v>88</v>
      </c>
      <c r="L20" s="88">
        <f t="shared" si="1"/>
        <v>10</v>
      </c>
      <c r="N20" s="114"/>
    </row>
    <row r="21" spans="1:14" ht="19.8" x14ac:dyDescent="0.3">
      <c r="A21" s="88">
        <f t="shared" si="0"/>
        <v>11</v>
      </c>
      <c r="B21" s="680">
        <v>930.1</v>
      </c>
      <c r="C21" s="113" t="s">
        <v>89</v>
      </c>
      <c r="D21" s="77">
        <v>-204.155</v>
      </c>
      <c r="E21" s="78">
        <f>E60</f>
        <v>-204.155</v>
      </c>
      <c r="F21" s="77">
        <f>D21-E21</f>
        <v>0</v>
      </c>
      <c r="G21" s="78"/>
      <c r="H21" s="78"/>
      <c r="I21" s="558"/>
      <c r="J21" s="77">
        <f t="shared" si="2"/>
        <v>0</v>
      </c>
      <c r="K21" s="75" t="s">
        <v>90</v>
      </c>
      <c r="L21" s="88">
        <f t="shared" si="1"/>
        <v>11</v>
      </c>
      <c r="N21" s="114"/>
    </row>
    <row r="22" spans="1:14" ht="19.8" x14ac:dyDescent="0.3">
      <c r="A22" s="88">
        <f t="shared" si="0"/>
        <v>12</v>
      </c>
      <c r="B22" s="559">
        <v>930.2</v>
      </c>
      <c r="C22" s="113" t="s">
        <v>91</v>
      </c>
      <c r="D22" s="77">
        <v>2511.0549999999998</v>
      </c>
      <c r="E22" s="78">
        <f>E63</f>
        <v>217.58000000000015</v>
      </c>
      <c r="F22" s="77">
        <f t="shared" ref="F22" si="5">D22-E22</f>
        <v>2293.4749999999995</v>
      </c>
      <c r="G22" s="27" t="s">
        <v>16</v>
      </c>
      <c r="H22" s="78">
        <v>40</v>
      </c>
      <c r="I22" s="558">
        <v>6</v>
      </c>
      <c r="J22" s="802">
        <f t="shared" si="2"/>
        <v>2333.4749999999995</v>
      </c>
      <c r="K22" s="75" t="s">
        <v>92</v>
      </c>
      <c r="L22" s="88">
        <f t="shared" si="1"/>
        <v>12</v>
      </c>
      <c r="N22" s="119"/>
    </row>
    <row r="23" spans="1:14" x14ac:dyDescent="0.3">
      <c r="A23" s="88">
        <f t="shared" si="0"/>
        <v>13</v>
      </c>
      <c r="B23" s="107">
        <v>931</v>
      </c>
      <c r="C23" s="113" t="s">
        <v>66</v>
      </c>
      <c r="D23" s="77">
        <v>10939.305</v>
      </c>
      <c r="E23" s="78">
        <v>0</v>
      </c>
      <c r="F23" s="77">
        <f>D23-E23</f>
        <v>10939.305</v>
      </c>
      <c r="G23" s="78"/>
      <c r="H23" s="78"/>
      <c r="I23" s="78"/>
      <c r="J23" s="77">
        <f t="shared" si="2"/>
        <v>10939.305</v>
      </c>
      <c r="K23" s="75" t="s">
        <v>93</v>
      </c>
      <c r="L23" s="88">
        <f t="shared" si="1"/>
        <v>13</v>
      </c>
      <c r="N23" s="114"/>
    </row>
    <row r="24" spans="1:14" x14ac:dyDescent="0.3">
      <c r="A24" s="88">
        <f t="shared" si="0"/>
        <v>14</v>
      </c>
      <c r="B24" s="107">
        <v>935</v>
      </c>
      <c r="C24" s="113" t="s">
        <v>94</v>
      </c>
      <c r="D24" s="477">
        <v>9293.2980000000007</v>
      </c>
      <c r="E24" s="459">
        <f>E65</f>
        <v>-1915.2449610859999</v>
      </c>
      <c r="F24" s="477">
        <f>D24-E24</f>
        <v>11208.542961086001</v>
      </c>
      <c r="G24" s="478"/>
      <c r="H24" s="459"/>
      <c r="I24" s="479"/>
      <c r="J24" s="479">
        <f t="shared" si="2"/>
        <v>11208.542961086001</v>
      </c>
      <c r="K24" s="75" t="s">
        <v>95</v>
      </c>
      <c r="L24" s="88">
        <f t="shared" si="1"/>
        <v>14</v>
      </c>
      <c r="M24" s="89" t="s">
        <v>11</v>
      </c>
      <c r="N24" s="114"/>
    </row>
    <row r="25" spans="1:14" x14ac:dyDescent="0.3">
      <c r="A25" s="88">
        <f t="shared" si="0"/>
        <v>15</v>
      </c>
      <c r="B25" s="107"/>
      <c r="D25" s="120"/>
      <c r="F25" s="120"/>
      <c r="J25" s="120"/>
      <c r="K25" s="121"/>
      <c r="L25" s="88">
        <f t="shared" si="1"/>
        <v>15</v>
      </c>
    </row>
    <row r="26" spans="1:14" ht="16.2" thickBot="1" x14ac:dyDescent="0.35">
      <c r="A26" s="88">
        <f t="shared" si="0"/>
        <v>16</v>
      </c>
      <c r="B26" s="107"/>
      <c r="C26" s="97" t="s">
        <v>96</v>
      </c>
      <c r="D26" s="122">
        <f>SUM(D11:D24)</f>
        <v>594949.38299999991</v>
      </c>
      <c r="E26" s="85">
        <f>SUM(E11:E24)</f>
        <v>171935.58274067604</v>
      </c>
      <c r="F26" s="83">
        <f>SUM(F11:F24)</f>
        <v>423013.80025932402</v>
      </c>
      <c r="G26" s="84" t="s">
        <v>16</v>
      </c>
      <c r="H26" s="560">
        <f>SUM(H11:H24)</f>
        <v>-90.331999999999994</v>
      </c>
      <c r="I26" s="85"/>
      <c r="J26" s="83">
        <f>SUM(J11:J24)</f>
        <v>422923.46825932397</v>
      </c>
      <c r="K26" s="123" t="str">
        <f>"Sum Lines "&amp;A11&amp;" thru "&amp;A24</f>
        <v>Sum Lines 1 thru 14</v>
      </c>
      <c r="L26" s="88">
        <f t="shared" si="1"/>
        <v>16</v>
      </c>
    </row>
    <row r="27" spans="1:14" ht="16.2" thickTop="1" x14ac:dyDescent="0.3">
      <c r="A27" s="88">
        <f t="shared" si="0"/>
        <v>17</v>
      </c>
      <c r="B27" s="107"/>
      <c r="C27" s="97"/>
      <c r="D27" s="486"/>
      <c r="E27" s="81"/>
      <c r="F27" s="82"/>
      <c r="G27" s="80"/>
      <c r="H27" s="80"/>
      <c r="I27" s="80"/>
      <c r="J27" s="82"/>
      <c r="K27" s="123"/>
      <c r="L27" s="88">
        <f t="shared" si="1"/>
        <v>17</v>
      </c>
    </row>
    <row r="28" spans="1:14" ht="18" x14ac:dyDescent="0.3">
      <c r="A28" s="88">
        <f t="shared" si="0"/>
        <v>18</v>
      </c>
      <c r="B28" s="107">
        <v>413</v>
      </c>
      <c r="C28" s="89" t="s">
        <v>329</v>
      </c>
      <c r="D28" s="477">
        <v>204.65183999999999</v>
      </c>
      <c r="E28" s="479">
        <v>0</v>
      </c>
      <c r="F28" s="477">
        <f>D28-E28</f>
        <v>204.65183999999999</v>
      </c>
      <c r="G28" s="478"/>
      <c r="H28" s="459"/>
      <c r="I28" s="459"/>
      <c r="J28" s="477">
        <f>F28+H28</f>
        <v>204.65183999999999</v>
      </c>
      <c r="K28" s="123"/>
      <c r="L28" s="88">
        <f t="shared" si="1"/>
        <v>18</v>
      </c>
    </row>
    <row r="29" spans="1:14" x14ac:dyDescent="0.3">
      <c r="A29" s="88">
        <f t="shared" si="0"/>
        <v>19</v>
      </c>
      <c r="B29" s="107"/>
      <c r="C29" s="97"/>
      <c r="D29" s="486"/>
      <c r="E29" s="81"/>
      <c r="F29" s="82"/>
      <c r="G29" s="80"/>
      <c r="H29" s="80"/>
      <c r="I29" s="80"/>
      <c r="J29" s="82"/>
      <c r="K29" s="123"/>
      <c r="L29" s="88">
        <f t="shared" si="1"/>
        <v>19</v>
      </c>
    </row>
    <row r="30" spans="1:14" ht="16.2" thickBot="1" x14ac:dyDescent="0.35">
      <c r="A30" s="88">
        <f t="shared" si="0"/>
        <v>20</v>
      </c>
      <c r="B30" s="107"/>
      <c r="C30" s="97" t="s">
        <v>330</v>
      </c>
      <c r="D30" s="122">
        <f>D26+D28</f>
        <v>595154.03483999986</v>
      </c>
      <c r="E30" s="81">
        <f>E26+E28</f>
        <v>171935.58274067604</v>
      </c>
      <c r="F30" s="82">
        <f>F26+F28</f>
        <v>423218.45209932403</v>
      </c>
      <c r="G30" s="84" t="s">
        <v>16</v>
      </c>
      <c r="H30" s="560">
        <f>H26+H28</f>
        <v>-90.331999999999994</v>
      </c>
      <c r="I30" s="85"/>
      <c r="J30" s="83">
        <f>J26+J28</f>
        <v>423128.12009932398</v>
      </c>
      <c r="K30" s="123" t="str">
        <f>"Line "&amp;A26&amp;" + Line "&amp;A28</f>
        <v>Line 16 + Line 18</v>
      </c>
      <c r="L30" s="88">
        <f t="shared" si="1"/>
        <v>20</v>
      </c>
    </row>
    <row r="31" spans="1:14" ht="16.8" thickTop="1" thickBot="1" x14ac:dyDescent="0.35">
      <c r="A31" s="88">
        <f t="shared" si="0"/>
        <v>21</v>
      </c>
      <c r="B31" s="124"/>
      <c r="C31" s="90"/>
      <c r="D31" s="125"/>
      <c r="E31" s="126"/>
      <c r="F31" s="126"/>
      <c r="G31" s="127"/>
      <c r="H31" s="127"/>
      <c r="I31" s="127"/>
      <c r="J31" s="129"/>
      <c r="K31" s="130"/>
      <c r="L31" s="88">
        <f t="shared" si="1"/>
        <v>21</v>
      </c>
    </row>
    <row r="32" spans="1:14" x14ac:dyDescent="0.3">
      <c r="A32" s="88">
        <f t="shared" si="0"/>
        <v>22</v>
      </c>
      <c r="B32" s="141"/>
      <c r="D32" s="487"/>
      <c r="E32" s="488"/>
      <c r="F32" s="487"/>
      <c r="G32" s="487"/>
      <c r="H32" s="487"/>
      <c r="I32" s="487"/>
      <c r="J32" s="487"/>
      <c r="K32" s="121"/>
      <c r="L32" s="88">
        <f t="shared" si="1"/>
        <v>22</v>
      </c>
    </row>
    <row r="33" spans="1:14" x14ac:dyDescent="0.3">
      <c r="A33" s="88">
        <f t="shared" si="0"/>
        <v>23</v>
      </c>
      <c r="B33" s="131" t="s">
        <v>97</v>
      </c>
      <c r="C33" s="88"/>
      <c r="D33" s="88"/>
      <c r="E33" s="88"/>
      <c r="F33" s="88"/>
      <c r="G33" s="88"/>
      <c r="H33" s="88"/>
      <c r="I33" s="88"/>
      <c r="J33" s="88"/>
      <c r="K33" s="121"/>
      <c r="L33" s="88">
        <f t="shared" si="1"/>
        <v>23</v>
      </c>
    </row>
    <row r="34" spans="1:14" x14ac:dyDescent="0.3">
      <c r="A34" s="88">
        <f t="shared" si="0"/>
        <v>24</v>
      </c>
      <c r="B34" s="132">
        <v>920</v>
      </c>
      <c r="C34" s="21" t="s">
        <v>98</v>
      </c>
      <c r="D34" s="33">
        <v>37.830849999999998</v>
      </c>
      <c r="F34" s="88"/>
      <c r="G34" s="88"/>
      <c r="H34" s="88"/>
      <c r="I34" s="88"/>
      <c r="J34" s="88"/>
      <c r="K34" s="121"/>
      <c r="L34" s="88">
        <f t="shared" si="1"/>
        <v>24</v>
      </c>
    </row>
    <row r="35" spans="1:14" x14ac:dyDescent="0.3">
      <c r="A35" s="88">
        <f t="shared" si="0"/>
        <v>25</v>
      </c>
      <c r="B35" s="132"/>
      <c r="C35" s="21" t="s">
        <v>515</v>
      </c>
      <c r="D35" s="655">
        <v>873.61009352399992</v>
      </c>
      <c r="E35" s="33"/>
      <c r="K35" s="121"/>
      <c r="L35" s="88">
        <f t="shared" si="1"/>
        <v>25</v>
      </c>
      <c r="N35" s="113"/>
    </row>
    <row r="36" spans="1:14" x14ac:dyDescent="0.3">
      <c r="A36" s="88">
        <f t="shared" si="0"/>
        <v>26</v>
      </c>
      <c r="B36" s="132"/>
      <c r="C36" s="21" t="s">
        <v>516</v>
      </c>
      <c r="D36" s="656">
        <v>56.642625899999999</v>
      </c>
      <c r="E36" s="33">
        <f>SUM(D34:D36)</f>
        <v>968.08356942399996</v>
      </c>
      <c r="K36" s="121"/>
      <c r="L36" s="88">
        <f t="shared" si="1"/>
        <v>26</v>
      </c>
    </row>
    <row r="37" spans="1:14" x14ac:dyDescent="0.3">
      <c r="A37" s="88">
        <f t="shared" si="0"/>
        <v>27</v>
      </c>
      <c r="B37" s="132">
        <v>921</v>
      </c>
      <c r="C37" s="21" t="s">
        <v>98</v>
      </c>
      <c r="D37" s="89">
        <v>-9.620999999999999E-2</v>
      </c>
      <c r="K37" s="121"/>
      <c r="L37" s="88">
        <f t="shared" si="1"/>
        <v>27</v>
      </c>
    </row>
    <row r="38" spans="1:14" x14ac:dyDescent="0.3">
      <c r="A38" s="88">
        <f t="shared" si="0"/>
        <v>28</v>
      </c>
      <c r="B38" s="132"/>
      <c r="C38" s="21" t="s">
        <v>515</v>
      </c>
      <c r="D38" s="655">
        <v>8254.9592088600002</v>
      </c>
      <c r="K38" s="121"/>
      <c r="L38" s="88">
        <f t="shared" si="1"/>
        <v>28</v>
      </c>
    </row>
    <row r="39" spans="1:14" x14ac:dyDescent="0.3">
      <c r="A39" s="88">
        <f t="shared" si="0"/>
        <v>29</v>
      </c>
      <c r="B39" s="132"/>
      <c r="C39" s="21" t="s">
        <v>516</v>
      </c>
      <c r="D39" s="656">
        <v>1120.1507429919998</v>
      </c>
      <c r="E39" s="89">
        <f>SUM(D37:D39)</f>
        <v>9375.0137418520007</v>
      </c>
      <c r="F39" s="489"/>
      <c r="G39" s="489"/>
      <c r="H39" s="489"/>
      <c r="I39" s="489"/>
      <c r="J39" s="489"/>
      <c r="K39" s="490"/>
      <c r="L39" s="88">
        <f t="shared" si="1"/>
        <v>29</v>
      </c>
    </row>
    <row r="40" spans="1:14" x14ac:dyDescent="0.3">
      <c r="A40" s="88">
        <f t="shared" si="0"/>
        <v>30</v>
      </c>
      <c r="B40" s="132">
        <v>922</v>
      </c>
      <c r="C40" s="21" t="s">
        <v>516</v>
      </c>
      <c r="D40" s="655"/>
      <c r="E40" s="89">
        <v>-125.07091</v>
      </c>
      <c r="K40" s="121"/>
      <c r="L40" s="88">
        <f t="shared" si="1"/>
        <v>30</v>
      </c>
    </row>
    <row r="41" spans="1:14" x14ac:dyDescent="0.3">
      <c r="A41" s="88">
        <f t="shared" si="0"/>
        <v>31</v>
      </c>
      <c r="B41" s="132">
        <v>923</v>
      </c>
      <c r="C41" s="21" t="s">
        <v>98</v>
      </c>
      <c r="D41" s="31">
        <v>-17.988400000000002</v>
      </c>
      <c r="E41" s="28"/>
      <c r="K41" s="121"/>
      <c r="L41" s="88">
        <f t="shared" si="1"/>
        <v>31</v>
      </c>
    </row>
    <row r="42" spans="1:14" x14ac:dyDescent="0.3">
      <c r="A42" s="88">
        <f t="shared" si="0"/>
        <v>32</v>
      </c>
      <c r="B42" s="132"/>
      <c r="C42" s="21" t="s">
        <v>515</v>
      </c>
      <c r="D42" s="31">
        <v>2086.0140693979997</v>
      </c>
      <c r="F42" s="489"/>
      <c r="G42" s="489"/>
      <c r="H42" s="489"/>
      <c r="I42" s="489"/>
      <c r="J42" s="489"/>
      <c r="K42" s="490"/>
      <c r="L42" s="88">
        <f t="shared" si="1"/>
        <v>32</v>
      </c>
    </row>
    <row r="43" spans="1:14" x14ac:dyDescent="0.3">
      <c r="A43" s="88">
        <f t="shared" si="0"/>
        <v>33</v>
      </c>
      <c r="B43" s="132"/>
      <c r="C43" s="21" t="s">
        <v>516</v>
      </c>
      <c r="D43" s="31">
        <v>80.426986024000001</v>
      </c>
      <c r="K43" s="121"/>
      <c r="L43" s="88">
        <f t="shared" si="1"/>
        <v>33</v>
      </c>
    </row>
    <row r="44" spans="1:14" ht="18" x14ac:dyDescent="0.3">
      <c r="A44" s="88">
        <f t="shared" si="0"/>
        <v>34</v>
      </c>
      <c r="B44" s="132"/>
      <c r="C44" s="42" t="s">
        <v>517</v>
      </c>
      <c r="D44" s="78">
        <v>3185.4904999999999</v>
      </c>
      <c r="K44" s="121"/>
      <c r="L44" s="88">
        <f t="shared" si="1"/>
        <v>34</v>
      </c>
    </row>
    <row r="45" spans="1:14" ht="18" x14ac:dyDescent="0.3">
      <c r="A45" s="88">
        <f t="shared" si="0"/>
        <v>35</v>
      </c>
      <c r="B45" s="132"/>
      <c r="C45" s="42" t="s">
        <v>518</v>
      </c>
      <c r="D45" s="78">
        <v>6031</v>
      </c>
      <c r="K45" s="121"/>
      <c r="L45" s="88">
        <f t="shared" si="1"/>
        <v>35</v>
      </c>
    </row>
    <row r="46" spans="1:14" ht="18" x14ac:dyDescent="0.3">
      <c r="A46" s="88">
        <f t="shared" si="0"/>
        <v>36</v>
      </c>
      <c r="B46" s="132"/>
      <c r="C46" s="42" t="s">
        <v>519</v>
      </c>
      <c r="D46" s="459">
        <v>1480.604</v>
      </c>
      <c r="E46" s="89">
        <f>SUM(D41:D46)</f>
        <v>12845.547155421998</v>
      </c>
      <c r="K46" s="121"/>
      <c r="L46" s="88">
        <f t="shared" si="1"/>
        <v>36</v>
      </c>
    </row>
    <row r="47" spans="1:14" x14ac:dyDescent="0.3">
      <c r="A47" s="88">
        <f t="shared" si="0"/>
        <v>37</v>
      </c>
      <c r="B47" s="132">
        <v>925</v>
      </c>
      <c r="C47" s="21" t="s">
        <v>98</v>
      </c>
      <c r="D47" s="31">
        <v>277.64044235400002</v>
      </c>
      <c r="F47" s="57"/>
      <c r="G47" s="57"/>
      <c r="H47" s="57"/>
      <c r="I47" s="57"/>
      <c r="J47" s="57"/>
      <c r="K47" s="121"/>
      <c r="L47" s="88">
        <f t="shared" si="1"/>
        <v>37</v>
      </c>
    </row>
    <row r="48" spans="1:14" x14ac:dyDescent="0.3">
      <c r="A48" s="88">
        <f t="shared" si="0"/>
        <v>38</v>
      </c>
      <c r="B48" s="132"/>
      <c r="C48" s="21" t="s">
        <v>516</v>
      </c>
      <c r="D48" s="31">
        <v>746.9557907520101</v>
      </c>
      <c r="F48" s="57"/>
      <c r="G48" s="57"/>
      <c r="H48" s="57"/>
      <c r="I48" s="57"/>
      <c r="J48" s="57"/>
      <c r="K48" s="121"/>
      <c r="L48" s="88">
        <f t="shared" si="1"/>
        <v>38</v>
      </c>
    </row>
    <row r="49" spans="1:12" x14ac:dyDescent="0.3">
      <c r="A49" s="88">
        <f t="shared" si="0"/>
        <v>39</v>
      </c>
      <c r="B49" s="132"/>
      <c r="C49" s="133" t="s">
        <v>520</v>
      </c>
      <c r="D49" s="480">
        <v>80.508890000000008</v>
      </c>
      <c r="E49" s="89">
        <f>SUM(D47:D49)</f>
        <v>1105.1051231060101</v>
      </c>
      <c r="F49" s="57"/>
      <c r="G49" s="57"/>
      <c r="H49" s="57"/>
      <c r="I49" s="57"/>
      <c r="J49" s="57"/>
      <c r="K49" s="121"/>
      <c r="L49" s="88">
        <f t="shared" si="1"/>
        <v>39</v>
      </c>
    </row>
    <row r="50" spans="1:12" x14ac:dyDescent="0.3">
      <c r="A50" s="88">
        <f t="shared" si="0"/>
        <v>40</v>
      </c>
      <c r="B50" s="132">
        <v>926</v>
      </c>
      <c r="C50" s="133" t="s">
        <v>98</v>
      </c>
      <c r="D50" s="31">
        <v>646.29282690599985</v>
      </c>
      <c r="F50" s="546"/>
      <c r="G50" s="546"/>
      <c r="H50" s="546"/>
      <c r="I50" s="546"/>
      <c r="J50" s="546"/>
      <c r="K50" s="121"/>
      <c r="L50" s="88">
        <f t="shared" si="1"/>
        <v>40</v>
      </c>
    </row>
    <row r="51" spans="1:12" x14ac:dyDescent="0.3">
      <c r="A51" s="88">
        <f t="shared" si="0"/>
        <v>41</v>
      </c>
      <c r="B51" s="132"/>
      <c r="C51" s="133" t="s">
        <v>520</v>
      </c>
      <c r="D51" s="31">
        <v>190.64548000000002</v>
      </c>
      <c r="E51" s="31"/>
      <c r="F51" s="546"/>
      <c r="G51" s="546"/>
      <c r="H51" s="546"/>
      <c r="I51" s="546"/>
      <c r="J51" s="546"/>
      <c r="K51" s="121"/>
      <c r="L51" s="88">
        <f t="shared" si="1"/>
        <v>41</v>
      </c>
    </row>
    <row r="52" spans="1:12" x14ac:dyDescent="0.3">
      <c r="A52" s="88">
        <f t="shared" si="0"/>
        <v>42</v>
      </c>
      <c r="B52" s="132"/>
      <c r="C52" s="21" t="s">
        <v>516</v>
      </c>
      <c r="D52" s="480">
        <v>1752.650995052019</v>
      </c>
      <c r="E52" s="89">
        <f>SUM(D50:D52)</f>
        <v>2589.589301958019</v>
      </c>
      <c r="F52" s="546"/>
      <c r="G52" s="546"/>
      <c r="H52" s="546"/>
      <c r="I52" s="546"/>
      <c r="J52" s="546"/>
      <c r="K52" s="121"/>
      <c r="L52" s="88">
        <f t="shared" si="1"/>
        <v>42</v>
      </c>
    </row>
    <row r="53" spans="1:12" x14ac:dyDescent="0.3">
      <c r="A53" s="88">
        <f t="shared" si="0"/>
        <v>43</v>
      </c>
      <c r="B53" s="132">
        <v>927</v>
      </c>
      <c r="C53" s="133" t="s">
        <v>84</v>
      </c>
      <c r="D53" s="134"/>
      <c r="E53" s="28">
        <v>130506.76528000001</v>
      </c>
      <c r="F53" s="546"/>
      <c r="G53" s="546"/>
      <c r="H53" s="546"/>
      <c r="I53" s="546"/>
      <c r="J53" s="546"/>
      <c r="K53" s="121"/>
      <c r="L53" s="88">
        <f t="shared" si="1"/>
        <v>43</v>
      </c>
    </row>
    <row r="54" spans="1:12" x14ac:dyDescent="0.3">
      <c r="A54" s="88">
        <f t="shared" si="0"/>
        <v>44</v>
      </c>
      <c r="B54" s="132">
        <v>928</v>
      </c>
      <c r="C54" s="21" t="s">
        <v>100</v>
      </c>
      <c r="D54" s="31">
        <v>13015.817289999999</v>
      </c>
      <c r="E54" s="31"/>
      <c r="F54" s="546"/>
      <c r="G54" s="546"/>
      <c r="H54" s="546"/>
      <c r="I54" s="546"/>
      <c r="J54" s="546"/>
      <c r="K54" s="121"/>
      <c r="L54" s="88">
        <f t="shared" si="1"/>
        <v>44</v>
      </c>
    </row>
    <row r="55" spans="1:12" x14ac:dyDescent="0.3">
      <c r="A55" s="88">
        <f t="shared" si="0"/>
        <v>45</v>
      </c>
      <c r="B55" s="132"/>
      <c r="C55" s="133" t="s">
        <v>98</v>
      </c>
      <c r="D55" s="31">
        <v>428.3049200000001</v>
      </c>
      <c r="E55" s="31"/>
      <c r="F55" s="546"/>
      <c r="G55" s="546"/>
      <c r="H55" s="546"/>
      <c r="I55" s="546"/>
      <c r="J55" s="546"/>
      <c r="K55" s="121"/>
      <c r="L55" s="88">
        <f t="shared" si="1"/>
        <v>45</v>
      </c>
    </row>
    <row r="56" spans="1:12" x14ac:dyDescent="0.3">
      <c r="A56" s="88">
        <f t="shared" si="0"/>
        <v>46</v>
      </c>
      <c r="B56" s="132"/>
      <c r="C56" s="133" t="s">
        <v>101</v>
      </c>
      <c r="D56" s="657">
        <v>40.544630000000005</v>
      </c>
      <c r="E56" s="31"/>
      <c r="F56" s="653"/>
      <c r="G56" s="653"/>
      <c r="H56" s="653"/>
      <c r="I56" s="653"/>
      <c r="J56" s="653"/>
      <c r="K56" s="121"/>
      <c r="L56" s="88">
        <f t="shared" si="1"/>
        <v>46</v>
      </c>
    </row>
    <row r="57" spans="1:12" x14ac:dyDescent="0.3">
      <c r="A57" s="88">
        <f t="shared" si="0"/>
        <v>47</v>
      </c>
      <c r="B57" s="132"/>
      <c r="C57" s="21" t="s">
        <v>18</v>
      </c>
      <c r="D57" s="31">
        <v>0</v>
      </c>
      <c r="E57" s="31"/>
      <c r="F57" s="653"/>
      <c r="G57" s="653"/>
      <c r="H57" s="653"/>
      <c r="I57" s="653"/>
      <c r="J57" s="653"/>
      <c r="K57" s="121"/>
      <c r="L57" s="88">
        <f t="shared" si="1"/>
        <v>47</v>
      </c>
    </row>
    <row r="58" spans="1:12" x14ac:dyDescent="0.3">
      <c r="A58" s="88">
        <f t="shared" si="0"/>
        <v>48</v>
      </c>
      <c r="B58" s="136"/>
      <c r="C58" s="21" t="s">
        <v>99</v>
      </c>
      <c r="D58" s="31">
        <v>2085.1866</v>
      </c>
      <c r="F58" s="653"/>
      <c r="G58" s="653"/>
      <c r="H58" s="653"/>
      <c r="I58" s="653"/>
      <c r="J58" s="653"/>
      <c r="K58" s="121"/>
      <c r="L58" s="88">
        <f t="shared" si="1"/>
        <v>48</v>
      </c>
    </row>
    <row r="59" spans="1:12" ht="18" x14ac:dyDescent="0.3">
      <c r="A59" s="88">
        <f t="shared" si="0"/>
        <v>49</v>
      </c>
      <c r="B59" s="136"/>
      <c r="C59" s="42" t="s">
        <v>521</v>
      </c>
      <c r="D59" s="480">
        <v>1002.516</v>
      </c>
      <c r="E59" s="658">
        <f>SUM(D54:D59)</f>
        <v>16572.369439999999</v>
      </c>
      <c r="F59" s="653"/>
      <c r="G59" s="653"/>
      <c r="H59" s="653"/>
      <c r="I59" s="653"/>
      <c r="J59" s="653"/>
      <c r="K59" s="121"/>
      <c r="L59" s="88">
        <f t="shared" si="1"/>
        <v>49</v>
      </c>
    </row>
    <row r="60" spans="1:12" x14ac:dyDescent="0.3">
      <c r="A60" s="88">
        <f t="shared" si="0"/>
        <v>50</v>
      </c>
      <c r="B60" s="137">
        <v>930.1</v>
      </c>
      <c r="C60" s="21" t="s">
        <v>89</v>
      </c>
      <c r="D60" s="31"/>
      <c r="E60" s="89">
        <v>-204.155</v>
      </c>
      <c r="F60" s="653"/>
      <c r="G60" s="653"/>
      <c r="H60" s="653"/>
      <c r="I60" s="653"/>
      <c r="J60" s="653"/>
      <c r="K60" s="121"/>
      <c r="L60" s="88">
        <f t="shared" si="1"/>
        <v>50</v>
      </c>
    </row>
    <row r="61" spans="1:12" x14ac:dyDescent="0.3">
      <c r="A61" s="88">
        <f t="shared" si="0"/>
        <v>51</v>
      </c>
      <c r="B61" s="137">
        <v>930.2</v>
      </c>
      <c r="C61" s="133" t="s">
        <v>103</v>
      </c>
      <c r="D61" s="659">
        <f>1342.92+1017.8</f>
        <v>2360.7200000000003</v>
      </c>
      <c r="F61" s="653"/>
      <c r="G61" s="653"/>
      <c r="H61" s="653"/>
      <c r="I61" s="653"/>
      <c r="J61" s="653"/>
      <c r="K61" s="121"/>
      <c r="L61" s="88">
        <f t="shared" si="1"/>
        <v>51</v>
      </c>
    </row>
    <row r="62" spans="1:12" ht="18" x14ac:dyDescent="0.3">
      <c r="A62" s="88">
        <f t="shared" si="0"/>
        <v>52</v>
      </c>
      <c r="B62" s="137"/>
      <c r="C62" s="133" t="s">
        <v>522</v>
      </c>
      <c r="D62" s="659">
        <v>-690.76700000000005</v>
      </c>
      <c r="F62" s="653"/>
      <c r="G62" s="653"/>
      <c r="H62" s="653"/>
      <c r="I62" s="653"/>
      <c r="J62" s="653"/>
      <c r="K62" s="121"/>
      <c r="L62" s="88">
        <f t="shared" si="1"/>
        <v>52</v>
      </c>
    </row>
    <row r="63" spans="1:12" ht="18" x14ac:dyDescent="0.3">
      <c r="A63" s="88">
        <f t="shared" si="0"/>
        <v>53</v>
      </c>
      <c r="B63" s="137"/>
      <c r="C63" s="133" t="s">
        <v>523</v>
      </c>
      <c r="D63" s="459">
        <v>-1452.373</v>
      </c>
      <c r="E63" s="659">
        <f>SUM(D61:D63)</f>
        <v>217.58000000000015</v>
      </c>
      <c r="F63" s="653"/>
      <c r="G63" s="653"/>
      <c r="H63" s="653"/>
      <c r="I63" s="653"/>
      <c r="J63" s="653"/>
      <c r="K63" s="121"/>
      <c r="L63" s="88">
        <f t="shared" si="1"/>
        <v>53</v>
      </c>
    </row>
    <row r="64" spans="1:12" x14ac:dyDescent="0.3">
      <c r="A64" s="88">
        <f t="shared" si="0"/>
        <v>54</v>
      </c>
      <c r="B64" s="132">
        <v>935</v>
      </c>
      <c r="C64" s="133" t="s">
        <v>102</v>
      </c>
      <c r="D64" s="659">
        <f>-207.87024-1719.52219</f>
        <v>-1927.3924299999999</v>
      </c>
      <c r="E64" s="660"/>
      <c r="F64" s="653"/>
      <c r="G64" s="653"/>
      <c r="H64" s="653"/>
      <c r="I64" s="653"/>
      <c r="J64" s="653"/>
      <c r="K64" s="121"/>
      <c r="L64" s="88">
        <f t="shared" si="1"/>
        <v>54</v>
      </c>
    </row>
    <row r="65" spans="1:12" x14ac:dyDescent="0.3">
      <c r="A65" s="88">
        <f t="shared" si="0"/>
        <v>55</v>
      </c>
      <c r="B65" s="132"/>
      <c r="C65" s="138" t="s">
        <v>104</v>
      </c>
      <c r="D65" s="661">
        <v>12.147468914000001</v>
      </c>
      <c r="E65" s="661">
        <f>SUM(D64:D65)</f>
        <v>-1915.2449610859999</v>
      </c>
      <c r="F65" s="653"/>
      <c r="G65" s="653"/>
      <c r="H65" s="653"/>
      <c r="I65" s="653"/>
      <c r="J65" s="653"/>
      <c r="K65" s="121"/>
      <c r="L65" s="88">
        <f t="shared" si="1"/>
        <v>55</v>
      </c>
    </row>
    <row r="66" spans="1:12" x14ac:dyDescent="0.3">
      <c r="A66" s="88">
        <f t="shared" si="0"/>
        <v>56</v>
      </c>
      <c r="B66" s="139"/>
      <c r="C66" s="140"/>
      <c r="D66" s="491"/>
      <c r="E66" s="40"/>
      <c r="F66" s="653"/>
      <c r="G66" s="653"/>
      <c r="H66" s="653"/>
      <c r="I66" s="653"/>
      <c r="J66" s="653"/>
      <c r="K66" s="121"/>
      <c r="L66" s="88">
        <f t="shared" si="1"/>
        <v>56</v>
      </c>
    </row>
    <row r="67" spans="1:12" ht="16.2" thickBot="1" x14ac:dyDescent="0.35">
      <c r="A67" s="88">
        <f t="shared" si="0"/>
        <v>57</v>
      </c>
      <c r="B67" s="141"/>
      <c r="C67" s="142" t="s">
        <v>67</v>
      </c>
      <c r="D67" s="135"/>
      <c r="E67" s="492">
        <f>SUM(E34:E65)</f>
        <v>171935.58274067604</v>
      </c>
      <c r="F67" s="653"/>
      <c r="G67" s="653"/>
      <c r="H67" s="653"/>
      <c r="I67" s="653"/>
      <c r="J67" s="653"/>
      <c r="K67" s="121"/>
      <c r="L67" s="88">
        <f t="shared" si="1"/>
        <v>57</v>
      </c>
    </row>
    <row r="68" spans="1:12" ht="16.2" thickTop="1" x14ac:dyDescent="0.3">
      <c r="A68" s="88">
        <f t="shared" si="0"/>
        <v>58</v>
      </c>
      <c r="B68" s="141"/>
      <c r="C68" s="142"/>
      <c r="D68" s="135"/>
      <c r="E68" s="143"/>
      <c r="F68" s="653"/>
      <c r="G68" s="653"/>
      <c r="H68" s="653"/>
      <c r="I68" s="653"/>
      <c r="J68" s="653"/>
      <c r="K68" s="121"/>
      <c r="L68" s="88">
        <f t="shared" si="1"/>
        <v>58</v>
      </c>
    </row>
    <row r="69" spans="1:12" x14ac:dyDescent="0.3">
      <c r="A69" s="88">
        <f t="shared" si="0"/>
        <v>59</v>
      </c>
      <c r="B69" s="70" t="s">
        <v>16</v>
      </c>
      <c r="C69" s="24" t="s">
        <v>617</v>
      </c>
      <c r="D69" s="135"/>
      <c r="E69" s="143"/>
      <c r="F69" s="653"/>
      <c r="G69" s="653"/>
      <c r="H69" s="653"/>
      <c r="I69" s="653"/>
      <c r="J69" s="653"/>
      <c r="K69" s="121"/>
      <c r="L69" s="88">
        <f t="shared" si="1"/>
        <v>59</v>
      </c>
    </row>
    <row r="70" spans="1:12" ht="18" x14ac:dyDescent="0.3">
      <c r="A70" s="88">
        <f t="shared" si="0"/>
        <v>60</v>
      </c>
      <c r="B70" s="482">
        <v>1</v>
      </c>
      <c r="C70" s="481" t="s">
        <v>560</v>
      </c>
      <c r="E70" s="143"/>
      <c r="F70" s="653"/>
      <c r="G70" s="653"/>
      <c r="H70" s="653"/>
      <c r="I70" s="653"/>
      <c r="J70" s="653"/>
      <c r="K70" s="121"/>
      <c r="L70" s="88">
        <f t="shared" si="1"/>
        <v>60</v>
      </c>
    </row>
    <row r="71" spans="1:12" ht="18" x14ac:dyDescent="0.3">
      <c r="A71" s="88">
        <f t="shared" si="0"/>
        <v>61</v>
      </c>
      <c r="B71" s="493"/>
      <c r="C71" s="20" t="s">
        <v>331</v>
      </c>
      <c r="E71" s="143"/>
      <c r="F71" s="653"/>
      <c r="G71" s="653"/>
      <c r="H71" s="653"/>
      <c r="I71" s="653"/>
      <c r="J71" s="653"/>
      <c r="K71" s="121"/>
      <c r="L71" s="88">
        <f t="shared" si="1"/>
        <v>61</v>
      </c>
    </row>
    <row r="72" spans="1:12" ht="18" x14ac:dyDescent="0.3">
      <c r="A72" s="88">
        <f t="shared" si="0"/>
        <v>62</v>
      </c>
      <c r="B72" s="662" t="s">
        <v>524</v>
      </c>
      <c r="C72" s="42" t="s">
        <v>525</v>
      </c>
      <c r="E72" s="143"/>
      <c r="F72" s="653"/>
      <c r="G72" s="653"/>
      <c r="H72" s="653"/>
      <c r="I72" s="653"/>
      <c r="J72" s="653"/>
      <c r="K72" s="121"/>
      <c r="L72" s="88">
        <f t="shared" si="1"/>
        <v>62</v>
      </c>
    </row>
    <row r="73" spans="1:12" ht="18" x14ac:dyDescent="0.3">
      <c r="A73" s="88">
        <f t="shared" si="0"/>
        <v>63</v>
      </c>
      <c r="B73" s="662"/>
      <c r="C73" s="42" t="s">
        <v>526</v>
      </c>
      <c r="E73" s="143"/>
      <c r="F73" s="653"/>
      <c r="G73" s="653"/>
      <c r="H73" s="653"/>
      <c r="I73" s="653"/>
      <c r="J73" s="653"/>
      <c r="K73" s="121"/>
      <c r="L73" s="88">
        <f t="shared" si="1"/>
        <v>63</v>
      </c>
    </row>
    <row r="74" spans="1:12" ht="18" x14ac:dyDescent="0.3">
      <c r="A74" s="88">
        <f t="shared" si="0"/>
        <v>64</v>
      </c>
      <c r="B74" s="662" t="s">
        <v>527</v>
      </c>
      <c r="C74" s="42" t="s">
        <v>528</v>
      </c>
      <c r="E74" s="143"/>
      <c r="F74" s="653"/>
      <c r="G74" s="653"/>
      <c r="H74" s="653"/>
      <c r="I74" s="653"/>
      <c r="J74" s="653"/>
      <c r="K74" s="121"/>
      <c r="L74" s="88">
        <f t="shared" si="1"/>
        <v>64</v>
      </c>
    </row>
    <row r="75" spans="1:12" ht="18" x14ac:dyDescent="0.3">
      <c r="A75" s="88">
        <f t="shared" ref="A75:A82" si="6">A74+1</f>
        <v>65</v>
      </c>
      <c r="B75" s="662"/>
      <c r="C75" s="42" t="s">
        <v>529</v>
      </c>
      <c r="E75" s="143"/>
      <c r="F75" s="653"/>
      <c r="G75" s="653"/>
      <c r="H75" s="653"/>
      <c r="I75" s="653"/>
      <c r="J75" s="653"/>
      <c r="K75" s="121"/>
      <c r="L75" s="88">
        <f t="shared" ref="L75:L82" si="7">L74+1</f>
        <v>65</v>
      </c>
    </row>
    <row r="76" spans="1:12" ht="18" x14ac:dyDescent="0.3">
      <c r="A76" s="88">
        <f t="shared" si="6"/>
        <v>66</v>
      </c>
      <c r="B76" s="662"/>
      <c r="C76" s="42" t="s">
        <v>530</v>
      </c>
      <c r="E76" s="143"/>
      <c r="F76" s="653"/>
      <c r="G76" s="653"/>
      <c r="H76" s="653"/>
      <c r="I76" s="653"/>
      <c r="J76" s="653"/>
      <c r="K76" s="121"/>
      <c r="L76" s="88">
        <f t="shared" si="7"/>
        <v>66</v>
      </c>
    </row>
    <row r="77" spans="1:12" ht="18" x14ac:dyDescent="0.3">
      <c r="A77" s="88">
        <f t="shared" si="6"/>
        <v>67</v>
      </c>
      <c r="B77" s="662" t="s">
        <v>531</v>
      </c>
      <c r="C77" s="42" t="s">
        <v>532</v>
      </c>
      <c r="E77" s="143"/>
      <c r="F77" s="653"/>
      <c r="G77" s="653"/>
      <c r="H77" s="653"/>
      <c r="I77" s="653"/>
      <c r="J77" s="653"/>
      <c r="K77" s="121"/>
      <c r="L77" s="88">
        <f t="shared" si="7"/>
        <v>67</v>
      </c>
    </row>
    <row r="78" spans="1:12" ht="18" x14ac:dyDescent="0.3">
      <c r="A78" s="88">
        <f t="shared" si="6"/>
        <v>68</v>
      </c>
      <c r="B78" s="662"/>
      <c r="C78" s="42" t="s">
        <v>533</v>
      </c>
      <c r="E78" s="143"/>
      <c r="F78" s="653"/>
      <c r="G78" s="653"/>
      <c r="H78" s="653"/>
      <c r="I78" s="653"/>
      <c r="J78" s="653"/>
      <c r="K78" s="121"/>
      <c r="L78" s="88">
        <f t="shared" si="7"/>
        <v>68</v>
      </c>
    </row>
    <row r="79" spans="1:12" ht="18" x14ac:dyDescent="0.3">
      <c r="A79" s="88">
        <f t="shared" si="6"/>
        <v>69</v>
      </c>
      <c r="B79" s="663">
        <v>5</v>
      </c>
      <c r="C79" s="42" t="s">
        <v>556</v>
      </c>
      <c r="E79" s="143"/>
      <c r="F79" s="654"/>
      <c r="G79" s="654"/>
      <c r="H79" s="654"/>
      <c r="I79" s="654"/>
      <c r="J79" s="654"/>
      <c r="K79" s="121"/>
      <c r="L79" s="88">
        <f t="shared" si="7"/>
        <v>69</v>
      </c>
    </row>
    <row r="80" spans="1:12" ht="18" x14ac:dyDescent="0.3">
      <c r="A80" s="88">
        <f t="shared" si="6"/>
        <v>70</v>
      </c>
      <c r="B80" s="663">
        <v>6</v>
      </c>
      <c r="C80" s="42" t="s">
        <v>534</v>
      </c>
      <c r="D80" s="135"/>
      <c r="E80" s="143"/>
      <c r="F80" s="653"/>
      <c r="G80" s="653"/>
      <c r="H80" s="653"/>
      <c r="I80" s="653"/>
      <c r="J80" s="653"/>
      <c r="K80" s="121"/>
      <c r="L80" s="88">
        <f t="shared" si="7"/>
        <v>70</v>
      </c>
    </row>
    <row r="81" spans="1:12" ht="18" x14ac:dyDescent="0.3">
      <c r="A81" s="88">
        <f t="shared" si="6"/>
        <v>71</v>
      </c>
      <c r="B81" s="663"/>
      <c r="C81" s="42"/>
      <c r="D81" s="135"/>
      <c r="E81" s="143"/>
      <c r="F81" s="653"/>
      <c r="G81" s="653"/>
      <c r="H81" s="653"/>
      <c r="I81" s="653"/>
      <c r="J81" s="653"/>
      <c r="K81" s="121"/>
      <c r="L81" s="88">
        <f t="shared" si="7"/>
        <v>71</v>
      </c>
    </row>
    <row r="82" spans="1:12" ht="16.2" thickBot="1" x14ac:dyDescent="0.35">
      <c r="A82" s="88">
        <f t="shared" si="6"/>
        <v>72</v>
      </c>
      <c r="B82" s="144"/>
      <c r="C82" s="145"/>
      <c r="D82" s="90"/>
      <c r="E82" s="90"/>
      <c r="F82" s="90"/>
      <c r="G82" s="90"/>
      <c r="H82" s="90"/>
      <c r="I82" s="90"/>
      <c r="J82" s="90"/>
      <c r="K82" s="130"/>
      <c r="L82" s="88">
        <f t="shared" si="7"/>
        <v>72</v>
      </c>
    </row>
    <row r="83" spans="1:12" x14ac:dyDescent="0.3">
      <c r="C83" s="113"/>
    </row>
    <row r="84" spans="1:12" x14ac:dyDescent="0.3">
      <c r="A84" s="547"/>
      <c r="C84" s="113"/>
      <c r="D84" s="146"/>
      <c r="E84" s="146"/>
    </row>
    <row r="85" spans="1:12" ht="18" x14ac:dyDescent="0.3">
      <c r="A85" s="147"/>
      <c r="B85" s="483"/>
      <c r="C85" s="20"/>
      <c r="D85" s="225"/>
      <c r="E85" s="225"/>
      <c r="F85" s="225"/>
      <c r="G85" s="225"/>
      <c r="H85" s="225"/>
      <c r="I85" s="225"/>
      <c r="J85" s="225"/>
    </row>
    <row r="86" spans="1:12" ht="18" x14ac:dyDescent="0.3">
      <c r="A86" s="147"/>
      <c r="B86" s="483"/>
      <c r="C86" s="466"/>
      <c r="D86" s="225"/>
      <c r="E86" s="225"/>
      <c r="F86" s="225"/>
      <c r="G86" s="225"/>
      <c r="H86" s="225"/>
      <c r="I86" s="225"/>
      <c r="J86" s="225"/>
    </row>
    <row r="87" spans="1:12" ht="18" x14ac:dyDescent="0.3">
      <c r="A87" s="147"/>
      <c r="B87" s="41"/>
      <c r="C87" s="20"/>
      <c r="D87" s="20"/>
      <c r="E87" s="20"/>
      <c r="F87" s="20"/>
      <c r="G87" s="20"/>
      <c r="H87" s="20"/>
      <c r="I87" s="20"/>
      <c r="J87" s="20"/>
    </row>
    <row r="88" spans="1:12" ht="18" x14ac:dyDescent="0.3">
      <c r="A88" s="147"/>
      <c r="C88" s="113"/>
    </row>
    <row r="89" spans="1:12" ht="18" x14ac:dyDescent="0.3">
      <c r="A89" s="147"/>
      <c r="C89" s="113"/>
    </row>
    <row r="90" spans="1:12" ht="18" x14ac:dyDescent="0.3">
      <c r="A90" s="147"/>
      <c r="C90" s="113"/>
    </row>
    <row r="91" spans="1:12" x14ac:dyDescent="0.3">
      <c r="A91" s="547"/>
      <c r="C91" s="113"/>
    </row>
    <row r="92" spans="1:12" ht="18" x14ac:dyDescent="0.3">
      <c r="A92" s="147"/>
      <c r="C92" s="113"/>
    </row>
    <row r="93" spans="1:12" x14ac:dyDescent="0.3">
      <c r="A93" s="547"/>
      <c r="C93" s="113"/>
    </row>
    <row r="94" spans="1:12" ht="18" x14ac:dyDescent="0.3">
      <c r="A94" s="147"/>
      <c r="C94" s="113"/>
    </row>
    <row r="95" spans="1:12" x14ac:dyDescent="0.3">
      <c r="A95" s="547"/>
      <c r="C95" s="113"/>
    </row>
    <row r="96" spans="1:12" ht="18" x14ac:dyDescent="0.3">
      <c r="A96" s="147"/>
      <c r="C96" s="113"/>
    </row>
    <row r="97" spans="1:2" ht="18" x14ac:dyDescent="0.3">
      <c r="A97" s="147"/>
      <c r="B97" s="113"/>
    </row>
    <row r="98" spans="1:2" ht="18" x14ac:dyDescent="0.3">
      <c r="A98" s="147"/>
      <c r="B98" s="113"/>
    </row>
    <row r="99" spans="1:2" x14ac:dyDescent="0.3">
      <c r="B99" s="113"/>
    </row>
    <row r="100" spans="1:2" ht="18" x14ac:dyDescent="0.3">
      <c r="A100" s="147"/>
      <c r="B100" s="113"/>
    </row>
    <row r="101" spans="1:2" x14ac:dyDescent="0.3">
      <c r="A101" s="494"/>
      <c r="B101" s="495"/>
    </row>
    <row r="102" spans="1:2" x14ac:dyDescent="0.3">
      <c r="B102" s="113"/>
    </row>
  </sheetData>
  <mergeCells count="4">
    <mergeCell ref="B2:K2"/>
    <mergeCell ref="B3:K3"/>
    <mergeCell ref="B4:K4"/>
    <mergeCell ref="B5:K5"/>
  </mergeCells>
  <printOptions horizontalCentered="1"/>
  <pageMargins left="0.25" right="0.25" top="0.5" bottom="0.25" header="0.35" footer="0"/>
  <pageSetup scale="47" orientation="portrait" r:id="rId1"/>
  <headerFooter scaleWithDoc="0" alignWithMargins="0">
    <oddHeader>&amp;C&amp;"Times New Roman,Bold"&amp;9REVISED</oddHeader>
    <oddFooter>&amp;CPage 9.2&amp;R&amp;F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K35"/>
  <sheetViews>
    <sheetView zoomScale="80" zoomScaleNormal="80" workbookViewId="0"/>
  </sheetViews>
  <sheetFormatPr defaultColWidth="8.88671875" defaultRowHeight="15.6" x14ac:dyDescent="0.3"/>
  <cols>
    <col min="1" max="1" width="5.109375" style="549" bestFit="1" customWidth="1"/>
    <col min="2" max="2" width="68.88671875" style="148" customWidth="1"/>
    <col min="3" max="3" width="24" style="149" customWidth="1"/>
    <col min="4" max="4" width="1.5546875" style="148" customWidth="1"/>
    <col min="5" max="5" width="16.88671875" style="148" customWidth="1"/>
    <col min="6" max="6" width="1.5546875" style="148" customWidth="1"/>
    <col min="7" max="7" width="16.88671875" style="148" customWidth="1"/>
    <col min="8" max="8" width="1.5546875" style="148" customWidth="1"/>
    <col min="9" max="9" width="36.109375" style="148" customWidth="1"/>
    <col min="10" max="10" width="5.109375" style="148" customWidth="1"/>
    <col min="11" max="16384" width="8.88671875" style="148"/>
  </cols>
  <sheetData>
    <row r="1" spans="1:10" x14ac:dyDescent="0.3">
      <c r="H1" s="549"/>
      <c r="I1" s="561"/>
      <c r="J1" s="549"/>
    </row>
    <row r="2" spans="1:10" x14ac:dyDescent="0.3">
      <c r="B2" s="821" t="s">
        <v>24</v>
      </c>
      <c r="C2" s="822"/>
      <c r="D2" s="822"/>
      <c r="E2" s="822"/>
      <c r="F2" s="822"/>
      <c r="G2" s="822"/>
      <c r="H2" s="822"/>
      <c r="I2" s="822"/>
      <c r="J2" s="548"/>
    </row>
    <row r="3" spans="1:10" x14ac:dyDescent="0.3">
      <c r="B3" s="821" t="s">
        <v>105</v>
      </c>
      <c r="C3" s="822"/>
      <c r="D3" s="822"/>
      <c r="E3" s="822"/>
      <c r="F3" s="822"/>
      <c r="G3" s="822"/>
      <c r="H3" s="822"/>
      <c r="I3" s="822"/>
      <c r="J3" s="548"/>
    </row>
    <row r="4" spans="1:10" x14ac:dyDescent="0.3">
      <c r="B4" s="821" t="s">
        <v>106</v>
      </c>
      <c r="C4" s="822"/>
      <c r="D4" s="822"/>
      <c r="E4" s="822"/>
      <c r="F4" s="822"/>
      <c r="G4" s="822"/>
      <c r="H4" s="822"/>
      <c r="I4" s="822"/>
      <c r="J4" s="548"/>
    </row>
    <row r="5" spans="1:10" x14ac:dyDescent="0.3">
      <c r="B5" s="823" t="s">
        <v>544</v>
      </c>
      <c r="C5" s="823"/>
      <c r="D5" s="823"/>
      <c r="E5" s="823"/>
      <c r="F5" s="823"/>
      <c r="G5" s="823"/>
      <c r="H5" s="823"/>
      <c r="I5" s="823"/>
      <c r="J5" s="548"/>
    </row>
    <row r="6" spans="1:10" x14ac:dyDescent="0.3">
      <c r="B6" s="824" t="s">
        <v>1</v>
      </c>
      <c r="C6" s="824"/>
      <c r="D6" s="824"/>
      <c r="E6" s="824"/>
      <c r="F6" s="824"/>
      <c r="G6" s="824"/>
      <c r="H6" s="824"/>
      <c r="I6" s="824"/>
      <c r="J6" s="150"/>
    </row>
    <row r="7" spans="1:10" x14ac:dyDescent="0.3">
      <c r="B7" s="549"/>
      <c r="D7" s="549"/>
      <c r="E7" s="549"/>
      <c r="F7" s="549"/>
      <c r="G7" s="549"/>
      <c r="H7" s="548"/>
      <c r="I7" s="548"/>
      <c r="J7" s="548"/>
    </row>
    <row r="8" spans="1:10" x14ac:dyDescent="0.3">
      <c r="A8" s="549" t="s">
        <v>2</v>
      </c>
      <c r="B8" s="548"/>
      <c r="C8" s="41" t="s">
        <v>27</v>
      </c>
      <c r="D8" s="549"/>
      <c r="E8" s="549" t="s">
        <v>107</v>
      </c>
      <c r="F8" s="549"/>
      <c r="G8" s="549" t="s">
        <v>108</v>
      </c>
      <c r="H8" s="548"/>
      <c r="I8" s="548"/>
      <c r="J8" s="549" t="s">
        <v>2</v>
      </c>
    </row>
    <row r="9" spans="1:10" x14ac:dyDescent="0.3">
      <c r="A9" s="549" t="s">
        <v>6</v>
      </c>
      <c r="B9" s="548"/>
      <c r="C9" s="463" t="s">
        <v>28</v>
      </c>
      <c r="D9" s="548"/>
      <c r="E9" s="496" t="s">
        <v>109</v>
      </c>
      <c r="F9" s="548"/>
      <c r="G9" s="496" t="s">
        <v>110</v>
      </c>
      <c r="H9" s="548"/>
      <c r="I9" s="497" t="s">
        <v>5</v>
      </c>
      <c r="J9" s="549" t="s">
        <v>6</v>
      </c>
    </row>
    <row r="10" spans="1:10" x14ac:dyDescent="0.3">
      <c r="B10" s="549"/>
      <c r="D10" s="549"/>
      <c r="E10" s="549"/>
      <c r="F10" s="549"/>
      <c r="G10" s="549"/>
      <c r="H10" s="549"/>
      <c r="I10" s="549"/>
      <c r="J10" s="549"/>
    </row>
    <row r="11" spans="1:10" ht="18" x14ac:dyDescent="0.3">
      <c r="A11" s="549">
        <v>1</v>
      </c>
      <c r="B11" s="148" t="s">
        <v>111</v>
      </c>
      <c r="C11" s="549" t="s">
        <v>112</v>
      </c>
      <c r="E11" s="498"/>
      <c r="F11" s="151"/>
      <c r="G11" s="398">
        <v>128758.20369230768</v>
      </c>
      <c r="H11" s="151"/>
      <c r="I11" s="65" t="s">
        <v>460</v>
      </c>
      <c r="J11" s="549">
        <f>A11</f>
        <v>1</v>
      </c>
    </row>
    <row r="12" spans="1:10" x14ac:dyDescent="0.3">
      <c r="A12" s="549">
        <f>+A11+1</f>
        <v>2</v>
      </c>
      <c r="C12" s="549"/>
      <c r="E12" s="152"/>
      <c r="F12" s="153"/>
      <c r="G12" s="153"/>
      <c r="H12" s="153"/>
      <c r="I12" s="65"/>
      <c r="J12" s="549">
        <f>+J11+1</f>
        <v>2</v>
      </c>
    </row>
    <row r="13" spans="1:10" x14ac:dyDescent="0.3">
      <c r="A13" s="549">
        <f t="shared" ref="A13:A29" si="0">+A12+1</f>
        <v>3</v>
      </c>
      <c r="B13" s="148" t="s">
        <v>113</v>
      </c>
      <c r="C13" s="549"/>
      <c r="E13" s="154"/>
      <c r="F13" s="155"/>
      <c r="G13" s="499">
        <v>0.39574943391450246</v>
      </c>
      <c r="H13" s="151"/>
      <c r="I13" s="65" t="s">
        <v>461</v>
      </c>
      <c r="J13" s="549">
        <f t="shared" ref="J13:J29" si="1">+J12+1</f>
        <v>3</v>
      </c>
    </row>
    <row r="14" spans="1:10" x14ac:dyDescent="0.3">
      <c r="A14" s="549">
        <f t="shared" si="0"/>
        <v>4</v>
      </c>
      <c r="C14" s="549"/>
      <c r="E14" s="152"/>
      <c r="F14" s="153"/>
      <c r="G14" s="152"/>
      <c r="H14" s="153"/>
      <c r="I14" s="65"/>
      <c r="J14" s="549">
        <f t="shared" si="1"/>
        <v>4</v>
      </c>
    </row>
    <row r="15" spans="1:10" ht="16.2" thickBot="1" x14ac:dyDescent="0.35">
      <c r="A15" s="549">
        <f t="shared" si="0"/>
        <v>5</v>
      </c>
      <c r="B15" s="148" t="s">
        <v>114</v>
      </c>
      <c r="C15" s="549"/>
      <c r="E15" s="500"/>
      <c r="F15" s="153"/>
      <c r="G15" s="501">
        <f>G11*G13</f>
        <v>50955.986223078966</v>
      </c>
      <c r="H15" s="151"/>
      <c r="I15" s="65" t="s">
        <v>462</v>
      </c>
      <c r="J15" s="549">
        <f t="shared" si="1"/>
        <v>5</v>
      </c>
    </row>
    <row r="16" spans="1:10" ht="16.2" thickTop="1" x14ac:dyDescent="0.3">
      <c r="A16" s="549">
        <f t="shared" si="0"/>
        <v>6</v>
      </c>
      <c r="C16" s="549"/>
      <c r="E16" s="502"/>
      <c r="F16" s="549"/>
      <c r="G16" s="549"/>
      <c r="H16" s="549"/>
      <c r="I16" s="65"/>
      <c r="J16" s="549">
        <f t="shared" si="1"/>
        <v>6</v>
      </c>
    </row>
    <row r="17" spans="1:11" ht="18" x14ac:dyDescent="0.3">
      <c r="A17" s="549">
        <f t="shared" si="0"/>
        <v>7</v>
      </c>
      <c r="B17" s="148" t="s">
        <v>115</v>
      </c>
      <c r="C17" s="549" t="s">
        <v>116</v>
      </c>
      <c r="D17" s="503"/>
      <c r="E17" s="498"/>
      <c r="F17" s="153"/>
      <c r="G17" s="504">
        <v>93697.406000000017</v>
      </c>
      <c r="H17" s="151"/>
      <c r="I17" s="65" t="s">
        <v>463</v>
      </c>
      <c r="J17" s="549">
        <f t="shared" si="1"/>
        <v>7</v>
      </c>
    </row>
    <row r="18" spans="1:11" x14ac:dyDescent="0.3">
      <c r="A18" s="549">
        <f t="shared" si="0"/>
        <v>8</v>
      </c>
      <c r="C18" s="549"/>
      <c r="E18" s="505"/>
      <c r="F18" s="153"/>
      <c r="G18" s="153"/>
      <c r="H18" s="153"/>
      <c r="I18" s="65"/>
      <c r="J18" s="549">
        <f t="shared" si="1"/>
        <v>8</v>
      </c>
    </row>
    <row r="19" spans="1:11" ht="16.2" thickBot="1" x14ac:dyDescent="0.35">
      <c r="A19" s="549">
        <f t="shared" si="0"/>
        <v>9</v>
      </c>
      <c r="B19" s="148" t="s">
        <v>117</v>
      </c>
      <c r="E19" s="498"/>
      <c r="F19" s="153"/>
      <c r="G19" s="501">
        <f>G13*G17</f>
        <v>37080.695383757316</v>
      </c>
      <c r="H19" s="151"/>
      <c r="I19" s="65" t="s">
        <v>464</v>
      </c>
      <c r="J19" s="549">
        <f t="shared" si="1"/>
        <v>9</v>
      </c>
    </row>
    <row r="20" spans="1:11" ht="16.2" thickTop="1" x14ac:dyDescent="0.3">
      <c r="A20" s="549">
        <f t="shared" si="0"/>
        <v>10</v>
      </c>
      <c r="E20" s="506"/>
      <c r="F20" s="153"/>
      <c r="G20" s="153"/>
      <c r="H20" s="153"/>
      <c r="I20" s="65"/>
      <c r="J20" s="549">
        <f t="shared" si="1"/>
        <v>10</v>
      </c>
    </row>
    <row r="21" spans="1:11" x14ac:dyDescent="0.3">
      <c r="A21" s="549">
        <f t="shared" si="0"/>
        <v>11</v>
      </c>
      <c r="B21" s="156" t="s">
        <v>118</v>
      </c>
      <c r="E21" s="506"/>
      <c r="F21" s="153"/>
      <c r="G21" s="153"/>
      <c r="H21" s="153"/>
      <c r="I21" s="65"/>
      <c r="J21" s="549">
        <f t="shared" si="1"/>
        <v>11</v>
      </c>
    </row>
    <row r="22" spans="1:11" x14ac:dyDescent="0.3">
      <c r="A22" s="549">
        <f t="shared" si="0"/>
        <v>12</v>
      </c>
      <c r="B22" s="148" t="s">
        <v>119</v>
      </c>
      <c r="E22" s="665">
        <f>'Pg9 Rev Stmt AH'!E27</f>
        <v>33651.210460000017</v>
      </c>
      <c r="F22" s="27"/>
      <c r="G22" s="409"/>
      <c r="H22" s="153"/>
      <c r="I22" s="65" t="s">
        <v>542</v>
      </c>
      <c r="J22" s="549">
        <f t="shared" si="1"/>
        <v>12</v>
      </c>
    </row>
    <row r="23" spans="1:11" x14ac:dyDescent="0.3">
      <c r="A23" s="549">
        <f t="shared" si="0"/>
        <v>13</v>
      </c>
      <c r="B23" s="148" t="s">
        <v>120</v>
      </c>
      <c r="E23" s="507">
        <f>'Pg9 Rev Stmt AH'!E50</f>
        <v>45991.371993598652</v>
      </c>
      <c r="F23" s="27" t="s">
        <v>16</v>
      </c>
      <c r="G23" s="508"/>
      <c r="H23" s="153"/>
      <c r="I23" s="65" t="s">
        <v>543</v>
      </c>
      <c r="J23" s="549">
        <f t="shared" si="1"/>
        <v>13</v>
      </c>
    </row>
    <row r="24" spans="1:11" x14ac:dyDescent="0.3">
      <c r="A24" s="549">
        <f t="shared" si="0"/>
        <v>14</v>
      </c>
      <c r="B24" s="148" t="s">
        <v>121</v>
      </c>
      <c r="E24" s="509">
        <f>-'Pg9 Rev Stmt AH'!E34</f>
        <v>0</v>
      </c>
      <c r="F24" s="153"/>
      <c r="G24" s="508"/>
      <c r="H24" s="153"/>
      <c r="I24" s="65" t="s">
        <v>465</v>
      </c>
      <c r="J24" s="549">
        <f t="shared" si="1"/>
        <v>14</v>
      </c>
      <c r="K24" s="510"/>
    </row>
    <row r="25" spans="1:11" x14ac:dyDescent="0.3">
      <c r="A25" s="549">
        <f t="shared" si="0"/>
        <v>15</v>
      </c>
      <c r="B25" s="148" t="s">
        <v>122</v>
      </c>
      <c r="E25" s="511">
        <f>SUM(E22:E24)</f>
        <v>79642.582453598676</v>
      </c>
      <c r="F25" s="27" t="s">
        <v>16</v>
      </c>
      <c r="G25" s="503"/>
      <c r="H25" s="65"/>
      <c r="I25" s="65" t="s">
        <v>466</v>
      </c>
      <c r="J25" s="549">
        <f t="shared" si="1"/>
        <v>15</v>
      </c>
    </row>
    <row r="26" spans="1:11" x14ac:dyDescent="0.3">
      <c r="A26" s="549">
        <f t="shared" si="0"/>
        <v>16</v>
      </c>
      <c r="F26" s="549"/>
      <c r="H26" s="549"/>
      <c r="I26" s="65"/>
      <c r="J26" s="549">
        <f t="shared" si="1"/>
        <v>16</v>
      </c>
    </row>
    <row r="27" spans="1:11" x14ac:dyDescent="0.3">
      <c r="A27" s="549">
        <f t="shared" si="0"/>
        <v>17</v>
      </c>
      <c r="B27" s="148" t="s">
        <v>123</v>
      </c>
      <c r="E27" s="512">
        <f>1/8</f>
        <v>0.125</v>
      </c>
      <c r="F27" s="549"/>
      <c r="G27" s="513"/>
      <c r="H27" s="549"/>
      <c r="I27" s="65" t="s">
        <v>124</v>
      </c>
      <c r="J27" s="549">
        <f t="shared" si="1"/>
        <v>17</v>
      </c>
    </row>
    <row r="28" spans="1:11" x14ac:dyDescent="0.3">
      <c r="A28" s="549">
        <f t="shared" si="0"/>
        <v>18</v>
      </c>
      <c r="E28" s="152" t="s">
        <v>11</v>
      </c>
      <c r="F28" s="153"/>
      <c r="G28" s="152"/>
      <c r="H28" s="153"/>
      <c r="I28" s="65"/>
      <c r="J28" s="549">
        <f t="shared" si="1"/>
        <v>18</v>
      </c>
    </row>
    <row r="29" spans="1:11" ht="16.2" thickBot="1" x14ac:dyDescent="0.35">
      <c r="A29" s="549">
        <f t="shared" si="0"/>
        <v>19</v>
      </c>
      <c r="B29" s="148" t="s">
        <v>125</v>
      </c>
      <c r="E29" s="514">
        <f>E25*E27</f>
        <v>9955.3228066998345</v>
      </c>
      <c r="F29" s="27" t="s">
        <v>16</v>
      </c>
      <c r="G29" s="500"/>
      <c r="H29" s="153"/>
      <c r="I29" s="549" t="s">
        <v>467</v>
      </c>
      <c r="J29" s="549">
        <f t="shared" si="1"/>
        <v>19</v>
      </c>
    </row>
    <row r="30" spans="1:11" ht="16.2" thickTop="1" x14ac:dyDescent="0.3">
      <c r="A30" s="729"/>
      <c r="E30" s="796"/>
      <c r="F30" s="27"/>
      <c r="G30" s="500"/>
      <c r="H30" s="153"/>
      <c r="I30" s="729"/>
      <c r="J30" s="729"/>
    </row>
    <row r="31" spans="1:11" x14ac:dyDescent="0.3">
      <c r="B31" s="515"/>
    </row>
    <row r="32" spans="1:11" x14ac:dyDescent="0.3">
      <c r="A32" s="541" t="s">
        <v>16</v>
      </c>
      <c r="B32" s="24" t="s">
        <v>617</v>
      </c>
    </row>
    <row r="33" spans="1:2" ht="18" x14ac:dyDescent="0.3">
      <c r="A33" s="159">
        <v>1</v>
      </c>
      <c r="B33" s="148" t="s">
        <v>126</v>
      </c>
    </row>
    <row r="34" spans="1:2" ht="18" x14ac:dyDescent="0.3">
      <c r="A34" s="159"/>
    </row>
    <row r="35" spans="1:2" x14ac:dyDescent="0.3">
      <c r="A35" s="548"/>
      <c r="B35" s="150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Roman,Bold"&amp;9REVISED</oddHeader>
    <oddFooter>&amp;CPage 10&amp;R&amp;F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24F8-9D77-4909-8BF9-A2CCEE946F09}">
  <sheetPr>
    <pageSetUpPr fitToPage="1"/>
  </sheetPr>
  <dimension ref="A1:K35"/>
  <sheetViews>
    <sheetView zoomScale="80" zoomScaleNormal="80" workbookViewId="0"/>
  </sheetViews>
  <sheetFormatPr defaultColWidth="8.88671875" defaultRowHeight="15.6" x14ac:dyDescent="0.3"/>
  <cols>
    <col min="1" max="1" width="5.109375" style="725" bestFit="1" customWidth="1"/>
    <col min="2" max="2" width="68.88671875" style="148" customWidth="1"/>
    <col min="3" max="3" width="24" style="149" customWidth="1"/>
    <col min="4" max="4" width="1.5546875" style="148" customWidth="1"/>
    <col min="5" max="5" width="16.88671875" style="148" customWidth="1"/>
    <col min="6" max="6" width="1.5546875" style="148" customWidth="1"/>
    <col min="7" max="7" width="16.88671875" style="148" customWidth="1"/>
    <col min="8" max="8" width="1.5546875" style="148" customWidth="1"/>
    <col min="9" max="9" width="36.109375" style="148" customWidth="1"/>
    <col min="10" max="10" width="5.109375" style="148" customWidth="1"/>
    <col min="11" max="16384" width="8.88671875" style="148"/>
  </cols>
  <sheetData>
    <row r="1" spans="1:10" x14ac:dyDescent="0.3">
      <c r="A1" s="718" t="s">
        <v>614</v>
      </c>
    </row>
    <row r="2" spans="1:10" x14ac:dyDescent="0.3">
      <c r="H2" s="725"/>
      <c r="I2" s="561"/>
      <c r="J2" s="725"/>
    </row>
    <row r="3" spans="1:10" x14ac:dyDescent="0.3">
      <c r="B3" s="821" t="s">
        <v>24</v>
      </c>
      <c r="C3" s="822"/>
      <c r="D3" s="822"/>
      <c r="E3" s="822"/>
      <c r="F3" s="822"/>
      <c r="G3" s="822"/>
      <c r="H3" s="822"/>
      <c r="I3" s="822"/>
      <c r="J3" s="724"/>
    </row>
    <row r="4" spans="1:10" x14ac:dyDescent="0.3">
      <c r="B4" s="821" t="s">
        <v>105</v>
      </c>
      <c r="C4" s="822"/>
      <c r="D4" s="822"/>
      <c r="E4" s="822"/>
      <c r="F4" s="822"/>
      <c r="G4" s="822"/>
      <c r="H4" s="822"/>
      <c r="I4" s="822"/>
      <c r="J4" s="724"/>
    </row>
    <row r="5" spans="1:10" x14ac:dyDescent="0.3">
      <c r="B5" s="821" t="s">
        <v>106</v>
      </c>
      <c r="C5" s="822"/>
      <c r="D5" s="822"/>
      <c r="E5" s="822"/>
      <c r="F5" s="822"/>
      <c r="G5" s="822"/>
      <c r="H5" s="822"/>
      <c r="I5" s="822"/>
      <c r="J5" s="724"/>
    </row>
    <row r="6" spans="1:10" x14ac:dyDescent="0.3">
      <c r="B6" s="823" t="s">
        <v>544</v>
      </c>
      <c r="C6" s="823"/>
      <c r="D6" s="823"/>
      <c r="E6" s="823"/>
      <c r="F6" s="823"/>
      <c r="G6" s="823"/>
      <c r="H6" s="823"/>
      <c r="I6" s="823"/>
      <c r="J6" s="724"/>
    </row>
    <row r="7" spans="1:10" x14ac:dyDescent="0.3">
      <c r="B7" s="824" t="s">
        <v>1</v>
      </c>
      <c r="C7" s="824"/>
      <c r="D7" s="824"/>
      <c r="E7" s="824"/>
      <c r="F7" s="824"/>
      <c r="G7" s="824"/>
      <c r="H7" s="824"/>
      <c r="I7" s="824"/>
      <c r="J7" s="150"/>
    </row>
    <row r="8" spans="1:10" x14ac:dyDescent="0.3">
      <c r="B8" s="725"/>
      <c r="D8" s="725"/>
      <c r="E8" s="725"/>
      <c r="F8" s="725"/>
      <c r="G8" s="725"/>
      <c r="H8" s="724"/>
      <c r="I8" s="724"/>
      <c r="J8" s="724"/>
    </row>
    <row r="9" spans="1:10" x14ac:dyDescent="0.3">
      <c r="A9" s="725" t="s">
        <v>2</v>
      </c>
      <c r="B9" s="724"/>
      <c r="C9" s="41" t="s">
        <v>27</v>
      </c>
      <c r="D9" s="725"/>
      <c r="E9" s="725" t="s">
        <v>107</v>
      </c>
      <c r="F9" s="725"/>
      <c r="G9" s="725" t="s">
        <v>108</v>
      </c>
      <c r="H9" s="724"/>
      <c r="I9" s="724"/>
      <c r="J9" s="725" t="s">
        <v>2</v>
      </c>
    </row>
    <row r="10" spans="1:10" x14ac:dyDescent="0.3">
      <c r="A10" s="725" t="s">
        <v>6</v>
      </c>
      <c r="B10" s="724"/>
      <c r="C10" s="463" t="s">
        <v>28</v>
      </c>
      <c r="D10" s="724"/>
      <c r="E10" s="496" t="s">
        <v>109</v>
      </c>
      <c r="F10" s="724"/>
      <c r="G10" s="496" t="s">
        <v>110</v>
      </c>
      <c r="H10" s="724"/>
      <c r="I10" s="497" t="s">
        <v>5</v>
      </c>
      <c r="J10" s="725" t="s">
        <v>6</v>
      </c>
    </row>
    <row r="11" spans="1:10" x14ac:dyDescent="0.3">
      <c r="B11" s="725"/>
      <c r="D11" s="725"/>
      <c r="E11" s="725"/>
      <c r="F11" s="725"/>
      <c r="G11" s="725"/>
      <c r="H11" s="725"/>
      <c r="I11" s="725"/>
      <c r="J11" s="725"/>
    </row>
    <row r="12" spans="1:10" ht="18" x14ac:dyDescent="0.3">
      <c r="A12" s="725">
        <v>1</v>
      </c>
      <c r="B12" s="148" t="s">
        <v>111</v>
      </c>
      <c r="C12" s="725" t="s">
        <v>112</v>
      </c>
      <c r="E12" s="498"/>
      <c r="F12" s="151"/>
      <c r="G12" s="398">
        <v>128758.20369230768</v>
      </c>
      <c r="H12" s="151"/>
      <c r="I12" s="65" t="s">
        <v>460</v>
      </c>
      <c r="J12" s="725">
        <f>A12</f>
        <v>1</v>
      </c>
    </row>
    <row r="13" spans="1:10" x14ac:dyDescent="0.3">
      <c r="A13" s="725">
        <f>+A12+1</f>
        <v>2</v>
      </c>
      <c r="C13" s="725"/>
      <c r="E13" s="152"/>
      <c r="F13" s="153"/>
      <c r="G13" s="153"/>
      <c r="H13" s="153"/>
      <c r="I13" s="65"/>
      <c r="J13" s="725">
        <f>+J12+1</f>
        <v>2</v>
      </c>
    </row>
    <row r="14" spans="1:10" x14ac:dyDescent="0.3">
      <c r="A14" s="725">
        <f t="shared" ref="A14:A30" si="0">+A13+1</f>
        <v>3</v>
      </c>
      <c r="B14" s="148" t="s">
        <v>113</v>
      </c>
      <c r="C14" s="725"/>
      <c r="E14" s="154"/>
      <c r="F14" s="155"/>
      <c r="G14" s="499">
        <v>0.39574943391450246</v>
      </c>
      <c r="H14" s="151"/>
      <c r="I14" s="65" t="s">
        <v>461</v>
      </c>
      <c r="J14" s="725">
        <f t="shared" ref="J14:J30" si="1">+J13+1</f>
        <v>3</v>
      </c>
    </row>
    <row r="15" spans="1:10" x14ac:dyDescent="0.3">
      <c r="A15" s="725">
        <f t="shared" si="0"/>
        <v>4</v>
      </c>
      <c r="C15" s="725"/>
      <c r="E15" s="152"/>
      <c r="F15" s="153"/>
      <c r="G15" s="152"/>
      <c r="H15" s="153"/>
      <c r="I15" s="65"/>
      <c r="J15" s="725">
        <f t="shared" si="1"/>
        <v>4</v>
      </c>
    </row>
    <row r="16" spans="1:10" ht="16.2" thickBot="1" x14ac:dyDescent="0.35">
      <c r="A16" s="725">
        <f t="shared" si="0"/>
        <v>5</v>
      </c>
      <c r="B16" s="148" t="s">
        <v>114</v>
      </c>
      <c r="C16" s="725"/>
      <c r="E16" s="500"/>
      <c r="F16" s="153"/>
      <c r="G16" s="501">
        <f>G12*G14</f>
        <v>50955.986223078966</v>
      </c>
      <c r="H16" s="151"/>
      <c r="I16" s="65" t="s">
        <v>462</v>
      </c>
      <c r="J16" s="725">
        <f t="shared" si="1"/>
        <v>5</v>
      </c>
    </row>
    <row r="17" spans="1:11" ht="16.2" thickTop="1" x14ac:dyDescent="0.3">
      <c r="A17" s="725">
        <f t="shared" si="0"/>
        <v>6</v>
      </c>
      <c r="C17" s="725"/>
      <c r="E17" s="502"/>
      <c r="F17" s="725"/>
      <c r="G17" s="725"/>
      <c r="H17" s="725"/>
      <c r="I17" s="65"/>
      <c r="J17" s="725">
        <f t="shared" si="1"/>
        <v>6</v>
      </c>
    </row>
    <row r="18" spans="1:11" ht="18" x14ac:dyDescent="0.3">
      <c r="A18" s="725">
        <f t="shared" si="0"/>
        <v>7</v>
      </c>
      <c r="B18" s="148" t="s">
        <v>115</v>
      </c>
      <c r="C18" s="725" t="s">
        <v>116</v>
      </c>
      <c r="D18" s="503"/>
      <c r="E18" s="498"/>
      <c r="F18" s="153"/>
      <c r="G18" s="504">
        <v>93697.406000000017</v>
      </c>
      <c r="H18" s="151"/>
      <c r="I18" s="65" t="s">
        <v>463</v>
      </c>
      <c r="J18" s="725">
        <f t="shared" si="1"/>
        <v>7</v>
      </c>
    </row>
    <row r="19" spans="1:11" x14ac:dyDescent="0.3">
      <c r="A19" s="725">
        <f t="shared" si="0"/>
        <v>8</v>
      </c>
      <c r="C19" s="725"/>
      <c r="E19" s="505"/>
      <c r="F19" s="153"/>
      <c r="G19" s="153"/>
      <c r="H19" s="153"/>
      <c r="I19" s="65"/>
      <c r="J19" s="725">
        <f t="shared" si="1"/>
        <v>8</v>
      </c>
    </row>
    <row r="20" spans="1:11" ht="16.2" thickBot="1" x14ac:dyDescent="0.35">
      <c r="A20" s="725">
        <f t="shared" si="0"/>
        <v>9</v>
      </c>
      <c r="B20" s="148" t="s">
        <v>117</v>
      </c>
      <c r="E20" s="498"/>
      <c r="F20" s="153"/>
      <c r="G20" s="501">
        <f>G14*G18</f>
        <v>37080.695383757316</v>
      </c>
      <c r="H20" s="151"/>
      <c r="I20" s="65" t="s">
        <v>464</v>
      </c>
      <c r="J20" s="725">
        <f t="shared" si="1"/>
        <v>9</v>
      </c>
    </row>
    <row r="21" spans="1:11" ht="16.2" thickTop="1" x14ac:dyDescent="0.3">
      <c r="A21" s="725">
        <f t="shared" si="0"/>
        <v>10</v>
      </c>
      <c r="E21" s="506"/>
      <c r="F21" s="153"/>
      <c r="G21" s="153"/>
      <c r="H21" s="153"/>
      <c r="I21" s="65"/>
      <c r="J21" s="725">
        <f t="shared" si="1"/>
        <v>10</v>
      </c>
    </row>
    <row r="22" spans="1:11" x14ac:dyDescent="0.3">
      <c r="A22" s="725">
        <f t="shared" si="0"/>
        <v>11</v>
      </c>
      <c r="B22" s="156" t="s">
        <v>118</v>
      </c>
      <c r="E22" s="506"/>
      <c r="F22" s="153"/>
      <c r="G22" s="153"/>
      <c r="H22" s="153"/>
      <c r="I22" s="65"/>
      <c r="J22" s="725">
        <f t="shared" si="1"/>
        <v>11</v>
      </c>
    </row>
    <row r="23" spans="1:11" x14ac:dyDescent="0.3">
      <c r="A23" s="725">
        <f t="shared" si="0"/>
        <v>12</v>
      </c>
      <c r="B23" s="148" t="s">
        <v>119</v>
      </c>
      <c r="E23" s="665">
        <f>'Pg9 Rev Stmt AH'!E27</f>
        <v>33651.210460000017</v>
      </c>
      <c r="F23" s="27"/>
      <c r="G23" s="409"/>
      <c r="H23" s="153"/>
      <c r="I23" s="65" t="s">
        <v>542</v>
      </c>
      <c r="J23" s="725">
        <f t="shared" si="1"/>
        <v>12</v>
      </c>
    </row>
    <row r="24" spans="1:11" x14ac:dyDescent="0.3">
      <c r="A24" s="725">
        <f t="shared" si="0"/>
        <v>13</v>
      </c>
      <c r="B24" s="148" t="s">
        <v>120</v>
      </c>
      <c r="E24" s="573">
        <v>46000.665326562994</v>
      </c>
      <c r="F24" s="27"/>
      <c r="G24" s="508"/>
      <c r="H24" s="153"/>
      <c r="I24" s="65" t="s">
        <v>543</v>
      </c>
      <c r="J24" s="725">
        <f t="shared" si="1"/>
        <v>13</v>
      </c>
    </row>
    <row r="25" spans="1:11" x14ac:dyDescent="0.3">
      <c r="A25" s="725">
        <f t="shared" si="0"/>
        <v>14</v>
      </c>
      <c r="B25" s="148" t="s">
        <v>121</v>
      </c>
      <c r="E25" s="509">
        <f>-'Pg9 Rev Stmt AH'!E34</f>
        <v>0</v>
      </c>
      <c r="F25" s="153"/>
      <c r="G25" s="508"/>
      <c r="H25" s="153"/>
      <c r="I25" s="65" t="s">
        <v>465</v>
      </c>
      <c r="J25" s="725">
        <f t="shared" si="1"/>
        <v>14</v>
      </c>
      <c r="K25" s="510"/>
    </row>
    <row r="26" spans="1:11" x14ac:dyDescent="0.3">
      <c r="A26" s="725">
        <f t="shared" si="0"/>
        <v>15</v>
      </c>
      <c r="B26" s="148" t="s">
        <v>122</v>
      </c>
      <c r="E26" s="735">
        <f>SUM(E23:E25)</f>
        <v>79651.875786563003</v>
      </c>
      <c r="F26" s="27"/>
      <c r="G26" s="503"/>
      <c r="H26" s="65"/>
      <c r="I26" s="65" t="s">
        <v>466</v>
      </c>
      <c r="J26" s="725">
        <f t="shared" si="1"/>
        <v>15</v>
      </c>
    </row>
    <row r="27" spans="1:11" x14ac:dyDescent="0.3">
      <c r="A27" s="725">
        <f t="shared" si="0"/>
        <v>16</v>
      </c>
      <c r="F27" s="725"/>
      <c r="H27" s="725"/>
      <c r="I27" s="65"/>
      <c r="J27" s="725">
        <f t="shared" si="1"/>
        <v>16</v>
      </c>
    </row>
    <row r="28" spans="1:11" x14ac:dyDescent="0.3">
      <c r="A28" s="725">
        <f t="shared" si="0"/>
        <v>17</v>
      </c>
      <c r="B28" s="148" t="s">
        <v>123</v>
      </c>
      <c r="E28" s="512">
        <f>1/8</f>
        <v>0.125</v>
      </c>
      <c r="F28" s="725"/>
      <c r="G28" s="513"/>
      <c r="H28" s="725"/>
      <c r="I28" s="65" t="s">
        <v>124</v>
      </c>
      <c r="J28" s="725">
        <f t="shared" si="1"/>
        <v>17</v>
      </c>
    </row>
    <row r="29" spans="1:11" x14ac:dyDescent="0.3">
      <c r="A29" s="725">
        <f t="shared" si="0"/>
        <v>18</v>
      </c>
      <c r="E29" s="152" t="s">
        <v>11</v>
      </c>
      <c r="F29" s="153"/>
      <c r="G29" s="152"/>
      <c r="H29" s="153"/>
      <c r="I29" s="65"/>
      <c r="J29" s="725">
        <f t="shared" si="1"/>
        <v>18</v>
      </c>
    </row>
    <row r="30" spans="1:11" ht="16.2" thickBot="1" x14ac:dyDescent="0.35">
      <c r="A30" s="725">
        <f t="shared" si="0"/>
        <v>19</v>
      </c>
      <c r="B30" s="148" t="s">
        <v>125</v>
      </c>
      <c r="E30" s="501">
        <f>E26*E28</f>
        <v>9956.4844733203754</v>
      </c>
      <c r="F30" s="27"/>
      <c r="G30" s="500"/>
      <c r="H30" s="153"/>
      <c r="I30" s="725" t="s">
        <v>467</v>
      </c>
      <c r="J30" s="725">
        <f t="shared" si="1"/>
        <v>19</v>
      </c>
    </row>
    <row r="31" spans="1:11" ht="16.2" thickTop="1" x14ac:dyDescent="0.3">
      <c r="B31" s="515"/>
    </row>
    <row r="32" spans="1:11" x14ac:dyDescent="0.3">
      <c r="A32" s="541"/>
      <c r="B32" s="24"/>
    </row>
    <row r="33" spans="1:2" ht="18" x14ac:dyDescent="0.3">
      <c r="A33" s="159">
        <v>1</v>
      </c>
      <c r="B33" s="148" t="s">
        <v>126</v>
      </c>
    </row>
    <row r="34" spans="1:2" ht="18" x14ac:dyDescent="0.3">
      <c r="A34" s="159"/>
    </row>
    <row r="35" spans="1:2" x14ac:dyDescent="0.3">
      <c r="A35" s="724"/>
      <c r="B35" s="150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Roman,Bold"&amp;9AS FILED</oddHeader>
    <oddFooter>&amp;CPage 10.1&amp;R&amp;F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1:M57"/>
  <sheetViews>
    <sheetView zoomScale="80" zoomScaleNormal="80" workbookViewId="0"/>
  </sheetViews>
  <sheetFormatPr defaultColWidth="8.88671875" defaultRowHeight="15.6" x14ac:dyDescent="0.3"/>
  <cols>
    <col min="1" max="1" width="5.109375" style="41" customWidth="1"/>
    <col min="2" max="2" width="70.5546875" style="20" customWidth="1"/>
    <col min="3" max="3" width="14" style="20" customWidth="1"/>
    <col min="4" max="4" width="1.5546875" style="20" customWidth="1"/>
    <col min="5" max="5" width="13.77734375" style="20" customWidth="1"/>
    <col min="6" max="6" width="1.5546875" style="20" customWidth="1"/>
    <col min="7" max="7" width="12.5546875" style="20" customWidth="1"/>
    <col min="8" max="8" width="40.5546875" style="20" customWidth="1"/>
    <col min="9" max="9" width="5.109375" style="41" customWidth="1"/>
    <col min="10" max="16384" width="8.88671875" style="20"/>
  </cols>
  <sheetData>
    <row r="1" spans="1:11" x14ac:dyDescent="0.3">
      <c r="A1" s="223"/>
      <c r="B1" s="224"/>
      <c r="C1" s="224"/>
      <c r="D1" s="224"/>
      <c r="E1" s="224"/>
      <c r="F1" s="224"/>
      <c r="G1" s="224"/>
      <c r="H1" s="224"/>
      <c r="I1" s="223"/>
    </row>
    <row r="2" spans="1:11" x14ac:dyDescent="0.3">
      <c r="A2" s="223"/>
      <c r="B2" s="805" t="s">
        <v>24</v>
      </c>
      <c r="C2" s="805"/>
      <c r="D2" s="805"/>
      <c r="E2" s="805"/>
      <c r="F2" s="805"/>
      <c r="G2" s="805"/>
      <c r="H2" s="805"/>
      <c r="I2" s="224"/>
    </row>
    <row r="3" spans="1:11" x14ac:dyDescent="0.3">
      <c r="B3" s="805" t="s">
        <v>216</v>
      </c>
      <c r="C3" s="805"/>
      <c r="D3" s="805"/>
      <c r="E3" s="805"/>
      <c r="F3" s="805"/>
      <c r="G3" s="805"/>
      <c r="H3" s="805"/>
      <c r="I3" s="221"/>
    </row>
    <row r="4" spans="1:11" x14ac:dyDescent="0.3">
      <c r="B4" s="805" t="s">
        <v>510</v>
      </c>
      <c r="C4" s="805"/>
      <c r="D4" s="805"/>
      <c r="E4" s="805"/>
      <c r="F4" s="805"/>
      <c r="G4" s="805"/>
      <c r="H4" s="805"/>
      <c r="I4" s="221"/>
    </row>
    <row r="5" spans="1:11" x14ac:dyDescent="0.3">
      <c r="B5" s="805" t="s">
        <v>508</v>
      </c>
      <c r="C5" s="805"/>
      <c r="D5" s="805"/>
      <c r="E5" s="805"/>
      <c r="F5" s="805"/>
      <c r="G5" s="805"/>
      <c r="H5" s="805"/>
      <c r="I5" s="623"/>
    </row>
    <row r="6" spans="1:11" x14ac:dyDescent="0.3">
      <c r="B6" s="806" t="s">
        <v>1</v>
      </c>
      <c r="C6" s="805"/>
      <c r="D6" s="805"/>
      <c r="E6" s="805"/>
      <c r="F6" s="805"/>
      <c r="G6" s="805"/>
      <c r="H6" s="805"/>
      <c r="I6" s="221"/>
    </row>
    <row r="7" spans="1:11" x14ac:dyDescent="0.3">
      <c r="A7" s="223"/>
      <c r="B7" s="224"/>
      <c r="C7" s="225"/>
      <c r="D7" s="327"/>
      <c r="E7" s="327"/>
      <c r="F7" s="327"/>
      <c r="G7" s="327"/>
      <c r="H7" s="225"/>
      <c r="I7" s="223"/>
    </row>
    <row r="8" spans="1:11" ht="16.2" thickBot="1" x14ac:dyDescent="0.35">
      <c r="A8" s="223"/>
      <c r="B8" s="224"/>
      <c r="C8" s="339" t="s">
        <v>12</v>
      </c>
      <c r="D8" s="338"/>
      <c r="E8" s="339" t="s">
        <v>7</v>
      </c>
      <c r="F8" s="338"/>
      <c r="G8" s="339" t="s">
        <v>13</v>
      </c>
      <c r="H8" s="225"/>
      <c r="I8" s="223"/>
    </row>
    <row r="9" spans="1:11" ht="62.4" x14ac:dyDescent="0.3">
      <c r="A9" s="626" t="s">
        <v>2</v>
      </c>
      <c r="B9" s="340"/>
      <c r="C9" s="346" t="s">
        <v>511</v>
      </c>
      <c r="D9" s="224"/>
      <c r="E9" s="329" t="s">
        <v>512</v>
      </c>
      <c r="F9" s="23"/>
      <c r="G9" s="25" t="s">
        <v>14</v>
      </c>
      <c r="H9" s="230"/>
      <c r="I9" s="625" t="s">
        <v>2</v>
      </c>
    </row>
    <row r="10" spans="1:11" x14ac:dyDescent="0.3">
      <c r="A10" s="227" t="s">
        <v>6</v>
      </c>
      <c r="B10" s="233" t="s">
        <v>218</v>
      </c>
      <c r="C10" s="233" t="s">
        <v>4</v>
      </c>
      <c r="D10" s="233"/>
      <c r="E10" s="233" t="s">
        <v>4</v>
      </c>
      <c r="F10" s="233"/>
      <c r="G10" s="624" t="s">
        <v>15</v>
      </c>
      <c r="H10" s="233" t="s">
        <v>5</v>
      </c>
      <c r="I10" s="231" t="s">
        <v>6</v>
      </c>
    </row>
    <row r="11" spans="1:11" x14ac:dyDescent="0.3">
      <c r="A11" s="227"/>
      <c r="B11" s="341"/>
      <c r="C11" s="237"/>
      <c r="D11" s="236"/>
      <c r="E11" s="236"/>
      <c r="F11" s="236"/>
      <c r="G11" s="236"/>
      <c r="H11" s="237"/>
      <c r="I11" s="231"/>
    </row>
    <row r="12" spans="1:11" x14ac:dyDescent="0.3">
      <c r="A12" s="227">
        <v>1</v>
      </c>
      <c r="B12" s="342" t="s">
        <v>219</v>
      </c>
      <c r="C12" s="332">
        <f>'Pg3 Rev Appendix XII C4'!C11</f>
        <v>0</v>
      </c>
      <c r="D12" s="240"/>
      <c r="E12" s="332">
        <f>'Pg4 As Filed Appendix XII C4'!C12</f>
        <v>0</v>
      </c>
      <c r="F12" s="240"/>
      <c r="G12" s="240">
        <f>C12-E12</f>
        <v>0</v>
      </c>
      <c r="H12" s="8" t="s">
        <v>495</v>
      </c>
      <c r="I12" s="231">
        <f>A12</f>
        <v>1</v>
      </c>
      <c r="K12" s="22"/>
    </row>
    <row r="13" spans="1:11" x14ac:dyDescent="0.3">
      <c r="A13" s="227">
        <f>A12+1</f>
        <v>2</v>
      </c>
      <c r="B13" s="343"/>
      <c r="C13" s="347"/>
      <c r="D13" s="244"/>
      <c r="E13" s="244"/>
      <c r="F13" s="244"/>
      <c r="G13" s="244"/>
      <c r="H13" s="224"/>
      <c r="I13" s="231">
        <f>I12+1</f>
        <v>2</v>
      </c>
    </row>
    <row r="14" spans="1:11" x14ac:dyDescent="0.3">
      <c r="A14" s="227">
        <f t="shared" ref="A14:A29" si="0">A13+1</f>
        <v>3</v>
      </c>
      <c r="B14" s="342" t="s">
        <v>220</v>
      </c>
      <c r="C14" s="666">
        <f>'Pg3 Rev Appendix XII C4'!C13</f>
        <v>859.89077595309413</v>
      </c>
      <c r="D14" s="27"/>
      <c r="E14" s="333">
        <f>'Pg4 As Filed Appendix XII C4'!C14</f>
        <v>859.93602449389209</v>
      </c>
      <c r="F14" s="220"/>
      <c r="G14" s="667">
        <f>C14-E14</f>
        <v>-4.5248540797956593E-2</v>
      </c>
      <c r="H14" s="8" t="s">
        <v>496</v>
      </c>
      <c r="I14" s="231">
        <f t="shared" ref="I14:I29" si="1">I13+1</f>
        <v>3</v>
      </c>
      <c r="K14" s="30"/>
    </row>
    <row r="15" spans="1:11" x14ac:dyDescent="0.3">
      <c r="A15" s="227">
        <f t="shared" si="0"/>
        <v>4</v>
      </c>
      <c r="B15" s="343"/>
      <c r="C15" s="347"/>
      <c r="D15" s="244"/>
      <c r="E15" s="244"/>
      <c r="F15" s="244"/>
      <c r="G15" s="244"/>
      <c r="H15" s="245"/>
      <c r="I15" s="231">
        <f t="shared" si="1"/>
        <v>4</v>
      </c>
    </row>
    <row r="16" spans="1:11" x14ac:dyDescent="0.3">
      <c r="A16" s="227">
        <f t="shared" si="0"/>
        <v>5</v>
      </c>
      <c r="B16" s="246" t="s">
        <v>221</v>
      </c>
      <c r="C16" s="34">
        <f>'Pg3 Rev Appendix XII C4'!C15</f>
        <v>-76.86620554291548</v>
      </c>
      <c r="D16" s="248"/>
      <c r="E16" s="34">
        <f>'Pg4 As Filed Appendix XII C4'!C16</f>
        <v>-76.861081329199209</v>
      </c>
      <c r="F16" s="248"/>
      <c r="G16" s="330">
        <f>C16-E16</f>
        <v>-5.1242137162716972E-3</v>
      </c>
      <c r="H16" s="8" t="s">
        <v>497</v>
      </c>
      <c r="I16" s="231">
        <f t="shared" si="1"/>
        <v>5</v>
      </c>
      <c r="K16" s="30"/>
    </row>
    <row r="17" spans="1:13" x14ac:dyDescent="0.3">
      <c r="A17" s="227">
        <f t="shared" si="0"/>
        <v>6</v>
      </c>
      <c r="B17" s="249"/>
      <c r="C17" s="248"/>
      <c r="D17" s="248"/>
      <c r="E17" s="248"/>
      <c r="F17" s="248"/>
      <c r="G17" s="248"/>
      <c r="H17" s="241"/>
      <c r="I17" s="231">
        <f t="shared" si="1"/>
        <v>6</v>
      </c>
      <c r="K17" s="30"/>
    </row>
    <row r="18" spans="1:13" x14ac:dyDescent="0.3">
      <c r="A18" s="227">
        <f t="shared" si="0"/>
        <v>7</v>
      </c>
      <c r="B18" s="344" t="s">
        <v>390</v>
      </c>
      <c r="C18" s="331">
        <f>C12+C14+C16</f>
        <v>783.02457041017863</v>
      </c>
      <c r="D18" s="27"/>
      <c r="E18" s="331">
        <f>E12+E14+E16</f>
        <v>783.07494316469285</v>
      </c>
      <c r="F18" s="220"/>
      <c r="G18" s="331">
        <f>G12+G14+G16</f>
        <v>-5.0372754514228291E-2</v>
      </c>
      <c r="H18" s="251" t="str">
        <f>"Sum Lines "&amp;A12&amp;", "&amp;A14&amp;", "&amp;A16</f>
        <v>Sum Lines 1, 3, 5</v>
      </c>
      <c r="I18" s="231">
        <f t="shared" si="1"/>
        <v>7</v>
      </c>
      <c r="K18" s="30"/>
    </row>
    <row r="19" spans="1:13" x14ac:dyDescent="0.3">
      <c r="A19" s="227">
        <f t="shared" si="0"/>
        <v>8</v>
      </c>
      <c r="B19" s="345"/>
      <c r="C19" s="347"/>
      <c r="D19" s="244"/>
      <c r="E19" s="244"/>
      <c r="F19" s="244"/>
      <c r="G19" s="244"/>
      <c r="H19" s="253"/>
      <c r="I19" s="231">
        <f t="shared" si="1"/>
        <v>8</v>
      </c>
    </row>
    <row r="20" spans="1:13" x14ac:dyDescent="0.3">
      <c r="A20" s="227">
        <f t="shared" si="0"/>
        <v>9</v>
      </c>
      <c r="B20" s="342" t="s">
        <v>222</v>
      </c>
      <c r="C20" s="666">
        <f>'Pg3 Rev Appendix XII C4'!C19</f>
        <v>-129.22160845861544</v>
      </c>
      <c r="D20" s="27"/>
      <c r="E20" s="334">
        <f>'Pg4 As Filed Appendix XII C4'!C20</f>
        <v>-129.17028829369025</v>
      </c>
      <c r="F20" s="220"/>
      <c r="G20" s="667">
        <f>C20-E20</f>
        <v>-5.1320164925186873E-2</v>
      </c>
      <c r="H20" s="8" t="s">
        <v>498</v>
      </c>
      <c r="I20" s="231">
        <f t="shared" si="1"/>
        <v>9</v>
      </c>
    </row>
    <row r="21" spans="1:13" x14ac:dyDescent="0.3">
      <c r="A21" s="227">
        <f t="shared" si="0"/>
        <v>10</v>
      </c>
      <c r="B21" s="342"/>
      <c r="C21" s="347"/>
      <c r="D21" s="244"/>
      <c r="E21" s="244"/>
      <c r="F21" s="244"/>
      <c r="G21" s="244"/>
      <c r="H21" s="254"/>
      <c r="I21" s="231">
        <f t="shared" si="1"/>
        <v>10</v>
      </c>
    </row>
    <row r="22" spans="1:13" x14ac:dyDescent="0.3">
      <c r="A22" s="227">
        <f t="shared" si="0"/>
        <v>11</v>
      </c>
      <c r="B22" s="342" t="s">
        <v>223</v>
      </c>
      <c r="C22" s="34">
        <f>'Pg3 Rev Appendix XII C4'!C21</f>
        <v>-2.6155405682218507</v>
      </c>
      <c r="D22" s="248"/>
      <c r="E22" s="34">
        <f>'Pg4 As Filed Appendix XII C4'!C22</f>
        <v>-2.6155405682218507</v>
      </c>
      <c r="F22" s="248"/>
      <c r="G22" s="330">
        <f>C22-E22</f>
        <v>0</v>
      </c>
      <c r="H22" s="8" t="s">
        <v>499</v>
      </c>
      <c r="I22" s="231">
        <f t="shared" si="1"/>
        <v>11</v>
      </c>
    </row>
    <row r="23" spans="1:13" x14ac:dyDescent="0.3">
      <c r="A23" s="227">
        <f t="shared" si="0"/>
        <v>12</v>
      </c>
      <c r="B23" s="249"/>
      <c r="C23" s="348"/>
      <c r="D23" s="256"/>
      <c r="E23" s="256"/>
      <c r="F23" s="256"/>
      <c r="G23" s="256"/>
      <c r="H23" s="251"/>
      <c r="I23" s="231">
        <f t="shared" si="1"/>
        <v>12</v>
      </c>
    </row>
    <row r="24" spans="1:13" x14ac:dyDescent="0.3">
      <c r="A24" s="227">
        <f t="shared" si="0"/>
        <v>13</v>
      </c>
      <c r="B24" s="249" t="s">
        <v>224</v>
      </c>
      <c r="C24" s="39">
        <f>C18+C20+C22</f>
        <v>651.18742138334142</v>
      </c>
      <c r="D24" s="27"/>
      <c r="E24" s="39">
        <f>E18+E20+E22</f>
        <v>651.28911430278072</v>
      </c>
      <c r="F24" s="220"/>
      <c r="G24" s="39">
        <f>G18+G20+G22</f>
        <v>-0.10169291943941516</v>
      </c>
      <c r="H24" s="251" t="str">
        <f>"Sum Lines "&amp;A18&amp;", "&amp;A20&amp;", "&amp;A22</f>
        <v>Sum Lines 7, 9, 11</v>
      </c>
      <c r="I24" s="231">
        <f t="shared" si="1"/>
        <v>13</v>
      </c>
      <c r="K24" s="30"/>
    </row>
    <row r="25" spans="1:13" x14ac:dyDescent="0.3">
      <c r="A25" s="227">
        <f t="shared" si="0"/>
        <v>14</v>
      </c>
      <c r="B25" s="257"/>
      <c r="C25" s="78"/>
      <c r="D25" s="78"/>
      <c r="E25" s="78"/>
      <c r="F25" s="78"/>
      <c r="G25" s="78"/>
      <c r="H25" s="251"/>
      <c r="I25" s="231">
        <f t="shared" si="1"/>
        <v>14</v>
      </c>
      <c r="K25" s="30"/>
    </row>
    <row r="26" spans="1:13" x14ac:dyDescent="0.3">
      <c r="A26" s="227">
        <f t="shared" si="0"/>
        <v>15</v>
      </c>
      <c r="B26" s="246" t="s">
        <v>225</v>
      </c>
      <c r="C26" s="621">
        <f>'Pg3 Rev Appendix XII C4'!C25</f>
        <v>-26.403206586286924</v>
      </c>
      <c r="D26" s="78"/>
      <c r="E26" s="335">
        <f>'Pg4 As Filed Appendix XII C4'!C26</f>
        <v>-26.403206586286924</v>
      </c>
      <c r="F26" s="78"/>
      <c r="G26" s="87"/>
      <c r="H26" s="8" t="s">
        <v>500</v>
      </c>
      <c r="I26" s="231">
        <f t="shared" si="1"/>
        <v>15</v>
      </c>
      <c r="K26" s="30"/>
    </row>
    <row r="27" spans="1:13" x14ac:dyDescent="0.3">
      <c r="A27" s="227">
        <f t="shared" si="0"/>
        <v>16</v>
      </c>
      <c r="B27" s="225"/>
      <c r="C27" s="349"/>
      <c r="D27" s="260"/>
      <c r="E27" s="260"/>
      <c r="F27" s="260"/>
      <c r="G27" s="668"/>
      <c r="H27" s="251"/>
      <c r="I27" s="231">
        <f t="shared" si="1"/>
        <v>16</v>
      </c>
    </row>
    <row r="28" spans="1:13" ht="16.2" thickBot="1" x14ac:dyDescent="0.35">
      <c r="A28" s="227">
        <f t="shared" si="0"/>
        <v>17</v>
      </c>
      <c r="B28" s="344" t="s">
        <v>226</v>
      </c>
      <c r="C28" s="337">
        <f>C24+C26</f>
        <v>624.78421479705446</v>
      </c>
      <c r="D28" s="27"/>
      <c r="E28" s="337">
        <f>E24+E26</f>
        <v>624.88590771649376</v>
      </c>
      <c r="F28" s="220"/>
      <c r="G28" s="669">
        <f>C28-E28</f>
        <v>-0.10169291943930148</v>
      </c>
      <c r="H28" s="251" t="str">
        <f>"Line "&amp;A24&amp;" + Line "&amp;A26</f>
        <v>Line 13 + Line 15</v>
      </c>
      <c r="I28" s="231">
        <f t="shared" si="1"/>
        <v>17</v>
      </c>
      <c r="L28" s="22"/>
      <c r="M28" s="262"/>
    </row>
    <row r="29" spans="1:13" ht="16.8" thickTop="1" thickBot="1" x14ac:dyDescent="0.35">
      <c r="A29" s="227">
        <f t="shared" si="0"/>
        <v>18</v>
      </c>
      <c r="B29" s="226"/>
      <c r="C29" s="350"/>
      <c r="D29" s="226"/>
      <c r="E29" s="226"/>
      <c r="F29" s="226"/>
      <c r="G29" s="226"/>
      <c r="H29" s="226"/>
      <c r="I29" s="231">
        <f t="shared" si="1"/>
        <v>18</v>
      </c>
    </row>
    <row r="31" spans="1:13" ht="16.2" thickBot="1" x14ac:dyDescent="0.35">
      <c r="A31" s="223"/>
      <c r="B31" s="265"/>
      <c r="C31" s="266"/>
      <c r="D31" s="266"/>
      <c r="E31" s="266"/>
      <c r="F31" s="266"/>
      <c r="G31" s="266"/>
      <c r="H31" s="266"/>
      <c r="I31" s="223"/>
    </row>
    <row r="32" spans="1:13" ht="62.4" x14ac:dyDescent="0.3">
      <c r="A32" s="626" t="s">
        <v>2</v>
      </c>
      <c r="B32" s="328"/>
      <c r="C32" s="352" t="str">
        <f>C9</f>
        <v>Revised - Appendix XII Cycle 4</v>
      </c>
      <c r="D32" s="224"/>
      <c r="E32" s="351" t="str">
        <f>E9</f>
        <v>As Filed - Appendix XII Cycle 4 per ER 22-133</v>
      </c>
      <c r="F32" s="224"/>
      <c r="G32" s="224" t="str">
        <f>G9</f>
        <v>Difference</v>
      </c>
      <c r="H32" s="224"/>
      <c r="I32" s="625" t="s">
        <v>2</v>
      </c>
    </row>
    <row r="33" spans="1:9" x14ac:dyDescent="0.3">
      <c r="A33" s="227" t="s">
        <v>6</v>
      </c>
      <c r="B33" s="233" t="s">
        <v>227</v>
      </c>
      <c r="C33" s="233" t="str">
        <f>C10</f>
        <v>Amounts</v>
      </c>
      <c r="D33" s="233"/>
      <c r="E33" s="233" t="str">
        <f>E10</f>
        <v>Amounts</v>
      </c>
      <c r="F33" s="233"/>
      <c r="G33" s="233" t="str">
        <f>G10</f>
        <v>Incr (Decr)</v>
      </c>
      <c r="H33" s="233" t="str">
        <f>H10</f>
        <v>Reference</v>
      </c>
      <c r="I33" s="231" t="s">
        <v>6</v>
      </c>
    </row>
    <row r="34" spans="1:9" x14ac:dyDescent="0.3">
      <c r="A34" s="227">
        <f>A29+1</f>
        <v>19</v>
      </c>
      <c r="B34" s="327"/>
      <c r="C34" s="237"/>
      <c r="D34" s="236"/>
      <c r="E34" s="236"/>
      <c r="F34" s="236"/>
      <c r="G34" s="236"/>
      <c r="H34" s="237"/>
      <c r="I34" s="231">
        <f>I29+1</f>
        <v>19</v>
      </c>
    </row>
    <row r="35" spans="1:9" x14ac:dyDescent="0.3">
      <c r="A35" s="227">
        <f>A34+1</f>
        <v>20</v>
      </c>
      <c r="B35" s="342" t="str">
        <f>B12</f>
        <v>Section 1 - Direct Maintenance Expense Cost Component</v>
      </c>
      <c r="C35" s="270">
        <f>'Pg3 Rev Appendix XII C4'!C34</f>
        <v>0</v>
      </c>
      <c r="D35" s="270"/>
      <c r="E35" s="270">
        <f>'Pg4 As Filed Appendix XII C4'!C35</f>
        <v>0</v>
      </c>
      <c r="F35" s="270"/>
      <c r="G35" s="270">
        <f>C35-E35</f>
        <v>0</v>
      </c>
      <c r="H35" s="8" t="s">
        <v>501</v>
      </c>
      <c r="I35" s="231">
        <f>I34+1</f>
        <v>20</v>
      </c>
    </row>
    <row r="36" spans="1:9" x14ac:dyDescent="0.3">
      <c r="A36" s="227">
        <f t="shared" ref="A36:A54" si="2">A35+1</f>
        <v>21</v>
      </c>
      <c r="B36" s="343"/>
      <c r="C36" s="353"/>
      <c r="D36" s="272"/>
      <c r="E36" s="272"/>
      <c r="F36" s="272"/>
      <c r="G36" s="272"/>
      <c r="H36" s="273"/>
      <c r="I36" s="231">
        <f t="shared" ref="I36:I54" si="3">I35+1</f>
        <v>21</v>
      </c>
    </row>
    <row r="37" spans="1:9" x14ac:dyDescent="0.3">
      <c r="A37" s="227">
        <f t="shared" si="2"/>
        <v>22</v>
      </c>
      <c r="B37" s="342" t="str">
        <f>B14</f>
        <v>Section 2 - Non-Direct Expense Cost Component</v>
      </c>
      <c r="C37" s="354">
        <f>'Pg3 Rev Appendix XII C4'!C36</f>
        <v>71.657564662757849</v>
      </c>
      <c r="D37" s="27" t="s">
        <v>16</v>
      </c>
      <c r="E37" s="359">
        <f>'Pg4 As Filed Appendix XII C4'!C37</f>
        <v>71.661335374491003</v>
      </c>
      <c r="F37" s="220"/>
      <c r="G37" s="670">
        <f>C37-E37+0.001</f>
        <v>-2.7707117331535755E-3</v>
      </c>
      <c r="H37" s="8" t="s">
        <v>502</v>
      </c>
      <c r="I37" s="231">
        <f t="shared" si="3"/>
        <v>22</v>
      </c>
    </row>
    <row r="38" spans="1:9" x14ac:dyDescent="0.3">
      <c r="A38" s="227">
        <f t="shared" si="2"/>
        <v>23</v>
      </c>
      <c r="B38" s="343"/>
      <c r="C38" s="355"/>
      <c r="D38" s="276"/>
      <c r="E38" s="276"/>
      <c r="F38" s="276"/>
      <c r="G38" s="276"/>
      <c r="H38" s="277"/>
      <c r="I38" s="231">
        <f t="shared" si="3"/>
        <v>23</v>
      </c>
    </row>
    <row r="39" spans="1:9" x14ac:dyDescent="0.3">
      <c r="A39" s="227">
        <f t="shared" si="2"/>
        <v>24</v>
      </c>
      <c r="B39" s="342" t="str">
        <f>B16</f>
        <v>Section 3 - Cost Component Containing Other Specific Expenses</v>
      </c>
      <c r="C39" s="793">
        <f>'Pg3 Rev Appendix XII C4'!C38</f>
        <v>-6.4055171285762897</v>
      </c>
      <c r="D39" s="27" t="s">
        <v>16</v>
      </c>
      <c r="E39" s="360">
        <f>'Pg4 As Filed Appendix XII C4'!C39</f>
        <v>-6.4050901107666007</v>
      </c>
      <c r="F39" s="279"/>
      <c r="G39" s="793">
        <f>C39-E39-0.0001</f>
        <v>-5.2701780968901209E-4</v>
      </c>
      <c r="H39" s="8" t="s">
        <v>503</v>
      </c>
      <c r="I39" s="231">
        <f t="shared" si="3"/>
        <v>24</v>
      </c>
    </row>
    <row r="40" spans="1:9" x14ac:dyDescent="0.3">
      <c r="A40" s="227">
        <f t="shared" si="2"/>
        <v>25</v>
      </c>
      <c r="B40" s="345"/>
      <c r="C40" s="276"/>
      <c r="D40" s="276"/>
      <c r="E40" s="276"/>
      <c r="F40" s="276"/>
      <c r="G40" s="276"/>
      <c r="H40" s="241"/>
      <c r="I40" s="231">
        <f t="shared" si="3"/>
        <v>25</v>
      </c>
    </row>
    <row r="41" spans="1:9" x14ac:dyDescent="0.3">
      <c r="A41" s="227">
        <f t="shared" si="2"/>
        <v>26</v>
      </c>
      <c r="B41" s="344" t="s">
        <v>391</v>
      </c>
      <c r="C41" s="356">
        <f>C35+C37+C39</f>
        <v>65.252047534181557</v>
      </c>
      <c r="D41" s="27" t="s">
        <v>16</v>
      </c>
      <c r="E41" s="363">
        <f>E35+E37+E39</f>
        <v>65.256245263724395</v>
      </c>
      <c r="F41" s="220"/>
      <c r="G41" s="671">
        <f>C41-E41</f>
        <v>-4.1977295428381467E-3</v>
      </c>
      <c r="H41" s="251" t="str">
        <f>"Sum Lines "&amp;A35&amp;", "&amp;A37&amp;", "&amp;A39</f>
        <v>Sum Lines 20, 22, 24</v>
      </c>
      <c r="I41" s="231">
        <f t="shared" si="3"/>
        <v>26</v>
      </c>
    </row>
    <row r="42" spans="1:9" x14ac:dyDescent="0.3">
      <c r="A42" s="227">
        <f t="shared" si="2"/>
        <v>27</v>
      </c>
      <c r="B42" s="327"/>
      <c r="C42" s="355"/>
      <c r="D42" s="276"/>
      <c r="E42" s="276"/>
      <c r="F42" s="276"/>
      <c r="G42" s="276"/>
      <c r="H42" s="245"/>
      <c r="I42" s="231">
        <f t="shared" si="3"/>
        <v>27</v>
      </c>
    </row>
    <row r="43" spans="1:9" x14ac:dyDescent="0.3">
      <c r="A43" s="227">
        <f t="shared" si="2"/>
        <v>28</v>
      </c>
      <c r="B43" s="342" t="str">
        <f>LEFT(B20,45)</f>
        <v>Section 4 - True-Up Adjustment Cost Component</v>
      </c>
      <c r="C43" s="354">
        <f>'Pg3 Rev Appendix XII C4'!C42</f>
        <v>-10.768467371551287</v>
      </c>
      <c r="D43" s="27" t="s">
        <v>16</v>
      </c>
      <c r="E43" s="361">
        <f>'Pg4 As Filed Appendix XII C4'!C43</f>
        <v>-10.764190691140854</v>
      </c>
      <c r="F43" s="220"/>
      <c r="G43" s="670">
        <f>C43-E43</f>
        <v>-4.2766804104328315E-3</v>
      </c>
      <c r="H43" s="8" t="s">
        <v>504</v>
      </c>
      <c r="I43" s="231">
        <f t="shared" si="3"/>
        <v>28</v>
      </c>
    </row>
    <row r="44" spans="1:9" x14ac:dyDescent="0.3">
      <c r="A44" s="227">
        <f t="shared" si="2"/>
        <v>29</v>
      </c>
      <c r="B44" s="342"/>
      <c r="C44" s="355"/>
      <c r="D44" s="276"/>
      <c r="E44" s="276"/>
      <c r="F44" s="276"/>
      <c r="G44" s="276"/>
      <c r="H44" s="282"/>
      <c r="I44" s="231">
        <f t="shared" si="3"/>
        <v>29</v>
      </c>
    </row>
    <row r="45" spans="1:9" x14ac:dyDescent="0.3">
      <c r="A45" s="227">
        <f t="shared" si="2"/>
        <v>30</v>
      </c>
      <c r="B45" s="342" t="str">
        <f>B22</f>
        <v>Section 5 - Interest True-Up Adjustment Cost Component</v>
      </c>
      <c r="C45" s="279">
        <f>'Pg3 Rev Appendix XII C4'!C44</f>
        <v>-0.21796171401848755</v>
      </c>
      <c r="D45" s="279"/>
      <c r="E45" s="279">
        <f>'Pg4 As Filed Appendix XII C4'!C45</f>
        <v>-0.21796171401848755</v>
      </c>
      <c r="F45" s="279"/>
      <c r="G45" s="279">
        <f>C45-E45</f>
        <v>0</v>
      </c>
      <c r="H45" s="8" t="s">
        <v>505</v>
      </c>
      <c r="I45" s="231">
        <f t="shared" si="3"/>
        <v>30</v>
      </c>
    </row>
    <row r="46" spans="1:9" x14ac:dyDescent="0.3">
      <c r="A46" s="227">
        <f t="shared" si="2"/>
        <v>31</v>
      </c>
      <c r="B46" s="345"/>
      <c r="C46" s="32"/>
      <c r="D46" s="31"/>
      <c r="E46" s="31"/>
      <c r="F46" s="31"/>
      <c r="G46" s="31"/>
      <c r="H46" s="285"/>
      <c r="I46" s="231">
        <f t="shared" si="3"/>
        <v>31</v>
      </c>
    </row>
    <row r="47" spans="1:9" x14ac:dyDescent="0.3">
      <c r="A47" s="227">
        <f t="shared" si="2"/>
        <v>32</v>
      </c>
      <c r="B47" s="246" t="str">
        <f>B26</f>
        <v>Other Adjustments</v>
      </c>
      <c r="C47" s="360">
        <f>'Pg3 Rev Appendix XII C4'!C46</f>
        <v>-2.2002672155239105</v>
      </c>
      <c r="D47" s="279"/>
      <c r="E47" s="360">
        <f>'Pg4 As Filed Appendix XII C4'!C47</f>
        <v>-2.2002672155239105</v>
      </c>
      <c r="F47" s="279"/>
      <c r="G47" s="360">
        <f>C47-E47</f>
        <v>0</v>
      </c>
      <c r="H47" s="8" t="s">
        <v>506</v>
      </c>
      <c r="I47" s="231">
        <f t="shared" si="3"/>
        <v>32</v>
      </c>
    </row>
    <row r="48" spans="1:9" x14ac:dyDescent="0.3">
      <c r="A48" s="227">
        <f t="shared" si="2"/>
        <v>33</v>
      </c>
      <c r="B48" s="249"/>
      <c r="C48" s="32"/>
      <c r="D48" s="31"/>
      <c r="E48" s="31"/>
      <c r="F48" s="31"/>
      <c r="G48" s="31"/>
      <c r="H48" s="285"/>
      <c r="I48" s="231">
        <f t="shared" si="3"/>
        <v>33</v>
      </c>
    </row>
    <row r="49" spans="1:9" x14ac:dyDescent="0.3">
      <c r="A49" s="227">
        <f t="shared" si="2"/>
        <v>34</v>
      </c>
      <c r="B49" s="249" t="s">
        <v>228</v>
      </c>
      <c r="C49" s="357">
        <f>C41+C43+C45+C47</f>
        <v>52.065351233087874</v>
      </c>
      <c r="D49" s="27" t="s">
        <v>16</v>
      </c>
      <c r="E49" s="362">
        <f>E41+E43+E45+E47</f>
        <v>52.073825643041147</v>
      </c>
      <c r="F49" s="220"/>
      <c r="G49" s="357">
        <f>G41+G43+G45+G47</f>
        <v>-8.4744099532709782E-3</v>
      </c>
      <c r="H49" s="251" t="str">
        <f>"Sum Lines "&amp;A41&amp;", "&amp;A43&amp;", "&amp;A45&amp;", "&amp;A47</f>
        <v>Sum Lines 26, 28, 30, 32</v>
      </c>
      <c r="I49" s="231">
        <f t="shared" si="3"/>
        <v>34</v>
      </c>
    </row>
    <row r="50" spans="1:9" x14ac:dyDescent="0.3">
      <c r="A50" s="227">
        <f t="shared" si="2"/>
        <v>35</v>
      </c>
      <c r="B50" s="327"/>
      <c r="C50" s="358"/>
      <c r="D50" s="288"/>
      <c r="E50" s="288"/>
      <c r="F50" s="288"/>
      <c r="G50" s="288"/>
      <c r="H50" s="289"/>
      <c r="I50" s="231">
        <f t="shared" si="3"/>
        <v>35</v>
      </c>
    </row>
    <row r="51" spans="1:9" x14ac:dyDescent="0.3">
      <c r="A51" s="227">
        <f t="shared" si="2"/>
        <v>36</v>
      </c>
      <c r="B51" s="343" t="s">
        <v>229</v>
      </c>
      <c r="C51" s="366">
        <f>'Pg3 Rev Appendix XII C4'!C50</f>
        <v>12</v>
      </c>
      <c r="D51" s="291"/>
      <c r="E51" s="366">
        <f>'Pg4 As Filed Appendix XII C4'!C51</f>
        <v>12</v>
      </c>
      <c r="F51" s="291"/>
      <c r="G51" s="367">
        <f>C51-E51</f>
        <v>0</v>
      </c>
      <c r="H51" s="289"/>
      <c r="I51" s="231">
        <f t="shared" si="3"/>
        <v>36</v>
      </c>
    </row>
    <row r="52" spans="1:9" x14ac:dyDescent="0.3">
      <c r="A52" s="227">
        <f t="shared" si="2"/>
        <v>37</v>
      </c>
      <c r="B52" s="327"/>
      <c r="C52" s="358"/>
      <c r="D52" s="288"/>
      <c r="E52" s="288"/>
      <c r="F52" s="288"/>
      <c r="G52" s="288"/>
      <c r="H52" s="292"/>
      <c r="I52" s="231">
        <f t="shared" si="3"/>
        <v>37</v>
      </c>
    </row>
    <row r="53" spans="1:9" ht="16.2" thickBot="1" x14ac:dyDescent="0.35">
      <c r="A53" s="227">
        <f t="shared" si="2"/>
        <v>38</v>
      </c>
      <c r="B53" s="344" t="str">
        <f>B28</f>
        <v>Total Annual Costs</v>
      </c>
      <c r="C53" s="365">
        <f>C49*C51</f>
        <v>624.78421479705446</v>
      </c>
      <c r="D53" s="27"/>
      <c r="E53" s="652">
        <f>E49*E51</f>
        <v>624.88590771649376</v>
      </c>
      <c r="F53" s="220"/>
      <c r="G53" s="669">
        <f>C53-E53</f>
        <v>-0.10169291943930148</v>
      </c>
      <c r="H53" s="8" t="s">
        <v>507</v>
      </c>
      <c r="I53" s="231">
        <f t="shared" si="3"/>
        <v>38</v>
      </c>
    </row>
    <row r="54" spans="1:9" ht="16.8" thickTop="1" thickBot="1" x14ac:dyDescent="0.35">
      <c r="A54" s="227">
        <f t="shared" si="2"/>
        <v>39</v>
      </c>
      <c r="B54" s="226"/>
      <c r="C54" s="364"/>
      <c r="D54" s="295"/>
      <c r="E54" s="295"/>
      <c r="F54" s="295"/>
      <c r="G54" s="295"/>
      <c r="H54" s="296"/>
      <c r="I54" s="231">
        <f t="shared" si="3"/>
        <v>39</v>
      </c>
    </row>
    <row r="56" spans="1:9" x14ac:dyDescent="0.3">
      <c r="A56" s="27" t="s">
        <v>16</v>
      </c>
      <c r="B56" s="24" t="s">
        <v>656</v>
      </c>
    </row>
    <row r="57" spans="1:9" x14ac:dyDescent="0.3">
      <c r="B57" s="24" t="s">
        <v>641</v>
      </c>
    </row>
  </sheetData>
  <mergeCells count="5">
    <mergeCell ref="B2:H2"/>
    <mergeCell ref="B3:H3"/>
    <mergeCell ref="B4:H4"/>
    <mergeCell ref="B6:H6"/>
    <mergeCell ref="B5:H5"/>
  </mergeCells>
  <printOptions horizontalCentered="1"/>
  <pageMargins left="0.25" right="0.25" top="0.5" bottom="0.5" header="0.25" footer="0.25"/>
  <pageSetup scale="61" orientation="portrait" r:id="rId1"/>
  <headerFooter scaleWithDoc="0" alignWithMargins="0">
    <oddFooter>&amp;CPage 2&amp;R&amp;F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0"/>
  <sheetViews>
    <sheetView zoomScale="80" zoomScaleNormal="80" workbookViewId="0"/>
  </sheetViews>
  <sheetFormatPr defaultColWidth="8.88671875" defaultRowHeight="15.6" x14ac:dyDescent="0.3"/>
  <cols>
    <col min="1" max="1" width="5.109375" style="41" customWidth="1"/>
    <col min="2" max="2" width="55.44140625" style="42" customWidth="1"/>
    <col min="3" max="5" width="15.5546875" style="42" customWidth="1"/>
    <col min="6" max="6" width="1.5546875" style="42" customWidth="1"/>
    <col min="7" max="7" width="16.88671875" style="42" customWidth="1"/>
    <col min="8" max="8" width="1.5546875" style="42" customWidth="1"/>
    <col min="9" max="9" width="38.88671875" style="160" customWidth="1"/>
    <col min="10" max="10" width="5.109375" style="42" customWidth="1"/>
    <col min="11" max="11" width="27" style="42" bestFit="1" customWidth="1"/>
    <col min="12" max="12" width="15" style="42" bestFit="1" customWidth="1"/>
    <col min="13" max="13" width="10.44140625" style="42" bestFit="1" customWidth="1"/>
    <col min="14" max="16384" width="8.88671875" style="42"/>
  </cols>
  <sheetData>
    <row r="1" spans="1:10" x14ac:dyDescent="0.3">
      <c r="A1" s="516"/>
      <c r="G1" s="67"/>
      <c r="H1" s="67"/>
      <c r="I1" s="184"/>
      <c r="J1" s="41"/>
    </row>
    <row r="2" spans="1:10" x14ac:dyDescent="0.3">
      <c r="B2" s="815" t="s">
        <v>332</v>
      </c>
      <c r="C2" s="815"/>
      <c r="D2" s="815"/>
      <c r="E2" s="815"/>
      <c r="F2" s="815"/>
      <c r="G2" s="815"/>
      <c r="H2" s="815"/>
      <c r="I2" s="815"/>
      <c r="J2" s="41"/>
    </row>
    <row r="3" spans="1:10" x14ac:dyDescent="0.3">
      <c r="B3" s="815" t="s">
        <v>127</v>
      </c>
      <c r="C3" s="815"/>
      <c r="D3" s="815"/>
      <c r="E3" s="815"/>
      <c r="F3" s="815"/>
      <c r="G3" s="815"/>
      <c r="H3" s="815"/>
      <c r="I3" s="815"/>
      <c r="J3" s="41"/>
    </row>
    <row r="4" spans="1:10" x14ac:dyDescent="0.3">
      <c r="B4" s="815" t="s">
        <v>128</v>
      </c>
      <c r="C4" s="815"/>
      <c r="D4" s="815"/>
      <c r="E4" s="815"/>
      <c r="F4" s="815"/>
      <c r="G4" s="815"/>
      <c r="H4" s="815"/>
      <c r="I4" s="815"/>
      <c r="J4" s="41"/>
    </row>
    <row r="5" spans="1:10" x14ac:dyDescent="0.3">
      <c r="B5" s="816" t="s">
        <v>544</v>
      </c>
      <c r="C5" s="816"/>
      <c r="D5" s="816"/>
      <c r="E5" s="816"/>
      <c r="F5" s="816"/>
      <c r="G5" s="816"/>
      <c r="H5" s="816"/>
      <c r="I5" s="816"/>
      <c r="J5" s="41"/>
    </row>
    <row r="6" spans="1:10" x14ac:dyDescent="0.3">
      <c r="B6" s="817" t="s">
        <v>1</v>
      </c>
      <c r="C6" s="818"/>
      <c r="D6" s="818"/>
      <c r="E6" s="818"/>
      <c r="F6" s="818"/>
      <c r="G6" s="818"/>
      <c r="H6" s="818"/>
      <c r="I6" s="818"/>
      <c r="J6" s="41"/>
    </row>
    <row r="7" spans="1:10" x14ac:dyDescent="0.3">
      <c r="B7" s="41"/>
      <c r="C7" s="41"/>
      <c r="D7" s="41"/>
      <c r="E7" s="41"/>
      <c r="F7" s="41"/>
      <c r="G7" s="41"/>
      <c r="H7" s="41"/>
      <c r="I7" s="53"/>
      <c r="J7" s="41"/>
    </row>
    <row r="8" spans="1:10" x14ac:dyDescent="0.3">
      <c r="A8" s="41" t="s">
        <v>2</v>
      </c>
      <c r="B8" s="545"/>
      <c r="C8" s="545"/>
      <c r="D8" s="545"/>
      <c r="E8" s="41" t="s">
        <v>27</v>
      </c>
      <c r="F8" s="545"/>
      <c r="G8" s="545"/>
      <c r="H8" s="545"/>
      <c r="I8" s="53"/>
      <c r="J8" s="41" t="s">
        <v>2</v>
      </c>
    </row>
    <row r="9" spans="1:10" x14ac:dyDescent="0.3">
      <c r="A9" s="41" t="s">
        <v>6</v>
      </c>
      <c r="B9" s="41"/>
      <c r="C9" s="41"/>
      <c r="D9" s="41"/>
      <c r="E9" s="463" t="s">
        <v>28</v>
      </c>
      <c r="F9" s="41"/>
      <c r="G9" s="464" t="s">
        <v>4</v>
      </c>
      <c r="H9" s="545"/>
      <c r="I9" s="517" t="s">
        <v>5</v>
      </c>
      <c r="J9" s="41" t="s">
        <v>6</v>
      </c>
    </row>
    <row r="10" spans="1:10" x14ac:dyDescent="0.3">
      <c r="B10" s="41"/>
      <c r="C10" s="41"/>
      <c r="D10" s="41"/>
      <c r="E10" s="41"/>
      <c r="F10" s="41"/>
      <c r="G10" s="41"/>
      <c r="H10" s="41"/>
      <c r="I10" s="53"/>
      <c r="J10" s="41"/>
    </row>
    <row r="11" spans="1:10" x14ac:dyDescent="0.3">
      <c r="A11" s="41">
        <v>1</v>
      </c>
      <c r="B11" s="46" t="s">
        <v>129</v>
      </c>
      <c r="I11" s="53"/>
      <c r="J11" s="41">
        <f>A11</f>
        <v>1</v>
      </c>
    </row>
    <row r="12" spans="1:10" x14ac:dyDescent="0.3">
      <c r="A12" s="41">
        <f>A11+1</f>
        <v>2</v>
      </c>
      <c r="B12" s="42" t="s">
        <v>130</v>
      </c>
      <c r="E12" s="41" t="s">
        <v>131</v>
      </c>
      <c r="G12" s="161">
        <v>6053573</v>
      </c>
      <c r="H12" s="545"/>
      <c r="I12" s="164"/>
      <c r="J12" s="41">
        <f>J11+1</f>
        <v>2</v>
      </c>
    </row>
    <row r="13" spans="1:10" x14ac:dyDescent="0.3">
      <c r="A13" s="41">
        <f t="shared" ref="A13:A65" si="0">A12+1</f>
        <v>3</v>
      </c>
      <c r="B13" s="42" t="s">
        <v>132</v>
      </c>
      <c r="E13" s="41" t="s">
        <v>133</v>
      </c>
      <c r="G13" s="162">
        <v>0</v>
      </c>
      <c r="H13" s="545"/>
      <c r="I13" s="164"/>
      <c r="J13" s="41">
        <f t="shared" ref="J13:J65" si="1">J12+1</f>
        <v>3</v>
      </c>
    </row>
    <row r="14" spans="1:10" x14ac:dyDescent="0.3">
      <c r="A14" s="41">
        <f t="shared" si="0"/>
        <v>4</v>
      </c>
      <c r="B14" s="42" t="s">
        <v>134</v>
      </c>
      <c r="E14" s="41" t="s">
        <v>135</v>
      </c>
      <c r="G14" s="162">
        <v>0</v>
      </c>
      <c r="H14" s="545"/>
      <c r="I14" s="164"/>
      <c r="J14" s="41">
        <f t="shared" si="1"/>
        <v>4</v>
      </c>
    </row>
    <row r="15" spans="1:10" x14ac:dyDescent="0.3">
      <c r="A15" s="41">
        <f t="shared" si="0"/>
        <v>5</v>
      </c>
      <c r="B15" s="42" t="s">
        <v>136</v>
      </c>
      <c r="E15" s="41" t="s">
        <v>137</v>
      </c>
      <c r="G15" s="162">
        <v>0</v>
      </c>
      <c r="H15" s="545"/>
      <c r="I15" s="164"/>
      <c r="J15" s="41">
        <f t="shared" si="1"/>
        <v>5</v>
      </c>
    </row>
    <row r="16" spans="1:10" x14ac:dyDescent="0.3">
      <c r="A16" s="41">
        <f t="shared" si="0"/>
        <v>6</v>
      </c>
      <c r="B16" s="42" t="s">
        <v>138</v>
      </c>
      <c r="E16" s="41" t="s">
        <v>139</v>
      </c>
      <c r="G16" s="162">
        <v>-13172.642</v>
      </c>
      <c r="H16" s="545"/>
      <c r="I16" s="164"/>
      <c r="J16" s="41">
        <f t="shared" si="1"/>
        <v>6</v>
      </c>
    </row>
    <row r="17" spans="1:10" x14ac:dyDescent="0.3">
      <c r="A17" s="41">
        <f t="shared" si="0"/>
        <v>7</v>
      </c>
      <c r="B17" s="42" t="s">
        <v>140</v>
      </c>
      <c r="G17" s="163">
        <f>SUM(G12:G16)</f>
        <v>6040400.358</v>
      </c>
      <c r="H17" s="157"/>
      <c r="I17" s="53" t="str">
        <f>"Sum Lines "&amp;A12&amp;" thru "&amp;A16</f>
        <v>Sum Lines 2 thru 6</v>
      </c>
      <c r="J17" s="41">
        <f t="shared" si="1"/>
        <v>7</v>
      </c>
    </row>
    <row r="18" spans="1:10" x14ac:dyDescent="0.3">
      <c r="A18" s="41">
        <f t="shared" si="0"/>
        <v>8</v>
      </c>
      <c r="I18" s="53"/>
      <c r="J18" s="41">
        <f t="shared" si="1"/>
        <v>8</v>
      </c>
    </row>
    <row r="19" spans="1:10" x14ac:dyDescent="0.3">
      <c r="A19" s="41">
        <f t="shared" si="0"/>
        <v>9</v>
      </c>
      <c r="B19" s="46" t="s">
        <v>141</v>
      </c>
      <c r="G19" s="40"/>
      <c r="H19" s="40"/>
      <c r="I19" s="53"/>
      <c r="J19" s="41">
        <f t="shared" si="1"/>
        <v>9</v>
      </c>
    </row>
    <row r="20" spans="1:10" x14ac:dyDescent="0.3">
      <c r="A20" s="41">
        <f t="shared" si="0"/>
        <v>10</v>
      </c>
      <c r="B20" s="42" t="s">
        <v>142</v>
      </c>
      <c r="E20" s="41" t="s">
        <v>143</v>
      </c>
      <c r="G20" s="161">
        <v>233778.584</v>
      </c>
      <c r="H20" s="545"/>
      <c r="I20" s="164"/>
      <c r="J20" s="41">
        <f t="shared" si="1"/>
        <v>10</v>
      </c>
    </row>
    <row r="21" spans="1:10" x14ac:dyDescent="0.3">
      <c r="A21" s="41">
        <f t="shared" si="0"/>
        <v>11</v>
      </c>
      <c r="B21" s="42" t="s">
        <v>144</v>
      </c>
      <c r="E21" s="41" t="s">
        <v>145</v>
      </c>
      <c r="G21" s="162">
        <v>4107.085</v>
      </c>
      <c r="H21" s="545"/>
      <c r="I21" s="164"/>
      <c r="J21" s="41">
        <f t="shared" si="1"/>
        <v>11</v>
      </c>
    </row>
    <row r="22" spans="1:10" x14ac:dyDescent="0.3">
      <c r="A22" s="41">
        <f t="shared" si="0"/>
        <v>12</v>
      </c>
      <c r="B22" s="42" t="s">
        <v>146</v>
      </c>
      <c r="E22" s="41" t="s">
        <v>147</v>
      </c>
      <c r="G22" s="162">
        <v>1449.7840000000001</v>
      </c>
      <c r="H22" s="545"/>
      <c r="I22" s="164"/>
      <c r="J22" s="41">
        <f t="shared" si="1"/>
        <v>12</v>
      </c>
    </row>
    <row r="23" spans="1:10" x14ac:dyDescent="0.3">
      <c r="A23" s="41">
        <f t="shared" si="0"/>
        <v>13</v>
      </c>
      <c r="B23" s="42" t="s">
        <v>148</v>
      </c>
      <c r="E23" s="41" t="s">
        <v>149</v>
      </c>
      <c r="G23" s="162">
        <v>0</v>
      </c>
      <c r="H23" s="545"/>
      <c r="I23" s="164"/>
      <c r="J23" s="41">
        <f t="shared" si="1"/>
        <v>13</v>
      </c>
    </row>
    <row r="24" spans="1:10" x14ac:dyDescent="0.3">
      <c r="A24" s="41">
        <f t="shared" si="0"/>
        <v>14</v>
      </c>
      <c r="B24" s="42" t="s">
        <v>150</v>
      </c>
      <c r="E24" s="41" t="s">
        <v>151</v>
      </c>
      <c r="G24" s="162">
        <v>0</v>
      </c>
      <c r="H24" s="545"/>
      <c r="I24" s="164"/>
      <c r="J24" s="41">
        <f t="shared" si="1"/>
        <v>14</v>
      </c>
    </row>
    <row r="25" spans="1:10" x14ac:dyDescent="0.3">
      <c r="A25" s="41">
        <f t="shared" si="0"/>
        <v>15</v>
      </c>
      <c r="B25" s="42" t="s">
        <v>152</v>
      </c>
      <c r="G25" s="165">
        <f>SUM(G20:G24)</f>
        <v>239335.45300000001</v>
      </c>
      <c r="H25" s="166"/>
      <c r="I25" s="53" t="str">
        <f>"Sum Lines "&amp;A20&amp;" thru "&amp;A24</f>
        <v>Sum Lines 10 thru 14</v>
      </c>
      <c r="J25" s="41">
        <f t="shared" si="1"/>
        <v>15</v>
      </c>
    </row>
    <row r="26" spans="1:10" x14ac:dyDescent="0.3">
      <c r="A26" s="41">
        <f t="shared" si="0"/>
        <v>16</v>
      </c>
      <c r="I26" s="53"/>
      <c r="J26" s="41">
        <f t="shared" si="1"/>
        <v>16</v>
      </c>
    </row>
    <row r="27" spans="1:10" ht="16.2" thickBot="1" x14ac:dyDescent="0.35">
      <c r="A27" s="41">
        <f t="shared" si="0"/>
        <v>17</v>
      </c>
      <c r="B27" s="46" t="s">
        <v>153</v>
      </c>
      <c r="G27" s="167">
        <f>G25/G17</f>
        <v>3.9622448648295373E-2</v>
      </c>
      <c r="H27" s="168"/>
      <c r="I27" s="53" t="str">
        <f>"Line "&amp;A25&amp;" / Line "&amp;A17</f>
        <v>Line 15 / Line 7</v>
      </c>
      <c r="J27" s="41">
        <f t="shared" si="1"/>
        <v>17</v>
      </c>
    </row>
    <row r="28" spans="1:10" ht="16.2" thickTop="1" x14ac:dyDescent="0.3">
      <c r="A28" s="41">
        <f t="shared" si="0"/>
        <v>18</v>
      </c>
      <c r="I28" s="53"/>
      <c r="J28" s="41">
        <f t="shared" si="1"/>
        <v>18</v>
      </c>
    </row>
    <row r="29" spans="1:10" x14ac:dyDescent="0.3">
      <c r="A29" s="41">
        <f t="shared" si="0"/>
        <v>19</v>
      </c>
      <c r="B29" s="46" t="s">
        <v>154</v>
      </c>
      <c r="I29" s="53"/>
      <c r="J29" s="41">
        <f t="shared" si="1"/>
        <v>19</v>
      </c>
    </row>
    <row r="30" spans="1:10" x14ac:dyDescent="0.3">
      <c r="A30" s="41">
        <f t="shared" si="0"/>
        <v>20</v>
      </c>
      <c r="B30" s="42" t="s">
        <v>155</v>
      </c>
      <c r="E30" s="41" t="s">
        <v>156</v>
      </c>
      <c r="G30" s="161">
        <v>0</v>
      </c>
      <c r="H30" s="545"/>
      <c r="I30" s="164"/>
      <c r="J30" s="41">
        <f t="shared" si="1"/>
        <v>20</v>
      </c>
    </row>
    <row r="31" spans="1:10" x14ac:dyDescent="0.3">
      <c r="A31" s="41">
        <f t="shared" si="0"/>
        <v>21</v>
      </c>
      <c r="B31" s="42" t="s">
        <v>157</v>
      </c>
      <c r="E31" s="41" t="s">
        <v>158</v>
      </c>
      <c r="G31" s="518">
        <v>0</v>
      </c>
      <c r="H31" s="545"/>
      <c r="I31" s="164"/>
      <c r="J31" s="41">
        <f t="shared" si="1"/>
        <v>21</v>
      </c>
    </row>
    <row r="32" spans="1:10" ht="16.2" thickBot="1" x14ac:dyDescent="0.35">
      <c r="A32" s="41">
        <f t="shared" si="0"/>
        <v>22</v>
      </c>
      <c r="B32" s="42" t="s">
        <v>159</v>
      </c>
      <c r="G32" s="167">
        <f>IFERROR((G31/G30),0)</f>
        <v>0</v>
      </c>
      <c r="H32" s="168"/>
      <c r="I32" s="53" t="str">
        <f>"Line "&amp;A31&amp;" / Line "&amp;A30</f>
        <v>Line 21 / Line 20</v>
      </c>
      <c r="J32" s="41">
        <f t="shared" si="1"/>
        <v>22</v>
      </c>
    </row>
    <row r="33" spans="1:12" ht="16.2" thickTop="1" x14ac:dyDescent="0.3">
      <c r="A33" s="41">
        <f t="shared" si="0"/>
        <v>23</v>
      </c>
      <c r="I33" s="53"/>
      <c r="J33" s="41">
        <f t="shared" si="1"/>
        <v>23</v>
      </c>
    </row>
    <row r="34" spans="1:12" x14ac:dyDescent="0.3">
      <c r="A34" s="41">
        <f t="shared" si="0"/>
        <v>24</v>
      </c>
      <c r="B34" s="46" t="s">
        <v>160</v>
      </c>
      <c r="I34" s="53"/>
      <c r="J34" s="41">
        <f t="shared" si="1"/>
        <v>24</v>
      </c>
    </row>
    <row r="35" spans="1:12" x14ac:dyDescent="0.3">
      <c r="A35" s="41">
        <f t="shared" si="0"/>
        <v>25</v>
      </c>
      <c r="B35" s="42" t="s">
        <v>161</v>
      </c>
      <c r="E35" s="41" t="s">
        <v>162</v>
      </c>
      <c r="G35" s="161">
        <v>7729413.6809999999</v>
      </c>
      <c r="H35" s="545"/>
      <c r="I35" s="164"/>
      <c r="J35" s="41">
        <f t="shared" si="1"/>
        <v>25</v>
      </c>
      <c r="K35" s="49"/>
      <c r="L35" s="519"/>
    </row>
    <row r="36" spans="1:12" x14ac:dyDescent="0.3">
      <c r="A36" s="41">
        <f t="shared" si="0"/>
        <v>26</v>
      </c>
      <c r="B36" s="42" t="s">
        <v>163</v>
      </c>
      <c r="E36" s="41" t="s">
        <v>156</v>
      </c>
      <c r="G36" s="169">
        <v>0</v>
      </c>
      <c r="H36" s="169"/>
      <c r="I36" s="53" t="str">
        <f>"Negative of Line "&amp;A30&amp;" Above"</f>
        <v>Negative of Line 20 Above</v>
      </c>
      <c r="J36" s="41">
        <f t="shared" si="1"/>
        <v>26</v>
      </c>
    </row>
    <row r="37" spans="1:12" x14ac:dyDescent="0.3">
      <c r="A37" s="41">
        <f t="shared" si="0"/>
        <v>27</v>
      </c>
      <c r="B37" s="42" t="s">
        <v>164</v>
      </c>
      <c r="E37" s="41" t="s">
        <v>165</v>
      </c>
      <c r="G37" s="162">
        <v>0</v>
      </c>
      <c r="H37" s="545"/>
      <c r="I37" s="164"/>
      <c r="J37" s="41">
        <f t="shared" si="1"/>
        <v>27</v>
      </c>
    </row>
    <row r="38" spans="1:12" x14ac:dyDescent="0.3">
      <c r="A38" s="41">
        <f t="shared" si="0"/>
        <v>28</v>
      </c>
      <c r="B38" s="42" t="s">
        <v>166</v>
      </c>
      <c r="E38" s="41" t="s">
        <v>167</v>
      </c>
      <c r="G38" s="162">
        <v>10034.102000000001</v>
      </c>
      <c r="H38" s="545"/>
      <c r="I38" s="164"/>
      <c r="J38" s="41">
        <f t="shared" si="1"/>
        <v>28</v>
      </c>
    </row>
    <row r="39" spans="1:12" ht="16.2" thickBot="1" x14ac:dyDescent="0.35">
      <c r="A39" s="41">
        <f t="shared" si="0"/>
        <v>29</v>
      </c>
      <c r="B39" s="42" t="s">
        <v>168</v>
      </c>
      <c r="G39" s="170">
        <f>SUM(G35:G38)</f>
        <v>7739447.7829999998</v>
      </c>
      <c r="H39" s="171"/>
      <c r="I39" s="53" t="str">
        <f>"Sum Lines "&amp;A35&amp;" thru "&amp;A38</f>
        <v>Sum Lines 25 thru 28</v>
      </c>
      <c r="J39" s="41">
        <f t="shared" si="1"/>
        <v>29</v>
      </c>
    </row>
    <row r="40" spans="1:12" ht="16.8" thickTop="1" thickBot="1" x14ac:dyDescent="0.35">
      <c r="A40" s="172">
        <f t="shared" si="0"/>
        <v>30</v>
      </c>
      <c r="B40" s="86"/>
      <c r="C40" s="86"/>
      <c r="D40" s="86"/>
      <c r="E40" s="86"/>
      <c r="F40" s="86"/>
      <c r="G40" s="86"/>
      <c r="H40" s="86"/>
      <c r="I40" s="173"/>
      <c r="J40" s="172">
        <f t="shared" si="1"/>
        <v>30</v>
      </c>
    </row>
    <row r="41" spans="1:12" x14ac:dyDescent="0.3">
      <c r="A41" s="41">
        <f>A40+1</f>
        <v>31</v>
      </c>
      <c r="I41" s="53"/>
      <c r="J41" s="41">
        <f>J40+1</f>
        <v>31</v>
      </c>
    </row>
    <row r="42" spans="1:12" ht="19.2" thickBot="1" x14ac:dyDescent="0.35">
      <c r="A42" s="41">
        <f>A41+1</f>
        <v>32</v>
      </c>
      <c r="B42" s="46" t="s">
        <v>343</v>
      </c>
      <c r="G42" s="174">
        <v>0.106</v>
      </c>
      <c r="H42" s="545"/>
      <c r="I42" s="41" t="s">
        <v>169</v>
      </c>
      <c r="J42" s="41">
        <f>J41+1</f>
        <v>32</v>
      </c>
    </row>
    <row r="43" spans="1:12" ht="16.2" thickTop="1" x14ac:dyDescent="0.3">
      <c r="A43" s="41">
        <f t="shared" si="0"/>
        <v>33</v>
      </c>
      <c r="C43" s="72" t="s">
        <v>10</v>
      </c>
      <c r="D43" s="72" t="s">
        <v>56</v>
      </c>
      <c r="E43" s="72" t="s">
        <v>170</v>
      </c>
      <c r="F43" s="72"/>
      <c r="G43" s="72" t="s">
        <v>171</v>
      </c>
      <c r="H43" s="72"/>
      <c r="I43" s="53"/>
      <c r="J43" s="41">
        <f t="shared" si="1"/>
        <v>33</v>
      </c>
    </row>
    <row r="44" spans="1:12" x14ac:dyDescent="0.3">
      <c r="A44" s="41">
        <f t="shared" si="0"/>
        <v>34</v>
      </c>
      <c r="D44" s="41" t="s">
        <v>172</v>
      </c>
      <c r="E44" s="41" t="s">
        <v>173</v>
      </c>
      <c r="F44" s="41"/>
      <c r="G44" s="41" t="s">
        <v>174</v>
      </c>
      <c r="H44" s="41"/>
      <c r="I44" s="53"/>
      <c r="J44" s="41">
        <f t="shared" si="1"/>
        <v>34</v>
      </c>
    </row>
    <row r="45" spans="1:12" ht="18" x14ac:dyDescent="0.3">
      <c r="A45" s="41">
        <f t="shared" si="0"/>
        <v>35</v>
      </c>
      <c r="B45" s="46" t="s">
        <v>175</v>
      </c>
      <c r="C45" s="463" t="s">
        <v>176</v>
      </c>
      <c r="D45" s="463" t="s">
        <v>177</v>
      </c>
      <c r="E45" s="463" t="s">
        <v>178</v>
      </c>
      <c r="F45" s="463"/>
      <c r="G45" s="463" t="s">
        <v>179</v>
      </c>
      <c r="H45" s="41"/>
      <c r="I45" s="53"/>
      <c r="J45" s="41">
        <f t="shared" si="1"/>
        <v>35</v>
      </c>
    </row>
    <row r="46" spans="1:12" x14ac:dyDescent="0.3">
      <c r="A46" s="41">
        <f t="shared" si="0"/>
        <v>36</v>
      </c>
      <c r="I46" s="53"/>
      <c r="J46" s="41">
        <f t="shared" si="1"/>
        <v>36</v>
      </c>
    </row>
    <row r="47" spans="1:12" x14ac:dyDescent="0.3">
      <c r="A47" s="41">
        <f t="shared" si="0"/>
        <v>37</v>
      </c>
      <c r="B47" s="42" t="s">
        <v>180</v>
      </c>
      <c r="C47" s="64">
        <f>G17</f>
        <v>6040400.358</v>
      </c>
      <c r="D47" s="175">
        <f>C47/C$50</f>
        <v>0.43835028486472494</v>
      </c>
      <c r="E47" s="176">
        <f>G27</f>
        <v>3.9622448648295373E-2</v>
      </c>
      <c r="G47" s="177">
        <f>D47*E47</f>
        <v>1.7368511652018213E-2</v>
      </c>
      <c r="H47" s="177"/>
      <c r="I47" s="53" t="str">
        <f>"Col. c = Line "&amp;A27&amp;" Above"</f>
        <v>Col. c = Line 17 Above</v>
      </c>
      <c r="J47" s="41">
        <f t="shared" si="1"/>
        <v>37</v>
      </c>
    </row>
    <row r="48" spans="1:12" x14ac:dyDescent="0.3">
      <c r="A48" s="41">
        <f t="shared" si="0"/>
        <v>38</v>
      </c>
      <c r="B48" s="42" t="s">
        <v>181</v>
      </c>
      <c r="C48" s="178">
        <f>G30</f>
        <v>0</v>
      </c>
      <c r="D48" s="175">
        <f>C48/C$50</f>
        <v>0</v>
      </c>
      <c r="E48" s="176">
        <f>G32</f>
        <v>0</v>
      </c>
      <c r="G48" s="177">
        <f>D48*E48</f>
        <v>0</v>
      </c>
      <c r="H48" s="177"/>
      <c r="I48" s="53" t="str">
        <f>"Col. c = Line "&amp;A32&amp;" Above"</f>
        <v>Col. c = Line 22 Above</v>
      </c>
      <c r="J48" s="41">
        <f t="shared" si="1"/>
        <v>38</v>
      </c>
    </row>
    <row r="49" spans="1:10" x14ac:dyDescent="0.3">
      <c r="A49" s="41">
        <f t="shared" si="0"/>
        <v>39</v>
      </c>
      <c r="B49" s="42" t="s">
        <v>182</v>
      </c>
      <c r="C49" s="178">
        <f>G39</f>
        <v>7739447.7829999998</v>
      </c>
      <c r="D49" s="520">
        <f>C49/C$50</f>
        <v>0.56164971513527517</v>
      </c>
      <c r="E49" s="179">
        <f>G42</f>
        <v>0.106</v>
      </c>
      <c r="G49" s="521">
        <f>D49*E49</f>
        <v>5.9534869804339169E-2</v>
      </c>
      <c r="H49" s="168"/>
      <c r="I49" s="53" t="str">
        <f>"Col. c = Line "&amp;A42&amp;" Above"</f>
        <v>Col. c = Line 32 Above</v>
      </c>
      <c r="J49" s="41">
        <f t="shared" si="1"/>
        <v>39</v>
      </c>
    </row>
    <row r="50" spans="1:10" ht="16.2" thickBot="1" x14ac:dyDescent="0.35">
      <c r="A50" s="41">
        <f t="shared" si="0"/>
        <v>40</v>
      </c>
      <c r="B50" s="42" t="s">
        <v>183</v>
      </c>
      <c r="C50" s="180">
        <f>SUM(C47:C49)</f>
        <v>13779848.140999999</v>
      </c>
      <c r="D50" s="181">
        <f>SUM(D47:D49)</f>
        <v>1</v>
      </c>
      <c r="G50" s="167">
        <f>SUM(G47:G49)</f>
        <v>7.6903381456357389E-2</v>
      </c>
      <c r="H50" s="168"/>
      <c r="I50" s="53" t="str">
        <f>"Sum Lines "&amp;A47&amp;" thru "&amp;A49</f>
        <v>Sum Lines 37 thru 39</v>
      </c>
      <c r="J50" s="41">
        <f t="shared" si="1"/>
        <v>40</v>
      </c>
    </row>
    <row r="51" spans="1:10" ht="16.2" thickTop="1" x14ac:dyDescent="0.3">
      <c r="A51" s="41">
        <f t="shared" si="0"/>
        <v>41</v>
      </c>
      <c r="I51" s="53"/>
      <c r="J51" s="41">
        <f t="shared" si="1"/>
        <v>41</v>
      </c>
    </row>
    <row r="52" spans="1:10" ht="16.2" thickBot="1" x14ac:dyDescent="0.35">
      <c r="A52" s="41">
        <f t="shared" si="0"/>
        <v>42</v>
      </c>
      <c r="B52" s="46" t="s">
        <v>184</v>
      </c>
      <c r="G52" s="167">
        <f>G48+G49</f>
        <v>5.9534869804339169E-2</v>
      </c>
      <c r="H52" s="168"/>
      <c r="I52" s="53" t="str">
        <f>"Line "&amp;A48&amp;" + Line "&amp;A49&amp;"; Col. d"</f>
        <v>Line 38 + Line 39; Col. d</v>
      </c>
      <c r="J52" s="41">
        <f t="shared" si="1"/>
        <v>42</v>
      </c>
    </row>
    <row r="53" spans="1:10" ht="16.8" thickTop="1" thickBot="1" x14ac:dyDescent="0.35">
      <c r="A53" s="172">
        <f t="shared" si="0"/>
        <v>43</v>
      </c>
      <c r="B53" s="185"/>
      <c r="C53" s="86"/>
      <c r="D53" s="86"/>
      <c r="E53" s="86"/>
      <c r="F53" s="86"/>
      <c r="G53" s="522"/>
      <c r="H53" s="522"/>
      <c r="I53" s="173"/>
      <c r="J53" s="172">
        <f t="shared" si="1"/>
        <v>43</v>
      </c>
    </row>
    <row r="54" spans="1:10" x14ac:dyDescent="0.3">
      <c r="A54" s="41">
        <f t="shared" si="0"/>
        <v>44</v>
      </c>
      <c r="B54" s="46"/>
      <c r="G54" s="179"/>
      <c r="H54" s="179"/>
      <c r="I54" s="53"/>
      <c r="J54" s="41">
        <f t="shared" si="1"/>
        <v>44</v>
      </c>
    </row>
    <row r="55" spans="1:10" ht="16.2" thickBot="1" x14ac:dyDescent="0.35">
      <c r="A55" s="41">
        <f t="shared" si="0"/>
        <v>45</v>
      </c>
      <c r="B55" s="46" t="s">
        <v>333</v>
      </c>
      <c r="G55" s="523">
        <v>0</v>
      </c>
      <c r="H55" s="179"/>
      <c r="I55" s="53" t="s">
        <v>19</v>
      </c>
      <c r="J55" s="41">
        <f t="shared" si="1"/>
        <v>45</v>
      </c>
    </row>
    <row r="56" spans="1:10" ht="16.2" thickTop="1" x14ac:dyDescent="0.3">
      <c r="A56" s="41">
        <f t="shared" si="0"/>
        <v>46</v>
      </c>
      <c r="C56" s="72" t="s">
        <v>10</v>
      </c>
      <c r="D56" s="72" t="s">
        <v>56</v>
      </c>
      <c r="E56" s="72" t="s">
        <v>170</v>
      </c>
      <c r="F56" s="72"/>
      <c r="G56" s="72" t="s">
        <v>171</v>
      </c>
      <c r="H56" s="179"/>
      <c r="I56" s="53"/>
      <c r="J56" s="41">
        <f t="shared" si="1"/>
        <v>46</v>
      </c>
    </row>
    <row r="57" spans="1:10" x14ac:dyDescent="0.3">
      <c r="A57" s="41">
        <f t="shared" si="0"/>
        <v>47</v>
      </c>
      <c r="D57" s="41" t="s">
        <v>172</v>
      </c>
      <c r="E57" s="41" t="s">
        <v>173</v>
      </c>
      <c r="F57" s="41"/>
      <c r="G57" s="41" t="s">
        <v>174</v>
      </c>
      <c r="H57" s="179"/>
      <c r="I57" s="53"/>
      <c r="J57" s="41">
        <f t="shared" si="1"/>
        <v>47</v>
      </c>
    </row>
    <row r="58" spans="1:10" ht="18" x14ac:dyDescent="0.3">
      <c r="A58" s="41">
        <f t="shared" si="0"/>
        <v>48</v>
      </c>
      <c r="B58" s="46" t="s">
        <v>186</v>
      </c>
      <c r="C58" s="463" t="s">
        <v>176</v>
      </c>
      <c r="D58" s="463" t="s">
        <v>177</v>
      </c>
      <c r="E58" s="463" t="s">
        <v>178</v>
      </c>
      <c r="F58" s="463"/>
      <c r="G58" s="463" t="s">
        <v>179</v>
      </c>
      <c r="H58" s="179"/>
      <c r="I58" s="53"/>
      <c r="J58" s="41">
        <f t="shared" si="1"/>
        <v>48</v>
      </c>
    </row>
    <row r="59" spans="1:10" x14ac:dyDescent="0.3">
      <c r="A59" s="41">
        <f t="shared" si="0"/>
        <v>49</v>
      </c>
      <c r="G59" s="179"/>
      <c r="H59" s="179"/>
      <c r="I59" s="53"/>
      <c r="J59" s="41">
        <f t="shared" si="1"/>
        <v>49</v>
      </c>
    </row>
    <row r="60" spans="1:10" x14ac:dyDescent="0.3">
      <c r="A60" s="41">
        <f t="shared" si="0"/>
        <v>50</v>
      </c>
      <c r="B60" s="42" t="s">
        <v>180</v>
      </c>
      <c r="C60" s="524">
        <v>0</v>
      </c>
      <c r="D60" s="525">
        <v>0</v>
      </c>
      <c r="E60" s="182">
        <v>0</v>
      </c>
      <c r="G60" s="177">
        <f>D60*E60</f>
        <v>0</v>
      </c>
      <c r="H60" s="179"/>
      <c r="I60" s="53" t="s">
        <v>19</v>
      </c>
      <c r="J60" s="41">
        <f t="shared" si="1"/>
        <v>50</v>
      </c>
    </row>
    <row r="61" spans="1:10" x14ac:dyDescent="0.3">
      <c r="A61" s="41">
        <f t="shared" si="0"/>
        <v>51</v>
      </c>
      <c r="B61" s="42" t="s">
        <v>181</v>
      </c>
      <c r="C61" s="526">
        <v>0</v>
      </c>
      <c r="D61" s="525">
        <v>0</v>
      </c>
      <c r="E61" s="182">
        <v>0</v>
      </c>
      <c r="G61" s="177">
        <f>D61*E61</f>
        <v>0</v>
      </c>
      <c r="H61" s="179"/>
      <c r="I61" s="53" t="s">
        <v>19</v>
      </c>
      <c r="J61" s="41">
        <f t="shared" si="1"/>
        <v>51</v>
      </c>
    </row>
    <row r="62" spans="1:10" x14ac:dyDescent="0.3">
      <c r="A62" s="41">
        <f t="shared" si="0"/>
        <v>52</v>
      </c>
      <c r="B62" s="42" t="s">
        <v>182</v>
      </c>
      <c r="C62" s="526">
        <v>0</v>
      </c>
      <c r="D62" s="527">
        <v>0</v>
      </c>
      <c r="E62" s="528">
        <v>0</v>
      </c>
      <c r="G62" s="521">
        <f>D62*E62</f>
        <v>0</v>
      </c>
      <c r="H62" s="179"/>
      <c r="I62" s="53" t="s">
        <v>19</v>
      </c>
      <c r="J62" s="41">
        <f t="shared" si="1"/>
        <v>52</v>
      </c>
    </row>
    <row r="63" spans="1:10" ht="16.2" thickBot="1" x14ac:dyDescent="0.35">
      <c r="A63" s="41">
        <f t="shared" si="0"/>
        <v>53</v>
      </c>
      <c r="B63" s="42" t="s">
        <v>183</v>
      </c>
      <c r="C63" s="180">
        <f>SUM(C60:C62)</f>
        <v>0</v>
      </c>
      <c r="D63" s="167">
        <f>SUM(D60:D62)</f>
        <v>0</v>
      </c>
      <c r="G63" s="167">
        <f>SUM(G60:G62)</f>
        <v>0</v>
      </c>
      <c r="H63" s="179"/>
      <c r="I63" s="53" t="str">
        <f>"Sum Lines "&amp;A60&amp;" thru "&amp;A62</f>
        <v>Sum Lines 50 thru 52</v>
      </c>
      <c r="J63" s="41">
        <f t="shared" si="1"/>
        <v>53</v>
      </c>
    </row>
    <row r="64" spans="1:10" ht="16.2" thickTop="1" x14ac:dyDescent="0.3">
      <c r="A64" s="41">
        <f t="shared" si="0"/>
        <v>54</v>
      </c>
      <c r="H64" s="179"/>
      <c r="I64" s="53"/>
      <c r="J64" s="41">
        <f t="shared" si="1"/>
        <v>54</v>
      </c>
    </row>
    <row r="65" spans="1:10" ht="16.2" thickBot="1" x14ac:dyDescent="0.35">
      <c r="A65" s="41">
        <f t="shared" si="0"/>
        <v>55</v>
      </c>
      <c r="B65" s="46" t="s">
        <v>187</v>
      </c>
      <c r="G65" s="167">
        <f>G61+G62</f>
        <v>0</v>
      </c>
      <c r="H65" s="179"/>
      <c r="I65" s="53" t="str">
        <f>"Line "&amp;A61&amp;" + Line "&amp;A62&amp;"; Col. d"</f>
        <v>Line 51 + Line 52; Col. d</v>
      </c>
      <c r="J65" s="41">
        <f t="shared" si="1"/>
        <v>55</v>
      </c>
    </row>
    <row r="66" spans="1:10" ht="16.2" thickTop="1" x14ac:dyDescent="0.3">
      <c r="B66" s="46"/>
      <c r="G66" s="179"/>
      <c r="H66" s="179"/>
      <c r="I66" s="53"/>
      <c r="J66" s="41"/>
    </row>
    <row r="67" spans="1:10" x14ac:dyDescent="0.3">
      <c r="B67" s="46"/>
      <c r="G67" s="179"/>
      <c r="H67" s="179"/>
      <c r="I67" s="53"/>
      <c r="J67" s="41"/>
    </row>
    <row r="68" spans="1:10" ht="18" x14ac:dyDescent="0.3">
      <c r="A68" s="71">
        <v>1</v>
      </c>
      <c r="B68" s="20" t="s">
        <v>185</v>
      </c>
      <c r="G68" s="67"/>
      <c r="H68" s="67"/>
      <c r="J68" s="41" t="s">
        <v>11</v>
      </c>
    </row>
    <row r="69" spans="1:10" ht="18" x14ac:dyDescent="0.3">
      <c r="A69" s="186"/>
      <c r="B69" s="437"/>
      <c r="G69" s="67"/>
      <c r="H69" s="67"/>
      <c r="J69" s="41"/>
    </row>
    <row r="70" spans="1:10" ht="18" x14ac:dyDescent="0.3">
      <c r="A70" s="71"/>
      <c r="B70" s="20"/>
      <c r="D70" s="41"/>
      <c r="G70" s="67"/>
      <c r="H70" s="67"/>
      <c r="I70" s="562"/>
      <c r="J70" s="41"/>
    </row>
    <row r="71" spans="1:10" x14ac:dyDescent="0.3">
      <c r="B71" s="815" t="s">
        <v>332</v>
      </c>
      <c r="C71" s="815"/>
      <c r="D71" s="815"/>
      <c r="E71" s="815"/>
      <c r="F71" s="815"/>
      <c r="G71" s="815"/>
      <c r="H71" s="815"/>
      <c r="I71" s="815"/>
      <c r="J71" s="41"/>
    </row>
    <row r="72" spans="1:10" x14ac:dyDescent="0.3">
      <c r="B72" s="815" t="s">
        <v>127</v>
      </c>
      <c r="C72" s="815"/>
      <c r="D72" s="815"/>
      <c r="E72" s="815"/>
      <c r="F72" s="815"/>
      <c r="G72" s="815"/>
      <c r="H72" s="815"/>
      <c r="I72" s="815"/>
      <c r="J72" s="41"/>
    </row>
    <row r="73" spans="1:10" x14ac:dyDescent="0.3">
      <c r="B73" s="815" t="s">
        <v>128</v>
      </c>
      <c r="C73" s="815"/>
      <c r="D73" s="815"/>
      <c r="E73" s="815"/>
      <c r="F73" s="815"/>
      <c r="G73" s="815"/>
      <c r="H73" s="815"/>
      <c r="I73" s="815"/>
      <c r="J73" s="41"/>
    </row>
    <row r="74" spans="1:10" x14ac:dyDescent="0.3">
      <c r="B74" s="816" t="str">
        <f>B5</f>
        <v>Base Period &amp; True-Up Period 12 - Months Ending December 31, 2020</v>
      </c>
      <c r="C74" s="816"/>
      <c r="D74" s="816"/>
      <c r="E74" s="816"/>
      <c r="F74" s="816"/>
      <c r="G74" s="816"/>
      <c r="H74" s="816"/>
      <c r="I74" s="816"/>
      <c r="J74" s="41"/>
    </row>
    <row r="75" spans="1:10" x14ac:dyDescent="0.3">
      <c r="B75" s="817" t="s">
        <v>1</v>
      </c>
      <c r="C75" s="818"/>
      <c r="D75" s="818"/>
      <c r="E75" s="818"/>
      <c r="F75" s="818"/>
      <c r="G75" s="818"/>
      <c r="H75" s="818"/>
      <c r="I75" s="818"/>
      <c r="J75" s="41"/>
    </row>
    <row r="76" spans="1:10" x14ac:dyDescent="0.3">
      <c r="B76" s="41"/>
      <c r="C76" s="41"/>
      <c r="D76" s="41"/>
      <c r="E76" s="41"/>
      <c r="F76" s="41"/>
      <c r="G76" s="41"/>
      <c r="H76" s="41"/>
      <c r="I76" s="53"/>
      <c r="J76" s="41"/>
    </row>
    <row r="77" spans="1:10" x14ac:dyDescent="0.3">
      <c r="A77" s="41" t="s">
        <v>2</v>
      </c>
      <c r="B77" s="545"/>
      <c r="C77" s="545"/>
      <c r="D77" s="545"/>
      <c r="E77" s="545"/>
      <c r="F77" s="545"/>
      <c r="G77" s="545"/>
      <c r="H77" s="545"/>
      <c r="I77" s="53"/>
      <c r="J77" s="41" t="s">
        <v>2</v>
      </c>
    </row>
    <row r="78" spans="1:10" x14ac:dyDescent="0.3">
      <c r="A78" s="41" t="s">
        <v>6</v>
      </c>
      <c r="B78" s="41"/>
      <c r="C78" s="41"/>
      <c r="D78" s="41"/>
      <c r="E78" s="41"/>
      <c r="F78" s="41"/>
      <c r="G78" s="463" t="s">
        <v>4</v>
      </c>
      <c r="H78" s="545"/>
      <c r="I78" s="517" t="s">
        <v>5</v>
      </c>
      <c r="J78" s="41" t="s">
        <v>6</v>
      </c>
    </row>
    <row r="79" spans="1:10" x14ac:dyDescent="0.3">
      <c r="G79" s="41"/>
      <c r="H79" s="41"/>
      <c r="I79" s="53"/>
      <c r="J79" s="41"/>
    </row>
    <row r="80" spans="1:10" ht="18" x14ac:dyDescent="0.3">
      <c r="A80" s="41">
        <v>1</v>
      </c>
      <c r="B80" s="46" t="s">
        <v>334</v>
      </c>
      <c r="E80" s="545"/>
      <c r="F80" s="545"/>
      <c r="G80" s="187"/>
      <c r="H80" s="187"/>
      <c r="I80" s="53"/>
      <c r="J80" s="41">
        <v>1</v>
      </c>
    </row>
    <row r="81" spans="1:13" x14ac:dyDescent="0.3">
      <c r="A81" s="41">
        <f>A80+1</f>
        <v>2</v>
      </c>
      <c r="B81" s="188"/>
      <c r="E81" s="545"/>
      <c r="F81" s="545"/>
      <c r="G81" s="187"/>
      <c r="H81" s="187"/>
      <c r="I81" s="53"/>
      <c r="J81" s="41">
        <f>J80+1</f>
        <v>2</v>
      </c>
    </row>
    <row r="82" spans="1:13" x14ac:dyDescent="0.3">
      <c r="A82" s="41">
        <f>A81+1</f>
        <v>3</v>
      </c>
      <c r="B82" s="46" t="s">
        <v>335</v>
      </c>
      <c r="E82" s="545"/>
      <c r="F82" s="545"/>
      <c r="G82" s="187"/>
      <c r="H82" s="187"/>
      <c r="I82" s="53"/>
      <c r="J82" s="41">
        <f>J81+1</f>
        <v>3</v>
      </c>
    </row>
    <row r="83" spans="1:13" x14ac:dyDescent="0.3">
      <c r="A83" s="41">
        <f>A82+1</f>
        <v>4</v>
      </c>
      <c r="B83" s="545"/>
      <c r="C83" s="545"/>
      <c r="D83" s="545"/>
      <c r="E83" s="545"/>
      <c r="F83" s="545"/>
      <c r="G83" s="187"/>
      <c r="H83" s="187"/>
      <c r="I83" s="53"/>
      <c r="J83" s="41">
        <f>J82+1</f>
        <v>4</v>
      </c>
    </row>
    <row r="84" spans="1:13" x14ac:dyDescent="0.3">
      <c r="A84" s="41">
        <f t="shared" ref="A84:A110" si="2">A83+1</f>
        <v>5</v>
      </c>
      <c r="B84" s="48" t="s">
        <v>188</v>
      </c>
      <c r="C84" s="545"/>
      <c r="D84" s="545"/>
      <c r="E84" s="545"/>
      <c r="F84" s="545"/>
      <c r="G84" s="187"/>
      <c r="H84" s="187"/>
      <c r="I84" s="189"/>
      <c r="J84" s="41">
        <f t="shared" ref="J84:J110" si="3">J83+1</f>
        <v>5</v>
      </c>
    </row>
    <row r="85" spans="1:13" x14ac:dyDescent="0.3">
      <c r="A85" s="41">
        <f t="shared" si="2"/>
        <v>6</v>
      </c>
      <c r="B85" s="42" t="s">
        <v>189</v>
      </c>
      <c r="D85" s="545"/>
      <c r="E85" s="545"/>
      <c r="F85" s="545"/>
      <c r="G85" s="190">
        <f>G52</f>
        <v>5.9534869804339169E-2</v>
      </c>
      <c r="H85" s="545"/>
      <c r="I85" s="53" t="str">
        <f>"AV1; Line "&amp;A52</f>
        <v>AV1; Line 42</v>
      </c>
      <c r="J85" s="41">
        <f t="shared" si="3"/>
        <v>6</v>
      </c>
      <c r="L85" s="41"/>
    </row>
    <row r="86" spans="1:13" x14ac:dyDescent="0.3">
      <c r="A86" s="41">
        <f t="shared" si="2"/>
        <v>7</v>
      </c>
      <c r="B86" s="42" t="s">
        <v>190</v>
      </c>
      <c r="D86" s="545"/>
      <c r="E86" s="545"/>
      <c r="F86" s="545"/>
      <c r="G86" s="191">
        <v>264.76299999999998</v>
      </c>
      <c r="H86" s="545"/>
      <c r="I86" s="53" t="s">
        <v>468</v>
      </c>
      <c r="J86" s="41">
        <f t="shared" si="3"/>
        <v>7</v>
      </c>
      <c r="L86" s="41"/>
    </row>
    <row r="87" spans="1:13" ht="18" x14ac:dyDescent="0.3">
      <c r="A87" s="41">
        <f t="shared" si="2"/>
        <v>8</v>
      </c>
      <c r="B87" s="42" t="s">
        <v>336</v>
      </c>
      <c r="D87" s="545"/>
      <c r="E87" s="545"/>
      <c r="F87" s="545"/>
      <c r="G87" s="192">
        <v>8264.7629899999993</v>
      </c>
      <c r="H87" s="545"/>
      <c r="I87" s="184" t="s">
        <v>469</v>
      </c>
      <c r="J87" s="41">
        <f t="shared" si="3"/>
        <v>8</v>
      </c>
      <c r="L87" s="545"/>
    </row>
    <row r="88" spans="1:13" x14ac:dyDescent="0.3">
      <c r="A88" s="41">
        <f t="shared" si="2"/>
        <v>9</v>
      </c>
      <c r="B88" s="42" t="s">
        <v>192</v>
      </c>
      <c r="D88" s="545"/>
      <c r="E88" s="193"/>
      <c r="F88" s="545"/>
      <c r="G88" s="194">
        <f>'Pg13 Rev AV-4'!C36</f>
        <v>4523442.3480143677</v>
      </c>
      <c r="H88" s="27" t="s">
        <v>16</v>
      </c>
      <c r="I88" s="184" t="s">
        <v>470</v>
      </c>
      <c r="J88" s="41">
        <f t="shared" si="3"/>
        <v>9</v>
      </c>
    </row>
    <row r="89" spans="1:13" x14ac:dyDescent="0.3">
      <c r="A89" s="41">
        <f t="shared" si="2"/>
        <v>10</v>
      </c>
      <c r="B89" s="42" t="s">
        <v>193</v>
      </c>
      <c r="D89" s="195"/>
      <c r="E89" s="545"/>
      <c r="F89" s="545"/>
      <c r="G89" s="529">
        <v>0.21</v>
      </c>
      <c r="H89" s="545"/>
      <c r="I89" s="53" t="s">
        <v>194</v>
      </c>
      <c r="J89" s="41">
        <f t="shared" si="3"/>
        <v>10</v>
      </c>
      <c r="M89" s="196"/>
    </row>
    <row r="90" spans="1:13" x14ac:dyDescent="0.3">
      <c r="A90" s="41">
        <f t="shared" si="2"/>
        <v>11</v>
      </c>
      <c r="G90" s="41"/>
      <c r="H90" s="41"/>
      <c r="J90" s="41">
        <f t="shared" si="3"/>
        <v>11</v>
      </c>
    </row>
    <row r="91" spans="1:13" x14ac:dyDescent="0.3">
      <c r="A91" s="41">
        <f t="shared" si="2"/>
        <v>12</v>
      </c>
      <c r="B91" s="42" t="s">
        <v>195</v>
      </c>
      <c r="D91" s="545"/>
      <c r="E91" s="545"/>
      <c r="F91" s="545"/>
      <c r="G91" s="738">
        <f>(((G85)+(G87/G88))*G89-(G86/G88))/(1-G89)</f>
        <v>1.6237318342198111E-2</v>
      </c>
      <c r="H91" s="27" t="s">
        <v>16</v>
      </c>
      <c r="I91" s="53" t="s">
        <v>196</v>
      </c>
      <c r="J91" s="41">
        <f t="shared" si="3"/>
        <v>12</v>
      </c>
      <c r="M91" s="198"/>
    </row>
    <row r="92" spans="1:13" x14ac:dyDescent="0.3">
      <c r="A92" s="41">
        <f t="shared" si="2"/>
        <v>13</v>
      </c>
      <c r="B92" s="199" t="s">
        <v>197</v>
      </c>
      <c r="G92" s="41"/>
      <c r="H92" s="41"/>
      <c r="J92" s="41">
        <f t="shared" si="3"/>
        <v>13</v>
      </c>
    </row>
    <row r="93" spans="1:13" x14ac:dyDescent="0.3">
      <c r="A93" s="41">
        <f t="shared" si="2"/>
        <v>14</v>
      </c>
      <c r="G93" s="41"/>
      <c r="H93" s="41"/>
      <c r="J93" s="41">
        <f t="shared" si="3"/>
        <v>14</v>
      </c>
    </row>
    <row r="94" spans="1:13" x14ac:dyDescent="0.3">
      <c r="A94" s="41">
        <f t="shared" si="2"/>
        <v>15</v>
      </c>
      <c r="B94" s="46" t="s">
        <v>198</v>
      </c>
      <c r="C94" s="545"/>
      <c r="D94" s="545"/>
      <c r="E94" s="545"/>
      <c r="F94" s="545"/>
      <c r="G94" s="200"/>
      <c r="H94" s="200"/>
      <c r="I94" s="201"/>
      <c r="J94" s="41">
        <f t="shared" si="3"/>
        <v>15</v>
      </c>
      <c r="L94" s="202"/>
    </row>
    <row r="95" spans="1:13" x14ac:dyDescent="0.3">
      <c r="A95" s="41">
        <f t="shared" si="2"/>
        <v>16</v>
      </c>
      <c r="B95" s="57"/>
      <c r="C95" s="545"/>
      <c r="D95" s="545"/>
      <c r="E95" s="545"/>
      <c r="F95" s="545"/>
      <c r="G95" s="200"/>
      <c r="H95" s="200"/>
      <c r="I95" s="203"/>
      <c r="J95" s="41">
        <f t="shared" si="3"/>
        <v>16</v>
      </c>
      <c r="L95" s="545"/>
    </row>
    <row r="96" spans="1:13" x14ac:dyDescent="0.3">
      <c r="A96" s="41">
        <f t="shared" si="2"/>
        <v>17</v>
      </c>
      <c r="B96" s="48" t="s">
        <v>188</v>
      </c>
      <c r="C96" s="545"/>
      <c r="D96" s="545"/>
      <c r="E96" s="545"/>
      <c r="F96" s="545"/>
      <c r="G96" s="200"/>
      <c r="H96" s="200"/>
      <c r="I96" s="203"/>
      <c r="J96" s="41">
        <f t="shared" si="3"/>
        <v>17</v>
      </c>
      <c r="L96" s="545"/>
    </row>
    <row r="97" spans="1:13" x14ac:dyDescent="0.3">
      <c r="A97" s="41">
        <f t="shared" si="2"/>
        <v>18</v>
      </c>
      <c r="B97" s="42" t="s">
        <v>189</v>
      </c>
      <c r="D97" s="545"/>
      <c r="E97" s="545"/>
      <c r="F97" s="545"/>
      <c r="G97" s="175">
        <f>G85</f>
        <v>5.9534869804339169E-2</v>
      </c>
      <c r="H97" s="175"/>
      <c r="I97" s="53" t="str">
        <f>"Line "&amp;A85&amp;" Above"</f>
        <v>Line 6 Above</v>
      </c>
      <c r="J97" s="41">
        <f t="shared" si="3"/>
        <v>18</v>
      </c>
      <c r="L97" s="41"/>
    </row>
    <row r="98" spans="1:13" x14ac:dyDescent="0.3">
      <c r="A98" s="41">
        <f t="shared" si="2"/>
        <v>19</v>
      </c>
      <c r="B98" s="42" t="s">
        <v>199</v>
      </c>
      <c r="D98" s="545"/>
      <c r="E98" s="545"/>
      <c r="F98" s="545"/>
      <c r="G98" s="204">
        <f>G87</f>
        <v>8264.7629899999993</v>
      </c>
      <c r="H98" s="204"/>
      <c r="I98" s="53" t="str">
        <f>"Line "&amp;A87&amp;" Above"</f>
        <v>Line 8 Above</v>
      </c>
      <c r="J98" s="41">
        <f t="shared" si="3"/>
        <v>19</v>
      </c>
      <c r="L98" s="41"/>
    </row>
    <row r="99" spans="1:13" x14ac:dyDescent="0.3">
      <c r="A99" s="41">
        <f t="shared" si="2"/>
        <v>20</v>
      </c>
      <c r="B99" s="42" t="s">
        <v>200</v>
      </c>
      <c r="D99" s="545"/>
      <c r="E99" s="545"/>
      <c r="F99" s="545"/>
      <c r="G99" s="205">
        <f>G88</f>
        <v>4523442.3480143677</v>
      </c>
      <c r="H99" s="27" t="s">
        <v>16</v>
      </c>
      <c r="I99" s="53" t="str">
        <f>"Line "&amp;A88&amp;" Above"</f>
        <v>Line 9 Above</v>
      </c>
      <c r="J99" s="41">
        <f t="shared" si="3"/>
        <v>20</v>
      </c>
      <c r="L99" s="41"/>
    </row>
    <row r="100" spans="1:13" x14ac:dyDescent="0.3">
      <c r="A100" s="41">
        <f t="shared" si="2"/>
        <v>21</v>
      </c>
      <c r="B100" s="42" t="s">
        <v>201</v>
      </c>
      <c r="D100" s="545"/>
      <c r="E100" s="545"/>
      <c r="F100" s="545"/>
      <c r="G100" s="739">
        <f>G91</f>
        <v>1.6237318342198111E-2</v>
      </c>
      <c r="H100" s="27" t="s">
        <v>16</v>
      </c>
      <c r="I100" s="53" t="str">
        <f>"Line "&amp;A91&amp;" Above"</f>
        <v>Line 12 Above</v>
      </c>
      <c r="J100" s="41">
        <f t="shared" si="3"/>
        <v>21</v>
      </c>
    </row>
    <row r="101" spans="1:13" x14ac:dyDescent="0.3">
      <c r="A101" s="41">
        <f t="shared" si="2"/>
        <v>22</v>
      </c>
      <c r="B101" s="42" t="s">
        <v>202</v>
      </c>
      <c r="D101" s="545"/>
      <c r="E101" s="545"/>
      <c r="F101" s="545"/>
      <c r="G101" s="530" t="s">
        <v>203</v>
      </c>
      <c r="H101" s="545"/>
      <c r="I101" s="53" t="s">
        <v>204</v>
      </c>
      <c r="J101" s="41">
        <f t="shared" si="3"/>
        <v>22</v>
      </c>
    </row>
    <row r="102" spans="1:13" x14ac:dyDescent="0.3">
      <c r="A102" s="41">
        <f t="shared" si="2"/>
        <v>23</v>
      </c>
      <c r="B102" s="546"/>
      <c r="D102" s="545"/>
      <c r="E102" s="545"/>
      <c r="F102" s="545"/>
      <c r="G102" s="207"/>
      <c r="H102" s="207"/>
      <c r="I102" s="203"/>
      <c r="J102" s="41">
        <f t="shared" si="3"/>
        <v>23</v>
      </c>
    </row>
    <row r="103" spans="1:13" x14ac:dyDescent="0.3">
      <c r="A103" s="41">
        <f t="shared" si="2"/>
        <v>24</v>
      </c>
      <c r="B103" s="42" t="s">
        <v>205</v>
      </c>
      <c r="C103" s="41"/>
      <c r="D103" s="41"/>
      <c r="E103" s="545"/>
      <c r="F103" s="545"/>
      <c r="G103" s="740">
        <f>((G97)+(G98/G99)+G91)*G101/(1-G101)</f>
        <v>7.5249854213963793E-3</v>
      </c>
      <c r="H103" s="27" t="s">
        <v>16</v>
      </c>
      <c r="I103" s="53" t="s">
        <v>206</v>
      </c>
      <c r="J103" s="41">
        <f t="shared" si="3"/>
        <v>24</v>
      </c>
    </row>
    <row r="104" spans="1:13" x14ac:dyDescent="0.3">
      <c r="A104" s="41">
        <f t="shared" si="2"/>
        <v>25</v>
      </c>
      <c r="B104" s="199" t="s">
        <v>207</v>
      </c>
      <c r="G104" s="41"/>
      <c r="H104" s="41"/>
      <c r="I104" s="53"/>
      <c r="J104" s="41">
        <f t="shared" si="3"/>
        <v>25</v>
      </c>
      <c r="L104" s="41"/>
    </row>
    <row r="105" spans="1:13" x14ac:dyDescent="0.3">
      <c r="A105" s="41">
        <f t="shared" si="2"/>
        <v>26</v>
      </c>
      <c r="G105" s="41"/>
      <c r="H105" s="41"/>
      <c r="I105" s="53"/>
      <c r="J105" s="41">
        <f t="shared" si="3"/>
        <v>26</v>
      </c>
      <c r="L105" s="41"/>
    </row>
    <row r="106" spans="1:13" x14ac:dyDescent="0.3">
      <c r="A106" s="41">
        <f t="shared" si="2"/>
        <v>27</v>
      </c>
      <c r="B106" s="46" t="s">
        <v>208</v>
      </c>
      <c r="G106" s="738">
        <f>G103+G91</f>
        <v>2.3762303763594492E-2</v>
      </c>
      <c r="H106" s="27" t="s">
        <v>16</v>
      </c>
      <c r="I106" s="53" t="str">
        <f>"Line "&amp;A91&amp;" + Line "&amp;A103</f>
        <v>Line 12 + Line 24</v>
      </c>
      <c r="J106" s="41">
        <f t="shared" si="3"/>
        <v>27</v>
      </c>
      <c r="L106" s="41"/>
    </row>
    <row r="107" spans="1:13" x14ac:dyDescent="0.3">
      <c r="A107" s="41">
        <f t="shared" si="2"/>
        <v>28</v>
      </c>
      <c r="G107" s="41"/>
      <c r="H107" s="41"/>
      <c r="I107" s="53"/>
      <c r="J107" s="41">
        <f t="shared" si="3"/>
        <v>28</v>
      </c>
      <c r="L107" s="41"/>
    </row>
    <row r="108" spans="1:13" x14ac:dyDescent="0.3">
      <c r="A108" s="41">
        <f t="shared" si="2"/>
        <v>29</v>
      </c>
      <c r="B108" s="46" t="s">
        <v>209</v>
      </c>
      <c r="G108" s="532">
        <f>G50</f>
        <v>7.6903381456357389E-2</v>
      </c>
      <c r="H108" s="545"/>
      <c r="I108" s="53" t="str">
        <f>"AV1; Line "&amp;A50</f>
        <v>AV1; Line 40</v>
      </c>
      <c r="J108" s="41">
        <f t="shared" si="3"/>
        <v>29</v>
      </c>
      <c r="L108" s="41"/>
    </row>
    <row r="109" spans="1:13" x14ac:dyDescent="0.3">
      <c r="A109" s="41">
        <f t="shared" si="2"/>
        <v>30</v>
      </c>
      <c r="G109" s="175"/>
      <c r="H109" s="175"/>
      <c r="I109" s="53"/>
      <c r="J109" s="41">
        <f t="shared" si="3"/>
        <v>30</v>
      </c>
      <c r="L109" s="41"/>
    </row>
    <row r="110" spans="1:13" ht="18.600000000000001" thickBot="1" x14ac:dyDescent="0.35">
      <c r="A110" s="41">
        <f t="shared" si="2"/>
        <v>31</v>
      </c>
      <c r="B110" s="46" t="s">
        <v>337</v>
      </c>
      <c r="G110" s="741">
        <f>G106+G108</f>
        <v>0.10066568521995188</v>
      </c>
      <c r="H110" s="27" t="s">
        <v>16</v>
      </c>
      <c r="I110" s="53" t="str">
        <f>"Line "&amp;A106&amp;" + Line "&amp;A108</f>
        <v>Line 27 + Line 29</v>
      </c>
      <c r="J110" s="41">
        <f t="shared" si="3"/>
        <v>31</v>
      </c>
      <c r="L110" s="210"/>
      <c r="M110" s="198"/>
    </row>
    <row r="111" spans="1:13" ht="16.2" thickTop="1" x14ac:dyDescent="0.3">
      <c r="B111" s="46"/>
      <c r="G111" s="208"/>
      <c r="H111" s="208"/>
      <c r="I111" s="53"/>
      <c r="J111" s="41"/>
      <c r="L111" s="210"/>
      <c r="M111" s="198"/>
    </row>
    <row r="112" spans="1:13" x14ac:dyDescent="0.3">
      <c r="B112" s="46"/>
      <c r="G112" s="212"/>
      <c r="H112" s="212"/>
      <c r="I112" s="53"/>
      <c r="J112" s="41"/>
      <c r="L112" s="210"/>
      <c r="M112" s="198"/>
    </row>
    <row r="113" spans="1:13" x14ac:dyDescent="0.3">
      <c r="A113" s="541" t="s">
        <v>16</v>
      </c>
      <c r="B113" s="24" t="str">
        <f>'Pg2 Appendix XII C4 Comparison'!B56</f>
        <v>Items in BOLD have changed due to A&amp;G adjustments and removal of CIAC related ADIT per SDG&amp;E's TO5 Cycle 4 Letter Order determination in ER22-527</v>
      </c>
      <c r="G113" s="212"/>
      <c r="H113" s="212"/>
      <c r="I113" s="53"/>
      <c r="J113" s="41"/>
      <c r="L113" s="210"/>
      <c r="M113" s="198"/>
    </row>
    <row r="114" spans="1:13" x14ac:dyDescent="0.3">
      <c r="A114" s="541"/>
      <c r="B114" s="24" t="str">
        <f>'Pg2 Appendix XII C4 Comparison'!B57</f>
        <v>as compared to the original SX-PQ Appendix XII Cycle 4 filing per ER22-133.</v>
      </c>
      <c r="G114" s="212"/>
      <c r="H114" s="212"/>
      <c r="I114" s="53"/>
      <c r="J114" s="41"/>
      <c r="L114" s="210"/>
      <c r="M114" s="198"/>
    </row>
    <row r="115" spans="1:13" ht="18" x14ac:dyDescent="0.3">
      <c r="A115" s="533">
        <v>1</v>
      </c>
      <c r="B115" s="20" t="s">
        <v>338</v>
      </c>
      <c r="G115" s="212"/>
      <c r="H115" s="212"/>
      <c r="I115" s="53"/>
      <c r="J115" s="41"/>
      <c r="L115" s="210"/>
      <c r="M115" s="198"/>
    </row>
    <row r="116" spans="1:13" ht="18" x14ac:dyDescent="0.3">
      <c r="A116" s="533"/>
      <c r="B116" s="20"/>
      <c r="G116" s="212"/>
      <c r="H116" s="212"/>
      <c r="I116" s="53"/>
      <c r="J116" s="41"/>
      <c r="L116" s="210"/>
      <c r="M116" s="198"/>
    </row>
    <row r="117" spans="1:13" x14ac:dyDescent="0.3">
      <c r="A117" s="213"/>
      <c r="B117" s="546"/>
      <c r="C117" s="43"/>
      <c r="D117" s="43"/>
      <c r="E117" s="43"/>
      <c r="F117" s="43"/>
      <c r="G117" s="214"/>
      <c r="H117" s="214"/>
      <c r="I117" s="534"/>
      <c r="J117" s="41"/>
    </row>
    <row r="118" spans="1:13" x14ac:dyDescent="0.3">
      <c r="B118" s="815" t="s">
        <v>24</v>
      </c>
      <c r="C118" s="815"/>
      <c r="D118" s="815"/>
      <c r="E118" s="815"/>
      <c r="F118" s="815"/>
      <c r="G118" s="815"/>
      <c r="H118" s="815"/>
      <c r="I118" s="815"/>
    </row>
    <row r="119" spans="1:13" x14ac:dyDescent="0.3">
      <c r="B119" s="815" t="s">
        <v>127</v>
      </c>
      <c r="C119" s="815"/>
      <c r="D119" s="815"/>
      <c r="E119" s="815"/>
      <c r="F119" s="815"/>
      <c r="G119" s="815"/>
      <c r="H119" s="815"/>
      <c r="I119" s="815"/>
    </row>
    <row r="120" spans="1:13" x14ac:dyDescent="0.3">
      <c r="B120" s="815" t="s">
        <v>128</v>
      </c>
      <c r="C120" s="815"/>
      <c r="D120" s="815"/>
      <c r="E120" s="815"/>
      <c r="F120" s="815"/>
      <c r="G120" s="815"/>
      <c r="H120" s="815"/>
      <c r="I120" s="815"/>
    </row>
    <row r="121" spans="1:13" x14ac:dyDescent="0.3">
      <c r="B121" s="816" t="str">
        <f>B5</f>
        <v>Base Period &amp; True-Up Period 12 - Months Ending December 31, 2020</v>
      </c>
      <c r="C121" s="816"/>
      <c r="D121" s="816"/>
      <c r="E121" s="816"/>
      <c r="F121" s="816"/>
      <c r="G121" s="816"/>
      <c r="H121" s="816"/>
      <c r="I121" s="816"/>
    </row>
    <row r="122" spans="1:13" x14ac:dyDescent="0.3">
      <c r="B122" s="817" t="s">
        <v>1</v>
      </c>
      <c r="C122" s="818"/>
      <c r="D122" s="818"/>
      <c r="E122" s="818"/>
      <c r="F122" s="818"/>
      <c r="G122" s="818"/>
      <c r="H122" s="818"/>
      <c r="I122" s="818"/>
    </row>
    <row r="124" spans="1:13" x14ac:dyDescent="0.3">
      <c r="A124" s="41" t="s">
        <v>2</v>
      </c>
      <c r="B124" s="545"/>
      <c r="C124" s="545"/>
      <c r="D124" s="545"/>
      <c r="E124" s="545"/>
      <c r="F124" s="545"/>
      <c r="G124" s="545"/>
      <c r="H124" s="545"/>
      <c r="I124" s="53"/>
      <c r="J124" s="41" t="s">
        <v>2</v>
      </c>
    </row>
    <row r="125" spans="1:13" x14ac:dyDescent="0.3">
      <c r="A125" s="41" t="s">
        <v>6</v>
      </c>
      <c r="B125" s="41"/>
      <c r="C125" s="41"/>
      <c r="D125" s="41"/>
      <c r="E125" s="41"/>
      <c r="F125" s="41"/>
      <c r="G125" s="463" t="s">
        <v>4</v>
      </c>
      <c r="H125" s="545"/>
      <c r="I125" s="517" t="s">
        <v>5</v>
      </c>
      <c r="J125" s="41" t="s">
        <v>6</v>
      </c>
    </row>
    <row r="127" spans="1:13" ht="18" x14ac:dyDescent="0.3">
      <c r="A127" s="41">
        <v>1</v>
      </c>
      <c r="B127" s="46" t="s">
        <v>339</v>
      </c>
      <c r="J127" s="41">
        <v>1</v>
      </c>
    </row>
    <row r="128" spans="1:13" x14ac:dyDescent="0.3">
      <c r="A128" s="41">
        <f>A127+1</f>
        <v>2</v>
      </c>
      <c r="B128" s="188"/>
      <c r="J128" s="41">
        <f>J127+1</f>
        <v>2</v>
      </c>
    </row>
    <row r="129" spans="1:10" x14ac:dyDescent="0.3">
      <c r="A129" s="41">
        <f>A128+1</f>
        <v>3</v>
      </c>
      <c r="B129" s="46" t="s">
        <v>335</v>
      </c>
      <c r="J129" s="41">
        <f>J128+1</f>
        <v>3</v>
      </c>
    </row>
    <row r="130" spans="1:10" x14ac:dyDescent="0.3">
      <c r="A130" s="41">
        <f>A129+1</f>
        <v>4</v>
      </c>
      <c r="B130" s="545"/>
      <c r="J130" s="41">
        <f>J129+1</f>
        <v>4</v>
      </c>
    </row>
    <row r="131" spans="1:10" x14ac:dyDescent="0.3">
      <c r="A131" s="41">
        <f t="shared" ref="A131:A157" si="4">A130+1</f>
        <v>5</v>
      </c>
      <c r="B131" s="48" t="s">
        <v>188</v>
      </c>
      <c r="J131" s="41">
        <f t="shared" ref="J131:J157" si="5">J130+1</f>
        <v>5</v>
      </c>
    </row>
    <row r="132" spans="1:10" x14ac:dyDescent="0.3">
      <c r="A132" s="41">
        <f t="shared" si="4"/>
        <v>6</v>
      </c>
      <c r="B132" s="42" t="str">
        <f>B85</f>
        <v xml:space="preserve">     A = Sum of Preferred Stock and Return on Equity Component</v>
      </c>
      <c r="G132" s="190">
        <f>G65</f>
        <v>0</v>
      </c>
      <c r="I132" s="53" t="str">
        <f>"AV1; Line "&amp;A65</f>
        <v>AV1; Line 55</v>
      </c>
      <c r="J132" s="41">
        <f t="shared" si="5"/>
        <v>6</v>
      </c>
    </row>
    <row r="133" spans="1:10" x14ac:dyDescent="0.3">
      <c r="A133" s="41">
        <f t="shared" si="4"/>
        <v>7</v>
      </c>
      <c r="B133" s="42" t="str">
        <f>B86</f>
        <v xml:space="preserve">     B = Transmission Total Federal Tax Adjustments</v>
      </c>
      <c r="G133" s="211">
        <v>0</v>
      </c>
      <c r="I133" s="184" t="s">
        <v>19</v>
      </c>
      <c r="J133" s="41">
        <f t="shared" si="5"/>
        <v>7</v>
      </c>
    </row>
    <row r="134" spans="1:10" x14ac:dyDescent="0.3">
      <c r="A134" s="41">
        <f t="shared" si="4"/>
        <v>8</v>
      </c>
      <c r="B134" s="42" t="s">
        <v>191</v>
      </c>
      <c r="G134" s="535">
        <v>0</v>
      </c>
      <c r="I134" s="184" t="s">
        <v>19</v>
      </c>
      <c r="J134" s="41">
        <f t="shared" si="5"/>
        <v>8</v>
      </c>
    </row>
    <row r="135" spans="1:10" x14ac:dyDescent="0.3">
      <c r="A135" s="41">
        <f t="shared" si="4"/>
        <v>9</v>
      </c>
      <c r="B135" s="42" t="s">
        <v>210</v>
      </c>
      <c r="G135" s="535">
        <v>0</v>
      </c>
      <c r="I135" s="184" t="s">
        <v>19</v>
      </c>
      <c r="J135" s="41">
        <f t="shared" si="5"/>
        <v>9</v>
      </c>
    </row>
    <row r="136" spans="1:10" x14ac:dyDescent="0.3">
      <c r="A136" s="41">
        <f t="shared" si="4"/>
        <v>10</v>
      </c>
      <c r="B136" s="42" t="str">
        <f>B89</f>
        <v xml:space="preserve">     FT = Federal Income Tax Rate for Rate Effective Period</v>
      </c>
      <c r="G136" s="536">
        <f>G89</f>
        <v>0.21</v>
      </c>
      <c r="I136" s="53" t="str">
        <f>"AV2; Line "&amp;A89</f>
        <v>AV2; Line 10</v>
      </c>
      <c r="J136" s="41">
        <f t="shared" si="5"/>
        <v>10</v>
      </c>
    </row>
    <row r="137" spans="1:10" x14ac:dyDescent="0.3">
      <c r="A137" s="41">
        <f t="shared" si="4"/>
        <v>11</v>
      </c>
      <c r="G137" s="41"/>
      <c r="J137" s="41">
        <f t="shared" si="5"/>
        <v>11</v>
      </c>
    </row>
    <row r="138" spans="1:10" x14ac:dyDescent="0.3">
      <c r="A138" s="41">
        <f t="shared" si="4"/>
        <v>12</v>
      </c>
      <c r="B138" s="42" t="s">
        <v>211</v>
      </c>
      <c r="G138" s="197">
        <f>IFERROR((((G132)+(G134/G135))*G136-(G133/G135))/(1-G136),0)</f>
        <v>0</v>
      </c>
      <c r="I138" s="53" t="s">
        <v>212</v>
      </c>
      <c r="J138" s="41">
        <f t="shared" si="5"/>
        <v>12</v>
      </c>
    </row>
    <row r="139" spans="1:10" x14ac:dyDescent="0.3">
      <c r="A139" s="41">
        <f t="shared" si="4"/>
        <v>13</v>
      </c>
      <c r="B139" s="199" t="s">
        <v>197</v>
      </c>
      <c r="G139" s="183"/>
      <c r="J139" s="41">
        <f t="shared" si="5"/>
        <v>13</v>
      </c>
    </row>
    <row r="140" spans="1:10" x14ac:dyDescent="0.3">
      <c r="A140" s="41">
        <f t="shared" si="4"/>
        <v>14</v>
      </c>
      <c r="G140" s="41"/>
      <c r="J140" s="41">
        <f t="shared" si="5"/>
        <v>14</v>
      </c>
    </row>
    <row r="141" spans="1:10" x14ac:dyDescent="0.3">
      <c r="A141" s="41">
        <f t="shared" si="4"/>
        <v>15</v>
      </c>
      <c r="B141" s="46" t="s">
        <v>198</v>
      </c>
      <c r="G141" s="200"/>
      <c r="I141" s="201"/>
      <c r="J141" s="41">
        <f t="shared" si="5"/>
        <v>15</v>
      </c>
    </row>
    <row r="142" spans="1:10" x14ac:dyDescent="0.3">
      <c r="A142" s="41">
        <f t="shared" si="4"/>
        <v>16</v>
      </c>
      <c r="B142" s="57"/>
      <c r="G142" s="200"/>
      <c r="I142" s="189"/>
      <c r="J142" s="41">
        <f t="shared" si="5"/>
        <v>16</v>
      </c>
    </row>
    <row r="143" spans="1:10" x14ac:dyDescent="0.3">
      <c r="A143" s="41">
        <f t="shared" si="4"/>
        <v>17</v>
      </c>
      <c r="B143" s="48" t="s">
        <v>188</v>
      </c>
      <c r="G143" s="200"/>
      <c r="I143" s="189"/>
      <c r="J143" s="41">
        <f t="shared" si="5"/>
        <v>17</v>
      </c>
    </row>
    <row r="144" spans="1:10" x14ac:dyDescent="0.3">
      <c r="A144" s="41">
        <f t="shared" si="4"/>
        <v>18</v>
      </c>
      <c r="B144" s="42" t="str">
        <f>B97</f>
        <v xml:space="preserve">     A = Sum of Preferred Stock and Return on Equity Component</v>
      </c>
      <c r="G144" s="175">
        <f>G132</f>
        <v>0</v>
      </c>
      <c r="I144" s="53" t="str">
        <f>"Line "&amp;A132&amp;" Above"</f>
        <v>Line 6 Above</v>
      </c>
      <c r="J144" s="41">
        <f t="shared" si="5"/>
        <v>18</v>
      </c>
    </row>
    <row r="145" spans="1:10" x14ac:dyDescent="0.3">
      <c r="A145" s="41">
        <f t="shared" si="4"/>
        <v>19</v>
      </c>
      <c r="B145" s="42" t="str">
        <f>B98</f>
        <v xml:space="preserve">     B = Equity AFUDC Component of Transmission Depreciation Expense</v>
      </c>
      <c r="G145" s="204">
        <f>G134</f>
        <v>0</v>
      </c>
      <c r="I145" s="53" t="str">
        <f>"Line "&amp;A134&amp;" Above"</f>
        <v>Line 8 Above</v>
      </c>
      <c r="J145" s="41">
        <f t="shared" si="5"/>
        <v>19</v>
      </c>
    </row>
    <row r="146" spans="1:10" x14ac:dyDescent="0.3">
      <c r="A146" s="41">
        <f t="shared" si="4"/>
        <v>20</v>
      </c>
      <c r="B146" s="42" t="s">
        <v>213</v>
      </c>
      <c r="G146" s="204">
        <f>G135</f>
        <v>0</v>
      </c>
      <c r="I146" s="53" t="str">
        <f>"Line "&amp;A135&amp;" Above"</f>
        <v>Line 9 Above</v>
      </c>
      <c r="J146" s="41">
        <f t="shared" si="5"/>
        <v>20</v>
      </c>
    </row>
    <row r="147" spans="1:10" x14ac:dyDescent="0.3">
      <c r="A147" s="41">
        <f t="shared" si="4"/>
        <v>21</v>
      </c>
      <c r="B147" s="42" t="str">
        <f>B100</f>
        <v xml:space="preserve">     FT = Federal Income Tax Expense</v>
      </c>
      <c r="G147" s="206">
        <f>G138</f>
        <v>0</v>
      </c>
      <c r="I147" s="53" t="str">
        <f>"Line "&amp;A138&amp;" Above"</f>
        <v>Line 12 Above</v>
      </c>
      <c r="J147" s="41">
        <f t="shared" si="5"/>
        <v>21</v>
      </c>
    </row>
    <row r="148" spans="1:10" x14ac:dyDescent="0.3">
      <c r="A148" s="41">
        <f t="shared" si="4"/>
        <v>22</v>
      </c>
      <c r="B148" s="42" t="str">
        <f>B101</f>
        <v xml:space="preserve">     ST = State Income Tax Rate for Rate Effective Period</v>
      </c>
      <c r="G148" s="537" t="str">
        <f>G101</f>
        <v>8.84%</v>
      </c>
      <c r="I148" s="53" t="str">
        <f>"AV2; Line "&amp;A101</f>
        <v>AV2; Line 22</v>
      </c>
      <c r="J148" s="41">
        <f t="shared" si="5"/>
        <v>22</v>
      </c>
    </row>
    <row r="149" spans="1:10" x14ac:dyDescent="0.3">
      <c r="A149" s="41">
        <f t="shared" si="4"/>
        <v>23</v>
      </c>
      <c r="B149" s="546"/>
      <c r="G149" s="207"/>
      <c r="I149" s="203"/>
      <c r="J149" s="41">
        <f t="shared" si="5"/>
        <v>23</v>
      </c>
    </row>
    <row r="150" spans="1:10" x14ac:dyDescent="0.3">
      <c r="A150" s="41">
        <f t="shared" si="4"/>
        <v>24</v>
      </c>
      <c r="B150" s="42" t="s">
        <v>205</v>
      </c>
      <c r="G150" s="531">
        <f>IFERROR(((G144)+(G145/G146)+G138)*G148/(1-G148),0)</f>
        <v>0</v>
      </c>
      <c r="I150" s="53" t="s">
        <v>206</v>
      </c>
      <c r="J150" s="41">
        <f t="shared" si="5"/>
        <v>24</v>
      </c>
    </row>
    <row r="151" spans="1:10" x14ac:dyDescent="0.3">
      <c r="A151" s="41">
        <f t="shared" si="4"/>
        <v>25</v>
      </c>
      <c r="B151" s="199" t="s">
        <v>207</v>
      </c>
      <c r="G151" s="41"/>
      <c r="I151" s="53"/>
      <c r="J151" s="41">
        <f t="shared" si="5"/>
        <v>25</v>
      </c>
    </row>
    <row r="152" spans="1:10" x14ac:dyDescent="0.3">
      <c r="A152" s="41">
        <f t="shared" si="4"/>
        <v>26</v>
      </c>
      <c r="G152" s="41"/>
      <c r="I152" s="53"/>
      <c r="J152" s="41">
        <f t="shared" si="5"/>
        <v>26</v>
      </c>
    </row>
    <row r="153" spans="1:10" x14ac:dyDescent="0.3">
      <c r="A153" s="41">
        <f t="shared" si="4"/>
        <v>27</v>
      </c>
      <c r="B153" s="46" t="s">
        <v>208</v>
      </c>
      <c r="G153" s="197">
        <f>G150+G138</f>
        <v>0</v>
      </c>
      <c r="I153" s="53" t="str">
        <f>"Line "&amp;A138&amp;" + Line "&amp;A150</f>
        <v>Line 12 + Line 24</v>
      </c>
      <c r="J153" s="41">
        <f t="shared" si="5"/>
        <v>27</v>
      </c>
    </row>
    <row r="154" spans="1:10" x14ac:dyDescent="0.3">
      <c r="A154" s="41">
        <f t="shared" si="4"/>
        <v>28</v>
      </c>
      <c r="G154" s="41"/>
      <c r="I154" s="53"/>
      <c r="J154" s="41">
        <f t="shared" si="5"/>
        <v>28</v>
      </c>
    </row>
    <row r="155" spans="1:10" x14ac:dyDescent="0.3">
      <c r="A155" s="41">
        <f t="shared" si="4"/>
        <v>29</v>
      </c>
      <c r="B155" s="46" t="s">
        <v>214</v>
      </c>
      <c r="G155" s="538">
        <f>G63</f>
        <v>0</v>
      </c>
      <c r="I155" s="53" t="str">
        <f>"AV1; Line "&amp;A63</f>
        <v>AV1; Line 53</v>
      </c>
      <c r="J155" s="41">
        <f t="shared" si="5"/>
        <v>29</v>
      </c>
    </row>
    <row r="156" spans="1:10" x14ac:dyDescent="0.3">
      <c r="A156" s="41">
        <f t="shared" si="4"/>
        <v>30</v>
      </c>
      <c r="G156" s="41"/>
      <c r="I156" s="53"/>
      <c r="J156" s="41">
        <f t="shared" si="5"/>
        <v>30</v>
      </c>
    </row>
    <row r="157" spans="1:10" ht="18.600000000000001" thickBot="1" x14ac:dyDescent="0.35">
      <c r="A157" s="41">
        <f t="shared" si="4"/>
        <v>31</v>
      </c>
      <c r="B157" s="46" t="s">
        <v>340</v>
      </c>
      <c r="G157" s="215">
        <f>G153+G155</f>
        <v>0</v>
      </c>
      <c r="I157" s="53" t="str">
        <f>"Line "&amp;A153&amp;" + Line "&amp;A155</f>
        <v>Line 27 + Line 29</v>
      </c>
      <c r="J157" s="41">
        <f t="shared" si="5"/>
        <v>31</v>
      </c>
    </row>
    <row r="158" spans="1:10" ht="16.2" thickTop="1" x14ac:dyDescent="0.3"/>
    <row r="160" spans="1:10" ht="18" x14ac:dyDescent="0.3">
      <c r="A160" s="71"/>
      <c r="B160" s="20"/>
    </row>
  </sheetData>
  <mergeCells count="15">
    <mergeCell ref="B122:I122"/>
    <mergeCell ref="B119:I119"/>
    <mergeCell ref="B120:I120"/>
    <mergeCell ref="B121:I121"/>
    <mergeCell ref="B71:I71"/>
    <mergeCell ref="B72:I72"/>
    <mergeCell ref="B73:I73"/>
    <mergeCell ref="B74:I74"/>
    <mergeCell ref="B118:I118"/>
    <mergeCell ref="B75:I75"/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2" orientation="portrait" r:id="rId1"/>
  <headerFooter scaleWithDoc="0" alignWithMargins="0">
    <oddHeader>&amp;C&amp;"Times New Roman,Bold"&amp;9REVISED</oddHeader>
    <oddFooter>&amp;CPage 11.&amp;P&amp;R&amp;F</oddFooter>
  </headerFooter>
  <rowBreaks count="2" manualBreakCount="2">
    <brk id="69" max="16383" man="1"/>
    <brk id="116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82BD-6AE7-4F45-9C8F-531F7665895A}">
  <dimension ref="A1:M159"/>
  <sheetViews>
    <sheetView zoomScale="80" zoomScaleNormal="80" workbookViewId="0"/>
  </sheetViews>
  <sheetFormatPr defaultColWidth="8.77734375" defaultRowHeight="15.6" x14ac:dyDescent="0.3"/>
  <cols>
    <col min="1" max="1" width="5.109375" style="41" customWidth="1"/>
    <col min="2" max="2" width="55.33203125" style="42" customWidth="1"/>
    <col min="3" max="5" width="15.5546875" style="42" customWidth="1"/>
    <col min="6" max="6" width="1.5546875" style="42" customWidth="1"/>
    <col min="7" max="7" width="16.77734375" style="42" customWidth="1"/>
    <col min="8" max="8" width="1.5546875" style="42" customWidth="1"/>
    <col min="9" max="9" width="38.77734375" style="160" customWidth="1"/>
    <col min="10" max="10" width="5.109375" style="42" customWidth="1"/>
    <col min="11" max="11" width="27" style="42" bestFit="1" customWidth="1"/>
    <col min="12" max="12" width="15" style="42" bestFit="1" customWidth="1"/>
    <col min="13" max="13" width="10.33203125" style="42" bestFit="1" customWidth="1"/>
    <col min="14" max="16384" width="8.77734375" style="42"/>
  </cols>
  <sheetData>
    <row r="1" spans="1:10" x14ac:dyDescent="0.3">
      <c r="A1" s="718" t="s">
        <v>614</v>
      </c>
    </row>
    <row r="2" spans="1:10" x14ac:dyDescent="0.3">
      <c r="A2" s="516"/>
      <c r="G2" s="67"/>
      <c r="H2" s="67"/>
      <c r="I2" s="184"/>
      <c r="J2" s="41"/>
    </row>
    <row r="3" spans="1:10" x14ac:dyDescent="0.3">
      <c r="B3" s="815" t="s">
        <v>332</v>
      </c>
      <c r="C3" s="815"/>
      <c r="D3" s="815"/>
      <c r="E3" s="815"/>
      <c r="F3" s="815"/>
      <c r="G3" s="815"/>
      <c r="H3" s="815"/>
      <c r="I3" s="815"/>
      <c r="J3" s="41"/>
    </row>
    <row r="4" spans="1:10" x14ac:dyDescent="0.3">
      <c r="B4" s="815" t="s">
        <v>127</v>
      </c>
      <c r="C4" s="815"/>
      <c r="D4" s="815"/>
      <c r="E4" s="815"/>
      <c r="F4" s="815"/>
      <c r="G4" s="815"/>
      <c r="H4" s="815"/>
      <c r="I4" s="815"/>
      <c r="J4" s="41"/>
    </row>
    <row r="5" spans="1:10" x14ac:dyDescent="0.3">
      <c r="B5" s="815" t="s">
        <v>128</v>
      </c>
      <c r="C5" s="815"/>
      <c r="D5" s="815"/>
      <c r="E5" s="815"/>
      <c r="F5" s="815"/>
      <c r="G5" s="815"/>
      <c r="H5" s="815"/>
      <c r="I5" s="815"/>
      <c r="J5" s="41"/>
    </row>
    <row r="6" spans="1:10" x14ac:dyDescent="0.3">
      <c r="B6" s="816" t="s">
        <v>544</v>
      </c>
      <c r="C6" s="816"/>
      <c r="D6" s="816"/>
      <c r="E6" s="816"/>
      <c r="F6" s="816"/>
      <c r="G6" s="816"/>
      <c r="H6" s="816"/>
      <c r="I6" s="816"/>
      <c r="J6" s="41"/>
    </row>
    <row r="7" spans="1:10" x14ac:dyDescent="0.3">
      <c r="B7" s="817" t="s">
        <v>1</v>
      </c>
      <c r="C7" s="818"/>
      <c r="D7" s="818"/>
      <c r="E7" s="818"/>
      <c r="F7" s="818"/>
      <c r="G7" s="818"/>
      <c r="H7" s="818"/>
      <c r="I7" s="818"/>
      <c r="J7" s="41"/>
    </row>
    <row r="8" spans="1:10" x14ac:dyDescent="0.3">
      <c r="B8" s="41"/>
      <c r="C8" s="41"/>
      <c r="D8" s="41"/>
      <c r="E8" s="41"/>
      <c r="F8" s="41"/>
      <c r="G8" s="41"/>
      <c r="H8" s="41"/>
      <c r="I8" s="53"/>
      <c r="J8" s="41"/>
    </row>
    <row r="9" spans="1:10" x14ac:dyDescent="0.3">
      <c r="A9" s="41" t="s">
        <v>2</v>
      </c>
      <c r="B9" s="721"/>
      <c r="C9" s="721"/>
      <c r="D9" s="721"/>
      <c r="E9" s="41" t="s">
        <v>27</v>
      </c>
      <c r="F9" s="721"/>
      <c r="G9" s="721"/>
      <c r="H9" s="721"/>
      <c r="I9" s="53"/>
      <c r="J9" s="41" t="s">
        <v>2</v>
      </c>
    </row>
    <row r="10" spans="1:10" x14ac:dyDescent="0.3">
      <c r="A10" s="41" t="s">
        <v>6</v>
      </c>
      <c r="B10" s="41"/>
      <c r="C10" s="41"/>
      <c r="D10" s="41"/>
      <c r="E10" s="463" t="s">
        <v>28</v>
      </c>
      <c r="F10" s="41"/>
      <c r="G10" s="464" t="s">
        <v>4</v>
      </c>
      <c r="H10" s="721"/>
      <c r="I10" s="517" t="s">
        <v>5</v>
      </c>
      <c r="J10" s="41" t="s">
        <v>6</v>
      </c>
    </row>
    <row r="11" spans="1:10" x14ac:dyDescent="0.3">
      <c r="B11" s="41"/>
      <c r="C11" s="41"/>
      <c r="D11" s="41"/>
      <c r="E11" s="41"/>
      <c r="F11" s="41"/>
      <c r="G11" s="41"/>
      <c r="H11" s="41"/>
      <c r="I11" s="53"/>
      <c r="J11" s="41"/>
    </row>
    <row r="12" spans="1:10" x14ac:dyDescent="0.3">
      <c r="A12" s="41">
        <v>1</v>
      </c>
      <c r="B12" s="46" t="s">
        <v>129</v>
      </c>
      <c r="I12" s="53"/>
      <c r="J12" s="41">
        <f>A12</f>
        <v>1</v>
      </c>
    </row>
    <row r="13" spans="1:10" x14ac:dyDescent="0.3">
      <c r="A13" s="41">
        <f>A12+1</f>
        <v>2</v>
      </c>
      <c r="B13" s="42" t="s">
        <v>130</v>
      </c>
      <c r="E13" s="41" t="s">
        <v>131</v>
      </c>
      <c r="G13" s="161">
        <v>6053573</v>
      </c>
      <c r="H13" s="721"/>
      <c r="I13" s="164"/>
      <c r="J13" s="41">
        <f>J12+1</f>
        <v>2</v>
      </c>
    </row>
    <row r="14" spans="1:10" x14ac:dyDescent="0.3">
      <c r="A14" s="41">
        <f t="shared" ref="A14:A66" si="0">A13+1</f>
        <v>3</v>
      </c>
      <c r="B14" s="42" t="s">
        <v>132</v>
      </c>
      <c r="E14" s="41" t="s">
        <v>133</v>
      </c>
      <c r="G14" s="162">
        <v>0</v>
      </c>
      <c r="H14" s="721"/>
      <c r="I14" s="164"/>
      <c r="J14" s="41">
        <f t="shared" ref="J14:J66" si="1">J13+1</f>
        <v>3</v>
      </c>
    </row>
    <row r="15" spans="1:10" x14ac:dyDescent="0.3">
      <c r="A15" s="41">
        <f t="shared" si="0"/>
        <v>4</v>
      </c>
      <c r="B15" s="42" t="s">
        <v>134</v>
      </c>
      <c r="E15" s="41" t="s">
        <v>135</v>
      </c>
      <c r="G15" s="162">
        <v>0</v>
      </c>
      <c r="H15" s="721"/>
      <c r="I15" s="164"/>
      <c r="J15" s="41">
        <f t="shared" si="1"/>
        <v>4</v>
      </c>
    </row>
    <row r="16" spans="1:10" x14ac:dyDescent="0.3">
      <c r="A16" s="41">
        <f t="shared" si="0"/>
        <v>5</v>
      </c>
      <c r="B16" s="42" t="s">
        <v>136</v>
      </c>
      <c r="E16" s="41" t="s">
        <v>137</v>
      </c>
      <c r="G16" s="162">
        <v>0</v>
      </c>
      <c r="H16" s="721"/>
      <c r="I16" s="164"/>
      <c r="J16" s="41">
        <f t="shared" si="1"/>
        <v>5</v>
      </c>
    </row>
    <row r="17" spans="1:10" x14ac:dyDescent="0.3">
      <c r="A17" s="41">
        <f t="shared" si="0"/>
        <v>6</v>
      </c>
      <c r="B17" s="42" t="s">
        <v>138</v>
      </c>
      <c r="E17" s="41" t="s">
        <v>139</v>
      </c>
      <c r="G17" s="162">
        <v>-13172.642</v>
      </c>
      <c r="H17" s="721"/>
      <c r="I17" s="164"/>
      <c r="J17" s="41">
        <f t="shared" si="1"/>
        <v>6</v>
      </c>
    </row>
    <row r="18" spans="1:10" x14ac:dyDescent="0.3">
      <c r="A18" s="41">
        <f t="shared" si="0"/>
        <v>7</v>
      </c>
      <c r="B18" s="42" t="s">
        <v>140</v>
      </c>
      <c r="G18" s="163">
        <f>SUM(G13:G17)</f>
        <v>6040400.358</v>
      </c>
      <c r="H18" s="157"/>
      <c r="I18" s="53" t="str">
        <f>"Sum Lines "&amp;A13&amp;" thru "&amp;A17</f>
        <v>Sum Lines 2 thru 6</v>
      </c>
      <c r="J18" s="41">
        <f t="shared" si="1"/>
        <v>7</v>
      </c>
    </row>
    <row r="19" spans="1:10" x14ac:dyDescent="0.3">
      <c r="A19" s="41">
        <f t="shared" si="0"/>
        <v>8</v>
      </c>
      <c r="I19" s="53"/>
      <c r="J19" s="41">
        <f t="shared" si="1"/>
        <v>8</v>
      </c>
    </row>
    <row r="20" spans="1:10" x14ac:dyDescent="0.3">
      <c r="A20" s="41">
        <f t="shared" si="0"/>
        <v>9</v>
      </c>
      <c r="B20" s="46" t="s">
        <v>141</v>
      </c>
      <c r="G20" s="40"/>
      <c r="H20" s="40"/>
      <c r="I20" s="53"/>
      <c r="J20" s="41">
        <f t="shared" si="1"/>
        <v>9</v>
      </c>
    </row>
    <row r="21" spans="1:10" x14ac:dyDescent="0.3">
      <c r="A21" s="41">
        <f t="shared" si="0"/>
        <v>10</v>
      </c>
      <c r="B21" s="42" t="s">
        <v>142</v>
      </c>
      <c r="E21" s="41" t="s">
        <v>143</v>
      </c>
      <c r="G21" s="161">
        <v>233778.584</v>
      </c>
      <c r="H21" s="721"/>
      <c r="I21" s="164"/>
      <c r="J21" s="41">
        <f t="shared" si="1"/>
        <v>10</v>
      </c>
    </row>
    <row r="22" spans="1:10" x14ac:dyDescent="0.3">
      <c r="A22" s="41">
        <f t="shared" si="0"/>
        <v>11</v>
      </c>
      <c r="B22" s="42" t="s">
        <v>144</v>
      </c>
      <c r="E22" s="41" t="s">
        <v>145</v>
      </c>
      <c r="G22" s="162">
        <v>4107.085</v>
      </c>
      <c r="H22" s="721"/>
      <c r="I22" s="164"/>
      <c r="J22" s="41">
        <f t="shared" si="1"/>
        <v>11</v>
      </c>
    </row>
    <row r="23" spans="1:10" x14ac:dyDescent="0.3">
      <c r="A23" s="41">
        <f t="shared" si="0"/>
        <v>12</v>
      </c>
      <c r="B23" s="42" t="s">
        <v>146</v>
      </c>
      <c r="E23" s="41" t="s">
        <v>147</v>
      </c>
      <c r="G23" s="162">
        <v>1449.7840000000001</v>
      </c>
      <c r="H23" s="721"/>
      <c r="I23" s="164"/>
      <c r="J23" s="41">
        <f t="shared" si="1"/>
        <v>12</v>
      </c>
    </row>
    <row r="24" spans="1:10" x14ac:dyDescent="0.3">
      <c r="A24" s="41">
        <f t="shared" si="0"/>
        <v>13</v>
      </c>
      <c r="B24" s="42" t="s">
        <v>148</v>
      </c>
      <c r="E24" s="41" t="s">
        <v>149</v>
      </c>
      <c r="G24" s="162">
        <v>0</v>
      </c>
      <c r="H24" s="721"/>
      <c r="I24" s="164"/>
      <c r="J24" s="41">
        <f t="shared" si="1"/>
        <v>13</v>
      </c>
    </row>
    <row r="25" spans="1:10" x14ac:dyDescent="0.3">
      <c r="A25" s="41">
        <f t="shared" si="0"/>
        <v>14</v>
      </c>
      <c r="B25" s="42" t="s">
        <v>150</v>
      </c>
      <c r="E25" s="41" t="s">
        <v>151</v>
      </c>
      <c r="G25" s="162">
        <v>0</v>
      </c>
      <c r="H25" s="721"/>
      <c r="I25" s="164"/>
      <c r="J25" s="41">
        <f t="shared" si="1"/>
        <v>14</v>
      </c>
    </row>
    <row r="26" spans="1:10" x14ac:dyDescent="0.3">
      <c r="A26" s="41">
        <f t="shared" si="0"/>
        <v>15</v>
      </c>
      <c r="B26" s="42" t="s">
        <v>152</v>
      </c>
      <c r="G26" s="165">
        <f>SUM(G21:G25)</f>
        <v>239335.45300000001</v>
      </c>
      <c r="H26" s="166"/>
      <c r="I26" s="53" t="str">
        <f>"Sum Lines "&amp;A21&amp;" thru "&amp;A25</f>
        <v>Sum Lines 10 thru 14</v>
      </c>
      <c r="J26" s="41">
        <f t="shared" si="1"/>
        <v>15</v>
      </c>
    </row>
    <row r="27" spans="1:10" x14ac:dyDescent="0.3">
      <c r="A27" s="41">
        <f t="shared" si="0"/>
        <v>16</v>
      </c>
      <c r="I27" s="53"/>
      <c r="J27" s="41">
        <f t="shared" si="1"/>
        <v>16</v>
      </c>
    </row>
    <row r="28" spans="1:10" ht="16.2" thickBot="1" x14ac:dyDescent="0.35">
      <c r="A28" s="41">
        <f t="shared" si="0"/>
        <v>17</v>
      </c>
      <c r="B28" s="46" t="s">
        <v>153</v>
      </c>
      <c r="G28" s="167">
        <f>G26/G18</f>
        <v>3.9622448648295373E-2</v>
      </c>
      <c r="H28" s="168"/>
      <c r="I28" s="53" t="str">
        <f>"Line "&amp;A26&amp;" / Line "&amp;A18</f>
        <v>Line 15 / Line 7</v>
      </c>
      <c r="J28" s="41">
        <f t="shared" si="1"/>
        <v>17</v>
      </c>
    </row>
    <row r="29" spans="1:10" ht="16.2" thickTop="1" x14ac:dyDescent="0.3">
      <c r="A29" s="41">
        <f t="shared" si="0"/>
        <v>18</v>
      </c>
      <c r="I29" s="53"/>
      <c r="J29" s="41">
        <f t="shared" si="1"/>
        <v>18</v>
      </c>
    </row>
    <row r="30" spans="1:10" x14ac:dyDescent="0.3">
      <c r="A30" s="41">
        <f t="shared" si="0"/>
        <v>19</v>
      </c>
      <c r="B30" s="46" t="s">
        <v>154</v>
      </c>
      <c r="I30" s="53"/>
      <c r="J30" s="41">
        <f t="shared" si="1"/>
        <v>19</v>
      </c>
    </row>
    <row r="31" spans="1:10" x14ac:dyDescent="0.3">
      <c r="A31" s="41">
        <f t="shared" si="0"/>
        <v>20</v>
      </c>
      <c r="B31" s="42" t="s">
        <v>155</v>
      </c>
      <c r="E31" s="41" t="s">
        <v>156</v>
      </c>
      <c r="G31" s="161">
        <v>0</v>
      </c>
      <c r="H31" s="721"/>
      <c r="I31" s="164"/>
      <c r="J31" s="41">
        <f t="shared" si="1"/>
        <v>20</v>
      </c>
    </row>
    <row r="32" spans="1:10" x14ac:dyDescent="0.3">
      <c r="A32" s="41">
        <f t="shared" si="0"/>
        <v>21</v>
      </c>
      <c r="B32" s="42" t="s">
        <v>157</v>
      </c>
      <c r="E32" s="41" t="s">
        <v>158</v>
      </c>
      <c r="G32" s="518">
        <v>0</v>
      </c>
      <c r="H32" s="721"/>
      <c r="I32" s="164"/>
      <c r="J32" s="41">
        <f t="shared" si="1"/>
        <v>21</v>
      </c>
    </row>
    <row r="33" spans="1:12" ht="16.2" thickBot="1" x14ac:dyDescent="0.35">
      <c r="A33" s="41">
        <f t="shared" si="0"/>
        <v>22</v>
      </c>
      <c r="B33" s="42" t="s">
        <v>159</v>
      </c>
      <c r="G33" s="167">
        <f>IFERROR((G32/G31),0)</f>
        <v>0</v>
      </c>
      <c r="H33" s="168"/>
      <c r="I33" s="53" t="str">
        <f>"Line "&amp;A32&amp;" / Line "&amp;A31</f>
        <v>Line 21 / Line 20</v>
      </c>
      <c r="J33" s="41">
        <f t="shared" si="1"/>
        <v>22</v>
      </c>
    </row>
    <row r="34" spans="1:12" ht="16.2" thickTop="1" x14ac:dyDescent="0.3">
      <c r="A34" s="41">
        <f t="shared" si="0"/>
        <v>23</v>
      </c>
      <c r="I34" s="53"/>
      <c r="J34" s="41">
        <f t="shared" si="1"/>
        <v>23</v>
      </c>
    </row>
    <row r="35" spans="1:12" x14ac:dyDescent="0.3">
      <c r="A35" s="41">
        <f t="shared" si="0"/>
        <v>24</v>
      </c>
      <c r="B35" s="46" t="s">
        <v>160</v>
      </c>
      <c r="I35" s="53"/>
      <c r="J35" s="41">
        <f t="shared" si="1"/>
        <v>24</v>
      </c>
    </row>
    <row r="36" spans="1:12" x14ac:dyDescent="0.3">
      <c r="A36" s="41">
        <f t="shared" si="0"/>
        <v>25</v>
      </c>
      <c r="B36" s="42" t="s">
        <v>161</v>
      </c>
      <c r="E36" s="41" t="s">
        <v>162</v>
      </c>
      <c r="G36" s="161">
        <v>7729413.6809999999</v>
      </c>
      <c r="H36" s="721"/>
      <c r="I36" s="164"/>
      <c r="J36" s="41">
        <f t="shared" si="1"/>
        <v>25</v>
      </c>
      <c r="K36" s="49"/>
      <c r="L36" s="519"/>
    </row>
    <row r="37" spans="1:12" x14ac:dyDescent="0.3">
      <c r="A37" s="41">
        <f t="shared" si="0"/>
        <v>26</v>
      </c>
      <c r="B37" s="42" t="s">
        <v>163</v>
      </c>
      <c r="E37" s="41" t="s">
        <v>156</v>
      </c>
      <c r="G37" s="169">
        <v>0</v>
      </c>
      <c r="H37" s="169"/>
      <c r="I37" s="53" t="str">
        <f>"Negative of Line "&amp;A31&amp;" Above"</f>
        <v>Negative of Line 20 Above</v>
      </c>
      <c r="J37" s="41">
        <f t="shared" si="1"/>
        <v>26</v>
      </c>
    </row>
    <row r="38" spans="1:12" x14ac:dyDescent="0.3">
      <c r="A38" s="41">
        <f t="shared" si="0"/>
        <v>27</v>
      </c>
      <c r="B38" s="42" t="s">
        <v>164</v>
      </c>
      <c r="E38" s="41" t="s">
        <v>165</v>
      </c>
      <c r="G38" s="162">
        <v>0</v>
      </c>
      <c r="H38" s="721"/>
      <c r="I38" s="164"/>
      <c r="J38" s="41">
        <f t="shared" si="1"/>
        <v>27</v>
      </c>
    </row>
    <row r="39" spans="1:12" x14ac:dyDescent="0.3">
      <c r="A39" s="41">
        <f t="shared" si="0"/>
        <v>28</v>
      </c>
      <c r="B39" s="42" t="s">
        <v>166</v>
      </c>
      <c r="E39" s="41" t="s">
        <v>167</v>
      </c>
      <c r="G39" s="162">
        <v>10034.102000000001</v>
      </c>
      <c r="H39" s="721"/>
      <c r="I39" s="164"/>
      <c r="J39" s="41">
        <f t="shared" si="1"/>
        <v>28</v>
      </c>
    </row>
    <row r="40" spans="1:12" ht="16.2" thickBot="1" x14ac:dyDescent="0.35">
      <c r="A40" s="41">
        <f t="shared" si="0"/>
        <v>29</v>
      </c>
      <c r="B40" s="42" t="s">
        <v>168</v>
      </c>
      <c r="G40" s="170">
        <f>SUM(G36:G39)</f>
        <v>7739447.7829999998</v>
      </c>
      <c r="H40" s="171"/>
      <c r="I40" s="53" t="str">
        <f>"Sum Lines "&amp;A36&amp;" thru "&amp;A39</f>
        <v>Sum Lines 25 thru 28</v>
      </c>
      <c r="J40" s="41">
        <f t="shared" si="1"/>
        <v>29</v>
      </c>
    </row>
    <row r="41" spans="1:12" ht="16.8" thickTop="1" thickBot="1" x14ac:dyDescent="0.35">
      <c r="A41" s="172">
        <f t="shared" si="0"/>
        <v>30</v>
      </c>
      <c r="B41" s="86"/>
      <c r="C41" s="86"/>
      <c r="D41" s="86"/>
      <c r="E41" s="86"/>
      <c r="F41" s="86"/>
      <c r="G41" s="86"/>
      <c r="H41" s="86"/>
      <c r="I41" s="173"/>
      <c r="J41" s="172">
        <f t="shared" si="1"/>
        <v>30</v>
      </c>
    </row>
    <row r="42" spans="1:12" x14ac:dyDescent="0.3">
      <c r="A42" s="41">
        <f>A41+1</f>
        <v>31</v>
      </c>
      <c r="I42" s="53"/>
      <c r="J42" s="41">
        <f>J41+1</f>
        <v>31</v>
      </c>
    </row>
    <row r="43" spans="1:12" ht="16.2" thickBot="1" x14ac:dyDescent="0.35">
      <c r="A43" s="41">
        <f>A42+1</f>
        <v>32</v>
      </c>
      <c r="B43" s="46" t="s">
        <v>616</v>
      </c>
      <c r="G43" s="174">
        <v>0.106</v>
      </c>
      <c r="H43" s="721"/>
      <c r="I43" s="41" t="s">
        <v>169</v>
      </c>
      <c r="J43" s="41">
        <f>J42+1</f>
        <v>32</v>
      </c>
    </row>
    <row r="44" spans="1:12" ht="16.2" thickTop="1" x14ac:dyDescent="0.3">
      <c r="A44" s="41">
        <f t="shared" si="0"/>
        <v>33</v>
      </c>
      <c r="C44" s="72" t="s">
        <v>10</v>
      </c>
      <c r="D44" s="72" t="s">
        <v>56</v>
      </c>
      <c r="E44" s="72" t="s">
        <v>170</v>
      </c>
      <c r="F44" s="72"/>
      <c r="G44" s="72" t="s">
        <v>171</v>
      </c>
      <c r="H44" s="72"/>
      <c r="I44" s="53"/>
      <c r="J44" s="41">
        <f t="shared" si="1"/>
        <v>33</v>
      </c>
    </row>
    <row r="45" spans="1:12" x14ac:dyDescent="0.3">
      <c r="A45" s="41">
        <f t="shared" si="0"/>
        <v>34</v>
      </c>
      <c r="D45" s="41" t="s">
        <v>172</v>
      </c>
      <c r="E45" s="41" t="s">
        <v>173</v>
      </c>
      <c r="F45" s="41"/>
      <c r="G45" s="41" t="s">
        <v>174</v>
      </c>
      <c r="H45" s="41"/>
      <c r="I45" s="53"/>
      <c r="J45" s="41">
        <f t="shared" si="1"/>
        <v>34</v>
      </c>
    </row>
    <row r="46" spans="1:12" ht="18" x14ac:dyDescent="0.3">
      <c r="A46" s="41">
        <f t="shared" si="0"/>
        <v>35</v>
      </c>
      <c r="B46" s="46" t="s">
        <v>175</v>
      </c>
      <c r="C46" s="463" t="s">
        <v>176</v>
      </c>
      <c r="D46" s="463" t="s">
        <v>177</v>
      </c>
      <c r="E46" s="463" t="s">
        <v>178</v>
      </c>
      <c r="F46" s="463"/>
      <c r="G46" s="463" t="s">
        <v>179</v>
      </c>
      <c r="H46" s="41"/>
      <c r="I46" s="53"/>
      <c r="J46" s="41">
        <f t="shared" si="1"/>
        <v>35</v>
      </c>
    </row>
    <row r="47" spans="1:12" x14ac:dyDescent="0.3">
      <c r="A47" s="41">
        <f t="shared" si="0"/>
        <v>36</v>
      </c>
      <c r="I47" s="53"/>
      <c r="J47" s="41">
        <f t="shared" si="1"/>
        <v>36</v>
      </c>
    </row>
    <row r="48" spans="1:12" x14ac:dyDescent="0.3">
      <c r="A48" s="41">
        <f t="shared" si="0"/>
        <v>37</v>
      </c>
      <c r="B48" s="42" t="s">
        <v>180</v>
      </c>
      <c r="C48" s="64">
        <f>G18</f>
        <v>6040400.358</v>
      </c>
      <c r="D48" s="175">
        <f>C48/C$51</f>
        <v>0.43835028486472494</v>
      </c>
      <c r="E48" s="176">
        <f>G28</f>
        <v>3.9622448648295373E-2</v>
      </c>
      <c r="G48" s="177">
        <f>D48*E48</f>
        <v>1.7368511652018213E-2</v>
      </c>
      <c r="H48" s="177"/>
      <c r="I48" s="53" t="str">
        <f>"Col. c = Line "&amp;A28&amp;" Above"</f>
        <v>Col. c = Line 17 Above</v>
      </c>
      <c r="J48" s="41">
        <f t="shared" si="1"/>
        <v>37</v>
      </c>
    </row>
    <row r="49" spans="1:10" x14ac:dyDescent="0.3">
      <c r="A49" s="41">
        <f t="shared" si="0"/>
        <v>38</v>
      </c>
      <c r="B49" s="42" t="s">
        <v>181</v>
      </c>
      <c r="C49" s="178">
        <f>G31</f>
        <v>0</v>
      </c>
      <c r="D49" s="175">
        <f>C49/C$51</f>
        <v>0</v>
      </c>
      <c r="E49" s="176">
        <f>G33</f>
        <v>0</v>
      </c>
      <c r="G49" s="177">
        <f>D49*E49</f>
        <v>0</v>
      </c>
      <c r="H49" s="177"/>
      <c r="I49" s="53" t="str">
        <f>"Col. c = Line "&amp;A33&amp;" Above"</f>
        <v>Col. c = Line 22 Above</v>
      </c>
      <c r="J49" s="41">
        <f t="shared" si="1"/>
        <v>38</v>
      </c>
    </row>
    <row r="50" spans="1:10" x14ac:dyDescent="0.3">
      <c r="A50" s="41">
        <f t="shared" si="0"/>
        <v>39</v>
      </c>
      <c r="B50" s="42" t="s">
        <v>182</v>
      </c>
      <c r="C50" s="178">
        <f>G40</f>
        <v>7739447.7829999998</v>
      </c>
      <c r="D50" s="520">
        <f>C50/C$51</f>
        <v>0.56164971513527517</v>
      </c>
      <c r="E50" s="179">
        <f>G43</f>
        <v>0.106</v>
      </c>
      <c r="G50" s="521">
        <f>D50*E50</f>
        <v>5.9534869804339169E-2</v>
      </c>
      <c r="H50" s="168"/>
      <c r="I50" s="53" t="str">
        <f>"Col. c = Line "&amp;A43&amp;" Above"</f>
        <v>Col. c = Line 32 Above</v>
      </c>
      <c r="J50" s="41">
        <f t="shared" si="1"/>
        <v>39</v>
      </c>
    </row>
    <row r="51" spans="1:10" ht="16.2" thickBot="1" x14ac:dyDescent="0.35">
      <c r="A51" s="41">
        <f t="shared" si="0"/>
        <v>40</v>
      </c>
      <c r="B51" s="42" t="s">
        <v>183</v>
      </c>
      <c r="C51" s="180">
        <f>SUM(C48:C50)</f>
        <v>13779848.140999999</v>
      </c>
      <c r="D51" s="181">
        <f>SUM(D48:D50)</f>
        <v>1</v>
      </c>
      <c r="G51" s="167">
        <f>SUM(G48:G50)</f>
        <v>7.6903381456357389E-2</v>
      </c>
      <c r="H51" s="168"/>
      <c r="I51" s="53" t="str">
        <f>"Sum Lines "&amp;A48&amp;" thru "&amp;A50</f>
        <v>Sum Lines 37 thru 39</v>
      </c>
      <c r="J51" s="41">
        <f t="shared" si="1"/>
        <v>40</v>
      </c>
    </row>
    <row r="52" spans="1:10" ht="16.2" thickTop="1" x14ac:dyDescent="0.3">
      <c r="A52" s="41">
        <f t="shared" si="0"/>
        <v>41</v>
      </c>
      <c r="I52" s="53"/>
      <c r="J52" s="41">
        <f t="shared" si="1"/>
        <v>41</v>
      </c>
    </row>
    <row r="53" spans="1:10" ht="16.2" thickBot="1" x14ac:dyDescent="0.35">
      <c r="A53" s="41">
        <f t="shared" si="0"/>
        <v>42</v>
      </c>
      <c r="B53" s="46" t="s">
        <v>184</v>
      </c>
      <c r="G53" s="167">
        <f>G49+G50</f>
        <v>5.9534869804339169E-2</v>
      </c>
      <c r="H53" s="168"/>
      <c r="I53" s="53" t="str">
        <f>"Line "&amp;A49&amp;" + Line "&amp;A50&amp;"; Col. d"</f>
        <v>Line 38 + Line 39; Col. d</v>
      </c>
      <c r="J53" s="41">
        <f t="shared" si="1"/>
        <v>42</v>
      </c>
    </row>
    <row r="54" spans="1:10" ht="16.8" thickTop="1" thickBot="1" x14ac:dyDescent="0.35">
      <c r="A54" s="172">
        <f t="shared" si="0"/>
        <v>43</v>
      </c>
      <c r="B54" s="185"/>
      <c r="C54" s="86"/>
      <c r="D54" s="86"/>
      <c r="E54" s="86"/>
      <c r="F54" s="86"/>
      <c r="G54" s="522"/>
      <c r="H54" s="522"/>
      <c r="I54" s="173"/>
      <c r="J54" s="172">
        <f t="shared" si="1"/>
        <v>43</v>
      </c>
    </row>
    <row r="55" spans="1:10" x14ac:dyDescent="0.3">
      <c r="A55" s="41">
        <f t="shared" si="0"/>
        <v>44</v>
      </c>
      <c r="B55" s="46"/>
      <c r="G55" s="179"/>
      <c r="H55" s="179"/>
      <c r="I55" s="53"/>
      <c r="J55" s="41">
        <f t="shared" si="1"/>
        <v>44</v>
      </c>
    </row>
    <row r="56" spans="1:10" ht="16.2" thickBot="1" x14ac:dyDescent="0.35">
      <c r="A56" s="41">
        <f t="shared" si="0"/>
        <v>45</v>
      </c>
      <c r="B56" s="46" t="s">
        <v>333</v>
      </c>
      <c r="G56" s="523">
        <v>0</v>
      </c>
      <c r="H56" s="179"/>
      <c r="I56" s="53" t="s">
        <v>19</v>
      </c>
      <c r="J56" s="41">
        <f t="shared" si="1"/>
        <v>45</v>
      </c>
    </row>
    <row r="57" spans="1:10" ht="16.2" thickTop="1" x14ac:dyDescent="0.3">
      <c r="A57" s="41">
        <f t="shared" si="0"/>
        <v>46</v>
      </c>
      <c r="C57" s="72" t="s">
        <v>10</v>
      </c>
      <c r="D57" s="72" t="s">
        <v>56</v>
      </c>
      <c r="E57" s="72" t="s">
        <v>170</v>
      </c>
      <c r="F57" s="72"/>
      <c r="G57" s="72" t="s">
        <v>171</v>
      </c>
      <c r="H57" s="179"/>
      <c r="I57" s="53"/>
      <c r="J57" s="41">
        <f t="shared" si="1"/>
        <v>46</v>
      </c>
    </row>
    <row r="58" spans="1:10" x14ac:dyDescent="0.3">
      <c r="A58" s="41">
        <f t="shared" si="0"/>
        <v>47</v>
      </c>
      <c r="D58" s="41" t="s">
        <v>172</v>
      </c>
      <c r="E58" s="41" t="s">
        <v>173</v>
      </c>
      <c r="F58" s="41"/>
      <c r="G58" s="41" t="s">
        <v>174</v>
      </c>
      <c r="H58" s="179"/>
      <c r="I58" s="53"/>
      <c r="J58" s="41">
        <f t="shared" si="1"/>
        <v>47</v>
      </c>
    </row>
    <row r="59" spans="1:10" ht="18" x14ac:dyDescent="0.3">
      <c r="A59" s="41">
        <f t="shared" si="0"/>
        <v>48</v>
      </c>
      <c r="B59" s="46" t="s">
        <v>186</v>
      </c>
      <c r="C59" s="463" t="s">
        <v>176</v>
      </c>
      <c r="D59" s="463" t="s">
        <v>177</v>
      </c>
      <c r="E59" s="463" t="s">
        <v>178</v>
      </c>
      <c r="F59" s="463"/>
      <c r="G59" s="463" t="s">
        <v>179</v>
      </c>
      <c r="H59" s="179"/>
      <c r="I59" s="53"/>
      <c r="J59" s="41">
        <f t="shared" si="1"/>
        <v>48</v>
      </c>
    </row>
    <row r="60" spans="1:10" x14ac:dyDescent="0.3">
      <c r="A60" s="41">
        <f t="shared" si="0"/>
        <v>49</v>
      </c>
      <c r="G60" s="179"/>
      <c r="H60" s="179"/>
      <c r="I60" s="53"/>
      <c r="J60" s="41">
        <f t="shared" si="1"/>
        <v>49</v>
      </c>
    </row>
    <row r="61" spans="1:10" x14ac:dyDescent="0.3">
      <c r="A61" s="41">
        <f t="shared" si="0"/>
        <v>50</v>
      </c>
      <c r="B61" s="42" t="s">
        <v>180</v>
      </c>
      <c r="C61" s="524">
        <v>0</v>
      </c>
      <c r="D61" s="525">
        <v>0</v>
      </c>
      <c r="E61" s="182">
        <v>0</v>
      </c>
      <c r="G61" s="177">
        <f>D61*E61</f>
        <v>0</v>
      </c>
      <c r="H61" s="179"/>
      <c r="I61" s="53" t="s">
        <v>19</v>
      </c>
      <c r="J61" s="41">
        <f t="shared" si="1"/>
        <v>50</v>
      </c>
    </row>
    <row r="62" spans="1:10" x14ac:dyDescent="0.3">
      <c r="A62" s="41">
        <f t="shared" si="0"/>
        <v>51</v>
      </c>
      <c r="B62" s="42" t="s">
        <v>181</v>
      </c>
      <c r="C62" s="526">
        <v>0</v>
      </c>
      <c r="D62" s="525">
        <v>0</v>
      </c>
      <c r="E62" s="182">
        <v>0</v>
      </c>
      <c r="G62" s="177">
        <f>D62*E62</f>
        <v>0</v>
      </c>
      <c r="H62" s="179"/>
      <c r="I62" s="53" t="s">
        <v>19</v>
      </c>
      <c r="J62" s="41">
        <f t="shared" si="1"/>
        <v>51</v>
      </c>
    </row>
    <row r="63" spans="1:10" x14ac:dyDescent="0.3">
      <c r="A63" s="41">
        <f t="shared" si="0"/>
        <v>52</v>
      </c>
      <c r="B63" s="42" t="s">
        <v>182</v>
      </c>
      <c r="C63" s="526">
        <v>0</v>
      </c>
      <c r="D63" s="527">
        <v>0</v>
      </c>
      <c r="E63" s="528">
        <v>0</v>
      </c>
      <c r="G63" s="521">
        <f>D63*E63</f>
        <v>0</v>
      </c>
      <c r="H63" s="179"/>
      <c r="I63" s="53" t="s">
        <v>19</v>
      </c>
      <c r="J63" s="41">
        <f t="shared" si="1"/>
        <v>52</v>
      </c>
    </row>
    <row r="64" spans="1:10" ht="16.2" thickBot="1" x14ac:dyDescent="0.35">
      <c r="A64" s="41">
        <f t="shared" si="0"/>
        <v>53</v>
      </c>
      <c r="B64" s="42" t="s">
        <v>183</v>
      </c>
      <c r="C64" s="180">
        <f>SUM(C61:C63)</f>
        <v>0</v>
      </c>
      <c r="D64" s="167">
        <f>SUM(D61:D63)</f>
        <v>0</v>
      </c>
      <c r="G64" s="167">
        <f>SUM(G61:G63)</f>
        <v>0</v>
      </c>
      <c r="H64" s="179"/>
      <c r="I64" s="53" t="str">
        <f>"Sum Lines "&amp;A61&amp;" thru "&amp;A63</f>
        <v>Sum Lines 50 thru 52</v>
      </c>
      <c r="J64" s="41">
        <f t="shared" si="1"/>
        <v>53</v>
      </c>
    </row>
    <row r="65" spans="1:10" ht="16.2" thickTop="1" x14ac:dyDescent="0.3">
      <c r="A65" s="41">
        <f t="shared" si="0"/>
        <v>54</v>
      </c>
      <c r="H65" s="179"/>
      <c r="I65" s="53"/>
      <c r="J65" s="41">
        <f t="shared" si="1"/>
        <v>54</v>
      </c>
    </row>
    <row r="66" spans="1:10" ht="16.2" thickBot="1" x14ac:dyDescent="0.35">
      <c r="A66" s="41">
        <f t="shared" si="0"/>
        <v>55</v>
      </c>
      <c r="B66" s="46" t="s">
        <v>187</v>
      </c>
      <c r="G66" s="167">
        <f>G62+G63</f>
        <v>0</v>
      </c>
      <c r="H66" s="179"/>
      <c r="I66" s="53" t="str">
        <f>"Line "&amp;A62&amp;" + Line "&amp;A63&amp;"; Col. d"</f>
        <v>Line 51 + Line 52; Col. d</v>
      </c>
      <c r="J66" s="41">
        <f t="shared" si="1"/>
        <v>55</v>
      </c>
    </row>
    <row r="67" spans="1:10" ht="16.2" thickTop="1" x14ac:dyDescent="0.3">
      <c r="B67" s="46"/>
      <c r="G67" s="179"/>
      <c r="H67" s="179"/>
      <c r="I67" s="53"/>
      <c r="J67" s="41"/>
    </row>
    <row r="68" spans="1:10" x14ac:dyDescent="0.3">
      <c r="B68" s="46"/>
      <c r="G68" s="179"/>
      <c r="H68" s="179"/>
      <c r="I68" s="53"/>
      <c r="J68" s="41"/>
    </row>
    <row r="69" spans="1:10" ht="18" x14ac:dyDescent="0.3">
      <c r="A69" s="71">
        <v>1</v>
      </c>
      <c r="B69" s="20" t="s">
        <v>185</v>
      </c>
      <c r="G69" s="67"/>
      <c r="H69" s="67"/>
      <c r="J69" s="41" t="s">
        <v>11</v>
      </c>
    </row>
    <row r="70" spans="1:10" ht="18" x14ac:dyDescent="0.3">
      <c r="A70" s="186"/>
      <c r="B70" s="437"/>
      <c r="G70" s="67"/>
      <c r="H70" s="67"/>
      <c r="J70" s="41"/>
    </row>
    <row r="71" spans="1:10" ht="18" x14ac:dyDescent="0.3">
      <c r="A71" s="71"/>
      <c r="B71" s="20"/>
      <c r="D71" s="41"/>
      <c r="G71" s="67"/>
      <c r="H71" s="67"/>
      <c r="J71" s="41"/>
    </row>
    <row r="72" spans="1:10" x14ac:dyDescent="0.3">
      <c r="B72" s="815" t="s">
        <v>332</v>
      </c>
      <c r="C72" s="815"/>
      <c r="D72" s="815"/>
      <c r="E72" s="815"/>
      <c r="F72" s="815"/>
      <c r="G72" s="815"/>
      <c r="H72" s="815"/>
      <c r="I72" s="815"/>
      <c r="J72" s="41"/>
    </row>
    <row r="73" spans="1:10" x14ac:dyDescent="0.3">
      <c r="B73" s="815" t="s">
        <v>127</v>
      </c>
      <c r="C73" s="815"/>
      <c r="D73" s="815"/>
      <c r="E73" s="815"/>
      <c r="F73" s="815"/>
      <c r="G73" s="815"/>
      <c r="H73" s="815"/>
      <c r="I73" s="815"/>
      <c r="J73" s="41"/>
    </row>
    <row r="74" spans="1:10" x14ac:dyDescent="0.3">
      <c r="B74" s="815" t="s">
        <v>128</v>
      </c>
      <c r="C74" s="815"/>
      <c r="D74" s="815"/>
      <c r="E74" s="815"/>
      <c r="F74" s="815"/>
      <c r="G74" s="815"/>
      <c r="H74" s="815"/>
      <c r="I74" s="815"/>
      <c r="J74" s="41"/>
    </row>
    <row r="75" spans="1:10" x14ac:dyDescent="0.3">
      <c r="B75" s="816" t="str">
        <f>B6</f>
        <v>Base Period &amp; True-Up Period 12 - Months Ending December 31, 2020</v>
      </c>
      <c r="C75" s="816"/>
      <c r="D75" s="816"/>
      <c r="E75" s="816"/>
      <c r="F75" s="816"/>
      <c r="G75" s="816"/>
      <c r="H75" s="816"/>
      <c r="I75" s="816"/>
      <c r="J75" s="41"/>
    </row>
    <row r="76" spans="1:10" x14ac:dyDescent="0.3">
      <c r="B76" s="817" t="s">
        <v>1</v>
      </c>
      <c r="C76" s="818"/>
      <c r="D76" s="818"/>
      <c r="E76" s="818"/>
      <c r="F76" s="818"/>
      <c r="G76" s="818"/>
      <c r="H76" s="818"/>
      <c r="I76" s="818"/>
      <c r="J76" s="41"/>
    </row>
    <row r="77" spans="1:10" x14ac:dyDescent="0.3">
      <c r="B77" s="41"/>
      <c r="C77" s="41"/>
      <c r="D77" s="41"/>
      <c r="E77" s="41"/>
      <c r="F77" s="41"/>
      <c r="G77" s="41"/>
      <c r="H77" s="41"/>
      <c r="I77" s="53"/>
      <c r="J77" s="41"/>
    </row>
    <row r="78" spans="1:10" x14ac:dyDescent="0.3">
      <c r="A78" s="41" t="s">
        <v>2</v>
      </c>
      <c r="B78" s="721"/>
      <c r="C78" s="721"/>
      <c r="D78" s="721"/>
      <c r="E78" s="721"/>
      <c r="F78" s="721"/>
      <c r="G78" s="721"/>
      <c r="H78" s="721"/>
      <c r="I78" s="53"/>
      <c r="J78" s="41" t="s">
        <v>2</v>
      </c>
    </row>
    <row r="79" spans="1:10" x14ac:dyDescent="0.3">
      <c r="A79" s="41" t="s">
        <v>6</v>
      </c>
      <c r="B79" s="41"/>
      <c r="C79" s="41"/>
      <c r="D79" s="41"/>
      <c r="E79" s="41"/>
      <c r="F79" s="41"/>
      <c r="G79" s="463" t="s">
        <v>4</v>
      </c>
      <c r="H79" s="721"/>
      <c r="I79" s="517" t="s">
        <v>5</v>
      </c>
      <c r="J79" s="41" t="s">
        <v>6</v>
      </c>
    </row>
    <row r="80" spans="1:10" x14ac:dyDescent="0.3">
      <c r="G80" s="41"/>
      <c r="H80" s="41"/>
      <c r="I80" s="53"/>
      <c r="J80" s="41"/>
    </row>
    <row r="81" spans="1:13" ht="18" x14ac:dyDescent="0.3">
      <c r="A81" s="41">
        <v>1</v>
      </c>
      <c r="B81" s="46" t="s">
        <v>334</v>
      </c>
      <c r="E81" s="721"/>
      <c r="F81" s="721"/>
      <c r="G81" s="187"/>
      <c r="H81" s="187"/>
      <c r="I81" s="53"/>
      <c r="J81" s="41">
        <v>1</v>
      </c>
    </row>
    <row r="82" spans="1:13" x14ac:dyDescent="0.3">
      <c r="A82" s="41">
        <f>A81+1</f>
        <v>2</v>
      </c>
      <c r="B82" s="188"/>
      <c r="E82" s="721"/>
      <c r="F82" s="721"/>
      <c r="G82" s="187"/>
      <c r="H82" s="187"/>
      <c r="I82" s="53"/>
      <c r="J82" s="41">
        <f>J81+1</f>
        <v>2</v>
      </c>
    </row>
    <row r="83" spans="1:13" x14ac:dyDescent="0.3">
      <c r="A83" s="41">
        <f>A82+1</f>
        <v>3</v>
      </c>
      <c r="B83" s="46" t="s">
        <v>335</v>
      </c>
      <c r="E83" s="721"/>
      <c r="F83" s="721"/>
      <c r="G83" s="187"/>
      <c r="H83" s="187"/>
      <c r="I83" s="53"/>
      <c r="J83" s="41">
        <f>J82+1</f>
        <v>3</v>
      </c>
    </row>
    <row r="84" spans="1:13" x14ac:dyDescent="0.3">
      <c r="A84" s="41">
        <f>A83+1</f>
        <v>4</v>
      </c>
      <c r="B84" s="721"/>
      <c r="C84" s="721"/>
      <c r="D84" s="721"/>
      <c r="E84" s="721"/>
      <c r="F84" s="721"/>
      <c r="G84" s="187"/>
      <c r="H84" s="187"/>
      <c r="I84" s="53"/>
      <c r="J84" s="41">
        <f>J83+1</f>
        <v>4</v>
      </c>
    </row>
    <row r="85" spans="1:13" x14ac:dyDescent="0.3">
      <c r="A85" s="41">
        <f t="shared" ref="A85:A111" si="2">A84+1</f>
        <v>5</v>
      </c>
      <c r="B85" s="48" t="s">
        <v>188</v>
      </c>
      <c r="C85" s="721"/>
      <c r="D85" s="721"/>
      <c r="E85" s="721"/>
      <c r="F85" s="721"/>
      <c r="G85" s="187"/>
      <c r="H85" s="187"/>
      <c r="I85" s="189"/>
      <c r="J85" s="41">
        <f t="shared" ref="J85:J111" si="3">J84+1</f>
        <v>5</v>
      </c>
    </row>
    <row r="86" spans="1:13" x14ac:dyDescent="0.3">
      <c r="A86" s="41">
        <f t="shared" si="2"/>
        <v>6</v>
      </c>
      <c r="B86" s="42" t="s">
        <v>189</v>
      </c>
      <c r="D86" s="721"/>
      <c r="E86" s="721"/>
      <c r="F86" s="721"/>
      <c r="G86" s="190">
        <f>G53</f>
        <v>5.9534869804339169E-2</v>
      </c>
      <c r="H86" s="721"/>
      <c r="I86" s="53" t="str">
        <f>"AV1; Line "&amp;A53</f>
        <v>AV1; Line 42</v>
      </c>
      <c r="J86" s="41">
        <f t="shared" si="3"/>
        <v>6</v>
      </c>
      <c r="L86" s="41"/>
    </row>
    <row r="87" spans="1:13" x14ac:dyDescent="0.3">
      <c r="A87" s="41">
        <f t="shared" si="2"/>
        <v>7</v>
      </c>
      <c r="B87" s="42" t="s">
        <v>190</v>
      </c>
      <c r="D87" s="721"/>
      <c r="E87" s="721"/>
      <c r="F87" s="721"/>
      <c r="G87" s="191">
        <v>264.76299999999998</v>
      </c>
      <c r="H87" s="721"/>
      <c r="I87" s="53" t="s">
        <v>468</v>
      </c>
      <c r="J87" s="41">
        <f t="shared" si="3"/>
        <v>7</v>
      </c>
      <c r="L87" s="41"/>
    </row>
    <row r="88" spans="1:13" ht="18" x14ac:dyDescent="0.3">
      <c r="A88" s="41">
        <f t="shared" si="2"/>
        <v>8</v>
      </c>
      <c r="B88" s="42" t="s">
        <v>336</v>
      </c>
      <c r="D88" s="721"/>
      <c r="E88" s="721"/>
      <c r="F88" s="721"/>
      <c r="G88" s="192">
        <v>8264.7629899999993</v>
      </c>
      <c r="H88" s="721"/>
      <c r="I88" s="184" t="s">
        <v>639</v>
      </c>
      <c r="J88" s="41">
        <f t="shared" si="3"/>
        <v>8</v>
      </c>
      <c r="L88" s="721"/>
    </row>
    <row r="89" spans="1:13" x14ac:dyDescent="0.3">
      <c r="A89" s="41">
        <f t="shared" si="2"/>
        <v>9</v>
      </c>
      <c r="B89" s="42" t="s">
        <v>192</v>
      </c>
      <c r="D89" s="721"/>
      <c r="E89" s="193"/>
      <c r="F89" s="721"/>
      <c r="G89" s="36">
        <v>4543545.1502779769</v>
      </c>
      <c r="H89" s="721"/>
      <c r="I89" s="184" t="s">
        <v>470</v>
      </c>
      <c r="J89" s="41">
        <f t="shared" si="3"/>
        <v>9</v>
      </c>
    </row>
    <row r="90" spans="1:13" x14ac:dyDescent="0.3">
      <c r="A90" s="41">
        <f t="shared" si="2"/>
        <v>10</v>
      </c>
      <c r="B90" s="42" t="s">
        <v>193</v>
      </c>
      <c r="D90" s="195"/>
      <c r="E90" s="721"/>
      <c r="F90" s="721"/>
      <c r="G90" s="529">
        <v>0.21</v>
      </c>
      <c r="H90" s="721"/>
      <c r="I90" s="53" t="s">
        <v>194</v>
      </c>
      <c r="J90" s="41">
        <f t="shared" si="3"/>
        <v>10</v>
      </c>
      <c r="M90" s="196"/>
    </row>
    <row r="91" spans="1:13" x14ac:dyDescent="0.3">
      <c r="A91" s="41">
        <f t="shared" si="2"/>
        <v>11</v>
      </c>
      <c r="G91" s="41"/>
      <c r="H91" s="41"/>
      <c r="J91" s="41">
        <f t="shared" si="3"/>
        <v>11</v>
      </c>
    </row>
    <row r="92" spans="1:13" x14ac:dyDescent="0.3">
      <c r="A92" s="41">
        <f t="shared" si="2"/>
        <v>12</v>
      </c>
      <c r="B92" s="42" t="s">
        <v>195</v>
      </c>
      <c r="D92" s="721"/>
      <c r="E92" s="721"/>
      <c r="F92" s="721"/>
      <c r="G92" s="197">
        <f>(((G86)+(G88/G89))*G90-(G87/G89))/(1-G90)</f>
        <v>1.6235497257204908E-2</v>
      </c>
      <c r="H92" s="197"/>
      <c r="I92" s="53" t="s">
        <v>196</v>
      </c>
      <c r="J92" s="41">
        <f t="shared" si="3"/>
        <v>12</v>
      </c>
      <c r="M92" s="198"/>
    </row>
    <row r="93" spans="1:13" x14ac:dyDescent="0.3">
      <c r="A93" s="41">
        <f t="shared" si="2"/>
        <v>13</v>
      </c>
      <c r="B93" s="199" t="s">
        <v>197</v>
      </c>
      <c r="G93" s="41"/>
      <c r="H93" s="41"/>
      <c r="J93" s="41">
        <f t="shared" si="3"/>
        <v>13</v>
      </c>
    </row>
    <row r="94" spans="1:13" x14ac:dyDescent="0.3">
      <c r="A94" s="41">
        <f t="shared" si="2"/>
        <v>14</v>
      </c>
      <c r="G94" s="41"/>
      <c r="H94" s="41"/>
      <c r="J94" s="41">
        <f t="shared" si="3"/>
        <v>14</v>
      </c>
    </row>
    <row r="95" spans="1:13" x14ac:dyDescent="0.3">
      <c r="A95" s="41">
        <f t="shared" si="2"/>
        <v>15</v>
      </c>
      <c r="B95" s="46" t="s">
        <v>198</v>
      </c>
      <c r="C95" s="721"/>
      <c r="D95" s="721"/>
      <c r="E95" s="721"/>
      <c r="F95" s="721"/>
      <c r="G95" s="200"/>
      <c r="H95" s="200"/>
      <c r="I95" s="201"/>
      <c r="J95" s="41">
        <f t="shared" si="3"/>
        <v>15</v>
      </c>
      <c r="L95" s="202"/>
    </row>
    <row r="96" spans="1:13" x14ac:dyDescent="0.3">
      <c r="A96" s="41">
        <f t="shared" si="2"/>
        <v>16</v>
      </c>
      <c r="B96" s="57"/>
      <c r="C96" s="721"/>
      <c r="D96" s="721"/>
      <c r="E96" s="721"/>
      <c r="F96" s="721"/>
      <c r="G96" s="200"/>
      <c r="H96" s="200"/>
      <c r="I96" s="203"/>
      <c r="J96" s="41">
        <f t="shared" si="3"/>
        <v>16</v>
      </c>
      <c r="L96" s="721"/>
    </row>
    <row r="97" spans="1:13" x14ac:dyDescent="0.3">
      <c r="A97" s="41">
        <f t="shared" si="2"/>
        <v>17</v>
      </c>
      <c r="B97" s="48" t="s">
        <v>188</v>
      </c>
      <c r="C97" s="721"/>
      <c r="D97" s="721"/>
      <c r="E97" s="721"/>
      <c r="F97" s="721"/>
      <c r="G97" s="200"/>
      <c r="H97" s="200"/>
      <c r="I97" s="203"/>
      <c r="J97" s="41">
        <f t="shared" si="3"/>
        <v>17</v>
      </c>
      <c r="L97" s="721"/>
    </row>
    <row r="98" spans="1:13" x14ac:dyDescent="0.3">
      <c r="A98" s="41">
        <f t="shared" si="2"/>
        <v>18</v>
      </c>
      <c r="B98" s="42" t="s">
        <v>189</v>
      </c>
      <c r="D98" s="721"/>
      <c r="E98" s="721"/>
      <c r="F98" s="721"/>
      <c r="G98" s="175">
        <f>G86</f>
        <v>5.9534869804339169E-2</v>
      </c>
      <c r="H98" s="175"/>
      <c r="I98" s="53" t="str">
        <f>"Line "&amp;A86&amp;" Above"</f>
        <v>Line 6 Above</v>
      </c>
      <c r="J98" s="41">
        <f t="shared" si="3"/>
        <v>18</v>
      </c>
      <c r="L98" s="41"/>
    </row>
    <row r="99" spans="1:13" x14ac:dyDescent="0.3">
      <c r="A99" s="41">
        <f t="shared" si="2"/>
        <v>19</v>
      </c>
      <c r="B99" s="42" t="s">
        <v>199</v>
      </c>
      <c r="D99" s="721"/>
      <c r="E99" s="721"/>
      <c r="F99" s="721"/>
      <c r="G99" s="204">
        <f>G88</f>
        <v>8264.7629899999993</v>
      </c>
      <c r="H99" s="204"/>
      <c r="I99" s="53" t="str">
        <f>"Line "&amp;A88&amp;" Above"</f>
        <v>Line 8 Above</v>
      </c>
      <c r="J99" s="41">
        <f t="shared" si="3"/>
        <v>19</v>
      </c>
      <c r="L99" s="41"/>
    </row>
    <row r="100" spans="1:13" x14ac:dyDescent="0.3">
      <c r="A100" s="41">
        <f t="shared" si="2"/>
        <v>20</v>
      </c>
      <c r="B100" s="42" t="s">
        <v>200</v>
      </c>
      <c r="D100" s="721"/>
      <c r="E100" s="721"/>
      <c r="F100" s="721"/>
      <c r="G100" s="734">
        <f>G89</f>
        <v>4543545.1502779769</v>
      </c>
      <c r="H100" s="734"/>
      <c r="I100" s="53" t="str">
        <f>"Line "&amp;A89&amp;" Above"</f>
        <v>Line 9 Above</v>
      </c>
      <c r="J100" s="41">
        <f t="shared" si="3"/>
        <v>20</v>
      </c>
      <c r="L100" s="41"/>
    </row>
    <row r="101" spans="1:13" x14ac:dyDescent="0.3">
      <c r="A101" s="41">
        <f t="shared" si="2"/>
        <v>21</v>
      </c>
      <c r="B101" s="42" t="s">
        <v>201</v>
      </c>
      <c r="D101" s="721"/>
      <c r="E101" s="721"/>
      <c r="F101" s="721"/>
      <c r="G101" s="206">
        <f>G92</f>
        <v>1.6235497257204908E-2</v>
      </c>
      <c r="H101" s="206"/>
      <c r="I101" s="53" t="str">
        <f>"Line "&amp;A92&amp;" Above"</f>
        <v>Line 12 Above</v>
      </c>
      <c r="J101" s="41">
        <f t="shared" si="3"/>
        <v>21</v>
      </c>
    </row>
    <row r="102" spans="1:13" x14ac:dyDescent="0.3">
      <c r="A102" s="41">
        <f t="shared" si="2"/>
        <v>22</v>
      </c>
      <c r="B102" s="42" t="s">
        <v>202</v>
      </c>
      <c r="D102" s="721"/>
      <c r="E102" s="721"/>
      <c r="F102" s="721"/>
      <c r="G102" s="530" t="s">
        <v>203</v>
      </c>
      <c r="H102" s="721"/>
      <c r="I102" s="53" t="s">
        <v>204</v>
      </c>
      <c r="J102" s="41">
        <f t="shared" si="3"/>
        <v>22</v>
      </c>
    </row>
    <row r="103" spans="1:13" x14ac:dyDescent="0.3">
      <c r="A103" s="41">
        <f t="shared" si="2"/>
        <v>23</v>
      </c>
      <c r="B103" s="723"/>
      <c r="D103" s="721"/>
      <c r="E103" s="721"/>
      <c r="F103" s="721"/>
      <c r="G103" s="207"/>
      <c r="H103" s="207"/>
      <c r="I103" s="203"/>
      <c r="J103" s="41">
        <f t="shared" si="3"/>
        <v>23</v>
      </c>
    </row>
    <row r="104" spans="1:13" x14ac:dyDescent="0.3">
      <c r="A104" s="41">
        <f t="shared" si="2"/>
        <v>24</v>
      </c>
      <c r="B104" s="42" t="s">
        <v>205</v>
      </c>
      <c r="C104" s="41"/>
      <c r="D104" s="41"/>
      <c r="E104" s="721"/>
      <c r="F104" s="721"/>
      <c r="G104" s="531">
        <f>((G98)+(G99/G100)+G92)*G102/(1-G102)</f>
        <v>7.5240249077556482E-3</v>
      </c>
      <c r="H104" s="208"/>
      <c r="I104" s="53" t="s">
        <v>206</v>
      </c>
      <c r="J104" s="41">
        <f t="shared" si="3"/>
        <v>24</v>
      </c>
    </row>
    <row r="105" spans="1:13" x14ac:dyDescent="0.3">
      <c r="A105" s="41">
        <f t="shared" si="2"/>
        <v>25</v>
      </c>
      <c r="B105" s="199" t="s">
        <v>207</v>
      </c>
      <c r="G105" s="41"/>
      <c r="H105" s="41"/>
      <c r="I105" s="53"/>
      <c r="J105" s="41">
        <f t="shared" si="3"/>
        <v>25</v>
      </c>
      <c r="L105" s="41"/>
    </row>
    <row r="106" spans="1:13" x14ac:dyDescent="0.3">
      <c r="A106" s="41">
        <f t="shared" si="2"/>
        <v>26</v>
      </c>
      <c r="G106" s="41"/>
      <c r="H106" s="41"/>
      <c r="I106" s="53"/>
      <c r="J106" s="41">
        <f t="shared" si="3"/>
        <v>26</v>
      </c>
      <c r="L106" s="41"/>
    </row>
    <row r="107" spans="1:13" x14ac:dyDescent="0.3">
      <c r="A107" s="41">
        <f t="shared" si="2"/>
        <v>27</v>
      </c>
      <c r="B107" s="46" t="s">
        <v>208</v>
      </c>
      <c r="G107" s="197">
        <f>G104+G92</f>
        <v>2.3759522164960557E-2</v>
      </c>
      <c r="H107" s="197"/>
      <c r="I107" s="53" t="str">
        <f>"Line "&amp;A92&amp;" + Line "&amp;A104</f>
        <v>Line 12 + Line 24</v>
      </c>
      <c r="J107" s="41">
        <f t="shared" si="3"/>
        <v>27</v>
      </c>
      <c r="L107" s="41"/>
    </row>
    <row r="108" spans="1:13" x14ac:dyDescent="0.3">
      <c r="A108" s="41">
        <f t="shared" si="2"/>
        <v>28</v>
      </c>
      <c r="G108" s="41"/>
      <c r="H108" s="41"/>
      <c r="I108" s="53"/>
      <c r="J108" s="41">
        <f t="shared" si="3"/>
        <v>28</v>
      </c>
      <c r="L108" s="41"/>
    </row>
    <row r="109" spans="1:13" x14ac:dyDescent="0.3">
      <c r="A109" s="41">
        <f t="shared" si="2"/>
        <v>29</v>
      </c>
      <c r="B109" s="46" t="s">
        <v>209</v>
      </c>
      <c r="G109" s="532">
        <f>G51</f>
        <v>7.6903381456357389E-2</v>
      </c>
      <c r="H109" s="721"/>
      <c r="I109" s="53" t="str">
        <f>"AV1; Line "&amp;A51</f>
        <v>AV1; Line 40</v>
      </c>
      <c r="J109" s="41">
        <f t="shared" si="3"/>
        <v>29</v>
      </c>
      <c r="L109" s="41"/>
    </row>
    <row r="110" spans="1:13" x14ac:dyDescent="0.3">
      <c r="A110" s="41">
        <f t="shared" si="2"/>
        <v>30</v>
      </c>
      <c r="G110" s="175"/>
      <c r="H110" s="175"/>
      <c r="I110" s="53"/>
      <c r="J110" s="41">
        <f t="shared" si="3"/>
        <v>30</v>
      </c>
      <c r="L110" s="41"/>
    </row>
    <row r="111" spans="1:13" ht="18.600000000000001" thickBot="1" x14ac:dyDescent="0.35">
      <c r="A111" s="41">
        <f t="shared" si="2"/>
        <v>31</v>
      </c>
      <c r="B111" s="46" t="s">
        <v>337</v>
      </c>
      <c r="G111" s="209">
        <f>G107+G109</f>
        <v>0.10066290362131794</v>
      </c>
      <c r="H111" s="208"/>
      <c r="I111" s="53" t="str">
        <f>"Line "&amp;A107&amp;" + Line "&amp;A109</f>
        <v>Line 27 + Line 29</v>
      </c>
      <c r="J111" s="41">
        <f t="shared" si="3"/>
        <v>31</v>
      </c>
      <c r="L111" s="210"/>
      <c r="M111" s="198"/>
    </row>
    <row r="112" spans="1:13" ht="16.2" thickTop="1" x14ac:dyDescent="0.3">
      <c r="B112" s="46"/>
      <c r="G112" s="212"/>
      <c r="H112" s="212"/>
      <c r="I112" s="53"/>
      <c r="J112" s="41"/>
      <c r="L112" s="210"/>
      <c r="M112" s="198"/>
    </row>
    <row r="113" spans="1:13" x14ac:dyDescent="0.3">
      <c r="B113" s="46"/>
      <c r="G113" s="212"/>
      <c r="H113" s="212"/>
      <c r="I113" s="53"/>
      <c r="J113" s="41"/>
      <c r="L113" s="210"/>
      <c r="M113" s="198"/>
    </row>
    <row r="114" spans="1:13" ht="18" x14ac:dyDescent="0.3">
      <c r="A114" s="533">
        <v>1</v>
      </c>
      <c r="B114" s="20" t="s">
        <v>338</v>
      </c>
      <c r="G114" s="212"/>
      <c r="H114" s="212"/>
      <c r="I114" s="53"/>
      <c r="J114" s="41"/>
      <c r="L114" s="210"/>
      <c r="M114" s="198"/>
    </row>
    <row r="115" spans="1:13" ht="18" x14ac:dyDescent="0.3">
      <c r="A115" s="533"/>
      <c r="B115" s="20"/>
      <c r="G115" s="212"/>
      <c r="H115" s="212"/>
      <c r="I115" s="53"/>
      <c r="J115" s="41"/>
      <c r="L115" s="210"/>
      <c r="M115" s="198"/>
    </row>
    <row r="116" spans="1:13" x14ac:dyDescent="0.3">
      <c r="A116" s="213"/>
      <c r="B116" s="723"/>
      <c r="C116" s="43"/>
      <c r="D116" s="43"/>
      <c r="E116" s="43"/>
      <c r="F116" s="43"/>
      <c r="G116" s="214"/>
      <c r="H116" s="214"/>
      <c r="I116" s="534"/>
      <c r="J116" s="41"/>
    </row>
    <row r="117" spans="1:13" x14ac:dyDescent="0.3">
      <c r="B117" s="815" t="s">
        <v>24</v>
      </c>
      <c r="C117" s="815"/>
      <c r="D117" s="815"/>
      <c r="E117" s="815"/>
      <c r="F117" s="815"/>
      <c r="G117" s="815"/>
      <c r="H117" s="815"/>
      <c r="I117" s="815"/>
    </row>
    <row r="118" spans="1:13" x14ac:dyDescent="0.3">
      <c r="B118" s="815" t="s">
        <v>127</v>
      </c>
      <c r="C118" s="815"/>
      <c r="D118" s="815"/>
      <c r="E118" s="815"/>
      <c r="F118" s="815"/>
      <c r="G118" s="815"/>
      <c r="H118" s="815"/>
      <c r="I118" s="815"/>
    </row>
    <row r="119" spans="1:13" x14ac:dyDescent="0.3">
      <c r="B119" s="815" t="s">
        <v>128</v>
      </c>
      <c r="C119" s="815"/>
      <c r="D119" s="815"/>
      <c r="E119" s="815"/>
      <c r="F119" s="815"/>
      <c r="G119" s="815"/>
      <c r="H119" s="815"/>
      <c r="I119" s="815"/>
    </row>
    <row r="120" spans="1:13" x14ac:dyDescent="0.3">
      <c r="B120" s="816" t="str">
        <f>B6</f>
        <v>Base Period &amp; True-Up Period 12 - Months Ending December 31, 2020</v>
      </c>
      <c r="C120" s="816"/>
      <c r="D120" s="816"/>
      <c r="E120" s="816"/>
      <c r="F120" s="816"/>
      <c r="G120" s="816"/>
      <c r="H120" s="816"/>
      <c r="I120" s="816"/>
    </row>
    <row r="121" spans="1:13" x14ac:dyDescent="0.3">
      <c r="B121" s="817" t="s">
        <v>1</v>
      </c>
      <c r="C121" s="818"/>
      <c r="D121" s="818"/>
      <c r="E121" s="818"/>
      <c r="F121" s="818"/>
      <c r="G121" s="818"/>
      <c r="H121" s="818"/>
      <c r="I121" s="818"/>
    </row>
    <row r="123" spans="1:13" x14ac:dyDescent="0.3">
      <c r="A123" s="41" t="s">
        <v>2</v>
      </c>
      <c r="B123" s="721"/>
      <c r="C123" s="721"/>
      <c r="D123" s="721"/>
      <c r="E123" s="721"/>
      <c r="F123" s="721"/>
      <c r="G123" s="721"/>
      <c r="H123" s="721"/>
      <c r="I123" s="53"/>
      <c r="J123" s="41" t="s">
        <v>2</v>
      </c>
    </row>
    <row r="124" spans="1:13" x14ac:dyDescent="0.3">
      <c r="A124" s="41" t="s">
        <v>6</v>
      </c>
      <c r="B124" s="41"/>
      <c r="C124" s="41"/>
      <c r="D124" s="41"/>
      <c r="E124" s="41"/>
      <c r="F124" s="41"/>
      <c r="G124" s="463" t="s">
        <v>4</v>
      </c>
      <c r="H124" s="721"/>
      <c r="I124" s="517" t="s">
        <v>5</v>
      </c>
      <c r="J124" s="41" t="s">
        <v>6</v>
      </c>
    </row>
    <row r="126" spans="1:13" ht="18" x14ac:dyDescent="0.3">
      <c r="A126" s="41">
        <v>1</v>
      </c>
      <c r="B126" s="46" t="s">
        <v>339</v>
      </c>
      <c r="J126" s="41">
        <v>1</v>
      </c>
    </row>
    <row r="127" spans="1:13" x14ac:dyDescent="0.3">
      <c r="A127" s="41">
        <f>A126+1</f>
        <v>2</v>
      </c>
      <c r="B127" s="188"/>
      <c r="J127" s="41">
        <f>J126+1</f>
        <v>2</v>
      </c>
    </row>
    <row r="128" spans="1:13" x14ac:dyDescent="0.3">
      <c r="A128" s="41">
        <f>A127+1</f>
        <v>3</v>
      </c>
      <c r="B128" s="46" t="s">
        <v>335</v>
      </c>
      <c r="J128" s="41">
        <f>J127+1</f>
        <v>3</v>
      </c>
    </row>
    <row r="129" spans="1:10" x14ac:dyDescent="0.3">
      <c r="A129" s="41">
        <f>A128+1</f>
        <v>4</v>
      </c>
      <c r="B129" s="721"/>
      <c r="J129" s="41">
        <f>J128+1</f>
        <v>4</v>
      </c>
    </row>
    <row r="130" spans="1:10" x14ac:dyDescent="0.3">
      <c r="A130" s="41">
        <f t="shared" ref="A130:A156" si="4">A129+1</f>
        <v>5</v>
      </c>
      <c r="B130" s="48" t="s">
        <v>188</v>
      </c>
      <c r="J130" s="41">
        <f t="shared" ref="J130:J156" si="5">J129+1</f>
        <v>5</v>
      </c>
    </row>
    <row r="131" spans="1:10" x14ac:dyDescent="0.3">
      <c r="A131" s="41">
        <f t="shared" si="4"/>
        <v>6</v>
      </c>
      <c r="B131" s="42" t="str">
        <f>B86</f>
        <v xml:space="preserve">     A = Sum of Preferred Stock and Return on Equity Component</v>
      </c>
      <c r="G131" s="190">
        <f>G66</f>
        <v>0</v>
      </c>
      <c r="I131" s="53" t="str">
        <f>"AV1; Line "&amp;A66</f>
        <v>AV1; Line 55</v>
      </c>
      <c r="J131" s="41">
        <f t="shared" si="5"/>
        <v>6</v>
      </c>
    </row>
    <row r="132" spans="1:10" x14ac:dyDescent="0.3">
      <c r="A132" s="41">
        <f t="shared" si="4"/>
        <v>7</v>
      </c>
      <c r="B132" s="42" t="str">
        <f>B87</f>
        <v xml:space="preserve">     B = Transmission Total Federal Tax Adjustments</v>
      </c>
      <c r="G132" s="211">
        <v>0</v>
      </c>
      <c r="I132" s="184" t="s">
        <v>19</v>
      </c>
      <c r="J132" s="41">
        <f t="shared" si="5"/>
        <v>7</v>
      </c>
    </row>
    <row r="133" spans="1:10" x14ac:dyDescent="0.3">
      <c r="A133" s="41">
        <f t="shared" si="4"/>
        <v>8</v>
      </c>
      <c r="B133" s="42" t="s">
        <v>191</v>
      </c>
      <c r="G133" s="535">
        <v>0</v>
      </c>
      <c r="I133" s="184" t="s">
        <v>19</v>
      </c>
      <c r="J133" s="41">
        <f t="shared" si="5"/>
        <v>8</v>
      </c>
    </row>
    <row r="134" spans="1:10" x14ac:dyDescent="0.3">
      <c r="A134" s="41">
        <f t="shared" si="4"/>
        <v>9</v>
      </c>
      <c r="B134" s="42" t="s">
        <v>210</v>
      </c>
      <c r="G134" s="535">
        <v>0</v>
      </c>
      <c r="I134" s="184" t="s">
        <v>19</v>
      </c>
      <c r="J134" s="41">
        <f t="shared" si="5"/>
        <v>9</v>
      </c>
    </row>
    <row r="135" spans="1:10" x14ac:dyDescent="0.3">
      <c r="A135" s="41">
        <f t="shared" si="4"/>
        <v>10</v>
      </c>
      <c r="B135" s="42" t="str">
        <f>B90</f>
        <v xml:space="preserve">     FT = Federal Income Tax Rate for Rate Effective Period</v>
      </c>
      <c r="G135" s="536">
        <f>G90</f>
        <v>0.21</v>
      </c>
      <c r="I135" s="53" t="str">
        <f>"AV2; Line "&amp;A90</f>
        <v>AV2; Line 10</v>
      </c>
      <c r="J135" s="41">
        <f t="shared" si="5"/>
        <v>10</v>
      </c>
    </row>
    <row r="136" spans="1:10" x14ac:dyDescent="0.3">
      <c r="A136" s="41">
        <f t="shared" si="4"/>
        <v>11</v>
      </c>
      <c r="G136" s="41"/>
      <c r="J136" s="41">
        <f t="shared" si="5"/>
        <v>11</v>
      </c>
    </row>
    <row r="137" spans="1:10" x14ac:dyDescent="0.3">
      <c r="A137" s="41">
        <f t="shared" si="4"/>
        <v>12</v>
      </c>
      <c r="B137" s="42" t="s">
        <v>211</v>
      </c>
      <c r="G137" s="197">
        <f>IFERROR((((G131)+(G133/G134))*G135-(G132/G134))/(1-G135),0)</f>
        <v>0</v>
      </c>
      <c r="I137" s="53" t="s">
        <v>212</v>
      </c>
      <c r="J137" s="41">
        <f t="shared" si="5"/>
        <v>12</v>
      </c>
    </row>
    <row r="138" spans="1:10" x14ac:dyDescent="0.3">
      <c r="A138" s="41">
        <f t="shared" si="4"/>
        <v>13</v>
      </c>
      <c r="B138" s="199" t="s">
        <v>197</v>
      </c>
      <c r="G138" s="183"/>
      <c r="J138" s="41">
        <f t="shared" si="5"/>
        <v>13</v>
      </c>
    </row>
    <row r="139" spans="1:10" x14ac:dyDescent="0.3">
      <c r="A139" s="41">
        <f t="shared" si="4"/>
        <v>14</v>
      </c>
      <c r="G139" s="41"/>
      <c r="J139" s="41">
        <f t="shared" si="5"/>
        <v>14</v>
      </c>
    </row>
    <row r="140" spans="1:10" x14ac:dyDescent="0.3">
      <c r="A140" s="41">
        <f t="shared" si="4"/>
        <v>15</v>
      </c>
      <c r="B140" s="46" t="s">
        <v>198</v>
      </c>
      <c r="G140" s="200"/>
      <c r="I140" s="201"/>
      <c r="J140" s="41">
        <f t="shared" si="5"/>
        <v>15</v>
      </c>
    </row>
    <row r="141" spans="1:10" x14ac:dyDescent="0.3">
      <c r="A141" s="41">
        <f t="shared" si="4"/>
        <v>16</v>
      </c>
      <c r="B141" s="57"/>
      <c r="G141" s="200"/>
      <c r="I141" s="189"/>
      <c r="J141" s="41">
        <f t="shared" si="5"/>
        <v>16</v>
      </c>
    </row>
    <row r="142" spans="1:10" x14ac:dyDescent="0.3">
      <c r="A142" s="41">
        <f t="shared" si="4"/>
        <v>17</v>
      </c>
      <c r="B142" s="48" t="s">
        <v>188</v>
      </c>
      <c r="G142" s="200"/>
      <c r="I142" s="189"/>
      <c r="J142" s="41">
        <f t="shared" si="5"/>
        <v>17</v>
      </c>
    </row>
    <row r="143" spans="1:10" x14ac:dyDescent="0.3">
      <c r="A143" s="41">
        <f t="shared" si="4"/>
        <v>18</v>
      </c>
      <c r="B143" s="42" t="str">
        <f>B98</f>
        <v xml:space="preserve">     A = Sum of Preferred Stock and Return on Equity Component</v>
      </c>
      <c r="G143" s="175">
        <f>G131</f>
        <v>0</v>
      </c>
      <c r="I143" s="53" t="str">
        <f>"Line "&amp;A131&amp;" Above"</f>
        <v>Line 6 Above</v>
      </c>
      <c r="J143" s="41">
        <f t="shared" si="5"/>
        <v>18</v>
      </c>
    </row>
    <row r="144" spans="1:10" x14ac:dyDescent="0.3">
      <c r="A144" s="41">
        <f t="shared" si="4"/>
        <v>19</v>
      </c>
      <c r="B144" s="42" t="str">
        <f>B99</f>
        <v xml:space="preserve">     B = Equity AFUDC Component of Transmission Depreciation Expense</v>
      </c>
      <c r="G144" s="204">
        <f>G133</f>
        <v>0</v>
      </c>
      <c r="I144" s="53" t="str">
        <f>"Line "&amp;A133&amp;" Above"</f>
        <v>Line 8 Above</v>
      </c>
      <c r="J144" s="41">
        <f t="shared" si="5"/>
        <v>19</v>
      </c>
    </row>
    <row r="145" spans="1:10" x14ac:dyDescent="0.3">
      <c r="A145" s="41">
        <f t="shared" si="4"/>
        <v>20</v>
      </c>
      <c r="B145" s="42" t="s">
        <v>213</v>
      </c>
      <c r="G145" s="204">
        <f>G134</f>
        <v>0</v>
      </c>
      <c r="I145" s="53" t="str">
        <f>"Line "&amp;A134&amp;" Above"</f>
        <v>Line 9 Above</v>
      </c>
      <c r="J145" s="41">
        <f t="shared" si="5"/>
        <v>20</v>
      </c>
    </row>
    <row r="146" spans="1:10" x14ac:dyDescent="0.3">
      <c r="A146" s="41">
        <f t="shared" si="4"/>
        <v>21</v>
      </c>
      <c r="B146" s="42" t="str">
        <f>B101</f>
        <v xml:space="preserve">     FT = Federal Income Tax Expense</v>
      </c>
      <c r="G146" s="206">
        <f>G137</f>
        <v>0</v>
      </c>
      <c r="I146" s="53" t="str">
        <f>"Line "&amp;A137&amp;" Above"</f>
        <v>Line 12 Above</v>
      </c>
      <c r="J146" s="41">
        <f t="shared" si="5"/>
        <v>21</v>
      </c>
    </row>
    <row r="147" spans="1:10" x14ac:dyDescent="0.3">
      <c r="A147" s="41">
        <f t="shared" si="4"/>
        <v>22</v>
      </c>
      <c r="B147" s="42" t="str">
        <f>B102</f>
        <v xml:space="preserve">     ST = State Income Tax Rate for Rate Effective Period</v>
      </c>
      <c r="G147" s="537" t="str">
        <f>G102</f>
        <v>8.84%</v>
      </c>
      <c r="I147" s="53" t="str">
        <f>"AV2; Line "&amp;A102</f>
        <v>AV2; Line 22</v>
      </c>
      <c r="J147" s="41">
        <f t="shared" si="5"/>
        <v>22</v>
      </c>
    </row>
    <row r="148" spans="1:10" x14ac:dyDescent="0.3">
      <c r="A148" s="41">
        <f t="shared" si="4"/>
        <v>23</v>
      </c>
      <c r="B148" s="723"/>
      <c r="G148" s="207"/>
      <c r="I148" s="203"/>
      <c r="J148" s="41">
        <f t="shared" si="5"/>
        <v>23</v>
      </c>
    </row>
    <row r="149" spans="1:10" x14ac:dyDescent="0.3">
      <c r="A149" s="41">
        <f t="shared" si="4"/>
        <v>24</v>
      </c>
      <c r="B149" s="42" t="s">
        <v>205</v>
      </c>
      <c r="G149" s="531">
        <f>IFERROR(((G143)+(G144/G145)+G137)*G147/(1-G147),0)</f>
        <v>0</v>
      </c>
      <c r="I149" s="53" t="s">
        <v>206</v>
      </c>
      <c r="J149" s="41">
        <f t="shared" si="5"/>
        <v>24</v>
      </c>
    </row>
    <row r="150" spans="1:10" x14ac:dyDescent="0.3">
      <c r="A150" s="41">
        <f t="shared" si="4"/>
        <v>25</v>
      </c>
      <c r="B150" s="199" t="s">
        <v>207</v>
      </c>
      <c r="G150" s="41"/>
      <c r="I150" s="53"/>
      <c r="J150" s="41">
        <f t="shared" si="5"/>
        <v>25</v>
      </c>
    </row>
    <row r="151" spans="1:10" x14ac:dyDescent="0.3">
      <c r="A151" s="41">
        <f t="shared" si="4"/>
        <v>26</v>
      </c>
      <c r="G151" s="41"/>
      <c r="I151" s="53"/>
      <c r="J151" s="41">
        <f t="shared" si="5"/>
        <v>26</v>
      </c>
    </row>
    <row r="152" spans="1:10" x14ac:dyDescent="0.3">
      <c r="A152" s="41">
        <f t="shared" si="4"/>
        <v>27</v>
      </c>
      <c r="B152" s="46" t="s">
        <v>208</v>
      </c>
      <c r="G152" s="197">
        <f>G149+G137</f>
        <v>0</v>
      </c>
      <c r="I152" s="53" t="str">
        <f>"Line "&amp;A137&amp;" + Line "&amp;A149</f>
        <v>Line 12 + Line 24</v>
      </c>
      <c r="J152" s="41">
        <f t="shared" si="5"/>
        <v>27</v>
      </c>
    </row>
    <row r="153" spans="1:10" x14ac:dyDescent="0.3">
      <c r="A153" s="41">
        <f t="shared" si="4"/>
        <v>28</v>
      </c>
      <c r="G153" s="41"/>
      <c r="I153" s="53"/>
      <c r="J153" s="41">
        <f t="shared" si="5"/>
        <v>28</v>
      </c>
    </row>
    <row r="154" spans="1:10" x14ac:dyDescent="0.3">
      <c r="A154" s="41">
        <f t="shared" si="4"/>
        <v>29</v>
      </c>
      <c r="B154" s="46" t="s">
        <v>214</v>
      </c>
      <c r="G154" s="538">
        <f>G64</f>
        <v>0</v>
      </c>
      <c r="I154" s="53" t="str">
        <f>"AV1; Line "&amp;A64</f>
        <v>AV1; Line 53</v>
      </c>
      <c r="J154" s="41">
        <f t="shared" si="5"/>
        <v>29</v>
      </c>
    </row>
    <row r="155" spans="1:10" x14ac:dyDescent="0.3">
      <c r="A155" s="41">
        <f t="shared" si="4"/>
        <v>30</v>
      </c>
      <c r="G155" s="41"/>
      <c r="I155" s="53"/>
      <c r="J155" s="41">
        <f t="shared" si="5"/>
        <v>30</v>
      </c>
    </row>
    <row r="156" spans="1:10" ht="18.600000000000001" thickBot="1" x14ac:dyDescent="0.35">
      <c r="A156" s="41">
        <f t="shared" si="4"/>
        <v>31</v>
      </c>
      <c r="B156" s="46" t="s">
        <v>340</v>
      </c>
      <c r="G156" s="215">
        <f>G152+G154</f>
        <v>0</v>
      </c>
      <c r="I156" s="53" t="str">
        <f>"Line "&amp;A152&amp;" + Line "&amp;A154</f>
        <v>Line 27 + Line 29</v>
      </c>
      <c r="J156" s="41">
        <f t="shared" si="5"/>
        <v>31</v>
      </c>
    </row>
    <row r="157" spans="1:10" ht="16.2" thickTop="1" x14ac:dyDescent="0.3"/>
    <row r="159" spans="1:10" ht="18" x14ac:dyDescent="0.3">
      <c r="A159" s="71"/>
      <c r="B159" s="20"/>
    </row>
  </sheetData>
  <mergeCells count="15">
    <mergeCell ref="B72:I72"/>
    <mergeCell ref="B3:I3"/>
    <mergeCell ref="B4:I4"/>
    <mergeCell ref="B5:I5"/>
    <mergeCell ref="B6:I6"/>
    <mergeCell ref="B7:I7"/>
    <mergeCell ref="B119:I119"/>
    <mergeCell ref="B120:I120"/>
    <mergeCell ref="B121:I121"/>
    <mergeCell ref="B73:I73"/>
    <mergeCell ref="B74:I74"/>
    <mergeCell ref="B75:I75"/>
    <mergeCell ref="B76:I76"/>
    <mergeCell ref="B117:I117"/>
    <mergeCell ref="B118:I118"/>
  </mergeCells>
  <printOptions horizontalCentered="1"/>
  <pageMargins left="0.25" right="0.25" top="0.5" bottom="0.5" header="0.35" footer="0.25"/>
  <pageSetup scale="59" fitToWidth="3" fitToHeight="3" orientation="portrait" r:id="rId1"/>
  <headerFooter scaleWithDoc="0" alignWithMargins="0">
    <oddHeader>&amp;C&amp;"Times New Roman,Bold"&amp;9AS FILED</oddHeader>
    <oddFooter>&amp;CPage 12.&amp;P&amp;R&amp;F</oddFooter>
  </headerFooter>
  <rowBreaks count="2" manualBreakCount="2">
    <brk id="70" max="9" man="1"/>
    <brk id="115" max="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52ED-41FC-4DCB-BE64-590F0CFFF747}">
  <dimension ref="A1:H88"/>
  <sheetViews>
    <sheetView zoomScale="80" zoomScaleNormal="80" workbookViewId="0"/>
  </sheetViews>
  <sheetFormatPr defaultColWidth="8.88671875" defaultRowHeight="15.6" x14ac:dyDescent="0.3"/>
  <cols>
    <col min="1" max="1" width="5.109375" style="617" customWidth="1"/>
    <col min="2" max="2" width="85.44140625" style="564" customWidth="1"/>
    <col min="3" max="3" width="16.88671875" style="564" customWidth="1"/>
    <col min="4" max="4" width="1.5546875" style="564" customWidth="1"/>
    <col min="5" max="5" width="42.21875" style="564" customWidth="1"/>
    <col min="6" max="6" width="5.109375" style="617" customWidth="1"/>
    <col min="7" max="16384" width="8.88671875" style="564"/>
  </cols>
  <sheetData>
    <row r="1" spans="1:6" x14ac:dyDescent="0.3">
      <c r="A1" s="549"/>
      <c r="B1" s="225"/>
      <c r="C1" s="563"/>
      <c r="D1" s="563"/>
      <c r="E1" s="542"/>
      <c r="F1" s="549"/>
    </row>
    <row r="2" spans="1:6" x14ac:dyDescent="0.3">
      <c r="A2" s="549"/>
      <c r="B2" s="805" t="s">
        <v>24</v>
      </c>
      <c r="C2" s="825"/>
      <c r="D2" s="825"/>
      <c r="E2" s="825"/>
      <c r="F2" s="549"/>
    </row>
    <row r="3" spans="1:6" x14ac:dyDescent="0.3">
      <c r="A3" s="549" t="s">
        <v>11</v>
      </c>
      <c r="B3" s="805" t="s">
        <v>344</v>
      </c>
      <c r="C3" s="825"/>
      <c r="D3" s="825"/>
      <c r="E3" s="825"/>
      <c r="F3" s="549" t="s">
        <v>11</v>
      </c>
    </row>
    <row r="4" spans="1:6" x14ac:dyDescent="0.3">
      <c r="A4" s="549"/>
      <c r="B4" s="826" t="s">
        <v>544</v>
      </c>
      <c r="C4" s="827"/>
      <c r="D4" s="827"/>
      <c r="E4" s="827"/>
      <c r="F4" s="549"/>
    </row>
    <row r="5" spans="1:6" x14ac:dyDescent="0.3">
      <c r="A5" s="549"/>
      <c r="B5" s="828" t="s">
        <v>1</v>
      </c>
      <c r="C5" s="825"/>
      <c r="D5" s="825"/>
      <c r="E5" s="825"/>
      <c r="F5" s="549"/>
    </row>
    <row r="6" spans="1:6" x14ac:dyDescent="0.3">
      <c r="A6" s="549"/>
      <c r="B6" s="565"/>
      <c r="C6" s="225"/>
      <c r="D6" s="225"/>
      <c r="E6" s="225"/>
      <c r="F6" s="549"/>
    </row>
    <row r="7" spans="1:6" x14ac:dyDescent="0.3">
      <c r="A7" s="549" t="s">
        <v>2</v>
      </c>
      <c r="B7" s="225"/>
      <c r="C7" s="566"/>
      <c r="D7" s="566"/>
      <c r="E7" s="543"/>
      <c r="F7" s="549" t="s">
        <v>2</v>
      </c>
    </row>
    <row r="8" spans="1:6" x14ac:dyDescent="0.3">
      <c r="A8" s="549" t="s">
        <v>6</v>
      </c>
      <c r="B8" s="225" t="s">
        <v>11</v>
      </c>
      <c r="C8" s="567" t="s">
        <v>4</v>
      </c>
      <c r="D8" s="566"/>
      <c r="E8" s="568" t="s">
        <v>5</v>
      </c>
      <c r="F8" s="549" t="s">
        <v>6</v>
      </c>
    </row>
    <row r="9" spans="1:6" x14ac:dyDescent="0.3">
      <c r="A9" s="549"/>
      <c r="B9" s="467" t="s">
        <v>345</v>
      </c>
      <c r="C9" s="569"/>
      <c r="D9" s="566"/>
      <c r="E9" s="543"/>
      <c r="F9" s="549"/>
    </row>
    <row r="10" spans="1:6" x14ac:dyDescent="0.3">
      <c r="A10" s="549"/>
      <c r="B10" s="570"/>
      <c r="C10" s="569"/>
      <c r="D10" s="566"/>
      <c r="E10" s="543"/>
      <c r="F10" s="549"/>
    </row>
    <row r="11" spans="1:6" x14ac:dyDescent="0.3">
      <c r="A11" s="549">
        <v>1</v>
      </c>
      <c r="B11" s="467" t="s">
        <v>346</v>
      </c>
      <c r="C11" s="569"/>
      <c r="D11" s="569"/>
      <c r="E11" s="543"/>
      <c r="F11" s="549">
        <f>A11</f>
        <v>1</v>
      </c>
    </row>
    <row r="12" spans="1:6" x14ac:dyDescent="0.3">
      <c r="A12" s="549">
        <f>A11+1</f>
        <v>2</v>
      </c>
      <c r="B12" s="246" t="s">
        <v>347</v>
      </c>
      <c r="C12" s="571">
        <f>C78</f>
        <v>5272366.49687846</v>
      </c>
      <c r="D12" s="572"/>
      <c r="E12" s="273" t="s">
        <v>479</v>
      </c>
      <c r="F12" s="549">
        <f>F11+1</f>
        <v>2</v>
      </c>
    </row>
    <row r="13" spans="1:6" x14ac:dyDescent="0.3">
      <c r="A13" s="549">
        <f t="shared" ref="A13:A48" si="0">A12+1</f>
        <v>3</v>
      </c>
      <c r="B13" s="246" t="s">
        <v>20</v>
      </c>
      <c r="C13" s="573">
        <f>C79</f>
        <v>3383.5254047790368</v>
      </c>
      <c r="D13" s="574"/>
      <c r="E13" s="273" t="s">
        <v>480</v>
      </c>
      <c r="F13" s="549">
        <f t="shared" ref="F13:F48" si="1">F12+1</f>
        <v>3</v>
      </c>
    </row>
    <row r="14" spans="1:6" x14ac:dyDescent="0.3">
      <c r="A14" s="549">
        <f t="shared" si="0"/>
        <v>4</v>
      </c>
      <c r="B14" s="246" t="s">
        <v>21</v>
      </c>
      <c r="C14" s="573">
        <f>C80</f>
        <v>28018.267765879718</v>
      </c>
      <c r="D14" s="574"/>
      <c r="E14" s="273" t="s">
        <v>481</v>
      </c>
      <c r="F14" s="549">
        <f t="shared" si="1"/>
        <v>4</v>
      </c>
    </row>
    <row r="15" spans="1:6" x14ac:dyDescent="0.3">
      <c r="A15" s="549">
        <f t="shared" si="0"/>
        <v>5</v>
      </c>
      <c r="B15" s="246" t="s">
        <v>348</v>
      </c>
      <c r="C15" s="575">
        <f>C81</f>
        <v>58941.050956189742</v>
      </c>
      <c r="D15" s="574"/>
      <c r="E15" s="273" t="s">
        <v>482</v>
      </c>
      <c r="F15" s="549">
        <f t="shared" si="1"/>
        <v>5</v>
      </c>
    </row>
    <row r="16" spans="1:6" x14ac:dyDescent="0.3">
      <c r="A16" s="549">
        <f t="shared" si="0"/>
        <v>6</v>
      </c>
      <c r="B16" s="246" t="s">
        <v>349</v>
      </c>
      <c r="C16" s="576">
        <f>SUM(C12:C15)</f>
        <v>5362709.3410053086</v>
      </c>
      <c r="D16" s="577"/>
      <c r="E16" s="273" t="s">
        <v>473</v>
      </c>
      <c r="F16" s="549">
        <f t="shared" si="1"/>
        <v>6</v>
      </c>
    </row>
    <row r="17" spans="1:6" x14ac:dyDescent="0.3">
      <c r="A17" s="549">
        <f t="shared" si="0"/>
        <v>7</v>
      </c>
      <c r="B17" s="466"/>
      <c r="C17" s="578"/>
      <c r="D17" s="579"/>
      <c r="E17" s="543"/>
      <c r="F17" s="549">
        <f t="shared" si="1"/>
        <v>7</v>
      </c>
    </row>
    <row r="18" spans="1:6" x14ac:dyDescent="0.3">
      <c r="A18" s="549">
        <f t="shared" si="0"/>
        <v>8</v>
      </c>
      <c r="B18" s="467" t="s">
        <v>350</v>
      </c>
      <c r="C18" s="578"/>
      <c r="D18" s="579"/>
      <c r="E18" s="543"/>
      <c r="F18" s="549">
        <f t="shared" si="1"/>
        <v>8</v>
      </c>
    </row>
    <row r="19" spans="1:6" x14ac:dyDescent="0.3">
      <c r="A19" s="549">
        <f t="shared" si="0"/>
        <v>9</v>
      </c>
      <c r="B19" s="246" t="s">
        <v>351</v>
      </c>
      <c r="C19" s="580">
        <v>0</v>
      </c>
      <c r="D19" s="566"/>
      <c r="E19" s="273" t="s">
        <v>483</v>
      </c>
      <c r="F19" s="549">
        <f t="shared" si="1"/>
        <v>9</v>
      </c>
    </row>
    <row r="20" spans="1:6" x14ac:dyDescent="0.3">
      <c r="A20" s="549">
        <f t="shared" si="0"/>
        <v>10</v>
      </c>
      <c r="B20" s="246" t="s">
        <v>352</v>
      </c>
      <c r="C20" s="581">
        <v>0</v>
      </c>
      <c r="D20" s="566"/>
      <c r="E20" s="273" t="s">
        <v>484</v>
      </c>
      <c r="F20" s="549">
        <f t="shared" si="1"/>
        <v>10</v>
      </c>
    </row>
    <row r="21" spans="1:6" x14ac:dyDescent="0.3">
      <c r="A21" s="549">
        <f t="shared" si="0"/>
        <v>11</v>
      </c>
      <c r="B21" s="246" t="s">
        <v>353</v>
      </c>
      <c r="C21" s="582">
        <f>C19+C20</f>
        <v>0</v>
      </c>
      <c r="D21" s="583"/>
      <c r="E21" s="273" t="s">
        <v>485</v>
      </c>
      <c r="F21" s="549">
        <f t="shared" si="1"/>
        <v>11</v>
      </c>
    </row>
    <row r="22" spans="1:6" x14ac:dyDescent="0.3">
      <c r="A22" s="549">
        <f t="shared" si="0"/>
        <v>12</v>
      </c>
      <c r="B22" s="246"/>
      <c r="C22" s="584"/>
      <c r="D22" s="563"/>
      <c r="E22" s="543"/>
      <c r="F22" s="549">
        <f t="shared" si="1"/>
        <v>12</v>
      </c>
    </row>
    <row r="23" spans="1:6" x14ac:dyDescent="0.3">
      <c r="A23" s="549">
        <f t="shared" si="0"/>
        <v>13</v>
      </c>
      <c r="B23" s="467" t="s">
        <v>354</v>
      </c>
      <c r="C23" s="578"/>
      <c r="D23" s="579"/>
      <c r="E23" s="543"/>
      <c r="F23" s="549">
        <f t="shared" si="1"/>
        <v>13</v>
      </c>
    </row>
    <row r="24" spans="1:6" x14ac:dyDescent="0.3">
      <c r="A24" s="549">
        <f t="shared" si="0"/>
        <v>14</v>
      </c>
      <c r="B24" s="466" t="s">
        <v>355</v>
      </c>
      <c r="C24" s="737">
        <f>'Pg8 Rev Stmt AF'!I17</f>
        <v>-937258.99740447651</v>
      </c>
      <c r="D24" s="27" t="s">
        <v>16</v>
      </c>
      <c r="E24" s="273" t="s">
        <v>486</v>
      </c>
      <c r="F24" s="549">
        <f t="shared" si="1"/>
        <v>14</v>
      </c>
    </row>
    <row r="25" spans="1:6" x14ac:dyDescent="0.3">
      <c r="A25" s="549">
        <f t="shared" si="0"/>
        <v>15</v>
      </c>
      <c r="B25" s="466" t="s">
        <v>356</v>
      </c>
      <c r="C25" s="586">
        <v>0</v>
      </c>
      <c r="D25" s="566"/>
      <c r="E25" s="273" t="s">
        <v>487</v>
      </c>
      <c r="F25" s="549">
        <f t="shared" si="1"/>
        <v>15</v>
      </c>
    </row>
    <row r="26" spans="1:6" x14ac:dyDescent="0.3">
      <c r="A26" s="549">
        <f t="shared" si="0"/>
        <v>16</v>
      </c>
      <c r="B26" s="246" t="s">
        <v>357</v>
      </c>
      <c r="C26" s="590">
        <f>SUM(C24:C25)</f>
        <v>-937258.99740447651</v>
      </c>
      <c r="D26" s="27" t="s">
        <v>16</v>
      </c>
      <c r="E26" s="273" t="s">
        <v>488</v>
      </c>
      <c r="F26" s="549">
        <f t="shared" si="1"/>
        <v>16</v>
      </c>
    </row>
    <row r="27" spans="1:6" x14ac:dyDescent="0.3">
      <c r="A27" s="549">
        <f t="shared" si="0"/>
        <v>17</v>
      </c>
      <c r="B27" s="225"/>
      <c r="C27" s="587"/>
      <c r="D27" s="588"/>
      <c r="E27" s="543"/>
      <c r="F27" s="549">
        <f t="shared" si="1"/>
        <v>17</v>
      </c>
    </row>
    <row r="28" spans="1:6" x14ac:dyDescent="0.3">
      <c r="A28" s="549">
        <f t="shared" si="0"/>
        <v>18</v>
      </c>
      <c r="B28" s="467" t="s">
        <v>358</v>
      </c>
      <c r="C28" s="587"/>
      <c r="D28" s="588"/>
      <c r="E28" s="543"/>
      <c r="F28" s="549">
        <f t="shared" si="1"/>
        <v>18</v>
      </c>
    </row>
    <row r="29" spans="1:6" x14ac:dyDescent="0.3">
      <c r="A29" s="549">
        <f t="shared" si="0"/>
        <v>19</v>
      </c>
      <c r="B29" s="246" t="s">
        <v>359</v>
      </c>
      <c r="C29" s="571">
        <f>'Pg10 Rev Stmt AL'!G15</f>
        <v>50955.986223078966</v>
      </c>
      <c r="D29" s="566"/>
      <c r="E29" s="273" t="s">
        <v>421</v>
      </c>
      <c r="F29" s="549">
        <f t="shared" si="1"/>
        <v>19</v>
      </c>
    </row>
    <row r="30" spans="1:6" x14ac:dyDescent="0.3">
      <c r="A30" s="549">
        <f t="shared" si="0"/>
        <v>20</v>
      </c>
      <c r="B30" s="246" t="s">
        <v>360</v>
      </c>
      <c r="C30" s="573">
        <f>'Pg10 Rev Stmt AL'!G19</f>
        <v>37080.695383757316</v>
      </c>
      <c r="D30" s="566"/>
      <c r="E30" s="273" t="s">
        <v>422</v>
      </c>
      <c r="F30" s="549">
        <f t="shared" si="1"/>
        <v>20</v>
      </c>
    </row>
    <row r="31" spans="1:6" x14ac:dyDescent="0.3">
      <c r="A31" s="549">
        <f t="shared" si="0"/>
        <v>21</v>
      </c>
      <c r="B31" s="246" t="s">
        <v>361</v>
      </c>
      <c r="C31" s="589">
        <f>'Pg10 Rev Stmt AL'!E29</f>
        <v>9955.3228066998345</v>
      </c>
      <c r="D31" s="27" t="s">
        <v>16</v>
      </c>
      <c r="E31" s="273" t="s">
        <v>423</v>
      </c>
      <c r="F31" s="549">
        <f t="shared" si="1"/>
        <v>21</v>
      </c>
    </row>
    <row r="32" spans="1:6" x14ac:dyDescent="0.3">
      <c r="A32" s="549">
        <f t="shared" si="0"/>
        <v>22</v>
      </c>
      <c r="B32" s="246" t="s">
        <v>362</v>
      </c>
      <c r="C32" s="590">
        <f>SUM(C29:C31)</f>
        <v>97992.004413536109</v>
      </c>
      <c r="D32" s="27" t="s">
        <v>16</v>
      </c>
      <c r="E32" s="273" t="s">
        <v>489</v>
      </c>
      <c r="F32" s="549">
        <f t="shared" si="1"/>
        <v>22</v>
      </c>
    </row>
    <row r="33" spans="1:6" x14ac:dyDescent="0.3">
      <c r="A33" s="549">
        <f t="shared" si="0"/>
        <v>23</v>
      </c>
      <c r="B33" s="249"/>
      <c r="C33" s="591"/>
      <c r="D33" s="592"/>
      <c r="E33" s="543"/>
      <c r="F33" s="549">
        <f t="shared" si="1"/>
        <v>23</v>
      </c>
    </row>
    <row r="34" spans="1:6" x14ac:dyDescent="0.3">
      <c r="A34" s="549">
        <f t="shared" si="0"/>
        <v>24</v>
      </c>
      <c r="B34" s="246" t="s">
        <v>363</v>
      </c>
      <c r="C34" s="593">
        <v>0</v>
      </c>
      <c r="D34" s="566"/>
      <c r="E34" s="273" t="s">
        <v>490</v>
      </c>
      <c r="F34" s="549">
        <f t="shared" si="1"/>
        <v>24</v>
      </c>
    </row>
    <row r="35" spans="1:6" x14ac:dyDescent="0.3">
      <c r="A35" s="549">
        <f t="shared" si="0"/>
        <v>25</v>
      </c>
      <c r="B35" s="246"/>
      <c r="C35" s="591"/>
      <c r="D35" s="592"/>
      <c r="E35" s="543"/>
      <c r="F35" s="549">
        <f t="shared" si="1"/>
        <v>25</v>
      </c>
    </row>
    <row r="36" spans="1:6" ht="16.2" thickBot="1" x14ac:dyDescent="0.35">
      <c r="A36" s="549">
        <f t="shared" si="0"/>
        <v>26</v>
      </c>
      <c r="B36" s="246" t="s">
        <v>364</v>
      </c>
      <c r="C36" s="594">
        <f>C16+C21+C26+C32+C34</f>
        <v>4523442.3480143677</v>
      </c>
      <c r="D36" s="27" t="s">
        <v>16</v>
      </c>
      <c r="E36" s="273" t="s">
        <v>491</v>
      </c>
      <c r="F36" s="549">
        <f t="shared" si="1"/>
        <v>26</v>
      </c>
    </row>
    <row r="37" spans="1:6" ht="16.2" thickTop="1" x14ac:dyDescent="0.3">
      <c r="A37" s="549">
        <f t="shared" si="0"/>
        <v>27</v>
      </c>
      <c r="B37" s="249"/>
      <c r="C37" s="595"/>
      <c r="D37" s="577"/>
      <c r="E37" s="543"/>
      <c r="F37" s="549">
        <f t="shared" si="1"/>
        <v>27</v>
      </c>
    </row>
    <row r="38" spans="1:6" x14ac:dyDescent="0.3">
      <c r="A38" s="549">
        <f t="shared" si="0"/>
        <v>28</v>
      </c>
      <c r="B38" s="467" t="s">
        <v>365</v>
      </c>
      <c r="C38" s="595"/>
      <c r="D38" s="577"/>
      <c r="E38" s="543"/>
      <c r="F38" s="549">
        <f t="shared" si="1"/>
        <v>28</v>
      </c>
    </row>
    <row r="39" spans="1:6" x14ac:dyDescent="0.3">
      <c r="A39" s="549">
        <f t="shared" si="0"/>
        <v>29</v>
      </c>
      <c r="B39" s="246" t="s">
        <v>366</v>
      </c>
      <c r="C39" s="596">
        <v>0</v>
      </c>
      <c r="D39" s="597"/>
      <c r="E39" s="273" t="s">
        <v>19</v>
      </c>
      <c r="F39" s="549">
        <f t="shared" si="1"/>
        <v>29</v>
      </c>
    </row>
    <row r="40" spans="1:6" x14ac:dyDescent="0.3">
      <c r="A40" s="549">
        <f t="shared" si="0"/>
        <v>30</v>
      </c>
      <c r="B40" s="246" t="s">
        <v>367</v>
      </c>
      <c r="C40" s="598">
        <v>0</v>
      </c>
      <c r="D40" s="566"/>
      <c r="E40" s="273" t="s">
        <v>19</v>
      </c>
      <c r="F40" s="549">
        <f t="shared" si="1"/>
        <v>30</v>
      </c>
    </row>
    <row r="41" spans="1:6" x14ac:dyDescent="0.3">
      <c r="A41" s="549">
        <f t="shared" si="0"/>
        <v>31</v>
      </c>
      <c r="B41" s="466" t="s">
        <v>368</v>
      </c>
      <c r="C41" s="590">
        <f>C39+C40</f>
        <v>0</v>
      </c>
      <c r="D41" s="577"/>
      <c r="E41" s="273" t="s">
        <v>492</v>
      </c>
      <c r="F41" s="549">
        <f t="shared" si="1"/>
        <v>31</v>
      </c>
    </row>
    <row r="42" spans="1:6" x14ac:dyDescent="0.3">
      <c r="A42" s="549">
        <f t="shared" si="0"/>
        <v>32</v>
      </c>
      <c r="B42" s="249"/>
      <c r="C42" s="595"/>
      <c r="D42" s="577"/>
      <c r="E42" s="543"/>
      <c r="F42" s="549">
        <f t="shared" si="1"/>
        <v>32</v>
      </c>
    </row>
    <row r="43" spans="1:6" x14ac:dyDescent="0.3">
      <c r="A43" s="549">
        <f t="shared" si="0"/>
        <v>33</v>
      </c>
      <c r="B43" s="467" t="s">
        <v>369</v>
      </c>
      <c r="C43" s="595"/>
      <c r="D43" s="577"/>
      <c r="E43" s="543"/>
      <c r="F43" s="549">
        <f t="shared" si="1"/>
        <v>33</v>
      </c>
    </row>
    <row r="44" spans="1:6" x14ac:dyDescent="0.3">
      <c r="A44" s="549">
        <f t="shared" si="0"/>
        <v>34</v>
      </c>
      <c r="B44" s="246" t="s">
        <v>370</v>
      </c>
      <c r="C44" s="596">
        <v>0</v>
      </c>
      <c r="D44" s="566"/>
      <c r="E44" s="273" t="s">
        <v>19</v>
      </c>
      <c r="F44" s="549">
        <f t="shared" si="1"/>
        <v>34</v>
      </c>
    </row>
    <row r="45" spans="1:6" x14ac:dyDescent="0.3">
      <c r="A45" s="549">
        <f t="shared" si="0"/>
        <v>35</v>
      </c>
      <c r="B45" s="466" t="s">
        <v>371</v>
      </c>
      <c r="C45" s="599">
        <v>0</v>
      </c>
      <c r="D45" s="566"/>
      <c r="E45" s="273" t="s">
        <v>19</v>
      </c>
      <c r="F45" s="549">
        <f t="shared" si="1"/>
        <v>35</v>
      </c>
    </row>
    <row r="46" spans="1:6" x14ac:dyDescent="0.3">
      <c r="A46" s="549">
        <f t="shared" si="0"/>
        <v>36</v>
      </c>
      <c r="B46" s="466" t="s">
        <v>372</v>
      </c>
      <c r="C46" s="590">
        <f>C44+C45</f>
        <v>0</v>
      </c>
      <c r="D46" s="577"/>
      <c r="E46" s="273" t="s">
        <v>493</v>
      </c>
      <c r="F46" s="549">
        <f t="shared" si="1"/>
        <v>36</v>
      </c>
    </row>
    <row r="47" spans="1:6" x14ac:dyDescent="0.3">
      <c r="A47" s="549">
        <f t="shared" si="0"/>
        <v>37</v>
      </c>
      <c r="B47" s="249"/>
      <c r="C47" s="595"/>
      <c r="D47" s="577"/>
      <c r="E47" s="543"/>
      <c r="F47" s="549">
        <f t="shared" si="1"/>
        <v>37</v>
      </c>
    </row>
    <row r="48" spans="1:6" ht="16.2" thickBot="1" x14ac:dyDescent="0.35">
      <c r="A48" s="549">
        <f t="shared" si="0"/>
        <v>38</v>
      </c>
      <c r="B48" s="467" t="s">
        <v>373</v>
      </c>
      <c r="C48" s="600">
        <v>0</v>
      </c>
      <c r="D48" s="566"/>
      <c r="E48" s="273" t="s">
        <v>19</v>
      </c>
      <c r="F48" s="549">
        <f t="shared" si="1"/>
        <v>38</v>
      </c>
    </row>
    <row r="49" spans="1:8" ht="16.2" thickTop="1" x14ac:dyDescent="0.3">
      <c r="A49" s="549"/>
      <c r="B49" s="249"/>
      <c r="C49" s="595"/>
      <c r="D49" s="577"/>
      <c r="E49" s="543"/>
      <c r="F49" s="549"/>
    </row>
    <row r="50" spans="1:8" x14ac:dyDescent="0.3">
      <c r="A50" s="541" t="s">
        <v>16</v>
      </c>
      <c r="B50" s="24" t="str">
        <f>'Pg11 Rev Stmt AV'!B113</f>
        <v>Items in BOLD have changed due to A&amp;G adjustments and removal of CIAC related ADIT per SDG&amp;E's TO5 Cycle 4 Letter Order determination in ER22-527</v>
      </c>
      <c r="C50" s="225"/>
      <c r="D50" s="225"/>
      <c r="E50" s="225"/>
      <c r="F50" s="549"/>
    </row>
    <row r="51" spans="1:8" x14ac:dyDescent="0.3">
      <c r="A51" s="541"/>
      <c r="B51" s="24" t="str">
        <f>'Pg11 Rev Stmt AV'!B114</f>
        <v>as compared to the original SX-PQ Appendix XII Cycle 4 filing per ER22-133.</v>
      </c>
      <c r="C51" s="225"/>
      <c r="D51" s="225"/>
      <c r="E51" s="225"/>
      <c r="F51" s="549"/>
    </row>
    <row r="52" spans="1:8" x14ac:dyDescent="0.3">
      <c r="A52" s="541"/>
      <c r="B52" s="24"/>
      <c r="C52" s="730"/>
      <c r="D52" s="730"/>
      <c r="E52" s="730"/>
      <c r="F52" s="729"/>
    </row>
    <row r="53" spans="1:8" x14ac:dyDescent="0.3">
      <c r="A53" s="27"/>
      <c r="B53" s="24"/>
      <c r="C53" s="225"/>
      <c r="D53" s="225"/>
      <c r="E53" s="225"/>
      <c r="F53" s="549"/>
    </row>
    <row r="54" spans="1:8" x14ac:dyDescent="0.3">
      <c r="A54" s="549"/>
      <c r="B54" s="805" t="str">
        <f>B2</f>
        <v>SAN DIEGO GAS &amp; ELECTRIC COMPANY</v>
      </c>
      <c r="C54" s="825"/>
      <c r="D54" s="825"/>
      <c r="E54" s="825"/>
      <c r="F54" s="549"/>
    </row>
    <row r="55" spans="1:8" x14ac:dyDescent="0.3">
      <c r="A55" s="549"/>
      <c r="B55" s="805" t="str">
        <f>B3</f>
        <v xml:space="preserve">Derivation of End Use Transmission Rate Base </v>
      </c>
      <c r="C55" s="825"/>
      <c r="D55" s="825"/>
      <c r="E55" s="825"/>
      <c r="F55" s="549"/>
    </row>
    <row r="56" spans="1:8" x14ac:dyDescent="0.3">
      <c r="A56" s="549"/>
      <c r="B56" s="826" t="str">
        <f>B4</f>
        <v>Base Period &amp; True-Up Period 12 - Months Ending December 31, 2020</v>
      </c>
      <c r="C56" s="827"/>
      <c r="D56" s="827"/>
      <c r="E56" s="827"/>
      <c r="F56" s="549"/>
    </row>
    <row r="57" spans="1:8" x14ac:dyDescent="0.3">
      <c r="A57" s="549"/>
      <c r="B57" s="828" t="s">
        <v>1</v>
      </c>
      <c r="C57" s="825"/>
      <c r="D57" s="825"/>
      <c r="E57" s="825"/>
      <c r="F57" s="549"/>
    </row>
    <row r="58" spans="1:8" x14ac:dyDescent="0.3">
      <c r="A58" s="549"/>
      <c r="B58" s="565"/>
      <c r="C58" s="225"/>
      <c r="D58" s="225"/>
      <c r="E58" s="225"/>
      <c r="F58" s="549"/>
    </row>
    <row r="59" spans="1:8" x14ac:dyDescent="0.3">
      <c r="A59" s="549" t="s">
        <v>2</v>
      </c>
      <c r="B59" s="565"/>
      <c r="C59" s="225"/>
      <c r="D59" s="225"/>
      <c r="E59" s="225"/>
      <c r="F59" s="549"/>
    </row>
    <row r="60" spans="1:8" x14ac:dyDescent="0.3">
      <c r="A60" s="549" t="s">
        <v>6</v>
      </c>
      <c r="B60" s="565"/>
      <c r="C60" s="225"/>
      <c r="D60" s="225"/>
      <c r="E60" s="225"/>
      <c r="F60" s="549"/>
    </row>
    <row r="61" spans="1:8" x14ac:dyDescent="0.3">
      <c r="A61" s="549"/>
      <c r="B61" s="467" t="s">
        <v>374</v>
      </c>
      <c r="C61" s="225"/>
      <c r="D61" s="225"/>
      <c r="E61" s="225"/>
      <c r="F61" s="549"/>
    </row>
    <row r="62" spans="1:8" x14ac:dyDescent="0.3">
      <c r="A62" s="549"/>
      <c r="B62" s="570"/>
      <c r="C62" s="566"/>
      <c r="D62" s="566"/>
      <c r="E62" s="543"/>
      <c r="F62" s="549"/>
    </row>
    <row r="63" spans="1:8" x14ac:dyDescent="0.3">
      <c r="A63" s="549">
        <v>1</v>
      </c>
      <c r="B63" s="467" t="s">
        <v>375</v>
      </c>
      <c r="C63" s="566"/>
      <c r="D63" s="566"/>
      <c r="E63" s="543"/>
      <c r="F63" s="549">
        <f t="shared" ref="F63:F87" si="2">A63</f>
        <v>1</v>
      </c>
    </row>
    <row r="64" spans="1:8" x14ac:dyDescent="0.3">
      <c r="A64" s="549">
        <v>2</v>
      </c>
      <c r="B64" s="246" t="s">
        <v>347</v>
      </c>
      <c r="C64" s="601">
        <v>6659410.4084030753</v>
      </c>
      <c r="D64" s="566"/>
      <c r="E64" s="273" t="s">
        <v>471</v>
      </c>
      <c r="F64" s="549">
        <f t="shared" si="2"/>
        <v>2</v>
      </c>
      <c r="G64" s="602"/>
      <c r="H64" s="603"/>
    </row>
    <row r="65" spans="1:8" x14ac:dyDescent="0.3">
      <c r="A65" s="549">
        <v>3</v>
      </c>
      <c r="B65" s="246" t="s">
        <v>376</v>
      </c>
      <c r="C65" s="604">
        <v>18941.773089617513</v>
      </c>
      <c r="D65" s="566"/>
      <c r="E65" s="273" t="s">
        <v>472</v>
      </c>
      <c r="F65" s="549">
        <f t="shared" si="2"/>
        <v>3</v>
      </c>
      <c r="G65" s="602"/>
      <c r="H65" s="603"/>
    </row>
    <row r="66" spans="1:8" x14ac:dyDescent="0.3">
      <c r="A66" s="549">
        <v>4</v>
      </c>
      <c r="B66" s="246" t="s">
        <v>21</v>
      </c>
      <c r="C66" s="604">
        <v>47368.546650440985</v>
      </c>
      <c r="D66" s="566"/>
      <c r="E66" s="273" t="s">
        <v>450</v>
      </c>
      <c r="F66" s="549">
        <f t="shared" si="2"/>
        <v>4</v>
      </c>
      <c r="G66" s="602"/>
      <c r="H66" s="605"/>
    </row>
    <row r="67" spans="1:8" x14ac:dyDescent="0.3">
      <c r="A67" s="549">
        <v>5</v>
      </c>
      <c r="B67" s="246" t="s">
        <v>348</v>
      </c>
      <c r="C67" s="606">
        <v>117205.19981479381</v>
      </c>
      <c r="D67" s="566"/>
      <c r="E67" s="273" t="s">
        <v>451</v>
      </c>
      <c r="F67" s="549">
        <f t="shared" si="2"/>
        <v>5</v>
      </c>
      <c r="G67" s="603"/>
      <c r="H67" s="603"/>
    </row>
    <row r="68" spans="1:8" x14ac:dyDescent="0.3">
      <c r="A68" s="549">
        <v>6</v>
      </c>
      <c r="B68" s="246" t="s">
        <v>377</v>
      </c>
      <c r="C68" s="576">
        <f>SUM(C64:C67)</f>
        <v>6842925.9279579278</v>
      </c>
      <c r="D68" s="577"/>
      <c r="E68" s="273" t="s">
        <v>473</v>
      </c>
      <c r="F68" s="549">
        <f t="shared" si="2"/>
        <v>6</v>
      </c>
      <c r="G68" s="602"/>
      <c r="H68" s="603"/>
    </row>
    <row r="69" spans="1:8" x14ac:dyDescent="0.3">
      <c r="A69" s="549">
        <v>7</v>
      </c>
      <c r="B69" s="466"/>
      <c r="C69" s="607"/>
      <c r="D69" s="566"/>
      <c r="E69" s="543"/>
      <c r="F69" s="549">
        <f t="shared" si="2"/>
        <v>7</v>
      </c>
      <c r="G69" s="603"/>
      <c r="H69" s="603"/>
    </row>
    <row r="70" spans="1:8" x14ac:dyDescent="0.3">
      <c r="A70" s="549">
        <v>8</v>
      </c>
      <c r="B70" s="465" t="s">
        <v>378</v>
      </c>
      <c r="C70" s="607"/>
      <c r="D70" s="566"/>
      <c r="E70" s="543"/>
      <c r="F70" s="549">
        <f t="shared" si="2"/>
        <v>8</v>
      </c>
      <c r="G70" s="603"/>
      <c r="H70" s="603"/>
    </row>
    <row r="71" spans="1:8" x14ac:dyDescent="0.3">
      <c r="A71" s="549">
        <v>9</v>
      </c>
      <c r="B71" s="466" t="s">
        <v>379</v>
      </c>
      <c r="C71" s="601">
        <v>1387043.9115246153</v>
      </c>
      <c r="D71" s="566"/>
      <c r="E71" s="273" t="s">
        <v>474</v>
      </c>
      <c r="F71" s="549">
        <f t="shared" si="2"/>
        <v>9</v>
      </c>
      <c r="G71" s="603"/>
      <c r="H71" s="603"/>
    </row>
    <row r="72" spans="1:8" x14ac:dyDescent="0.3">
      <c r="A72" s="549">
        <v>10</v>
      </c>
      <c r="B72" s="466" t="s">
        <v>380</v>
      </c>
      <c r="C72" s="604">
        <v>15558.247684838476</v>
      </c>
      <c r="D72" s="566"/>
      <c r="E72" s="273" t="s">
        <v>475</v>
      </c>
      <c r="F72" s="549">
        <f t="shared" si="2"/>
        <v>10</v>
      </c>
      <c r="G72" s="603"/>
      <c r="H72" s="603"/>
    </row>
    <row r="73" spans="1:8" x14ac:dyDescent="0.3">
      <c r="A73" s="549">
        <v>11</v>
      </c>
      <c r="B73" s="466" t="s">
        <v>381</v>
      </c>
      <c r="C73" s="604">
        <v>19350.278884561267</v>
      </c>
      <c r="D73" s="566"/>
      <c r="E73" s="273" t="s">
        <v>476</v>
      </c>
      <c r="F73" s="549">
        <f t="shared" si="2"/>
        <v>11</v>
      </c>
      <c r="G73" s="603"/>
      <c r="H73" s="603"/>
    </row>
    <row r="74" spans="1:8" x14ac:dyDescent="0.3">
      <c r="A74" s="549">
        <v>12</v>
      </c>
      <c r="B74" s="466" t="s">
        <v>382</v>
      </c>
      <c r="C74" s="606">
        <v>58264.148858604072</v>
      </c>
      <c r="D74" s="566"/>
      <c r="E74" s="273" t="s">
        <v>477</v>
      </c>
      <c r="F74" s="549">
        <f t="shared" si="2"/>
        <v>12</v>
      </c>
      <c r="G74" s="603"/>
      <c r="H74" s="603"/>
    </row>
    <row r="75" spans="1:8" x14ac:dyDescent="0.3">
      <c r="A75" s="549">
        <v>13</v>
      </c>
      <c r="B75" s="608" t="s">
        <v>383</v>
      </c>
      <c r="C75" s="576">
        <f>SUM(C71:C74)</f>
        <v>1480216.586952619</v>
      </c>
      <c r="D75" s="577"/>
      <c r="E75" s="273" t="s">
        <v>478</v>
      </c>
      <c r="F75" s="549">
        <f t="shared" si="2"/>
        <v>13</v>
      </c>
      <c r="G75" s="603"/>
      <c r="H75" s="603"/>
    </row>
    <row r="76" spans="1:8" x14ac:dyDescent="0.3">
      <c r="A76" s="549">
        <v>14</v>
      </c>
      <c r="B76" s="608"/>
      <c r="C76" s="587"/>
      <c r="D76" s="588"/>
      <c r="E76" s="543"/>
      <c r="F76" s="549">
        <f t="shared" si="2"/>
        <v>14</v>
      </c>
      <c r="G76" s="603"/>
      <c r="H76" s="603"/>
    </row>
    <row r="77" spans="1:8" x14ac:dyDescent="0.3">
      <c r="A77" s="549">
        <v>15</v>
      </c>
      <c r="B77" s="467" t="s">
        <v>346</v>
      </c>
      <c r="C77" s="587"/>
      <c r="D77" s="588"/>
      <c r="E77" s="543"/>
      <c r="F77" s="549">
        <f t="shared" si="2"/>
        <v>15</v>
      </c>
      <c r="G77" s="603"/>
      <c r="H77" s="603"/>
    </row>
    <row r="78" spans="1:8" x14ac:dyDescent="0.3">
      <c r="A78" s="549">
        <v>16</v>
      </c>
      <c r="B78" s="246" t="s">
        <v>347</v>
      </c>
      <c r="C78" s="609">
        <f>C64-C71</f>
        <v>5272366.49687846</v>
      </c>
      <c r="D78" s="610"/>
      <c r="E78" s="273" t="str">
        <f>"Line "&amp;A64&amp;" Minus Line "&amp;A71</f>
        <v>Line 2 Minus Line 9</v>
      </c>
      <c r="F78" s="549">
        <f t="shared" si="2"/>
        <v>16</v>
      </c>
      <c r="G78" s="603"/>
      <c r="H78" s="603"/>
    </row>
    <row r="79" spans="1:8" x14ac:dyDescent="0.3">
      <c r="A79" s="549">
        <v>17</v>
      </c>
      <c r="B79" s="246" t="s">
        <v>20</v>
      </c>
      <c r="C79" s="611">
        <f>C65-C72</f>
        <v>3383.5254047790368</v>
      </c>
      <c r="D79" s="612"/>
      <c r="E79" s="273" t="str">
        <f>"Line "&amp;A65&amp;" Minus Line "&amp;A72</f>
        <v>Line 3 Minus Line 10</v>
      </c>
      <c r="F79" s="549">
        <f t="shared" si="2"/>
        <v>17</v>
      </c>
      <c r="G79" s="603"/>
      <c r="H79" s="603"/>
    </row>
    <row r="80" spans="1:8" x14ac:dyDescent="0.3">
      <c r="A80" s="549">
        <v>18</v>
      </c>
      <c r="B80" s="246" t="s">
        <v>21</v>
      </c>
      <c r="C80" s="611">
        <f>C66-C73</f>
        <v>28018.267765879718</v>
      </c>
      <c r="D80" s="612"/>
      <c r="E80" s="273" t="str">
        <f>"Line "&amp;A66&amp;" Minus Line "&amp;A73</f>
        <v>Line 4 Minus Line 11</v>
      </c>
      <c r="F80" s="549">
        <f t="shared" si="2"/>
        <v>18</v>
      </c>
    </row>
    <row r="81" spans="1:6" x14ac:dyDescent="0.3">
      <c r="A81" s="549">
        <v>19</v>
      </c>
      <c r="B81" s="246" t="s">
        <v>348</v>
      </c>
      <c r="C81" s="613">
        <f>C67-C74</f>
        <v>58941.050956189742</v>
      </c>
      <c r="D81" s="614"/>
      <c r="E81" s="273" t="str">
        <f>"Line "&amp;A67&amp;" Minus Line "&amp;A74</f>
        <v>Line 5 Minus Line 12</v>
      </c>
      <c r="F81" s="549">
        <f t="shared" si="2"/>
        <v>19</v>
      </c>
    </row>
    <row r="82" spans="1:6" ht="16.2" thickBot="1" x14ac:dyDescent="0.35">
      <c r="A82" s="549">
        <v>20</v>
      </c>
      <c r="B82" s="466" t="s">
        <v>349</v>
      </c>
      <c r="C82" s="615">
        <f>SUM(C78:C81)</f>
        <v>5362709.3410053086</v>
      </c>
      <c r="D82" s="577"/>
      <c r="E82" s="273" t="str">
        <f>"Sum Lines "&amp;A78&amp;" thru "&amp;A81</f>
        <v>Sum Lines 16 thru 19</v>
      </c>
      <c r="F82" s="549">
        <f t="shared" si="2"/>
        <v>20</v>
      </c>
    </row>
    <row r="83" spans="1:6" ht="16.2" thickTop="1" x14ac:dyDescent="0.3">
      <c r="A83" s="549">
        <v>21</v>
      </c>
      <c r="B83" s="249"/>
      <c r="C83" s="577"/>
      <c r="D83" s="577"/>
      <c r="E83" s="543"/>
      <c r="F83" s="549">
        <f t="shared" si="2"/>
        <v>21</v>
      </c>
    </row>
    <row r="84" spans="1:6" x14ac:dyDescent="0.3">
      <c r="A84" s="549">
        <v>22</v>
      </c>
      <c r="B84" s="467" t="s">
        <v>384</v>
      </c>
      <c r="C84" s="577"/>
      <c r="D84" s="577"/>
      <c r="E84" s="543"/>
      <c r="F84" s="549">
        <f t="shared" si="2"/>
        <v>22</v>
      </c>
    </row>
    <row r="85" spans="1:6" x14ac:dyDescent="0.3">
      <c r="A85" s="549">
        <v>23</v>
      </c>
      <c r="B85" s="246" t="s">
        <v>385</v>
      </c>
      <c r="C85" s="596">
        <v>0</v>
      </c>
      <c r="D85" s="577"/>
      <c r="E85" s="273" t="s">
        <v>19</v>
      </c>
      <c r="F85" s="549">
        <f t="shared" si="2"/>
        <v>23</v>
      </c>
    </row>
    <row r="86" spans="1:6" x14ac:dyDescent="0.3">
      <c r="A86" s="549">
        <v>24</v>
      </c>
      <c r="B86" s="466" t="s">
        <v>386</v>
      </c>
      <c r="C86" s="599">
        <v>0</v>
      </c>
      <c r="D86" s="577"/>
      <c r="E86" s="273" t="s">
        <v>19</v>
      </c>
      <c r="F86" s="549">
        <f t="shared" si="2"/>
        <v>24</v>
      </c>
    </row>
    <row r="87" spans="1:6" ht="16.2" thickBot="1" x14ac:dyDescent="0.35">
      <c r="A87" s="549">
        <v>25</v>
      </c>
      <c r="B87" s="246" t="s">
        <v>387</v>
      </c>
      <c r="C87" s="616">
        <f>C85-C86</f>
        <v>0</v>
      </c>
      <c r="D87" s="577"/>
      <c r="E87" s="273" t="str">
        <f>"Line "&amp;A85&amp;" Minus Line "&amp;A86</f>
        <v>Line 23 Minus Line 24</v>
      </c>
      <c r="F87" s="549">
        <f t="shared" si="2"/>
        <v>25</v>
      </c>
    </row>
    <row r="88" spans="1:6" ht="16.2" thickTop="1" x14ac:dyDescent="0.3">
      <c r="A88" s="549"/>
    </row>
  </sheetData>
  <mergeCells count="8">
    <mergeCell ref="B55:E55"/>
    <mergeCell ref="B56:E56"/>
    <mergeCell ref="B57:E57"/>
    <mergeCell ref="B2:E2"/>
    <mergeCell ref="B3:E3"/>
    <mergeCell ref="B4:E4"/>
    <mergeCell ref="B5:E5"/>
    <mergeCell ref="B54:E54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Roman,Bold"&amp;9REVISED</oddHeader>
    <oddFooter>&amp;CPg 13.&amp;P&amp;R&amp;F</oddFooter>
  </headerFooter>
  <rowBreaks count="1" manualBreakCount="1"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ABD80-90D6-485D-BAC1-2B2EFB2EF934}">
  <dimension ref="A1:H86"/>
  <sheetViews>
    <sheetView zoomScale="80" zoomScaleNormal="80" workbookViewId="0"/>
  </sheetViews>
  <sheetFormatPr defaultColWidth="8.77734375" defaultRowHeight="15.6" x14ac:dyDescent="0.3"/>
  <cols>
    <col min="1" max="1" width="5.109375" style="617" customWidth="1"/>
    <col min="2" max="2" width="83" style="564" customWidth="1"/>
    <col min="3" max="3" width="16.77734375" style="564" customWidth="1"/>
    <col min="4" max="4" width="1.5546875" style="564" customWidth="1"/>
    <col min="5" max="5" width="38.77734375" style="564" customWidth="1"/>
    <col min="6" max="6" width="5.109375" style="617" customWidth="1"/>
    <col min="7" max="16384" width="8.77734375" style="564"/>
  </cols>
  <sheetData>
    <row r="1" spans="1:6" x14ac:dyDescent="0.3">
      <c r="A1" s="718" t="s">
        <v>614</v>
      </c>
    </row>
    <row r="2" spans="1:6" x14ac:dyDescent="0.3">
      <c r="A2" s="725"/>
      <c r="B2" s="726"/>
      <c r="C2" s="563"/>
      <c r="D2" s="563"/>
      <c r="E2" s="719"/>
      <c r="F2" s="725"/>
    </row>
    <row r="3" spans="1:6" x14ac:dyDescent="0.3">
      <c r="A3" s="725"/>
      <c r="B3" s="805" t="s">
        <v>24</v>
      </c>
      <c r="C3" s="825"/>
      <c r="D3" s="825"/>
      <c r="E3" s="825"/>
      <c r="F3" s="725"/>
    </row>
    <row r="4" spans="1:6" x14ac:dyDescent="0.3">
      <c r="A4" s="725" t="s">
        <v>11</v>
      </c>
      <c r="B4" s="805" t="s">
        <v>344</v>
      </c>
      <c r="C4" s="825"/>
      <c r="D4" s="825"/>
      <c r="E4" s="825"/>
      <c r="F4" s="725" t="s">
        <v>11</v>
      </c>
    </row>
    <row r="5" spans="1:6" x14ac:dyDescent="0.3">
      <c r="A5" s="725"/>
      <c r="B5" s="826" t="s">
        <v>544</v>
      </c>
      <c r="C5" s="827"/>
      <c r="D5" s="827"/>
      <c r="E5" s="827"/>
      <c r="F5" s="725"/>
    </row>
    <row r="6" spans="1:6" x14ac:dyDescent="0.3">
      <c r="A6" s="725"/>
      <c r="B6" s="828" t="s">
        <v>1</v>
      </c>
      <c r="C6" s="825"/>
      <c r="D6" s="825"/>
      <c r="E6" s="825"/>
      <c r="F6" s="725"/>
    </row>
    <row r="7" spans="1:6" x14ac:dyDescent="0.3">
      <c r="A7" s="725"/>
      <c r="B7" s="727"/>
      <c r="C7" s="726"/>
      <c r="D7" s="726"/>
      <c r="E7" s="726"/>
      <c r="F7" s="725"/>
    </row>
    <row r="8" spans="1:6" x14ac:dyDescent="0.3">
      <c r="A8" s="725" t="s">
        <v>2</v>
      </c>
      <c r="B8" s="726"/>
      <c r="C8" s="566"/>
      <c r="D8" s="566"/>
      <c r="E8" s="719"/>
      <c r="F8" s="725" t="s">
        <v>2</v>
      </c>
    </row>
    <row r="9" spans="1:6" x14ac:dyDescent="0.3">
      <c r="A9" s="725" t="s">
        <v>6</v>
      </c>
      <c r="B9" s="726" t="s">
        <v>11</v>
      </c>
      <c r="C9" s="567" t="s">
        <v>4</v>
      </c>
      <c r="D9" s="566"/>
      <c r="E9" s="568" t="s">
        <v>5</v>
      </c>
      <c r="F9" s="725" t="s">
        <v>6</v>
      </c>
    </row>
    <row r="10" spans="1:6" x14ac:dyDescent="0.3">
      <c r="A10" s="725"/>
      <c r="B10" s="467" t="s">
        <v>345</v>
      </c>
      <c r="C10" s="569"/>
      <c r="D10" s="566"/>
      <c r="E10" s="719"/>
      <c r="F10" s="725"/>
    </row>
    <row r="11" spans="1:6" x14ac:dyDescent="0.3">
      <c r="A11" s="725"/>
      <c r="B11" s="570"/>
      <c r="C11" s="569"/>
      <c r="D11" s="566"/>
      <c r="E11" s="719"/>
      <c r="F11" s="725"/>
    </row>
    <row r="12" spans="1:6" x14ac:dyDescent="0.3">
      <c r="A12" s="725">
        <v>1</v>
      </c>
      <c r="B12" s="467" t="s">
        <v>346</v>
      </c>
      <c r="C12" s="569"/>
      <c r="D12" s="569"/>
      <c r="E12" s="719"/>
      <c r="F12" s="725">
        <f>A12</f>
        <v>1</v>
      </c>
    </row>
    <row r="13" spans="1:6" x14ac:dyDescent="0.3">
      <c r="A13" s="725">
        <f>A12+1</f>
        <v>2</v>
      </c>
      <c r="B13" s="246" t="s">
        <v>347</v>
      </c>
      <c r="C13" s="571">
        <f>C76</f>
        <v>5272366.49687846</v>
      </c>
      <c r="D13" s="572"/>
      <c r="E13" s="273" t="str">
        <f>"Page 2; Line "&amp;A76</f>
        <v>Page 2; Line 16</v>
      </c>
      <c r="F13" s="725">
        <f>F12+1</f>
        <v>2</v>
      </c>
    </row>
    <row r="14" spans="1:6" x14ac:dyDescent="0.3">
      <c r="A14" s="725">
        <f t="shared" ref="A14:A49" si="0">A13+1</f>
        <v>3</v>
      </c>
      <c r="B14" s="246" t="s">
        <v>20</v>
      </c>
      <c r="C14" s="573">
        <f>C77</f>
        <v>3383.5254047790368</v>
      </c>
      <c r="D14" s="574"/>
      <c r="E14" s="273" t="str">
        <f>"Page 2; Line "&amp;A77</f>
        <v>Page 2; Line 17</v>
      </c>
      <c r="F14" s="725">
        <f t="shared" ref="F14:F49" si="1">F13+1</f>
        <v>3</v>
      </c>
    </row>
    <row r="15" spans="1:6" x14ac:dyDescent="0.3">
      <c r="A15" s="725">
        <f t="shared" si="0"/>
        <v>4</v>
      </c>
      <c r="B15" s="246" t="s">
        <v>21</v>
      </c>
      <c r="C15" s="573">
        <f>C78</f>
        <v>28018.267765879718</v>
      </c>
      <c r="D15" s="574"/>
      <c r="E15" s="273" t="str">
        <f>"Page 2; Line "&amp;A78</f>
        <v>Page 2; Line 18</v>
      </c>
      <c r="F15" s="725">
        <f t="shared" si="1"/>
        <v>4</v>
      </c>
    </row>
    <row r="16" spans="1:6" x14ac:dyDescent="0.3">
      <c r="A16" s="725">
        <f t="shared" si="0"/>
        <v>5</v>
      </c>
      <c r="B16" s="246" t="s">
        <v>348</v>
      </c>
      <c r="C16" s="575">
        <f>C79</f>
        <v>58941.050956189742</v>
      </c>
      <c r="D16" s="574"/>
      <c r="E16" s="273" t="str">
        <f>"Page 2; Line "&amp;A79</f>
        <v>Page 2; Line 19</v>
      </c>
      <c r="F16" s="725">
        <f t="shared" si="1"/>
        <v>5</v>
      </c>
    </row>
    <row r="17" spans="1:6" x14ac:dyDescent="0.3">
      <c r="A17" s="725">
        <f t="shared" si="0"/>
        <v>6</v>
      </c>
      <c r="B17" s="246" t="s">
        <v>349</v>
      </c>
      <c r="C17" s="576">
        <f>SUM(C13:C16)</f>
        <v>5362709.3410053086</v>
      </c>
      <c r="D17" s="577"/>
      <c r="E17" s="273" t="str">
        <f>"Sum Lines "&amp;A13&amp;" thru "&amp;A16</f>
        <v>Sum Lines 2 thru 5</v>
      </c>
      <c r="F17" s="725">
        <f t="shared" si="1"/>
        <v>6</v>
      </c>
    </row>
    <row r="18" spans="1:6" x14ac:dyDescent="0.3">
      <c r="A18" s="725">
        <f t="shared" si="0"/>
        <v>7</v>
      </c>
      <c r="B18" s="466"/>
      <c r="C18" s="578"/>
      <c r="D18" s="579"/>
      <c r="E18" s="719"/>
      <c r="F18" s="725">
        <f t="shared" si="1"/>
        <v>7</v>
      </c>
    </row>
    <row r="19" spans="1:6" x14ac:dyDescent="0.3">
      <c r="A19" s="725">
        <f t="shared" si="0"/>
        <v>8</v>
      </c>
      <c r="B19" s="467" t="s">
        <v>350</v>
      </c>
      <c r="C19" s="578"/>
      <c r="D19" s="579"/>
      <c r="E19" s="719"/>
      <c r="F19" s="725">
        <f t="shared" si="1"/>
        <v>8</v>
      </c>
    </row>
    <row r="20" spans="1:6" x14ac:dyDescent="0.3">
      <c r="A20" s="725">
        <f t="shared" si="0"/>
        <v>9</v>
      </c>
      <c r="B20" s="246" t="s">
        <v>351</v>
      </c>
      <c r="C20" s="580">
        <v>0</v>
      </c>
      <c r="D20" s="566"/>
      <c r="E20" s="273" t="s">
        <v>483</v>
      </c>
      <c r="F20" s="725">
        <f t="shared" si="1"/>
        <v>9</v>
      </c>
    </row>
    <row r="21" spans="1:6" x14ac:dyDescent="0.3">
      <c r="A21" s="725">
        <f t="shared" si="0"/>
        <v>10</v>
      </c>
      <c r="B21" s="246" t="s">
        <v>352</v>
      </c>
      <c r="C21" s="581">
        <v>0</v>
      </c>
      <c r="D21" s="566"/>
      <c r="E21" s="273" t="s">
        <v>484</v>
      </c>
      <c r="F21" s="725">
        <f t="shared" si="1"/>
        <v>10</v>
      </c>
    </row>
    <row r="22" spans="1:6" x14ac:dyDescent="0.3">
      <c r="A22" s="725">
        <f t="shared" si="0"/>
        <v>11</v>
      </c>
      <c r="B22" s="246" t="s">
        <v>353</v>
      </c>
      <c r="C22" s="582">
        <f>C20+C21</f>
        <v>0</v>
      </c>
      <c r="D22" s="583"/>
      <c r="E22" s="273" t="str">
        <f>"Line "&amp;A20&amp;" + Line "&amp;A21</f>
        <v>Line 9 + Line 10</v>
      </c>
      <c r="F22" s="725">
        <f t="shared" si="1"/>
        <v>11</v>
      </c>
    </row>
    <row r="23" spans="1:6" x14ac:dyDescent="0.3">
      <c r="A23" s="725">
        <f t="shared" si="0"/>
        <v>12</v>
      </c>
      <c r="B23" s="246"/>
      <c r="C23" s="584"/>
      <c r="D23" s="563"/>
      <c r="E23" s="719"/>
      <c r="F23" s="725">
        <f t="shared" si="1"/>
        <v>12</v>
      </c>
    </row>
    <row r="24" spans="1:6" x14ac:dyDescent="0.3">
      <c r="A24" s="725">
        <f t="shared" si="0"/>
        <v>13</v>
      </c>
      <c r="B24" s="467" t="s">
        <v>354</v>
      </c>
      <c r="C24" s="578"/>
      <c r="D24" s="579"/>
      <c r="E24" s="719"/>
      <c r="F24" s="725">
        <f t="shared" si="1"/>
        <v>13</v>
      </c>
    </row>
    <row r="25" spans="1:6" x14ac:dyDescent="0.3">
      <c r="A25" s="725">
        <f t="shared" si="0"/>
        <v>14</v>
      </c>
      <c r="B25" s="466" t="s">
        <v>355</v>
      </c>
      <c r="C25" s="585">
        <v>-917157.3568074879</v>
      </c>
      <c r="D25" s="566"/>
      <c r="E25" s="273" t="s">
        <v>486</v>
      </c>
      <c r="F25" s="725">
        <f t="shared" si="1"/>
        <v>14</v>
      </c>
    </row>
    <row r="26" spans="1:6" x14ac:dyDescent="0.3">
      <c r="A26" s="725">
        <f t="shared" si="0"/>
        <v>15</v>
      </c>
      <c r="B26" s="466" t="s">
        <v>356</v>
      </c>
      <c r="C26" s="586">
        <v>0</v>
      </c>
      <c r="D26" s="566"/>
      <c r="E26" s="273" t="s">
        <v>487</v>
      </c>
      <c r="F26" s="725">
        <f t="shared" si="1"/>
        <v>15</v>
      </c>
    </row>
    <row r="27" spans="1:6" x14ac:dyDescent="0.3">
      <c r="A27" s="725">
        <f t="shared" si="0"/>
        <v>16</v>
      </c>
      <c r="B27" s="246" t="s">
        <v>357</v>
      </c>
      <c r="C27" s="576">
        <f>SUM(C25:C26)</f>
        <v>-917157.3568074879</v>
      </c>
      <c r="D27" s="577"/>
      <c r="E27" s="273" t="str">
        <f>"Line "&amp;A25&amp;" + Line "&amp;A26</f>
        <v>Line 14 + Line 15</v>
      </c>
      <c r="F27" s="725">
        <f t="shared" si="1"/>
        <v>16</v>
      </c>
    </row>
    <row r="28" spans="1:6" x14ac:dyDescent="0.3">
      <c r="A28" s="725">
        <f t="shared" si="0"/>
        <v>17</v>
      </c>
      <c r="B28" s="726"/>
      <c r="C28" s="587"/>
      <c r="D28" s="588"/>
      <c r="E28" s="719"/>
      <c r="F28" s="725">
        <f t="shared" si="1"/>
        <v>17</v>
      </c>
    </row>
    <row r="29" spans="1:6" x14ac:dyDescent="0.3">
      <c r="A29" s="725">
        <f t="shared" si="0"/>
        <v>18</v>
      </c>
      <c r="B29" s="467" t="s">
        <v>358</v>
      </c>
      <c r="C29" s="587"/>
      <c r="D29" s="588"/>
      <c r="E29" s="719"/>
      <c r="F29" s="725">
        <f t="shared" si="1"/>
        <v>18</v>
      </c>
    </row>
    <row r="30" spans="1:6" x14ac:dyDescent="0.3">
      <c r="A30" s="725">
        <f t="shared" si="0"/>
        <v>19</v>
      </c>
      <c r="B30" s="246" t="s">
        <v>359</v>
      </c>
      <c r="C30" s="571">
        <v>50955.986223078966</v>
      </c>
      <c r="D30" s="566"/>
      <c r="E30" s="273" t="s">
        <v>421</v>
      </c>
      <c r="F30" s="725">
        <f t="shared" si="1"/>
        <v>19</v>
      </c>
    </row>
    <row r="31" spans="1:6" x14ac:dyDescent="0.3">
      <c r="A31" s="725">
        <f t="shared" si="0"/>
        <v>20</v>
      </c>
      <c r="B31" s="246" t="s">
        <v>360</v>
      </c>
      <c r="C31" s="573">
        <v>37080.695383757316</v>
      </c>
      <c r="D31" s="566"/>
      <c r="E31" s="273" t="s">
        <v>422</v>
      </c>
      <c r="F31" s="725">
        <f t="shared" si="1"/>
        <v>20</v>
      </c>
    </row>
    <row r="32" spans="1:6" x14ac:dyDescent="0.3">
      <c r="A32" s="725">
        <f t="shared" si="0"/>
        <v>21</v>
      </c>
      <c r="B32" s="246" t="s">
        <v>361</v>
      </c>
      <c r="C32" s="575">
        <v>9956.4844733203754</v>
      </c>
      <c r="D32" s="566"/>
      <c r="E32" s="273" t="s">
        <v>423</v>
      </c>
      <c r="F32" s="725">
        <f t="shared" si="1"/>
        <v>21</v>
      </c>
    </row>
    <row r="33" spans="1:6" x14ac:dyDescent="0.3">
      <c r="A33" s="725">
        <f t="shared" si="0"/>
        <v>22</v>
      </c>
      <c r="B33" s="246" t="s">
        <v>362</v>
      </c>
      <c r="C33" s="576">
        <f>SUM(C30:C32)</f>
        <v>97993.166080156661</v>
      </c>
      <c r="D33" s="577"/>
      <c r="E33" s="273" t="str">
        <f>"Sum Lines "&amp;A30&amp;" thru "&amp;A32</f>
        <v>Sum Lines 19 thru 21</v>
      </c>
      <c r="F33" s="725">
        <f t="shared" si="1"/>
        <v>22</v>
      </c>
    </row>
    <row r="34" spans="1:6" x14ac:dyDescent="0.3">
      <c r="A34" s="725">
        <f t="shared" si="0"/>
        <v>23</v>
      </c>
      <c r="B34" s="249"/>
      <c r="C34" s="591"/>
      <c r="D34" s="592"/>
      <c r="E34" s="719"/>
      <c r="F34" s="725">
        <f t="shared" si="1"/>
        <v>23</v>
      </c>
    </row>
    <row r="35" spans="1:6" x14ac:dyDescent="0.3">
      <c r="A35" s="725">
        <f t="shared" si="0"/>
        <v>24</v>
      </c>
      <c r="B35" s="246" t="s">
        <v>363</v>
      </c>
      <c r="C35" s="593">
        <v>0</v>
      </c>
      <c r="D35" s="566"/>
      <c r="E35" s="273" t="s">
        <v>490</v>
      </c>
      <c r="F35" s="725">
        <f t="shared" si="1"/>
        <v>24</v>
      </c>
    </row>
    <row r="36" spans="1:6" x14ac:dyDescent="0.3">
      <c r="A36" s="725">
        <f t="shared" si="0"/>
        <v>25</v>
      </c>
      <c r="B36" s="246"/>
      <c r="C36" s="591"/>
      <c r="D36" s="592"/>
      <c r="E36" s="719"/>
      <c r="F36" s="725">
        <f t="shared" si="1"/>
        <v>25</v>
      </c>
    </row>
    <row r="37" spans="1:6" ht="16.2" thickBot="1" x14ac:dyDescent="0.35">
      <c r="A37" s="725">
        <f t="shared" si="0"/>
        <v>26</v>
      </c>
      <c r="B37" s="246" t="s">
        <v>364</v>
      </c>
      <c r="C37" s="616">
        <f>C17+C22+C27+C33+C35</f>
        <v>4543545.1502779769</v>
      </c>
      <c r="D37" s="577"/>
      <c r="E37" s="273" t="str">
        <f>"Sum Lines "&amp;A17&amp;", "&amp;A22&amp;", "&amp;A27&amp;", "&amp;A33&amp;", "&amp;A35</f>
        <v>Sum Lines 6, 11, 16, 22, 24</v>
      </c>
      <c r="F37" s="725">
        <f t="shared" si="1"/>
        <v>26</v>
      </c>
    </row>
    <row r="38" spans="1:6" ht="16.2" thickTop="1" x14ac:dyDescent="0.3">
      <c r="A38" s="725">
        <f t="shared" si="0"/>
        <v>27</v>
      </c>
      <c r="B38" s="249"/>
      <c r="C38" s="595"/>
      <c r="D38" s="577"/>
      <c r="E38" s="719"/>
      <c r="F38" s="725">
        <f t="shared" si="1"/>
        <v>27</v>
      </c>
    </row>
    <row r="39" spans="1:6" x14ac:dyDescent="0.3">
      <c r="A39" s="725">
        <f t="shared" si="0"/>
        <v>28</v>
      </c>
      <c r="B39" s="467" t="s">
        <v>365</v>
      </c>
      <c r="C39" s="595"/>
      <c r="D39" s="577"/>
      <c r="E39" s="719"/>
      <c r="F39" s="725">
        <f t="shared" si="1"/>
        <v>28</v>
      </c>
    </row>
    <row r="40" spans="1:6" x14ac:dyDescent="0.3">
      <c r="A40" s="725">
        <f t="shared" si="0"/>
        <v>29</v>
      </c>
      <c r="B40" s="246" t="s">
        <v>366</v>
      </c>
      <c r="C40" s="596">
        <v>0</v>
      </c>
      <c r="D40" s="597"/>
      <c r="E40" s="273" t="s">
        <v>19</v>
      </c>
      <c r="F40" s="725">
        <f t="shared" si="1"/>
        <v>29</v>
      </c>
    </row>
    <row r="41" spans="1:6" x14ac:dyDescent="0.3">
      <c r="A41" s="725">
        <f t="shared" si="0"/>
        <v>30</v>
      </c>
      <c r="B41" s="246" t="s">
        <v>367</v>
      </c>
      <c r="C41" s="598">
        <v>0</v>
      </c>
      <c r="D41" s="566"/>
      <c r="E41" s="273" t="s">
        <v>19</v>
      </c>
      <c r="F41" s="725">
        <f t="shared" si="1"/>
        <v>30</v>
      </c>
    </row>
    <row r="42" spans="1:6" x14ac:dyDescent="0.3">
      <c r="A42" s="725">
        <f t="shared" si="0"/>
        <v>31</v>
      </c>
      <c r="B42" s="466" t="s">
        <v>368</v>
      </c>
      <c r="C42" s="590">
        <f>C40+C41</f>
        <v>0</v>
      </c>
      <c r="D42" s="577"/>
      <c r="E42" s="273" t="str">
        <f>"Line "&amp;A40&amp;" + Line "&amp;A41</f>
        <v>Line 29 + Line 30</v>
      </c>
      <c r="F42" s="725">
        <f t="shared" si="1"/>
        <v>31</v>
      </c>
    </row>
    <row r="43" spans="1:6" x14ac:dyDescent="0.3">
      <c r="A43" s="725">
        <f t="shared" si="0"/>
        <v>32</v>
      </c>
      <c r="B43" s="249"/>
      <c r="C43" s="595"/>
      <c r="D43" s="577"/>
      <c r="E43" s="719"/>
      <c r="F43" s="725">
        <f t="shared" si="1"/>
        <v>32</v>
      </c>
    </row>
    <row r="44" spans="1:6" x14ac:dyDescent="0.3">
      <c r="A44" s="725">
        <f t="shared" si="0"/>
        <v>33</v>
      </c>
      <c r="B44" s="467" t="s">
        <v>369</v>
      </c>
      <c r="C44" s="595"/>
      <c r="D44" s="577"/>
      <c r="E44" s="719"/>
      <c r="F44" s="725">
        <f t="shared" si="1"/>
        <v>33</v>
      </c>
    </row>
    <row r="45" spans="1:6" x14ac:dyDescent="0.3">
      <c r="A45" s="725">
        <f t="shared" si="0"/>
        <v>34</v>
      </c>
      <c r="B45" s="246" t="s">
        <v>370</v>
      </c>
      <c r="C45" s="596">
        <v>0</v>
      </c>
      <c r="D45" s="566"/>
      <c r="E45" s="273" t="s">
        <v>19</v>
      </c>
      <c r="F45" s="725">
        <f t="shared" si="1"/>
        <v>34</v>
      </c>
    </row>
    <row r="46" spans="1:6" x14ac:dyDescent="0.3">
      <c r="A46" s="725">
        <f t="shared" si="0"/>
        <v>35</v>
      </c>
      <c r="B46" s="466" t="s">
        <v>371</v>
      </c>
      <c r="C46" s="599">
        <v>0</v>
      </c>
      <c r="D46" s="566"/>
      <c r="E46" s="273" t="s">
        <v>19</v>
      </c>
      <c r="F46" s="725">
        <f t="shared" si="1"/>
        <v>35</v>
      </c>
    </row>
    <row r="47" spans="1:6" x14ac:dyDescent="0.3">
      <c r="A47" s="725">
        <f t="shared" si="0"/>
        <v>36</v>
      </c>
      <c r="B47" s="466" t="s">
        <v>372</v>
      </c>
      <c r="C47" s="590">
        <f>C45+C46</f>
        <v>0</v>
      </c>
      <c r="D47" s="577"/>
      <c r="E47" s="273" t="str">
        <f>"Line "&amp;A45&amp;" + Line "&amp;A46</f>
        <v>Line 34 + Line 35</v>
      </c>
      <c r="F47" s="725">
        <f t="shared" si="1"/>
        <v>36</v>
      </c>
    </row>
    <row r="48" spans="1:6" x14ac:dyDescent="0.3">
      <c r="A48" s="725">
        <f t="shared" si="0"/>
        <v>37</v>
      </c>
      <c r="B48" s="249"/>
      <c r="C48" s="595"/>
      <c r="D48" s="577"/>
      <c r="E48" s="719"/>
      <c r="F48" s="725">
        <f t="shared" si="1"/>
        <v>37</v>
      </c>
    </row>
    <row r="49" spans="1:8" ht="16.2" thickBot="1" x14ac:dyDescent="0.35">
      <c r="A49" s="725">
        <f t="shared" si="0"/>
        <v>38</v>
      </c>
      <c r="B49" s="467" t="s">
        <v>373</v>
      </c>
      <c r="C49" s="600">
        <v>0</v>
      </c>
      <c r="D49" s="566"/>
      <c r="E49" s="273" t="s">
        <v>19</v>
      </c>
      <c r="F49" s="725">
        <f t="shared" si="1"/>
        <v>38</v>
      </c>
    </row>
    <row r="50" spans="1:8" ht="16.2" thickTop="1" x14ac:dyDescent="0.3">
      <c r="A50" s="725"/>
      <c r="B50" s="249"/>
      <c r="C50" s="595"/>
      <c r="D50" s="577"/>
      <c r="E50" s="719"/>
      <c r="F50" s="725"/>
    </row>
    <row r="51" spans="1:8" x14ac:dyDescent="0.3">
      <c r="A51" s="725"/>
      <c r="B51" s="719"/>
      <c r="C51" s="726"/>
      <c r="D51" s="726"/>
      <c r="E51" s="726"/>
      <c r="F51" s="725"/>
    </row>
    <row r="52" spans="1:8" x14ac:dyDescent="0.3">
      <c r="A52" s="725"/>
      <c r="B52" s="805" t="str">
        <f>B3</f>
        <v>SAN DIEGO GAS &amp; ELECTRIC COMPANY</v>
      </c>
      <c r="C52" s="825"/>
      <c r="D52" s="825"/>
      <c r="E52" s="825"/>
      <c r="F52" s="725"/>
    </row>
    <row r="53" spans="1:8" x14ac:dyDescent="0.3">
      <c r="A53" s="725"/>
      <c r="B53" s="805" t="str">
        <f>B4</f>
        <v xml:space="preserve">Derivation of End Use Transmission Rate Base </v>
      </c>
      <c r="C53" s="825"/>
      <c r="D53" s="825"/>
      <c r="E53" s="825"/>
      <c r="F53" s="725"/>
    </row>
    <row r="54" spans="1:8" x14ac:dyDescent="0.3">
      <c r="A54" s="725"/>
      <c r="B54" s="826" t="str">
        <f>B5</f>
        <v>Base Period &amp; True-Up Period 12 - Months Ending December 31, 2020</v>
      </c>
      <c r="C54" s="827"/>
      <c r="D54" s="827"/>
      <c r="E54" s="827"/>
      <c r="F54" s="725"/>
    </row>
    <row r="55" spans="1:8" x14ac:dyDescent="0.3">
      <c r="A55" s="725"/>
      <c r="B55" s="828" t="s">
        <v>1</v>
      </c>
      <c r="C55" s="825"/>
      <c r="D55" s="825"/>
      <c r="E55" s="825"/>
      <c r="F55" s="725"/>
    </row>
    <row r="56" spans="1:8" x14ac:dyDescent="0.3">
      <c r="A56" s="725"/>
      <c r="B56" s="727"/>
      <c r="C56" s="726"/>
      <c r="D56" s="726"/>
      <c r="E56" s="726"/>
      <c r="F56" s="725"/>
    </row>
    <row r="57" spans="1:8" x14ac:dyDescent="0.3">
      <c r="A57" s="725" t="s">
        <v>2</v>
      </c>
      <c r="B57" s="727"/>
      <c r="C57" s="726"/>
      <c r="D57" s="726"/>
      <c r="E57" s="726"/>
      <c r="F57" s="725"/>
    </row>
    <row r="58" spans="1:8" x14ac:dyDescent="0.3">
      <c r="A58" s="725" t="s">
        <v>6</v>
      </c>
      <c r="B58" s="727"/>
      <c r="C58" s="726"/>
      <c r="D58" s="726"/>
      <c r="E58" s="726"/>
      <c r="F58" s="725"/>
    </row>
    <row r="59" spans="1:8" x14ac:dyDescent="0.3">
      <c r="A59" s="725"/>
      <c r="B59" s="467" t="s">
        <v>374</v>
      </c>
      <c r="C59" s="726"/>
      <c r="D59" s="726"/>
      <c r="E59" s="726"/>
      <c r="F59" s="725"/>
    </row>
    <row r="60" spans="1:8" x14ac:dyDescent="0.3">
      <c r="A60" s="725"/>
      <c r="B60" s="570"/>
      <c r="C60" s="566"/>
      <c r="D60" s="566"/>
      <c r="E60" s="719"/>
      <c r="F60" s="725"/>
    </row>
    <row r="61" spans="1:8" x14ac:dyDescent="0.3">
      <c r="A61" s="725">
        <v>1</v>
      </c>
      <c r="B61" s="467" t="s">
        <v>375</v>
      </c>
      <c r="C61" s="566"/>
      <c r="D61" s="566"/>
      <c r="E61" s="719"/>
      <c r="F61" s="725">
        <f t="shared" ref="F61:F85" si="2">A61</f>
        <v>1</v>
      </c>
    </row>
    <row r="62" spans="1:8" x14ac:dyDescent="0.3">
      <c r="A62" s="725">
        <v>2</v>
      </c>
      <c r="B62" s="246" t="s">
        <v>347</v>
      </c>
      <c r="C62" s="601">
        <v>6659410.4084030753</v>
      </c>
      <c r="D62" s="566"/>
      <c r="E62" s="273" t="s">
        <v>471</v>
      </c>
      <c r="F62" s="725">
        <f t="shared" si="2"/>
        <v>2</v>
      </c>
      <c r="G62" s="602"/>
      <c r="H62" s="603"/>
    </row>
    <row r="63" spans="1:8" x14ac:dyDescent="0.3">
      <c r="A63" s="725">
        <v>3</v>
      </c>
      <c r="B63" s="246" t="s">
        <v>376</v>
      </c>
      <c r="C63" s="604">
        <v>18941.773089617513</v>
      </c>
      <c r="D63" s="566"/>
      <c r="E63" s="273" t="s">
        <v>472</v>
      </c>
      <c r="F63" s="725">
        <f t="shared" si="2"/>
        <v>3</v>
      </c>
      <c r="G63" s="602"/>
      <c r="H63" s="603"/>
    </row>
    <row r="64" spans="1:8" x14ac:dyDescent="0.3">
      <c r="A64" s="725">
        <v>4</v>
      </c>
      <c r="B64" s="246" t="s">
        <v>21</v>
      </c>
      <c r="C64" s="604">
        <v>47368.546650440985</v>
      </c>
      <c r="D64" s="566"/>
      <c r="E64" s="273" t="s">
        <v>450</v>
      </c>
      <c r="F64" s="725">
        <f t="shared" si="2"/>
        <v>4</v>
      </c>
      <c r="G64" s="602"/>
      <c r="H64" s="605"/>
    </row>
    <row r="65" spans="1:8" x14ac:dyDescent="0.3">
      <c r="A65" s="725">
        <v>5</v>
      </c>
      <c r="B65" s="246" t="s">
        <v>348</v>
      </c>
      <c r="C65" s="606">
        <v>117205.19981479381</v>
      </c>
      <c r="D65" s="566"/>
      <c r="E65" s="273" t="s">
        <v>451</v>
      </c>
      <c r="F65" s="725">
        <f t="shared" si="2"/>
        <v>5</v>
      </c>
      <c r="G65" s="603"/>
      <c r="H65" s="603"/>
    </row>
    <row r="66" spans="1:8" x14ac:dyDescent="0.3">
      <c r="A66" s="725">
        <v>6</v>
      </c>
      <c r="B66" s="246" t="s">
        <v>377</v>
      </c>
      <c r="C66" s="576">
        <f>SUM(C62:C65)</f>
        <v>6842925.9279579278</v>
      </c>
      <c r="D66" s="577"/>
      <c r="E66" s="273" t="str">
        <f>"Sum Lines "&amp;A62&amp;" thru "&amp;A65</f>
        <v>Sum Lines 2 thru 5</v>
      </c>
      <c r="F66" s="725">
        <f t="shared" si="2"/>
        <v>6</v>
      </c>
      <c r="G66" s="602"/>
      <c r="H66" s="603"/>
    </row>
    <row r="67" spans="1:8" x14ac:dyDescent="0.3">
      <c r="A67" s="725">
        <v>7</v>
      </c>
      <c r="B67" s="466"/>
      <c r="C67" s="607"/>
      <c r="D67" s="566"/>
      <c r="E67" s="719"/>
      <c r="F67" s="725">
        <f t="shared" si="2"/>
        <v>7</v>
      </c>
      <c r="G67" s="603"/>
      <c r="H67" s="603"/>
    </row>
    <row r="68" spans="1:8" x14ac:dyDescent="0.3">
      <c r="A68" s="725">
        <v>8</v>
      </c>
      <c r="B68" s="465" t="s">
        <v>378</v>
      </c>
      <c r="C68" s="607"/>
      <c r="D68" s="566"/>
      <c r="E68" s="719"/>
      <c r="F68" s="725">
        <f t="shared" si="2"/>
        <v>8</v>
      </c>
      <c r="G68" s="603"/>
      <c r="H68" s="603"/>
    </row>
    <row r="69" spans="1:8" x14ac:dyDescent="0.3">
      <c r="A69" s="725">
        <v>9</v>
      </c>
      <c r="B69" s="466" t="s">
        <v>379</v>
      </c>
      <c r="C69" s="601">
        <v>1387043.9115246153</v>
      </c>
      <c r="D69" s="566"/>
      <c r="E69" s="273" t="s">
        <v>474</v>
      </c>
      <c r="F69" s="725">
        <f t="shared" si="2"/>
        <v>9</v>
      </c>
      <c r="G69" s="603"/>
      <c r="H69" s="603"/>
    </row>
    <row r="70" spans="1:8" x14ac:dyDescent="0.3">
      <c r="A70" s="725">
        <v>10</v>
      </c>
      <c r="B70" s="466" t="s">
        <v>380</v>
      </c>
      <c r="C70" s="604">
        <v>15558.247684838476</v>
      </c>
      <c r="D70" s="566"/>
      <c r="E70" s="273" t="s">
        <v>475</v>
      </c>
      <c r="F70" s="725">
        <f t="shared" si="2"/>
        <v>10</v>
      </c>
      <c r="G70" s="603"/>
      <c r="H70" s="603"/>
    </row>
    <row r="71" spans="1:8" x14ac:dyDescent="0.3">
      <c r="A71" s="725">
        <v>11</v>
      </c>
      <c r="B71" s="466" t="s">
        <v>381</v>
      </c>
      <c r="C71" s="604">
        <v>19350.278884561267</v>
      </c>
      <c r="D71" s="566"/>
      <c r="E71" s="273" t="s">
        <v>476</v>
      </c>
      <c r="F71" s="725">
        <f t="shared" si="2"/>
        <v>11</v>
      </c>
      <c r="G71" s="603"/>
      <c r="H71" s="603"/>
    </row>
    <row r="72" spans="1:8" x14ac:dyDescent="0.3">
      <c r="A72" s="725">
        <v>12</v>
      </c>
      <c r="B72" s="466" t="s">
        <v>382</v>
      </c>
      <c r="C72" s="606">
        <v>58264.148858604072</v>
      </c>
      <c r="D72" s="566"/>
      <c r="E72" s="273" t="s">
        <v>477</v>
      </c>
      <c r="F72" s="725">
        <f t="shared" si="2"/>
        <v>12</v>
      </c>
      <c r="G72" s="603"/>
      <c r="H72" s="603"/>
    </row>
    <row r="73" spans="1:8" x14ac:dyDescent="0.3">
      <c r="A73" s="725">
        <v>13</v>
      </c>
      <c r="B73" s="608" t="s">
        <v>383</v>
      </c>
      <c r="C73" s="576">
        <f>SUM(C69:C72)</f>
        <v>1480216.586952619</v>
      </c>
      <c r="D73" s="577"/>
      <c r="E73" s="273" t="str">
        <f>"Sum Lines "&amp;A69&amp;" thru "&amp;A72</f>
        <v>Sum Lines 9 thru 12</v>
      </c>
      <c r="F73" s="725">
        <f t="shared" si="2"/>
        <v>13</v>
      </c>
      <c r="G73" s="603"/>
      <c r="H73" s="603"/>
    </row>
    <row r="74" spans="1:8" x14ac:dyDescent="0.3">
      <c r="A74" s="725">
        <v>14</v>
      </c>
      <c r="B74" s="608"/>
      <c r="C74" s="587"/>
      <c r="D74" s="588"/>
      <c r="E74" s="719"/>
      <c r="F74" s="725">
        <f t="shared" si="2"/>
        <v>14</v>
      </c>
      <c r="G74" s="603"/>
      <c r="H74" s="603"/>
    </row>
    <row r="75" spans="1:8" x14ac:dyDescent="0.3">
      <c r="A75" s="725">
        <v>15</v>
      </c>
      <c r="B75" s="467" t="s">
        <v>346</v>
      </c>
      <c r="C75" s="587"/>
      <c r="D75" s="588"/>
      <c r="E75" s="719"/>
      <c r="F75" s="725">
        <f t="shared" si="2"/>
        <v>15</v>
      </c>
      <c r="G75" s="603"/>
      <c r="H75" s="603"/>
    </row>
    <row r="76" spans="1:8" x14ac:dyDescent="0.3">
      <c r="A76" s="725">
        <v>16</v>
      </c>
      <c r="B76" s="246" t="s">
        <v>347</v>
      </c>
      <c r="C76" s="609">
        <f>C62-C69</f>
        <v>5272366.49687846</v>
      </c>
      <c r="D76" s="610"/>
      <c r="E76" s="273" t="str">
        <f>"Line "&amp;A62&amp;" Minus Line "&amp;A69</f>
        <v>Line 2 Minus Line 9</v>
      </c>
      <c r="F76" s="725">
        <f t="shared" si="2"/>
        <v>16</v>
      </c>
      <c r="G76" s="603"/>
      <c r="H76" s="603"/>
    </row>
    <row r="77" spans="1:8" x14ac:dyDescent="0.3">
      <c r="A77" s="725">
        <v>17</v>
      </c>
      <c r="B77" s="246" t="s">
        <v>20</v>
      </c>
      <c r="C77" s="611">
        <f>C63-C70</f>
        <v>3383.5254047790368</v>
      </c>
      <c r="D77" s="612"/>
      <c r="E77" s="273" t="str">
        <f>"Line "&amp;A63&amp;" Minus Line "&amp;A70</f>
        <v>Line 3 Minus Line 10</v>
      </c>
      <c r="F77" s="725">
        <f t="shared" si="2"/>
        <v>17</v>
      </c>
      <c r="G77" s="603"/>
      <c r="H77" s="603"/>
    </row>
    <row r="78" spans="1:8" x14ac:dyDescent="0.3">
      <c r="A78" s="725">
        <v>18</v>
      </c>
      <c r="B78" s="246" t="s">
        <v>21</v>
      </c>
      <c r="C78" s="611">
        <f>C64-C71</f>
        <v>28018.267765879718</v>
      </c>
      <c r="D78" s="612"/>
      <c r="E78" s="273" t="str">
        <f>"Line "&amp;A64&amp;" Minus Line "&amp;A71</f>
        <v>Line 4 Minus Line 11</v>
      </c>
      <c r="F78" s="725">
        <f t="shared" si="2"/>
        <v>18</v>
      </c>
    </row>
    <row r="79" spans="1:8" x14ac:dyDescent="0.3">
      <c r="A79" s="725">
        <v>19</v>
      </c>
      <c r="B79" s="246" t="s">
        <v>348</v>
      </c>
      <c r="C79" s="613">
        <f>C65-C72</f>
        <v>58941.050956189742</v>
      </c>
      <c r="D79" s="614"/>
      <c r="E79" s="273" t="str">
        <f>"Line "&amp;A65&amp;" Minus Line "&amp;A72</f>
        <v>Line 5 Minus Line 12</v>
      </c>
      <c r="F79" s="725">
        <f t="shared" si="2"/>
        <v>19</v>
      </c>
    </row>
    <row r="80" spans="1:8" ht="16.2" thickBot="1" x14ac:dyDescent="0.35">
      <c r="A80" s="725">
        <v>20</v>
      </c>
      <c r="B80" s="466" t="s">
        <v>349</v>
      </c>
      <c r="C80" s="615">
        <f>SUM(C76:C79)</f>
        <v>5362709.3410053086</v>
      </c>
      <c r="D80" s="577"/>
      <c r="E80" s="273" t="str">
        <f>"Sum Lines "&amp;A76&amp;" thru "&amp;A79</f>
        <v>Sum Lines 16 thru 19</v>
      </c>
      <c r="F80" s="725">
        <f t="shared" si="2"/>
        <v>20</v>
      </c>
    </row>
    <row r="81" spans="1:6" ht="16.2" thickTop="1" x14ac:dyDescent="0.3">
      <c r="A81" s="725">
        <v>21</v>
      </c>
      <c r="B81" s="249"/>
      <c r="C81" s="577"/>
      <c r="D81" s="577"/>
      <c r="E81" s="719"/>
      <c r="F81" s="725">
        <f t="shared" si="2"/>
        <v>21</v>
      </c>
    </row>
    <row r="82" spans="1:6" x14ac:dyDescent="0.3">
      <c r="A82" s="725">
        <v>22</v>
      </c>
      <c r="B82" s="467" t="s">
        <v>384</v>
      </c>
      <c r="C82" s="577"/>
      <c r="D82" s="577"/>
      <c r="E82" s="719"/>
      <c r="F82" s="725">
        <f t="shared" si="2"/>
        <v>22</v>
      </c>
    </row>
    <row r="83" spans="1:6" x14ac:dyDescent="0.3">
      <c r="A83" s="725">
        <v>23</v>
      </c>
      <c r="B83" s="246" t="s">
        <v>385</v>
      </c>
      <c r="C83" s="596">
        <v>0</v>
      </c>
      <c r="D83" s="577"/>
      <c r="E83" s="273" t="s">
        <v>19</v>
      </c>
      <c r="F83" s="725">
        <f t="shared" si="2"/>
        <v>23</v>
      </c>
    </row>
    <row r="84" spans="1:6" x14ac:dyDescent="0.3">
      <c r="A84" s="725">
        <v>24</v>
      </c>
      <c r="B84" s="466" t="s">
        <v>386</v>
      </c>
      <c r="C84" s="599">
        <v>0</v>
      </c>
      <c r="D84" s="577"/>
      <c r="E84" s="273" t="s">
        <v>19</v>
      </c>
      <c r="F84" s="725">
        <f t="shared" si="2"/>
        <v>24</v>
      </c>
    </row>
    <row r="85" spans="1:6" ht="16.2" thickBot="1" x14ac:dyDescent="0.35">
      <c r="A85" s="725">
        <v>25</v>
      </c>
      <c r="B85" s="246" t="s">
        <v>387</v>
      </c>
      <c r="C85" s="616">
        <f>C83-C84</f>
        <v>0</v>
      </c>
      <c r="D85" s="577"/>
      <c r="E85" s="273" t="str">
        <f>"Line "&amp;A83&amp;" Minus Line "&amp;A84</f>
        <v>Line 23 Minus Line 24</v>
      </c>
      <c r="F85" s="725">
        <f t="shared" si="2"/>
        <v>25</v>
      </c>
    </row>
    <row r="86" spans="1:6" ht="16.2" thickTop="1" x14ac:dyDescent="0.3">
      <c r="A86" s="725"/>
    </row>
  </sheetData>
  <mergeCells count="8">
    <mergeCell ref="B54:E54"/>
    <mergeCell ref="B55:E55"/>
    <mergeCell ref="B3:E3"/>
    <mergeCell ref="B4:E4"/>
    <mergeCell ref="B5:E5"/>
    <mergeCell ref="B6:E6"/>
    <mergeCell ref="B52:E52"/>
    <mergeCell ref="B53:E53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Roman,Bold"&amp;9AS FILED</oddHeader>
    <oddFooter>&amp;CPage 14.&amp;P&amp;R&amp;F</oddFooter>
  </headerFooter>
  <rowBreaks count="1" manualBreakCount="1">
    <brk id="5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A807-1DE4-4ADF-941E-CC22067CC8C7}">
  <sheetPr>
    <pageSetUpPr fitToPage="1"/>
  </sheetPr>
  <dimension ref="A1:L72"/>
  <sheetViews>
    <sheetView zoomScale="80" zoomScaleNormal="80" workbookViewId="0"/>
  </sheetViews>
  <sheetFormatPr defaultColWidth="9.109375" defaultRowHeight="15.6" x14ac:dyDescent="0.3"/>
  <cols>
    <col min="1" max="1" width="5.109375" style="617" customWidth="1"/>
    <col min="2" max="2" width="12.5546875" style="627" customWidth="1"/>
    <col min="3" max="3" width="20" style="627" customWidth="1"/>
    <col min="4" max="8" width="21.5546875" style="627" customWidth="1"/>
    <col min="9" max="9" width="5.109375" style="617" customWidth="1"/>
    <col min="10" max="10" width="13.5546875" style="627" customWidth="1"/>
    <col min="11" max="11" width="12.5546875" style="627" customWidth="1"/>
    <col min="12" max="16384" width="9.109375" style="627"/>
  </cols>
  <sheetData>
    <row r="1" spans="1:9" x14ac:dyDescent="0.3">
      <c r="D1" s="628"/>
    </row>
    <row r="2" spans="1:9" x14ac:dyDescent="0.3">
      <c r="B2" s="829" t="s">
        <v>24</v>
      </c>
      <c r="C2" s="829"/>
      <c r="D2" s="829"/>
      <c r="E2" s="829"/>
      <c r="F2" s="829"/>
      <c r="G2" s="829"/>
      <c r="H2" s="829"/>
      <c r="I2" s="629"/>
    </row>
    <row r="3" spans="1:9" x14ac:dyDescent="0.3">
      <c r="B3" s="829" t="s">
        <v>216</v>
      </c>
      <c r="C3" s="829"/>
      <c r="D3" s="829"/>
      <c r="E3" s="829"/>
      <c r="F3" s="829"/>
      <c r="G3" s="829"/>
      <c r="H3" s="829"/>
      <c r="I3" s="629"/>
    </row>
    <row r="4" spans="1:9" x14ac:dyDescent="0.3">
      <c r="B4" s="830" t="s">
        <v>510</v>
      </c>
      <c r="C4" s="830"/>
      <c r="D4" s="830"/>
      <c r="E4" s="830"/>
      <c r="F4" s="830"/>
      <c r="G4" s="830"/>
      <c r="H4" s="830"/>
      <c r="I4" s="629"/>
    </row>
    <row r="5" spans="1:9" x14ac:dyDescent="0.3">
      <c r="B5" s="830" t="s">
        <v>546</v>
      </c>
      <c r="C5" s="830"/>
      <c r="D5" s="830"/>
      <c r="E5" s="830"/>
      <c r="F5" s="830"/>
      <c r="G5" s="830"/>
      <c r="H5" s="830"/>
      <c r="I5" s="629"/>
    </row>
    <row r="6" spans="1:9" x14ac:dyDescent="0.3">
      <c r="B6" s="831" t="s">
        <v>1</v>
      </c>
      <c r="C6" s="831"/>
      <c r="D6" s="831"/>
      <c r="E6" s="831"/>
      <c r="F6" s="831"/>
      <c r="G6" s="831"/>
      <c r="H6" s="831"/>
      <c r="I6" s="629"/>
    </row>
    <row r="7" spans="1:9" x14ac:dyDescent="0.3">
      <c r="A7" s="629"/>
      <c r="B7" s="629"/>
      <c r="C7" s="629"/>
      <c r="D7" s="629"/>
      <c r="E7" s="629"/>
      <c r="F7" s="629"/>
      <c r="G7" s="629"/>
      <c r="H7" s="629"/>
      <c r="I7" s="629"/>
    </row>
    <row r="8" spans="1:9" x14ac:dyDescent="0.3">
      <c r="A8" s="41" t="s">
        <v>2</v>
      </c>
      <c r="B8" s="57"/>
      <c r="I8" s="41" t="s">
        <v>2</v>
      </c>
    </row>
    <row r="9" spans="1:9" x14ac:dyDescent="0.3">
      <c r="A9" s="463" t="s">
        <v>6</v>
      </c>
      <c r="B9" s="57"/>
      <c r="I9" s="463" t="s">
        <v>6</v>
      </c>
    </row>
    <row r="10" spans="1:9" x14ac:dyDescent="0.3">
      <c r="A10" s="41">
        <v>1</v>
      </c>
      <c r="C10" s="455" t="s">
        <v>271</v>
      </c>
      <c r="D10" s="455" t="s">
        <v>272</v>
      </c>
      <c r="E10" s="455" t="s">
        <v>273</v>
      </c>
      <c r="F10" s="455" t="s">
        <v>274</v>
      </c>
      <c r="G10" s="455" t="s">
        <v>275</v>
      </c>
      <c r="H10" s="455" t="s">
        <v>276</v>
      </c>
      <c r="I10" s="41">
        <v>1</v>
      </c>
    </row>
    <row r="11" spans="1:9" x14ac:dyDescent="0.3">
      <c r="A11" s="41">
        <f t="shared" ref="A11:A66" si="0">A10+1</f>
        <v>2</v>
      </c>
      <c r="B11" s="630" t="s">
        <v>277</v>
      </c>
      <c r="C11" s="41"/>
      <c r="D11" s="72" t="s">
        <v>396</v>
      </c>
      <c r="E11" s="41"/>
      <c r="F11" s="41" t="s">
        <v>397</v>
      </c>
      <c r="G11" s="41" t="s">
        <v>398</v>
      </c>
      <c r="H11" s="72" t="s">
        <v>399</v>
      </c>
      <c r="I11" s="41">
        <f t="shared" ref="I11:I66" si="1">I10+1</f>
        <v>2</v>
      </c>
    </row>
    <row r="12" spans="1:9" x14ac:dyDescent="0.3">
      <c r="A12" s="41">
        <f t="shared" si="0"/>
        <v>3</v>
      </c>
      <c r="B12" s="630"/>
      <c r="C12" s="41"/>
      <c r="D12" s="72"/>
      <c r="E12" s="41"/>
      <c r="F12" s="41"/>
      <c r="G12" s="41"/>
      <c r="H12" s="72"/>
      <c r="I12" s="41">
        <f t="shared" si="1"/>
        <v>3</v>
      </c>
    </row>
    <row r="13" spans="1:9" x14ac:dyDescent="0.3">
      <c r="A13" s="41">
        <f t="shared" si="0"/>
        <v>4</v>
      </c>
      <c r="C13" s="455"/>
      <c r="F13" s="622" t="s">
        <v>278</v>
      </c>
      <c r="H13" s="622" t="s">
        <v>278</v>
      </c>
      <c r="I13" s="41">
        <f t="shared" si="1"/>
        <v>4</v>
      </c>
    </row>
    <row r="14" spans="1:9" x14ac:dyDescent="0.3">
      <c r="A14" s="41">
        <f t="shared" si="0"/>
        <v>5</v>
      </c>
      <c r="C14" s="455"/>
      <c r="D14" s="622" t="s">
        <v>279</v>
      </c>
      <c r="E14" s="622"/>
      <c r="F14" s="622" t="s">
        <v>280</v>
      </c>
      <c r="H14" s="622" t="s">
        <v>280</v>
      </c>
      <c r="I14" s="41">
        <f t="shared" si="1"/>
        <v>5</v>
      </c>
    </row>
    <row r="15" spans="1:9" x14ac:dyDescent="0.3">
      <c r="A15" s="41">
        <f t="shared" si="0"/>
        <v>6</v>
      </c>
      <c r="C15" s="622"/>
      <c r="D15" s="622" t="s">
        <v>280</v>
      </c>
      <c r="E15" s="622" t="s">
        <v>279</v>
      </c>
      <c r="F15" s="622" t="s">
        <v>281</v>
      </c>
      <c r="H15" s="622" t="s">
        <v>281</v>
      </c>
      <c r="I15" s="41">
        <f t="shared" si="1"/>
        <v>6</v>
      </c>
    </row>
    <row r="16" spans="1:9" x14ac:dyDescent="0.3">
      <c r="A16" s="41">
        <f t="shared" si="0"/>
        <v>7</v>
      </c>
      <c r="C16" s="622"/>
      <c r="D16" s="622" t="s">
        <v>281</v>
      </c>
      <c r="E16" s="622" t="s">
        <v>282</v>
      </c>
      <c r="F16" s="622" t="s">
        <v>283</v>
      </c>
      <c r="G16" s="622"/>
      <c r="H16" s="622" t="s">
        <v>283</v>
      </c>
      <c r="I16" s="41">
        <f t="shared" si="1"/>
        <v>7</v>
      </c>
    </row>
    <row r="17" spans="1:12" ht="18" x14ac:dyDescent="0.3">
      <c r="A17" s="41">
        <f t="shared" si="0"/>
        <v>8</v>
      </c>
      <c r="B17" s="631" t="s">
        <v>284</v>
      </c>
      <c r="C17" s="631" t="s">
        <v>285</v>
      </c>
      <c r="D17" s="476" t="s">
        <v>283</v>
      </c>
      <c r="E17" s="476" t="s">
        <v>400</v>
      </c>
      <c r="F17" s="476" t="s">
        <v>286</v>
      </c>
      <c r="G17" s="632" t="s">
        <v>282</v>
      </c>
      <c r="H17" s="476" t="s">
        <v>287</v>
      </c>
      <c r="I17" s="41">
        <f t="shared" si="1"/>
        <v>8</v>
      </c>
    </row>
    <row r="18" spans="1:12" x14ac:dyDescent="0.3">
      <c r="A18" s="41">
        <f t="shared" si="0"/>
        <v>9</v>
      </c>
      <c r="B18" s="158" t="s">
        <v>288</v>
      </c>
      <c r="C18" s="456">
        <v>2019</v>
      </c>
      <c r="D18" s="801">
        <f>'Pg2 Appendix XII C4 Comparison'!G28/12</f>
        <v>-8.4744099532751225E-3</v>
      </c>
      <c r="E18" s="634">
        <v>4.4000000000000003E-3</v>
      </c>
      <c r="F18" s="635">
        <f>D18</f>
        <v>-8.4744099532751225E-3</v>
      </c>
      <c r="G18" s="636">
        <f>(D18/2)*E18</f>
        <v>-1.8643701897205272E-5</v>
      </c>
      <c r="H18" s="636">
        <f t="shared" ref="H18:H65" si="2">F18+G18</f>
        <v>-8.4930536551723283E-3</v>
      </c>
      <c r="I18" s="41">
        <f t="shared" si="1"/>
        <v>9</v>
      </c>
      <c r="J18" s="637"/>
    </row>
    <row r="19" spans="1:12" x14ac:dyDescent="0.3">
      <c r="A19" s="41">
        <f t="shared" si="0"/>
        <v>10</v>
      </c>
      <c r="B19" s="158" t="s">
        <v>289</v>
      </c>
      <c r="C19" s="456">
        <f>C18</f>
        <v>2019</v>
      </c>
      <c r="D19" s="633">
        <f>D18</f>
        <v>-8.4744099532751225E-3</v>
      </c>
      <c r="E19" s="634">
        <v>4.0000000000000001E-3</v>
      </c>
      <c r="F19" s="638">
        <f>H18+D19</f>
        <v>-1.6967463608447451E-2</v>
      </c>
      <c r="G19" s="639">
        <f t="shared" ref="G19:G65" si="3">(H18+F19)/2*E19</f>
        <v>-5.0921034527239563E-5</v>
      </c>
      <c r="H19" s="639">
        <f t="shared" si="2"/>
        <v>-1.7018384642974692E-2</v>
      </c>
      <c r="I19" s="41">
        <f t="shared" si="1"/>
        <v>10</v>
      </c>
      <c r="J19" s="640"/>
    </row>
    <row r="20" spans="1:12" x14ac:dyDescent="0.3">
      <c r="A20" s="41">
        <f t="shared" si="0"/>
        <v>11</v>
      </c>
      <c r="B20" s="158" t="s">
        <v>290</v>
      </c>
      <c r="C20" s="456">
        <f t="shared" ref="C20:D29" si="4">C19</f>
        <v>2019</v>
      </c>
      <c r="D20" s="633">
        <f t="shared" si="4"/>
        <v>-8.4744099532751225E-3</v>
      </c>
      <c r="E20" s="634">
        <v>4.4000000000000003E-3</v>
      </c>
      <c r="F20" s="638">
        <f>H19+D20</f>
        <v>-2.5492794596249813E-2</v>
      </c>
      <c r="G20" s="639">
        <f>(H19+F20)/2*E20</f>
        <v>-9.3524594326293916E-5</v>
      </c>
      <c r="H20" s="639">
        <f t="shared" si="2"/>
        <v>-2.5586319190576107E-2</v>
      </c>
      <c r="I20" s="41">
        <f t="shared" si="1"/>
        <v>11</v>
      </c>
      <c r="J20" s="640"/>
    </row>
    <row r="21" spans="1:12" x14ac:dyDescent="0.3">
      <c r="A21" s="41">
        <f t="shared" si="0"/>
        <v>12</v>
      </c>
      <c r="B21" s="158" t="s">
        <v>291</v>
      </c>
      <c r="C21" s="456">
        <f t="shared" si="4"/>
        <v>2019</v>
      </c>
      <c r="D21" s="633">
        <f t="shared" si="4"/>
        <v>-8.4744099532751225E-3</v>
      </c>
      <c r="E21" s="634">
        <v>4.4999999999999997E-3</v>
      </c>
      <c r="F21" s="638">
        <f>H20+D21</f>
        <v>-3.4060729143851227E-2</v>
      </c>
      <c r="G21" s="639">
        <f>(H20+F21)/2*E21</f>
        <v>-1.3420585875246148E-4</v>
      </c>
      <c r="H21" s="639">
        <f t="shared" si="2"/>
        <v>-3.4194935002603691E-2</v>
      </c>
      <c r="I21" s="41">
        <f t="shared" si="1"/>
        <v>12</v>
      </c>
      <c r="J21" s="640"/>
      <c r="L21" s="641"/>
    </row>
    <row r="22" spans="1:12" x14ac:dyDescent="0.3">
      <c r="A22" s="41">
        <f t="shared" si="0"/>
        <v>13</v>
      </c>
      <c r="B22" s="158" t="s">
        <v>292</v>
      </c>
      <c r="C22" s="456">
        <f t="shared" si="4"/>
        <v>2019</v>
      </c>
      <c r="D22" s="633">
        <f t="shared" si="4"/>
        <v>-8.4744099532751225E-3</v>
      </c>
      <c r="E22" s="634">
        <v>4.5999999999999999E-3</v>
      </c>
      <c r="F22" s="638">
        <f t="shared" ref="F22:F65" si="5">H21+D22</f>
        <v>-4.2669344955878812E-2</v>
      </c>
      <c r="G22" s="639">
        <f t="shared" si="3"/>
        <v>-1.7678784390450975E-4</v>
      </c>
      <c r="H22" s="639">
        <f t="shared" si="2"/>
        <v>-4.2846132799783318E-2</v>
      </c>
      <c r="I22" s="41">
        <f t="shared" si="1"/>
        <v>13</v>
      </c>
      <c r="J22" s="640"/>
    </row>
    <row r="23" spans="1:12" x14ac:dyDescent="0.3">
      <c r="A23" s="41">
        <f t="shared" si="0"/>
        <v>14</v>
      </c>
      <c r="B23" s="158" t="s">
        <v>293</v>
      </c>
      <c r="C23" s="456">
        <f t="shared" si="4"/>
        <v>2019</v>
      </c>
      <c r="D23" s="633">
        <f t="shared" si="4"/>
        <v>-8.4744099532751225E-3</v>
      </c>
      <c r="E23" s="634">
        <v>4.4999999999999997E-3</v>
      </c>
      <c r="F23" s="638">
        <f t="shared" si="5"/>
        <v>-5.1320542753058439E-2</v>
      </c>
      <c r="G23" s="639">
        <f>(H22+F23)/2*E23</f>
        <v>-2.1187501999389392E-4</v>
      </c>
      <c r="H23" s="639">
        <f t="shared" si="2"/>
        <v>-5.1532417773052334E-2</v>
      </c>
      <c r="I23" s="41">
        <f t="shared" si="1"/>
        <v>14</v>
      </c>
      <c r="J23" s="640"/>
    </row>
    <row r="24" spans="1:12" x14ac:dyDescent="0.3">
      <c r="A24" s="41">
        <f t="shared" si="0"/>
        <v>15</v>
      </c>
      <c r="B24" s="158" t="s">
        <v>294</v>
      </c>
      <c r="C24" s="456">
        <f t="shared" si="4"/>
        <v>2019</v>
      </c>
      <c r="D24" s="633">
        <f t="shared" si="4"/>
        <v>-8.4744099532751225E-3</v>
      </c>
      <c r="E24" s="634">
        <v>4.7000000000000002E-3</v>
      </c>
      <c r="F24" s="638">
        <f t="shared" si="5"/>
        <v>-6.0006827726327455E-2</v>
      </c>
      <c r="G24" s="639">
        <f t="shared" si="3"/>
        <v>-2.6211722692354254E-4</v>
      </c>
      <c r="H24" s="639">
        <f t="shared" si="2"/>
        <v>-6.0268944953250997E-2</v>
      </c>
      <c r="I24" s="41">
        <f t="shared" si="1"/>
        <v>15</v>
      </c>
      <c r="J24" s="640"/>
    </row>
    <row r="25" spans="1:12" x14ac:dyDescent="0.3">
      <c r="A25" s="41">
        <f t="shared" si="0"/>
        <v>16</v>
      </c>
      <c r="B25" s="158" t="s">
        <v>295</v>
      </c>
      <c r="C25" s="456">
        <f t="shared" si="4"/>
        <v>2019</v>
      </c>
      <c r="D25" s="633">
        <f t="shared" si="4"/>
        <v>-8.4744099532751225E-3</v>
      </c>
      <c r="E25" s="634">
        <v>4.7000000000000002E-3</v>
      </c>
      <c r="F25" s="638">
        <f t="shared" si="5"/>
        <v>-6.8743354906526125E-2</v>
      </c>
      <c r="G25" s="639">
        <f t="shared" si="3"/>
        <v>-3.0317890467047626E-4</v>
      </c>
      <c r="H25" s="639">
        <f t="shared" si="2"/>
        <v>-6.9046533811196603E-2</v>
      </c>
      <c r="I25" s="41">
        <f t="shared" si="1"/>
        <v>16</v>
      </c>
      <c r="J25" s="640"/>
    </row>
    <row r="26" spans="1:12" x14ac:dyDescent="0.3">
      <c r="A26" s="41">
        <f t="shared" si="0"/>
        <v>17</v>
      </c>
      <c r="B26" s="158" t="s">
        <v>296</v>
      </c>
      <c r="C26" s="456">
        <f t="shared" si="4"/>
        <v>2019</v>
      </c>
      <c r="D26" s="633">
        <f t="shared" si="4"/>
        <v>-8.4744099532751225E-3</v>
      </c>
      <c r="E26" s="634">
        <v>4.4999999999999997E-3</v>
      </c>
      <c r="F26" s="638">
        <f t="shared" si="5"/>
        <v>-7.7520943764471731E-2</v>
      </c>
      <c r="G26" s="639">
        <f t="shared" si="3"/>
        <v>-3.2977682454525374E-4</v>
      </c>
      <c r="H26" s="639">
        <f t="shared" si="2"/>
        <v>-7.7850720589016986E-2</v>
      </c>
      <c r="I26" s="41">
        <f t="shared" si="1"/>
        <v>17</v>
      </c>
      <c r="J26" s="640"/>
    </row>
    <row r="27" spans="1:12" x14ac:dyDescent="0.3">
      <c r="A27" s="41">
        <f t="shared" si="0"/>
        <v>18</v>
      </c>
      <c r="B27" s="158" t="s">
        <v>297</v>
      </c>
      <c r="C27" s="456">
        <f t="shared" si="4"/>
        <v>2019</v>
      </c>
      <c r="D27" s="633">
        <f t="shared" si="4"/>
        <v>-8.4744099532751225E-3</v>
      </c>
      <c r="E27" s="634">
        <v>4.5999999999999999E-3</v>
      </c>
      <c r="F27" s="638">
        <f t="shared" si="5"/>
        <v>-8.6325130542292114E-2</v>
      </c>
      <c r="G27" s="639">
        <f t="shared" si="3"/>
        <v>-3.7760445760201094E-4</v>
      </c>
      <c r="H27" s="639">
        <f t="shared" si="2"/>
        <v>-8.6702734999894129E-2</v>
      </c>
      <c r="I27" s="41">
        <f t="shared" si="1"/>
        <v>18</v>
      </c>
      <c r="J27" s="640"/>
    </row>
    <row r="28" spans="1:12" x14ac:dyDescent="0.3">
      <c r="A28" s="41">
        <f t="shared" si="0"/>
        <v>19</v>
      </c>
      <c r="B28" s="158" t="s">
        <v>298</v>
      </c>
      <c r="C28" s="456">
        <f t="shared" si="4"/>
        <v>2019</v>
      </c>
      <c r="D28" s="633">
        <f t="shared" si="4"/>
        <v>-8.4744099532751225E-3</v>
      </c>
      <c r="E28" s="634">
        <v>4.4999999999999997E-3</v>
      </c>
      <c r="F28" s="638">
        <f t="shared" si="5"/>
        <v>-9.5177144953169257E-2</v>
      </c>
      <c r="G28" s="38">
        <f t="shared" si="3"/>
        <v>-4.0922972989439253E-4</v>
      </c>
      <c r="H28" s="38">
        <f t="shared" si="2"/>
        <v>-9.5586374683063649E-2</v>
      </c>
      <c r="I28" s="41">
        <f t="shared" si="1"/>
        <v>19</v>
      </c>
      <c r="J28" s="640"/>
    </row>
    <row r="29" spans="1:12" x14ac:dyDescent="0.3">
      <c r="A29" s="41">
        <f t="shared" si="0"/>
        <v>20</v>
      </c>
      <c r="B29" s="457" t="s">
        <v>299</v>
      </c>
      <c r="C29" s="458">
        <f>C28</f>
        <v>2019</v>
      </c>
      <c r="D29" s="642">
        <f t="shared" si="4"/>
        <v>-8.4744099532751225E-3</v>
      </c>
      <c r="E29" s="643">
        <v>4.5999999999999999E-3</v>
      </c>
      <c r="F29" s="644">
        <f t="shared" si="5"/>
        <v>-0.10406078463633878</v>
      </c>
      <c r="G29" s="460">
        <f t="shared" si="3"/>
        <v>-4.5918846643462554E-4</v>
      </c>
      <c r="H29" s="460">
        <f t="shared" si="2"/>
        <v>-0.1045199731027734</v>
      </c>
      <c r="I29" s="41">
        <f t="shared" si="1"/>
        <v>20</v>
      </c>
      <c r="J29" s="640"/>
    </row>
    <row r="30" spans="1:12" x14ac:dyDescent="0.3">
      <c r="A30" s="41">
        <f t="shared" si="0"/>
        <v>21</v>
      </c>
      <c r="B30" s="158" t="s">
        <v>288</v>
      </c>
      <c r="C30" s="456">
        <f>C29+1</f>
        <v>2020</v>
      </c>
      <c r="D30" s="633"/>
      <c r="E30" s="634">
        <v>4.1999999999999997E-3</v>
      </c>
      <c r="F30" s="645">
        <f t="shared" si="5"/>
        <v>-0.1045199731027734</v>
      </c>
      <c r="G30" s="248">
        <f t="shared" si="3"/>
        <v>-4.3898388703164827E-4</v>
      </c>
      <c r="H30" s="248">
        <f t="shared" si="2"/>
        <v>-0.10495895698980505</v>
      </c>
      <c r="I30" s="41">
        <f t="shared" si="1"/>
        <v>21</v>
      </c>
      <c r="J30" s="640"/>
    </row>
    <row r="31" spans="1:12" x14ac:dyDescent="0.3">
      <c r="A31" s="41">
        <f t="shared" si="0"/>
        <v>22</v>
      </c>
      <c r="B31" s="158" t="s">
        <v>289</v>
      </c>
      <c r="C31" s="456">
        <f>C30</f>
        <v>2020</v>
      </c>
      <c r="D31" s="633"/>
      <c r="E31" s="634">
        <v>3.8999999999999998E-3</v>
      </c>
      <c r="F31" s="645">
        <f t="shared" si="5"/>
        <v>-0.10495895698980505</v>
      </c>
      <c r="G31" s="248">
        <f t="shared" si="3"/>
        <v>-4.093399322602397E-4</v>
      </c>
      <c r="H31" s="248">
        <f t="shared" si="2"/>
        <v>-0.10536829692206529</v>
      </c>
      <c r="I31" s="41">
        <f t="shared" si="1"/>
        <v>22</v>
      </c>
      <c r="J31" s="640"/>
    </row>
    <row r="32" spans="1:12" x14ac:dyDescent="0.3">
      <c r="A32" s="41">
        <f t="shared" si="0"/>
        <v>23</v>
      </c>
      <c r="B32" s="158" t="s">
        <v>290</v>
      </c>
      <c r="C32" s="456">
        <f t="shared" ref="C32:C40" si="6">C31</f>
        <v>2020</v>
      </c>
      <c r="D32" s="633"/>
      <c r="E32" s="634">
        <v>4.1999999999999997E-3</v>
      </c>
      <c r="F32" s="645">
        <f t="shared" si="5"/>
        <v>-0.10536829692206529</v>
      </c>
      <c r="G32" s="248">
        <f t="shared" si="3"/>
        <v>-4.425468470726742E-4</v>
      </c>
      <c r="H32" s="248">
        <f t="shared" si="2"/>
        <v>-0.10581084376913796</v>
      </c>
      <c r="I32" s="41">
        <f t="shared" si="1"/>
        <v>23</v>
      </c>
      <c r="J32" s="640"/>
    </row>
    <row r="33" spans="1:10" x14ac:dyDescent="0.3">
      <c r="A33" s="41">
        <f t="shared" si="0"/>
        <v>24</v>
      </c>
      <c r="B33" s="158" t="s">
        <v>291</v>
      </c>
      <c r="C33" s="456">
        <f t="shared" si="6"/>
        <v>2020</v>
      </c>
      <c r="D33" s="633"/>
      <c r="E33" s="634">
        <v>3.8999999999999998E-3</v>
      </c>
      <c r="F33" s="645">
        <f t="shared" si="5"/>
        <v>-0.10581084376913796</v>
      </c>
      <c r="G33" s="248">
        <f t="shared" si="3"/>
        <v>-4.1266229069963803E-4</v>
      </c>
      <c r="H33" s="248">
        <f t="shared" si="2"/>
        <v>-0.1062235060598376</v>
      </c>
      <c r="I33" s="41">
        <f t="shared" si="1"/>
        <v>24</v>
      </c>
      <c r="J33" s="640"/>
    </row>
    <row r="34" spans="1:10" x14ac:dyDescent="0.3">
      <c r="A34" s="41">
        <f t="shared" si="0"/>
        <v>25</v>
      </c>
      <c r="B34" s="158" t="s">
        <v>292</v>
      </c>
      <c r="C34" s="456">
        <f t="shared" si="6"/>
        <v>2020</v>
      </c>
      <c r="D34" s="633"/>
      <c r="E34" s="634">
        <v>4.0000000000000001E-3</v>
      </c>
      <c r="F34" s="645">
        <f t="shared" si="5"/>
        <v>-0.1062235060598376</v>
      </c>
      <c r="G34" s="248">
        <f t="shared" si="3"/>
        <v>-4.2489402423935042E-4</v>
      </c>
      <c r="H34" s="248">
        <f t="shared" si="2"/>
        <v>-0.10664840008407696</v>
      </c>
      <c r="I34" s="41">
        <f t="shared" si="1"/>
        <v>25</v>
      </c>
      <c r="J34" s="640"/>
    </row>
    <row r="35" spans="1:10" x14ac:dyDescent="0.3">
      <c r="A35" s="41">
        <f t="shared" si="0"/>
        <v>26</v>
      </c>
      <c r="B35" s="158" t="s">
        <v>293</v>
      </c>
      <c r="C35" s="456">
        <f t="shared" si="6"/>
        <v>2020</v>
      </c>
      <c r="D35" s="633"/>
      <c r="E35" s="634">
        <v>3.8999999999999998E-3</v>
      </c>
      <c r="F35" s="645">
        <f t="shared" si="5"/>
        <v>-0.10664840008407696</v>
      </c>
      <c r="G35" s="248">
        <f t="shared" si="3"/>
        <v>-4.1592876032790012E-4</v>
      </c>
      <c r="H35" s="248">
        <f t="shared" si="2"/>
        <v>-0.10706432884440485</v>
      </c>
      <c r="I35" s="41">
        <f t="shared" si="1"/>
        <v>26</v>
      </c>
      <c r="J35" s="640"/>
    </row>
    <row r="36" spans="1:10" x14ac:dyDescent="0.3">
      <c r="A36" s="41">
        <f t="shared" si="0"/>
        <v>27</v>
      </c>
      <c r="B36" s="158" t="s">
        <v>294</v>
      </c>
      <c r="C36" s="456">
        <f t="shared" si="6"/>
        <v>2020</v>
      </c>
      <c r="D36" s="633"/>
      <c r="E36" s="634">
        <v>2.8999999999999998E-3</v>
      </c>
      <c r="F36" s="645">
        <f t="shared" si="5"/>
        <v>-0.10706432884440485</v>
      </c>
      <c r="G36" s="248">
        <f t="shared" si="3"/>
        <v>-3.1048655364877402E-4</v>
      </c>
      <c r="H36" s="248">
        <f t="shared" si="2"/>
        <v>-0.10737481539805363</v>
      </c>
      <c r="I36" s="41">
        <f t="shared" si="1"/>
        <v>27</v>
      </c>
      <c r="J36" s="640"/>
    </row>
    <row r="37" spans="1:10" x14ac:dyDescent="0.3">
      <c r="A37" s="41">
        <f t="shared" si="0"/>
        <v>28</v>
      </c>
      <c r="B37" s="158" t="s">
        <v>295</v>
      </c>
      <c r="C37" s="456">
        <f t="shared" si="6"/>
        <v>2020</v>
      </c>
      <c r="D37" s="633"/>
      <c r="E37" s="634">
        <v>2.8999999999999998E-3</v>
      </c>
      <c r="F37" s="645">
        <f t="shared" si="5"/>
        <v>-0.10737481539805363</v>
      </c>
      <c r="G37" s="248">
        <f t="shared" si="3"/>
        <v>-3.113869646543555E-4</v>
      </c>
      <c r="H37" s="248">
        <f t="shared" si="2"/>
        <v>-0.10768620236270798</v>
      </c>
      <c r="I37" s="41">
        <f t="shared" si="1"/>
        <v>28</v>
      </c>
      <c r="J37" s="640"/>
    </row>
    <row r="38" spans="1:10" x14ac:dyDescent="0.3">
      <c r="A38" s="41">
        <f t="shared" si="0"/>
        <v>29</v>
      </c>
      <c r="B38" s="158" t="s">
        <v>296</v>
      </c>
      <c r="C38" s="456">
        <f t="shared" si="6"/>
        <v>2020</v>
      </c>
      <c r="D38" s="633"/>
      <c r="E38" s="634">
        <v>2.8E-3</v>
      </c>
      <c r="F38" s="645">
        <f t="shared" si="5"/>
        <v>-0.10768620236270798</v>
      </c>
      <c r="G38" s="248">
        <f t="shared" si="3"/>
        <v>-3.0152136661558236E-4</v>
      </c>
      <c r="H38" s="248">
        <f t="shared" si="2"/>
        <v>-0.10798772372932357</v>
      </c>
      <c r="I38" s="41">
        <f t="shared" si="1"/>
        <v>29</v>
      </c>
      <c r="J38" s="640"/>
    </row>
    <row r="39" spans="1:10" x14ac:dyDescent="0.3">
      <c r="A39" s="41">
        <f t="shared" si="0"/>
        <v>30</v>
      </c>
      <c r="B39" s="158" t="s">
        <v>297</v>
      </c>
      <c r="C39" s="456">
        <f t="shared" si="6"/>
        <v>2020</v>
      </c>
      <c r="D39" s="633"/>
      <c r="E39" s="634">
        <v>2.8E-3</v>
      </c>
      <c r="F39" s="645">
        <f t="shared" si="5"/>
        <v>-0.10798772372932357</v>
      </c>
      <c r="G39" s="248">
        <f t="shared" si="3"/>
        <v>-3.02365626442106E-4</v>
      </c>
      <c r="H39" s="248">
        <f t="shared" si="2"/>
        <v>-0.10829008935576567</v>
      </c>
      <c r="I39" s="41">
        <f t="shared" si="1"/>
        <v>30</v>
      </c>
      <c r="J39" s="640"/>
    </row>
    <row r="40" spans="1:10" x14ac:dyDescent="0.3">
      <c r="A40" s="41">
        <f t="shared" si="0"/>
        <v>31</v>
      </c>
      <c r="B40" s="158" t="s">
        <v>298</v>
      </c>
      <c r="C40" s="456">
        <f t="shared" si="6"/>
        <v>2020</v>
      </c>
      <c r="D40" s="633"/>
      <c r="E40" s="634">
        <v>2.7000000000000001E-3</v>
      </c>
      <c r="F40" s="645">
        <f t="shared" si="5"/>
        <v>-0.10829008935576567</v>
      </c>
      <c r="G40" s="248">
        <f t="shared" si="3"/>
        <v>-2.9238324126056731E-4</v>
      </c>
      <c r="H40" s="248">
        <f t="shared" si="2"/>
        <v>-0.10858247259702625</v>
      </c>
      <c r="I40" s="41">
        <f t="shared" si="1"/>
        <v>31</v>
      </c>
      <c r="J40" s="640"/>
    </row>
    <row r="41" spans="1:10" x14ac:dyDescent="0.3">
      <c r="A41" s="41">
        <f t="shared" si="0"/>
        <v>32</v>
      </c>
      <c r="B41" s="457" t="s">
        <v>299</v>
      </c>
      <c r="C41" s="458">
        <f>C40</f>
        <v>2020</v>
      </c>
      <c r="D41" s="642"/>
      <c r="E41" s="643">
        <v>2.8E-3</v>
      </c>
      <c r="F41" s="644">
        <f t="shared" si="5"/>
        <v>-0.10858247259702625</v>
      </c>
      <c r="G41" s="460">
        <f t="shared" si="3"/>
        <v>-3.0403092327167347E-4</v>
      </c>
      <c r="H41" s="460">
        <f t="shared" si="2"/>
        <v>-0.10888650352029793</v>
      </c>
      <c r="I41" s="41">
        <f t="shared" si="1"/>
        <v>32</v>
      </c>
      <c r="J41" s="640"/>
    </row>
    <row r="42" spans="1:10" x14ac:dyDescent="0.3">
      <c r="A42" s="41">
        <f t="shared" si="0"/>
        <v>33</v>
      </c>
      <c r="B42" s="158" t="s">
        <v>288</v>
      </c>
      <c r="C42" s="456">
        <f>C41+1</f>
        <v>2021</v>
      </c>
      <c r="D42" s="633"/>
      <c r="E42" s="634">
        <v>2.8E-3</v>
      </c>
      <c r="F42" s="645">
        <f t="shared" si="5"/>
        <v>-0.10888650352029793</v>
      </c>
      <c r="G42" s="248">
        <f t="shared" si="3"/>
        <v>-3.0488220985683419E-4</v>
      </c>
      <c r="H42" s="248">
        <f t="shared" si="2"/>
        <v>-0.10919138573015476</v>
      </c>
      <c r="I42" s="41">
        <f t="shared" si="1"/>
        <v>33</v>
      </c>
      <c r="J42" s="640"/>
    </row>
    <row r="43" spans="1:10" x14ac:dyDescent="0.3">
      <c r="A43" s="41">
        <f t="shared" si="0"/>
        <v>34</v>
      </c>
      <c r="B43" s="158" t="s">
        <v>289</v>
      </c>
      <c r="C43" s="456">
        <f>C42</f>
        <v>2021</v>
      </c>
      <c r="D43" s="633"/>
      <c r="E43" s="634">
        <v>2.5000000000000001E-3</v>
      </c>
      <c r="F43" s="645">
        <f t="shared" si="5"/>
        <v>-0.10919138573015476</v>
      </c>
      <c r="G43" s="248">
        <f t="shared" si="3"/>
        <v>-2.729784643253869E-4</v>
      </c>
      <c r="H43" s="248">
        <f t="shared" si="2"/>
        <v>-0.10946436419448015</v>
      </c>
      <c r="I43" s="41">
        <f t="shared" si="1"/>
        <v>34</v>
      </c>
      <c r="J43" s="640"/>
    </row>
    <row r="44" spans="1:10" x14ac:dyDescent="0.3">
      <c r="A44" s="41">
        <f t="shared" si="0"/>
        <v>35</v>
      </c>
      <c r="B44" s="158" t="s">
        <v>290</v>
      </c>
      <c r="C44" s="456">
        <f t="shared" ref="C44:C52" si="7">C43</f>
        <v>2021</v>
      </c>
      <c r="D44" s="633"/>
      <c r="E44" s="634">
        <v>2.8E-3</v>
      </c>
      <c r="F44" s="645">
        <f t="shared" si="5"/>
        <v>-0.10946436419448015</v>
      </c>
      <c r="G44" s="248">
        <f t="shared" si="3"/>
        <v>-3.0650021974454442E-4</v>
      </c>
      <c r="H44" s="248">
        <f t="shared" si="2"/>
        <v>-0.10977086441422469</v>
      </c>
      <c r="I44" s="41">
        <f t="shared" si="1"/>
        <v>35</v>
      </c>
      <c r="J44" s="640"/>
    </row>
    <row r="45" spans="1:10" x14ac:dyDescent="0.3">
      <c r="A45" s="41">
        <f t="shared" si="0"/>
        <v>36</v>
      </c>
      <c r="B45" s="158" t="s">
        <v>291</v>
      </c>
      <c r="C45" s="456">
        <f t="shared" si="7"/>
        <v>2021</v>
      </c>
      <c r="D45" s="633"/>
      <c r="E45" s="634">
        <v>2.7000000000000001E-3</v>
      </c>
      <c r="F45" s="645">
        <f t="shared" si="5"/>
        <v>-0.10977086441422469</v>
      </c>
      <c r="G45" s="248">
        <f t="shared" si="3"/>
        <v>-2.9638133391840667E-4</v>
      </c>
      <c r="H45" s="248">
        <f t="shared" si="2"/>
        <v>-0.1100672457481431</v>
      </c>
      <c r="I45" s="41">
        <f t="shared" si="1"/>
        <v>36</v>
      </c>
      <c r="J45" s="640"/>
    </row>
    <row r="46" spans="1:10" x14ac:dyDescent="0.3">
      <c r="A46" s="41">
        <f t="shared" si="0"/>
        <v>37</v>
      </c>
      <c r="B46" s="158" t="s">
        <v>292</v>
      </c>
      <c r="C46" s="456">
        <f t="shared" si="7"/>
        <v>2021</v>
      </c>
      <c r="D46" s="633"/>
      <c r="E46" s="634">
        <v>2.8E-3</v>
      </c>
      <c r="F46" s="645">
        <f t="shared" si="5"/>
        <v>-0.1100672457481431</v>
      </c>
      <c r="G46" s="248">
        <f t="shared" si="3"/>
        <v>-3.0818828809480066E-4</v>
      </c>
      <c r="H46" s="248">
        <f t="shared" si="2"/>
        <v>-0.1103754340362379</v>
      </c>
      <c r="I46" s="41">
        <f t="shared" si="1"/>
        <v>37</v>
      </c>
      <c r="J46" s="640"/>
    </row>
    <row r="47" spans="1:10" x14ac:dyDescent="0.3">
      <c r="A47" s="41">
        <f t="shared" si="0"/>
        <v>38</v>
      </c>
      <c r="B47" s="158" t="s">
        <v>293</v>
      </c>
      <c r="C47" s="456">
        <f t="shared" si="7"/>
        <v>2021</v>
      </c>
      <c r="D47" s="633"/>
      <c r="E47" s="634">
        <v>2.7000000000000001E-3</v>
      </c>
      <c r="F47" s="645">
        <f t="shared" si="5"/>
        <v>-0.1103754340362379</v>
      </c>
      <c r="G47" s="248">
        <f t="shared" si="3"/>
        <v>-2.9801367189784234E-4</v>
      </c>
      <c r="H47" s="248">
        <f t="shared" si="2"/>
        <v>-0.11067344770813574</v>
      </c>
      <c r="I47" s="41">
        <f t="shared" si="1"/>
        <v>38</v>
      </c>
      <c r="J47" s="640"/>
    </row>
    <row r="48" spans="1:10" x14ac:dyDescent="0.3">
      <c r="A48" s="41">
        <f t="shared" si="0"/>
        <v>39</v>
      </c>
      <c r="B48" s="158" t="s">
        <v>294</v>
      </c>
      <c r="C48" s="456">
        <f t="shared" si="7"/>
        <v>2021</v>
      </c>
      <c r="D48" s="633"/>
      <c r="E48" s="634">
        <v>2.8E-3</v>
      </c>
      <c r="F48" s="645">
        <f t="shared" si="5"/>
        <v>-0.11067344770813574</v>
      </c>
      <c r="G48" s="248">
        <f t="shared" si="3"/>
        <v>-3.0988565358278005E-4</v>
      </c>
      <c r="H48" s="248">
        <f t="shared" si="2"/>
        <v>-0.11098333336171852</v>
      </c>
      <c r="I48" s="41">
        <f t="shared" si="1"/>
        <v>39</v>
      </c>
      <c r="J48" s="640"/>
    </row>
    <row r="49" spans="1:10" x14ac:dyDescent="0.3">
      <c r="A49" s="41">
        <f t="shared" si="0"/>
        <v>40</v>
      </c>
      <c r="B49" s="158" t="s">
        <v>295</v>
      </c>
      <c r="C49" s="456">
        <f t="shared" si="7"/>
        <v>2021</v>
      </c>
      <c r="D49" s="633"/>
      <c r="E49" s="634">
        <v>2.8E-3</v>
      </c>
      <c r="F49" s="645">
        <f t="shared" si="5"/>
        <v>-0.11098333336171852</v>
      </c>
      <c r="G49" s="248">
        <f t="shared" si="3"/>
        <v>-3.1075333341281183E-4</v>
      </c>
      <c r="H49" s="248">
        <f t="shared" si="2"/>
        <v>-0.11129408669513133</v>
      </c>
      <c r="I49" s="41">
        <f t="shared" si="1"/>
        <v>40</v>
      </c>
      <c r="J49" s="640"/>
    </row>
    <row r="50" spans="1:10" x14ac:dyDescent="0.3">
      <c r="A50" s="41">
        <f t="shared" si="0"/>
        <v>41</v>
      </c>
      <c r="B50" s="158" t="s">
        <v>296</v>
      </c>
      <c r="C50" s="456">
        <f t="shared" si="7"/>
        <v>2021</v>
      </c>
      <c r="D50" s="633"/>
      <c r="E50" s="634">
        <v>2.7000000000000001E-3</v>
      </c>
      <c r="F50" s="645">
        <f t="shared" si="5"/>
        <v>-0.11129408669513133</v>
      </c>
      <c r="G50" s="248">
        <f t="shared" si="3"/>
        <v>-3.0049403407685462E-4</v>
      </c>
      <c r="H50" s="248">
        <f t="shared" si="2"/>
        <v>-0.11159458072920818</v>
      </c>
      <c r="I50" s="41">
        <f t="shared" si="1"/>
        <v>41</v>
      </c>
      <c r="J50" s="640"/>
    </row>
    <row r="51" spans="1:10" x14ac:dyDescent="0.3">
      <c r="A51" s="41">
        <f t="shared" si="0"/>
        <v>42</v>
      </c>
      <c r="B51" s="158" t="s">
        <v>297</v>
      </c>
      <c r="C51" s="456">
        <f t="shared" si="7"/>
        <v>2021</v>
      </c>
      <c r="D51" s="633"/>
      <c r="E51" s="634">
        <v>2.8E-3</v>
      </c>
      <c r="F51" s="645">
        <f t="shared" si="5"/>
        <v>-0.11159458072920818</v>
      </c>
      <c r="G51" s="248">
        <f t="shared" si="3"/>
        <v>-3.1246482604178292E-4</v>
      </c>
      <c r="H51" s="248">
        <f t="shared" si="2"/>
        <v>-0.11190704555524997</v>
      </c>
      <c r="I51" s="41">
        <f t="shared" si="1"/>
        <v>42</v>
      </c>
      <c r="J51" s="640"/>
    </row>
    <row r="52" spans="1:10" x14ac:dyDescent="0.3">
      <c r="A52" s="41">
        <f t="shared" si="0"/>
        <v>43</v>
      </c>
      <c r="B52" s="158" t="s">
        <v>298</v>
      </c>
      <c r="C52" s="456">
        <f t="shared" si="7"/>
        <v>2021</v>
      </c>
      <c r="D52" s="633"/>
      <c r="E52" s="634">
        <v>2.7000000000000001E-3</v>
      </c>
      <c r="F52" s="645">
        <f t="shared" si="5"/>
        <v>-0.11190704555524997</v>
      </c>
      <c r="G52" s="248">
        <f t="shared" si="3"/>
        <v>-3.0214902299917492E-4</v>
      </c>
      <c r="H52" s="248">
        <f t="shared" si="2"/>
        <v>-0.11220919457824914</v>
      </c>
      <c r="I52" s="41">
        <f t="shared" si="1"/>
        <v>43</v>
      </c>
      <c r="J52" s="640"/>
    </row>
    <row r="53" spans="1:10" x14ac:dyDescent="0.3">
      <c r="A53" s="41">
        <f t="shared" si="0"/>
        <v>44</v>
      </c>
      <c r="B53" s="457" t="s">
        <v>299</v>
      </c>
      <c r="C53" s="458">
        <f>C52</f>
        <v>2021</v>
      </c>
      <c r="D53" s="642"/>
      <c r="E53" s="643">
        <v>2.8E-3</v>
      </c>
      <c r="F53" s="644">
        <f t="shared" si="5"/>
        <v>-0.11220919457824914</v>
      </c>
      <c r="G53" s="460">
        <f t="shared" si="3"/>
        <v>-3.1418574481909759E-4</v>
      </c>
      <c r="H53" s="460">
        <f t="shared" si="2"/>
        <v>-0.11252338032306825</v>
      </c>
      <c r="I53" s="41">
        <f t="shared" si="1"/>
        <v>44</v>
      </c>
      <c r="J53" s="640"/>
    </row>
    <row r="54" spans="1:10" x14ac:dyDescent="0.3">
      <c r="A54" s="41">
        <f t="shared" si="0"/>
        <v>45</v>
      </c>
      <c r="B54" s="158" t="s">
        <v>288</v>
      </c>
      <c r="C54" s="677">
        <v>2022</v>
      </c>
      <c r="D54" s="633"/>
      <c r="E54" s="634">
        <v>2.8E-3</v>
      </c>
      <c r="F54" s="645">
        <f t="shared" si="5"/>
        <v>-0.11252338032306825</v>
      </c>
      <c r="G54" s="248">
        <f t="shared" si="3"/>
        <v>-3.1506546490459107E-4</v>
      </c>
      <c r="H54" s="248">
        <f t="shared" si="2"/>
        <v>-0.11283844578797284</v>
      </c>
      <c r="I54" s="41">
        <f t="shared" si="1"/>
        <v>45</v>
      </c>
      <c r="J54" s="640"/>
    </row>
    <row r="55" spans="1:10" x14ac:dyDescent="0.3">
      <c r="A55" s="41">
        <f t="shared" si="0"/>
        <v>46</v>
      </c>
      <c r="B55" s="158" t="s">
        <v>289</v>
      </c>
      <c r="C55" s="677">
        <v>2022</v>
      </c>
      <c r="D55" s="633"/>
      <c r="E55" s="634">
        <v>2.5000000000000001E-3</v>
      </c>
      <c r="F55" s="645">
        <f t="shared" si="5"/>
        <v>-0.11283844578797284</v>
      </c>
      <c r="G55" s="248">
        <f t="shared" si="3"/>
        <v>-2.8209611446993209E-4</v>
      </c>
      <c r="H55" s="248">
        <f t="shared" si="2"/>
        <v>-0.11312054190244276</v>
      </c>
      <c r="I55" s="41">
        <f t="shared" si="1"/>
        <v>46</v>
      </c>
      <c r="J55" s="640"/>
    </row>
    <row r="56" spans="1:10" x14ac:dyDescent="0.3">
      <c r="A56" s="41">
        <f t="shared" si="0"/>
        <v>47</v>
      </c>
      <c r="B56" s="158" t="s">
        <v>290</v>
      </c>
      <c r="C56" s="677">
        <v>2022</v>
      </c>
      <c r="D56" s="633"/>
      <c r="E56" s="634">
        <v>2.8E-3</v>
      </c>
      <c r="F56" s="645">
        <f t="shared" si="5"/>
        <v>-0.11312054190244276</v>
      </c>
      <c r="G56" s="248">
        <f t="shared" si="3"/>
        <v>-3.1673751732683972E-4</v>
      </c>
      <c r="H56" s="248">
        <f t="shared" si="2"/>
        <v>-0.11343727941976961</v>
      </c>
      <c r="I56" s="41">
        <f t="shared" si="1"/>
        <v>47</v>
      </c>
      <c r="J56" s="640"/>
    </row>
    <row r="57" spans="1:10" x14ac:dyDescent="0.3">
      <c r="A57" s="41">
        <f t="shared" si="0"/>
        <v>48</v>
      </c>
      <c r="B57" s="158" t="s">
        <v>291</v>
      </c>
      <c r="C57" s="677">
        <v>2022</v>
      </c>
      <c r="D57" s="633"/>
      <c r="E57" s="634">
        <v>2.7000000000000001E-3</v>
      </c>
      <c r="F57" s="645">
        <f t="shared" si="5"/>
        <v>-0.11343727941976961</v>
      </c>
      <c r="G57" s="248">
        <f t="shared" si="3"/>
        <v>-3.0628065443337796E-4</v>
      </c>
      <c r="H57" s="248">
        <f t="shared" si="2"/>
        <v>-0.11374356007420298</v>
      </c>
      <c r="I57" s="41">
        <f t="shared" si="1"/>
        <v>48</v>
      </c>
      <c r="J57" s="640"/>
    </row>
    <row r="58" spans="1:10" x14ac:dyDescent="0.3">
      <c r="A58" s="41">
        <f t="shared" si="0"/>
        <v>49</v>
      </c>
      <c r="B58" s="158" t="s">
        <v>292</v>
      </c>
      <c r="C58" s="677">
        <v>2022</v>
      </c>
      <c r="D58" s="633"/>
      <c r="E58" s="634">
        <v>2.8E-3</v>
      </c>
      <c r="F58" s="645">
        <f t="shared" si="5"/>
        <v>-0.11374356007420298</v>
      </c>
      <c r="G58" s="248">
        <f t="shared" si="3"/>
        <v>-3.1848196820776837E-4</v>
      </c>
      <c r="H58" s="248">
        <f t="shared" si="2"/>
        <v>-0.11406204204241076</v>
      </c>
      <c r="I58" s="41">
        <f t="shared" si="1"/>
        <v>49</v>
      </c>
      <c r="J58" s="640"/>
    </row>
    <row r="59" spans="1:10" x14ac:dyDescent="0.3">
      <c r="A59" s="41">
        <f t="shared" si="0"/>
        <v>50</v>
      </c>
      <c r="B59" s="158" t="s">
        <v>293</v>
      </c>
      <c r="C59" s="677">
        <v>2022</v>
      </c>
      <c r="D59" s="633"/>
      <c r="E59" s="634">
        <v>2.7000000000000001E-3</v>
      </c>
      <c r="F59" s="645">
        <f t="shared" si="5"/>
        <v>-0.11406204204241076</v>
      </c>
      <c r="G59" s="248">
        <f t="shared" si="3"/>
        <v>-3.0796751351450905E-4</v>
      </c>
      <c r="H59" s="248">
        <f t="shared" si="2"/>
        <v>-0.11437000955592527</v>
      </c>
      <c r="I59" s="41">
        <f t="shared" si="1"/>
        <v>50</v>
      </c>
      <c r="J59" s="640"/>
    </row>
    <row r="60" spans="1:10" x14ac:dyDescent="0.3">
      <c r="A60" s="41">
        <f t="shared" si="0"/>
        <v>51</v>
      </c>
      <c r="B60" s="158" t="s">
        <v>294</v>
      </c>
      <c r="C60" s="677">
        <v>2022</v>
      </c>
      <c r="D60" s="633"/>
      <c r="E60" s="634">
        <v>3.0999999999999999E-3</v>
      </c>
      <c r="F60" s="645">
        <f t="shared" si="5"/>
        <v>-0.11437000955592527</v>
      </c>
      <c r="G60" s="248">
        <f t="shared" si="3"/>
        <v>-3.5454702962336835E-4</v>
      </c>
      <c r="H60" s="248">
        <f t="shared" si="2"/>
        <v>-0.11472455658554864</v>
      </c>
      <c r="I60" s="41">
        <f t="shared" si="1"/>
        <v>51</v>
      </c>
      <c r="J60" s="640"/>
    </row>
    <row r="61" spans="1:10" x14ac:dyDescent="0.3">
      <c r="A61" s="41">
        <f t="shared" si="0"/>
        <v>52</v>
      </c>
      <c r="B61" s="158" t="s">
        <v>295</v>
      </c>
      <c r="C61" s="677">
        <v>2022</v>
      </c>
      <c r="D61" s="633"/>
      <c r="E61" s="634">
        <v>3.0999999999999999E-3</v>
      </c>
      <c r="F61" s="645">
        <f t="shared" si="5"/>
        <v>-0.11472455658554864</v>
      </c>
      <c r="G61" s="248">
        <f t="shared" si="3"/>
        <v>-3.5564612541520078E-4</v>
      </c>
      <c r="H61" s="248">
        <f t="shared" si="2"/>
        <v>-0.11508020271096385</v>
      </c>
      <c r="I61" s="41">
        <f t="shared" si="1"/>
        <v>52</v>
      </c>
      <c r="J61" s="640"/>
    </row>
    <row r="62" spans="1:10" x14ac:dyDescent="0.3">
      <c r="A62" s="41">
        <f t="shared" si="0"/>
        <v>53</v>
      </c>
      <c r="B62" s="158" t="s">
        <v>296</v>
      </c>
      <c r="C62" s="677">
        <v>2022</v>
      </c>
      <c r="D62" s="633"/>
      <c r="E62" s="634">
        <v>3.0000000000000001E-3</v>
      </c>
      <c r="F62" s="645">
        <f t="shared" si="5"/>
        <v>-0.11508020271096385</v>
      </c>
      <c r="G62" s="248">
        <f t="shared" si="3"/>
        <v>-3.4524060813289156E-4</v>
      </c>
      <c r="H62" s="248">
        <f t="shared" si="2"/>
        <v>-0.11542544331909674</v>
      </c>
      <c r="I62" s="41">
        <f t="shared" si="1"/>
        <v>53</v>
      </c>
      <c r="J62" s="640"/>
    </row>
    <row r="63" spans="1:10" x14ac:dyDescent="0.3">
      <c r="A63" s="41">
        <f t="shared" si="0"/>
        <v>54</v>
      </c>
      <c r="B63" s="158" t="s">
        <v>297</v>
      </c>
      <c r="C63" s="677">
        <v>2022</v>
      </c>
      <c r="D63" s="633"/>
      <c r="E63" s="634">
        <v>4.1999999999999997E-3</v>
      </c>
      <c r="F63" s="645">
        <f t="shared" si="5"/>
        <v>-0.11542544331909674</v>
      </c>
      <c r="G63" s="248">
        <f t="shared" si="3"/>
        <v>-4.8478686194020629E-4</v>
      </c>
      <c r="H63" s="248">
        <f t="shared" si="2"/>
        <v>-0.11591023018103694</v>
      </c>
      <c r="I63" s="41">
        <f t="shared" si="1"/>
        <v>54</v>
      </c>
      <c r="J63" s="640"/>
    </row>
    <row r="64" spans="1:10" x14ac:dyDescent="0.3">
      <c r="A64" s="41">
        <f t="shared" si="0"/>
        <v>55</v>
      </c>
      <c r="B64" s="158" t="s">
        <v>298</v>
      </c>
      <c r="C64" s="677">
        <v>2022</v>
      </c>
      <c r="D64" s="633"/>
      <c r="E64" s="634">
        <v>4.0000000000000001E-3</v>
      </c>
      <c r="F64" s="645">
        <f t="shared" si="5"/>
        <v>-0.11591023018103694</v>
      </c>
      <c r="G64" s="248">
        <f t="shared" si="3"/>
        <v>-4.6364092072414777E-4</v>
      </c>
      <c r="H64" s="248">
        <f t="shared" si="2"/>
        <v>-0.11637387110176109</v>
      </c>
      <c r="I64" s="41">
        <f t="shared" si="1"/>
        <v>55</v>
      </c>
      <c r="J64" s="640"/>
    </row>
    <row r="65" spans="1:10" x14ac:dyDescent="0.3">
      <c r="A65" s="41">
        <f t="shared" si="0"/>
        <v>56</v>
      </c>
      <c r="B65" s="457" t="s">
        <v>299</v>
      </c>
      <c r="C65" s="458">
        <v>2022</v>
      </c>
      <c r="D65" s="642"/>
      <c r="E65" s="643">
        <v>4.1999999999999997E-3</v>
      </c>
      <c r="F65" s="644">
        <f t="shared" si="5"/>
        <v>-0.11637387110176109</v>
      </c>
      <c r="G65" s="460">
        <f t="shared" si="3"/>
        <v>-4.8877025862739654E-4</v>
      </c>
      <c r="H65" s="460">
        <f t="shared" si="2"/>
        <v>-0.11686264136038849</v>
      </c>
      <c r="I65" s="41">
        <f t="shared" si="1"/>
        <v>56</v>
      </c>
      <c r="J65" s="640"/>
    </row>
    <row r="66" spans="1:10" ht="16.2" thickBot="1" x14ac:dyDescent="0.35">
      <c r="A66" s="41">
        <f t="shared" si="0"/>
        <v>57</v>
      </c>
      <c r="D66" s="678">
        <f>SUM(D18:D29)</f>
        <v>-0.10169291943930149</v>
      </c>
      <c r="E66" s="682"/>
      <c r="F66" s="646"/>
      <c r="G66" s="679">
        <f>SUM(G18:G53)</f>
        <v>-1.0830460883766733E-2</v>
      </c>
      <c r="H66" s="647"/>
      <c r="I66" s="41">
        <f t="shared" si="1"/>
        <v>57</v>
      </c>
    </row>
    <row r="67" spans="1:10" ht="16.2" thickTop="1" x14ac:dyDescent="0.3">
      <c r="D67" s="648"/>
      <c r="E67" s="648"/>
      <c r="F67" s="648"/>
      <c r="G67" s="461"/>
      <c r="H67" s="461"/>
    </row>
    <row r="68" spans="1:10" x14ac:dyDescent="0.3">
      <c r="B68" s="649"/>
    </row>
    <row r="69" spans="1:10" ht="18" x14ac:dyDescent="0.3">
      <c r="A69" s="462">
        <v>1</v>
      </c>
      <c r="B69" s="627" t="s">
        <v>300</v>
      </c>
      <c r="C69" s="650"/>
    </row>
    <row r="70" spans="1:10" ht="18" x14ac:dyDescent="0.3">
      <c r="A70" s="462">
        <v>2</v>
      </c>
      <c r="B70" s="627" t="s">
        <v>401</v>
      </c>
    </row>
    <row r="71" spans="1:10" ht="18" x14ac:dyDescent="0.3">
      <c r="A71" s="462">
        <v>3</v>
      </c>
      <c r="B71" s="627" t="s">
        <v>402</v>
      </c>
    </row>
    <row r="72" spans="1:10" x14ac:dyDescent="0.3">
      <c r="B72" s="627" t="s">
        <v>403</v>
      </c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62" orientation="portrait" r:id="rId1"/>
  <headerFooter scaleWithDoc="0" alignWithMargins="0">
    <oddFooter>&amp;CPage 15&amp;R&amp;F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6"/>
  <sheetViews>
    <sheetView zoomScale="80" zoomScaleNormal="80" workbookViewId="0"/>
  </sheetViews>
  <sheetFormatPr defaultColWidth="8.88671875" defaultRowHeight="15.6" x14ac:dyDescent="0.3"/>
  <cols>
    <col min="1" max="1" width="5.109375" style="41" customWidth="1"/>
    <col min="2" max="2" width="73.109375" style="20" bestFit="1" customWidth="1"/>
    <col min="3" max="3" width="15.88671875" style="20" customWidth="1"/>
    <col min="4" max="4" width="1.5546875" style="20" customWidth="1"/>
    <col min="5" max="5" width="52.5546875" style="20" customWidth="1"/>
    <col min="6" max="6" width="5.109375" style="41" customWidth="1"/>
    <col min="7" max="16384" width="8.88671875" style="20"/>
  </cols>
  <sheetData>
    <row r="1" spans="1:8" x14ac:dyDescent="0.3">
      <c r="A1" s="223"/>
      <c r="B1" s="543"/>
      <c r="C1" s="543"/>
      <c r="D1" s="543"/>
      <c r="E1" s="542"/>
      <c r="F1" s="223"/>
    </row>
    <row r="2" spans="1:8" x14ac:dyDescent="0.3">
      <c r="A2" s="223"/>
      <c r="B2" s="805" t="s">
        <v>24</v>
      </c>
      <c r="C2" s="805"/>
      <c r="D2" s="805"/>
      <c r="E2" s="805"/>
      <c r="F2" s="543"/>
    </row>
    <row r="3" spans="1:8" x14ac:dyDescent="0.3">
      <c r="B3" s="805" t="s">
        <v>216</v>
      </c>
      <c r="C3" s="805"/>
      <c r="D3" s="805"/>
      <c r="E3" s="805"/>
      <c r="F3" s="548"/>
    </row>
    <row r="4" spans="1:8" x14ac:dyDescent="0.3">
      <c r="B4" s="805" t="s">
        <v>217</v>
      </c>
      <c r="C4" s="805"/>
      <c r="D4" s="805"/>
      <c r="E4" s="805"/>
      <c r="F4" s="548"/>
    </row>
    <row r="5" spans="1:8" x14ac:dyDescent="0.3">
      <c r="A5" s="223"/>
      <c r="B5" s="807" t="s">
        <v>513</v>
      </c>
      <c r="C5" s="807"/>
      <c r="D5" s="807"/>
      <c r="E5" s="807"/>
      <c r="F5" s="223"/>
    </row>
    <row r="6" spans="1:8" x14ac:dyDescent="0.3">
      <c r="B6" s="806" t="s">
        <v>1</v>
      </c>
      <c r="C6" s="805"/>
      <c r="D6" s="805"/>
      <c r="E6" s="805"/>
      <c r="F6" s="548"/>
    </row>
    <row r="7" spans="1:8" ht="16.2" thickBot="1" x14ac:dyDescent="0.35">
      <c r="A7" s="223"/>
      <c r="B7" s="543"/>
      <c r="C7" s="225"/>
      <c r="D7" s="226"/>
      <c r="E7" s="225"/>
      <c r="F7" s="223"/>
    </row>
    <row r="8" spans="1:8" x14ac:dyDescent="0.3">
      <c r="A8" s="227" t="s">
        <v>2</v>
      </c>
      <c r="B8" s="228"/>
      <c r="C8" s="229"/>
      <c r="D8" s="543"/>
      <c r="E8" s="230"/>
      <c r="F8" s="231" t="s">
        <v>2</v>
      </c>
    </row>
    <row r="9" spans="1:8" x14ac:dyDescent="0.3">
      <c r="A9" s="227" t="s">
        <v>6</v>
      </c>
      <c r="B9" s="550" t="s">
        <v>218</v>
      </c>
      <c r="C9" s="551" t="s">
        <v>4</v>
      </c>
      <c r="D9" s="552"/>
      <c r="E9" s="552" t="s">
        <v>5</v>
      </c>
      <c r="F9" s="231" t="s">
        <v>6</v>
      </c>
    </row>
    <row r="10" spans="1:8" x14ac:dyDescent="0.3">
      <c r="A10" s="227"/>
      <c r="B10" s="234"/>
      <c r="C10" s="235"/>
      <c r="D10" s="236"/>
      <c r="E10" s="237"/>
      <c r="F10" s="231"/>
    </row>
    <row r="11" spans="1:8" x14ac:dyDescent="0.3">
      <c r="A11" s="227">
        <v>1</v>
      </c>
      <c r="B11" s="238" t="s">
        <v>219</v>
      </c>
      <c r="C11" s="239">
        <v>0</v>
      </c>
      <c r="D11" s="240"/>
      <c r="E11" s="241" t="s">
        <v>404</v>
      </c>
      <c r="F11" s="231">
        <f>A11</f>
        <v>1</v>
      </c>
      <c r="H11" s="22"/>
    </row>
    <row r="12" spans="1:8" x14ac:dyDescent="0.3">
      <c r="A12" s="227">
        <f>A11+1</f>
        <v>2</v>
      </c>
      <c r="B12" s="242"/>
      <c r="C12" s="243"/>
      <c r="D12" s="244"/>
      <c r="E12" s="543"/>
      <c r="F12" s="231">
        <f>F11+1</f>
        <v>2</v>
      </c>
    </row>
    <row r="13" spans="1:8" x14ac:dyDescent="0.3">
      <c r="A13" s="227">
        <f t="shared" ref="A13:A28" si="0">A12+1</f>
        <v>3</v>
      </c>
      <c r="B13" s="238" t="s">
        <v>220</v>
      </c>
      <c r="C13" s="310">
        <f>'Pg5 Rev B.Sec.2-Non-Direct Exp'!E35</f>
        <v>859.89077595309413</v>
      </c>
      <c r="D13" s="27"/>
      <c r="E13" s="241" t="s">
        <v>405</v>
      </c>
      <c r="F13" s="231">
        <f t="shared" ref="F13:F28" si="1">F12+1</f>
        <v>3</v>
      </c>
      <c r="H13" s="30"/>
    </row>
    <row r="14" spans="1:8" x14ac:dyDescent="0.3">
      <c r="A14" s="227">
        <f t="shared" si="0"/>
        <v>4</v>
      </c>
      <c r="B14" s="242"/>
      <c r="C14" s="243"/>
      <c r="D14" s="244"/>
      <c r="E14" s="245"/>
      <c r="F14" s="231">
        <f t="shared" si="1"/>
        <v>4</v>
      </c>
    </row>
    <row r="15" spans="1:8" x14ac:dyDescent="0.3">
      <c r="A15" s="227">
        <f t="shared" si="0"/>
        <v>5</v>
      </c>
      <c r="B15" s="246" t="s">
        <v>221</v>
      </c>
      <c r="C15" s="553">
        <f>'Pg7 Rev C.Sec.3-Other Costs'!G42</f>
        <v>-76.86620554291548</v>
      </c>
      <c r="D15" s="248"/>
      <c r="E15" s="241" t="s">
        <v>406</v>
      </c>
      <c r="F15" s="231">
        <f t="shared" si="1"/>
        <v>5</v>
      </c>
      <c r="H15" s="30"/>
    </row>
    <row r="16" spans="1:8" x14ac:dyDescent="0.3">
      <c r="A16" s="227">
        <f t="shared" si="0"/>
        <v>6</v>
      </c>
      <c r="B16" s="249"/>
      <c r="C16" s="117"/>
      <c r="D16" s="248"/>
      <c r="E16" s="241"/>
      <c r="F16" s="231">
        <f t="shared" si="1"/>
        <v>6</v>
      </c>
      <c r="H16" s="30"/>
    </row>
    <row r="17" spans="1:10" x14ac:dyDescent="0.3">
      <c r="A17" s="227">
        <f t="shared" si="0"/>
        <v>7</v>
      </c>
      <c r="B17" s="250" t="s">
        <v>390</v>
      </c>
      <c r="C17" s="308">
        <f>C11+C13+C15</f>
        <v>783.02457041017863</v>
      </c>
      <c r="D17" s="27"/>
      <c r="E17" s="251" t="s">
        <v>407</v>
      </c>
      <c r="F17" s="231">
        <f t="shared" si="1"/>
        <v>7</v>
      </c>
      <c r="H17" s="30"/>
    </row>
    <row r="18" spans="1:10" x14ac:dyDescent="0.3">
      <c r="A18" s="227">
        <f t="shared" si="0"/>
        <v>8</v>
      </c>
      <c r="B18" s="252"/>
      <c r="C18" s="243"/>
      <c r="D18" s="244"/>
      <c r="E18" s="253"/>
      <c r="F18" s="231">
        <f t="shared" si="1"/>
        <v>8</v>
      </c>
    </row>
    <row r="19" spans="1:10" x14ac:dyDescent="0.3">
      <c r="A19" s="227">
        <f t="shared" si="0"/>
        <v>9</v>
      </c>
      <c r="B19" s="238" t="s">
        <v>222</v>
      </c>
      <c r="C19" s="310">
        <v>-129.22160845861544</v>
      </c>
      <c r="D19" s="27"/>
      <c r="E19" s="241" t="s">
        <v>408</v>
      </c>
      <c r="F19" s="231">
        <f t="shared" si="1"/>
        <v>9</v>
      </c>
    </row>
    <row r="20" spans="1:10" x14ac:dyDescent="0.3">
      <c r="A20" s="227">
        <f t="shared" si="0"/>
        <v>10</v>
      </c>
      <c r="B20" s="238"/>
      <c r="C20" s="243"/>
      <c r="D20" s="244"/>
      <c r="E20" s="254"/>
      <c r="F20" s="231">
        <f t="shared" si="1"/>
        <v>10</v>
      </c>
    </row>
    <row r="21" spans="1:10" x14ac:dyDescent="0.3">
      <c r="A21" s="227">
        <f t="shared" si="0"/>
        <v>11</v>
      </c>
      <c r="B21" s="238" t="s">
        <v>223</v>
      </c>
      <c r="C21" s="553">
        <v>-2.6155405682218507</v>
      </c>
      <c r="D21" s="248"/>
      <c r="E21" s="251" t="s">
        <v>409</v>
      </c>
      <c r="F21" s="231">
        <f t="shared" si="1"/>
        <v>11</v>
      </c>
    </row>
    <row r="22" spans="1:10" x14ac:dyDescent="0.3">
      <c r="A22" s="227">
        <f t="shared" si="0"/>
        <v>12</v>
      </c>
      <c r="B22" s="249"/>
      <c r="C22" s="255"/>
      <c r="D22" s="256"/>
      <c r="E22" s="251"/>
      <c r="F22" s="231">
        <f t="shared" si="1"/>
        <v>12</v>
      </c>
    </row>
    <row r="23" spans="1:10" x14ac:dyDescent="0.3">
      <c r="A23" s="227">
        <f t="shared" si="0"/>
        <v>13</v>
      </c>
      <c r="B23" s="249" t="s">
        <v>224</v>
      </c>
      <c r="C23" s="76">
        <f>C17+C19+C21</f>
        <v>651.18742138334142</v>
      </c>
      <c r="D23" s="27"/>
      <c r="E23" s="251" t="s">
        <v>410</v>
      </c>
      <c r="F23" s="231">
        <f t="shared" si="1"/>
        <v>13</v>
      </c>
      <c r="H23" s="30"/>
    </row>
    <row r="24" spans="1:10" x14ac:dyDescent="0.3">
      <c r="A24" s="227">
        <f t="shared" si="0"/>
        <v>14</v>
      </c>
      <c r="B24" s="257"/>
      <c r="C24" s="77"/>
      <c r="D24" s="78"/>
      <c r="E24" s="251"/>
      <c r="F24" s="231">
        <f t="shared" si="1"/>
        <v>14</v>
      </c>
      <c r="H24" s="30"/>
    </row>
    <row r="25" spans="1:10" x14ac:dyDescent="0.3">
      <c r="A25" s="227">
        <f t="shared" si="0"/>
        <v>15</v>
      </c>
      <c r="B25" s="246" t="s">
        <v>225</v>
      </c>
      <c r="C25" s="554">
        <v>-26.403206586286924</v>
      </c>
      <c r="D25" s="78"/>
      <c r="E25" s="251" t="s">
        <v>23</v>
      </c>
      <c r="F25" s="231">
        <f t="shared" si="1"/>
        <v>15</v>
      </c>
      <c r="H25" s="30"/>
    </row>
    <row r="26" spans="1:10" x14ac:dyDescent="0.3">
      <c r="A26" s="227">
        <f t="shared" si="0"/>
        <v>16</v>
      </c>
      <c r="B26" s="225"/>
      <c r="C26" s="259"/>
      <c r="D26" s="260"/>
      <c r="E26" s="251"/>
      <c r="F26" s="231">
        <f t="shared" si="1"/>
        <v>16</v>
      </c>
    </row>
    <row r="27" spans="1:10" ht="16.2" thickBot="1" x14ac:dyDescent="0.35">
      <c r="A27" s="227">
        <f t="shared" si="0"/>
        <v>17</v>
      </c>
      <c r="B27" s="250" t="s">
        <v>226</v>
      </c>
      <c r="C27" s="261">
        <f>C23+C25</f>
        <v>624.78421479705446</v>
      </c>
      <c r="D27" s="27"/>
      <c r="E27" s="251" t="s">
        <v>411</v>
      </c>
      <c r="F27" s="231">
        <f t="shared" si="1"/>
        <v>17</v>
      </c>
      <c r="I27" s="22"/>
      <c r="J27" s="262"/>
    </row>
    <row r="28" spans="1:10" ht="16.8" thickTop="1" thickBot="1" x14ac:dyDescent="0.35">
      <c r="A28" s="227">
        <f t="shared" si="0"/>
        <v>18</v>
      </c>
      <c r="B28" s="263"/>
      <c r="C28" s="264"/>
      <c r="D28" s="226"/>
      <c r="E28" s="226"/>
      <c r="F28" s="231">
        <f t="shared" si="1"/>
        <v>18</v>
      </c>
    </row>
    <row r="30" spans="1:10" ht="16.2" thickBot="1" x14ac:dyDescent="0.35">
      <c r="A30" s="223"/>
      <c r="B30" s="265"/>
      <c r="C30" s="266"/>
      <c r="D30" s="266"/>
      <c r="E30" s="266"/>
      <c r="F30" s="223"/>
    </row>
    <row r="31" spans="1:10" x14ac:dyDescent="0.3">
      <c r="A31" s="227" t="s">
        <v>2</v>
      </c>
      <c r="B31" s="267"/>
      <c r="C31" s="229"/>
      <c r="D31" s="543"/>
      <c r="E31" s="543"/>
      <c r="F31" s="231" t="s">
        <v>2</v>
      </c>
    </row>
    <row r="32" spans="1:10" x14ac:dyDescent="0.3">
      <c r="A32" s="227" t="s">
        <v>6</v>
      </c>
      <c r="B32" s="550" t="s">
        <v>227</v>
      </c>
      <c r="C32" s="551" t="str">
        <f>C9</f>
        <v>Amounts</v>
      </c>
      <c r="D32" s="552"/>
      <c r="E32" s="552" t="str">
        <f>E9</f>
        <v>Reference</v>
      </c>
      <c r="F32" s="231" t="s">
        <v>6</v>
      </c>
    </row>
    <row r="33" spans="1:6" x14ac:dyDescent="0.3">
      <c r="A33" s="227">
        <f>A28+1</f>
        <v>19</v>
      </c>
      <c r="B33" s="268"/>
      <c r="C33" s="235"/>
      <c r="D33" s="236"/>
      <c r="E33" s="237"/>
      <c r="F33" s="231">
        <f>F28+1</f>
        <v>19</v>
      </c>
    </row>
    <row r="34" spans="1:6" x14ac:dyDescent="0.3">
      <c r="A34" s="227">
        <f>A33+1</f>
        <v>20</v>
      </c>
      <c r="B34" s="238" t="str">
        <f>B11</f>
        <v>Section 1 - Direct Maintenance Expense Cost Component</v>
      </c>
      <c r="C34" s="269">
        <f>C11/12</f>
        <v>0</v>
      </c>
      <c r="D34" s="270"/>
      <c r="E34" s="241" t="str">
        <f>"Line "&amp;A11&amp;" / "&amp;C50&amp;" Months"</f>
        <v>Line 1 / 12 Months</v>
      </c>
      <c r="F34" s="231">
        <f>F33+1</f>
        <v>20</v>
      </c>
    </row>
    <row r="35" spans="1:6" x14ac:dyDescent="0.3">
      <c r="A35" s="227">
        <f t="shared" ref="A35:A53" si="2">A34+1</f>
        <v>21</v>
      </c>
      <c r="B35" s="242"/>
      <c r="C35" s="271"/>
      <c r="D35" s="272"/>
      <c r="E35" s="273"/>
      <c r="F35" s="231">
        <f t="shared" ref="F35:F53" si="3">F34+1</f>
        <v>21</v>
      </c>
    </row>
    <row r="36" spans="1:6" x14ac:dyDescent="0.3">
      <c r="A36" s="227">
        <f t="shared" si="2"/>
        <v>22</v>
      </c>
      <c r="B36" s="238" t="str">
        <f>B13</f>
        <v>Section 2 - Non-Direct Expense Cost Component</v>
      </c>
      <c r="C36" s="274">
        <f>C13/12</f>
        <v>71.657564662757849</v>
      </c>
      <c r="D36" s="27" t="s">
        <v>16</v>
      </c>
      <c r="E36" s="241" t="str">
        <f>"Line "&amp;A13&amp;" / "&amp;C50&amp;" Months"</f>
        <v>Line 3 / 12 Months</v>
      </c>
      <c r="F36" s="231">
        <f t="shared" si="3"/>
        <v>22</v>
      </c>
    </row>
    <row r="37" spans="1:6" x14ac:dyDescent="0.3">
      <c r="A37" s="227">
        <f t="shared" si="2"/>
        <v>23</v>
      </c>
      <c r="B37" s="242"/>
      <c r="C37" s="275"/>
      <c r="D37" s="276"/>
      <c r="E37" s="277"/>
      <c r="F37" s="231">
        <f t="shared" si="3"/>
        <v>23</v>
      </c>
    </row>
    <row r="38" spans="1:6" x14ac:dyDescent="0.3">
      <c r="A38" s="227">
        <f t="shared" si="2"/>
        <v>24</v>
      </c>
      <c r="B38" s="238" t="str">
        <f>B15</f>
        <v>Section 3 - Cost Component Containing Other Specific Expenses</v>
      </c>
      <c r="C38" s="792">
        <f>C15/12</f>
        <v>-6.4055171285762897</v>
      </c>
      <c r="D38" s="27" t="s">
        <v>16</v>
      </c>
      <c r="E38" s="241" t="str">
        <f>"Line "&amp;A15&amp;" / "&amp;C50&amp;" Months"</f>
        <v>Line 5 / 12 Months</v>
      </c>
      <c r="F38" s="231">
        <f t="shared" si="3"/>
        <v>24</v>
      </c>
    </row>
    <row r="39" spans="1:6" x14ac:dyDescent="0.3">
      <c r="A39" s="227">
        <f t="shared" si="2"/>
        <v>25</v>
      </c>
      <c r="B39" s="252"/>
      <c r="C39" s="280"/>
      <c r="D39" s="276"/>
      <c r="E39" s="241"/>
      <c r="F39" s="231">
        <f t="shared" si="3"/>
        <v>25</v>
      </c>
    </row>
    <row r="40" spans="1:6" x14ac:dyDescent="0.3">
      <c r="A40" s="227">
        <f t="shared" si="2"/>
        <v>26</v>
      </c>
      <c r="B40" s="250" t="s">
        <v>391</v>
      </c>
      <c r="C40" s="281">
        <f>C34+C36+C38</f>
        <v>65.252047534181557</v>
      </c>
      <c r="D40" s="27" t="s">
        <v>16</v>
      </c>
      <c r="E40" s="251" t="str">
        <f>"Sum Lines "&amp;A34&amp;", "&amp;A36&amp;", "&amp;A38</f>
        <v>Sum Lines 20, 22, 24</v>
      </c>
      <c r="F40" s="231">
        <f t="shared" si="3"/>
        <v>26</v>
      </c>
    </row>
    <row r="41" spans="1:6" x14ac:dyDescent="0.3">
      <c r="A41" s="227">
        <f t="shared" si="2"/>
        <v>27</v>
      </c>
      <c r="B41" s="268"/>
      <c r="C41" s="275"/>
      <c r="D41" s="276"/>
      <c r="E41" s="245"/>
      <c r="F41" s="231">
        <f t="shared" si="3"/>
        <v>27</v>
      </c>
    </row>
    <row r="42" spans="1:6" x14ac:dyDescent="0.3">
      <c r="A42" s="227">
        <f t="shared" si="2"/>
        <v>28</v>
      </c>
      <c r="B42" s="238" t="str">
        <f>LEFT(B19,45)</f>
        <v>Section 4 - True-Up Adjustment Cost Component</v>
      </c>
      <c r="C42" s="274">
        <f>C19/12</f>
        <v>-10.768467371551287</v>
      </c>
      <c r="D42" s="27" t="s">
        <v>16</v>
      </c>
      <c r="E42" s="241" t="str">
        <f>"Line "&amp;A19&amp;" / "&amp;C50&amp;" Months"</f>
        <v>Line 9 / 12 Months</v>
      </c>
      <c r="F42" s="231">
        <f t="shared" si="3"/>
        <v>28</v>
      </c>
    </row>
    <row r="43" spans="1:6" x14ac:dyDescent="0.3">
      <c r="A43" s="227">
        <f t="shared" si="2"/>
        <v>29</v>
      </c>
      <c r="B43" s="238"/>
      <c r="C43" s="275"/>
      <c r="D43" s="276"/>
      <c r="E43" s="282"/>
      <c r="F43" s="231">
        <f t="shared" si="3"/>
        <v>29</v>
      </c>
    </row>
    <row r="44" spans="1:6" x14ac:dyDescent="0.3">
      <c r="A44" s="227">
        <f t="shared" si="2"/>
        <v>30</v>
      </c>
      <c r="B44" s="238" t="str">
        <f>B21</f>
        <v>Section 5 - Interest True-Up Adjustment Cost Component</v>
      </c>
      <c r="C44" s="283">
        <f>C21/12</f>
        <v>-0.21796171401848755</v>
      </c>
      <c r="D44" s="279"/>
      <c r="E44" s="251" t="str">
        <f>"Line "&amp;A21&amp;" / "&amp;C50&amp;" Months"</f>
        <v>Line 11 / 12 Months</v>
      </c>
      <c r="F44" s="231">
        <f t="shared" si="3"/>
        <v>30</v>
      </c>
    </row>
    <row r="45" spans="1:6" x14ac:dyDescent="0.3">
      <c r="A45" s="227">
        <f t="shared" si="2"/>
        <v>31</v>
      </c>
      <c r="B45" s="252"/>
      <c r="C45" s="284"/>
      <c r="D45" s="31"/>
      <c r="E45" s="285"/>
      <c r="F45" s="231">
        <f t="shared" si="3"/>
        <v>31</v>
      </c>
    </row>
    <row r="46" spans="1:6" x14ac:dyDescent="0.3">
      <c r="A46" s="227">
        <f t="shared" si="2"/>
        <v>32</v>
      </c>
      <c r="B46" s="246" t="str">
        <f>B25</f>
        <v>Other Adjustments</v>
      </c>
      <c r="C46" s="555">
        <f>C25/12</f>
        <v>-2.2002672155239105</v>
      </c>
      <c r="D46" s="279"/>
      <c r="E46" s="251" t="str">
        <f>"Line "&amp;A25&amp;" / "&amp;C50&amp;" Months"</f>
        <v>Line 15 / 12 Months</v>
      </c>
      <c r="F46" s="231">
        <f t="shared" si="3"/>
        <v>32</v>
      </c>
    </row>
    <row r="47" spans="1:6" x14ac:dyDescent="0.3">
      <c r="A47" s="227">
        <f t="shared" si="2"/>
        <v>33</v>
      </c>
      <c r="B47" s="249"/>
      <c r="C47" s="284"/>
      <c r="D47" s="31"/>
      <c r="E47" s="285"/>
      <c r="F47" s="231">
        <f t="shared" si="3"/>
        <v>33</v>
      </c>
    </row>
    <row r="48" spans="1:6" ht="16.2" thickBot="1" x14ac:dyDescent="0.35">
      <c r="A48" s="227">
        <f t="shared" si="2"/>
        <v>34</v>
      </c>
      <c r="B48" s="249" t="s">
        <v>228</v>
      </c>
      <c r="C48" s="286">
        <f>C40+C42+C44+C46</f>
        <v>52.065351233087874</v>
      </c>
      <c r="D48" s="27" t="s">
        <v>16</v>
      </c>
      <c r="E48" s="251" t="str">
        <f>"Sum Lines "&amp;A40&amp;", "&amp;A42&amp;", "&amp;A44&amp;", "&amp;A46</f>
        <v>Sum Lines 26, 28, 30, 32</v>
      </c>
      <c r="F48" s="231">
        <f t="shared" si="3"/>
        <v>34</v>
      </c>
    </row>
    <row r="49" spans="1:6" ht="16.2" thickTop="1" x14ac:dyDescent="0.3">
      <c r="A49" s="227">
        <f t="shared" si="2"/>
        <v>35</v>
      </c>
      <c r="B49" s="268"/>
      <c r="C49" s="287"/>
      <c r="D49" s="288"/>
      <c r="E49" s="289"/>
      <c r="F49" s="231">
        <f t="shared" si="3"/>
        <v>35</v>
      </c>
    </row>
    <row r="50" spans="1:6" x14ac:dyDescent="0.3">
      <c r="A50" s="227">
        <f t="shared" si="2"/>
        <v>36</v>
      </c>
      <c r="B50" s="242" t="s">
        <v>229</v>
      </c>
      <c r="C50" s="556">
        <v>12</v>
      </c>
      <c r="D50" s="291"/>
      <c r="E50" s="289"/>
      <c r="F50" s="231">
        <f t="shared" si="3"/>
        <v>36</v>
      </c>
    </row>
    <row r="51" spans="1:6" x14ac:dyDescent="0.3">
      <c r="A51" s="227">
        <f t="shared" si="2"/>
        <v>37</v>
      </c>
      <c r="B51" s="268"/>
      <c r="C51" s="287"/>
      <c r="D51" s="288"/>
      <c r="E51" s="292"/>
      <c r="F51" s="231">
        <f t="shared" si="3"/>
        <v>37</v>
      </c>
    </row>
    <row r="52" spans="1:6" ht="16.2" thickBot="1" x14ac:dyDescent="0.35">
      <c r="A52" s="227">
        <f t="shared" si="2"/>
        <v>38</v>
      </c>
      <c r="B52" s="250" t="str">
        <f>B27</f>
        <v>Total Annual Costs</v>
      </c>
      <c r="C52" s="293">
        <f>C48*C50</f>
        <v>624.78421479705446</v>
      </c>
      <c r="D52" s="27"/>
      <c r="E52" s="251" t="str">
        <f>"Line "&amp;A48&amp;" x Line "&amp;A50</f>
        <v>Line 34 x Line 36</v>
      </c>
      <c r="F52" s="231">
        <f t="shared" si="3"/>
        <v>38</v>
      </c>
    </row>
    <row r="53" spans="1:6" ht="16.8" thickTop="1" thickBot="1" x14ac:dyDescent="0.35">
      <c r="A53" s="227">
        <f t="shared" si="2"/>
        <v>39</v>
      </c>
      <c r="B53" s="226"/>
      <c r="C53" s="294"/>
      <c r="D53" s="295"/>
      <c r="E53" s="296"/>
      <c r="F53" s="231">
        <f t="shared" si="3"/>
        <v>39</v>
      </c>
    </row>
    <row r="55" spans="1:6" x14ac:dyDescent="0.3">
      <c r="A55" s="541" t="s">
        <v>16</v>
      </c>
      <c r="B55" s="24" t="str">
        <f>'Pg2 Appendix XII C4 Comparison'!B56</f>
        <v>Items in BOLD have changed due to A&amp;G adjustments and removal of CIAC related ADIT per SDG&amp;E's TO5 Cycle 4 Letter Order determination in ER22-527</v>
      </c>
    </row>
    <row r="56" spans="1:6" x14ac:dyDescent="0.3">
      <c r="B56" s="24" t="s">
        <v>641</v>
      </c>
    </row>
  </sheetData>
  <mergeCells count="5">
    <mergeCell ref="B2:E2"/>
    <mergeCell ref="B3:E3"/>
    <mergeCell ref="B4:E4"/>
    <mergeCell ref="B5:E5"/>
    <mergeCell ref="B6:E6"/>
  </mergeCells>
  <printOptions horizontalCentered="1"/>
  <pageMargins left="0.25" right="0.25" top="0.5" bottom="0.5" header="0.35" footer="0.25"/>
  <pageSetup scale="66" orientation="portrait" r:id="rId1"/>
  <headerFooter scaleWithDoc="0" alignWithMargins="0">
    <oddHeader>&amp;C&amp;"Times New Roman,Bold"&amp;8REVISED</oddHeader>
    <oddFooter>&amp;CPage 3&amp;R&amp;F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D66F-B29C-4CA8-8780-A2635AF8E741}">
  <sheetPr>
    <pageSetUpPr fitToPage="1"/>
  </sheetPr>
  <dimension ref="A1:I54"/>
  <sheetViews>
    <sheetView zoomScale="80" zoomScaleNormal="80" workbookViewId="0"/>
  </sheetViews>
  <sheetFormatPr defaultColWidth="8.88671875" defaultRowHeight="15.6" x14ac:dyDescent="0.3"/>
  <cols>
    <col min="1" max="1" width="5.109375" style="41" customWidth="1"/>
    <col min="2" max="2" width="70.5546875" style="20" customWidth="1"/>
    <col min="3" max="3" width="16.5546875" style="20" customWidth="1"/>
    <col min="4" max="4" width="51.44140625" style="20" bestFit="1" customWidth="1"/>
    <col min="5" max="5" width="5.109375" style="41" customWidth="1"/>
    <col min="6" max="16384" width="8.88671875" style="20"/>
  </cols>
  <sheetData>
    <row r="1" spans="1:7" x14ac:dyDescent="0.3">
      <c r="A1" s="718" t="s">
        <v>614</v>
      </c>
      <c r="B1" s="224"/>
      <c r="C1" s="224"/>
      <c r="D1" s="542"/>
      <c r="E1" s="223"/>
    </row>
    <row r="2" spans="1:7" x14ac:dyDescent="0.3">
      <c r="A2" s="718"/>
      <c r="B2" s="719"/>
      <c r="C2" s="719"/>
      <c r="D2" s="542"/>
      <c r="E2" s="223"/>
    </row>
    <row r="3" spans="1:7" x14ac:dyDescent="0.3">
      <c r="A3" s="223"/>
      <c r="B3" s="805" t="s">
        <v>24</v>
      </c>
      <c r="C3" s="805"/>
      <c r="D3" s="805"/>
      <c r="E3" s="224"/>
    </row>
    <row r="4" spans="1:7" x14ac:dyDescent="0.3">
      <c r="B4" s="805" t="s">
        <v>216</v>
      </c>
      <c r="C4" s="805"/>
      <c r="D4" s="805"/>
      <c r="E4" s="221"/>
    </row>
    <row r="5" spans="1:7" x14ac:dyDescent="0.3">
      <c r="B5" s="805" t="s">
        <v>217</v>
      </c>
      <c r="C5" s="805"/>
      <c r="D5" s="805"/>
      <c r="E5" s="221"/>
    </row>
    <row r="6" spans="1:7" x14ac:dyDescent="0.3">
      <c r="A6" s="223"/>
      <c r="B6" s="807" t="s">
        <v>513</v>
      </c>
      <c r="C6" s="807"/>
      <c r="D6" s="807"/>
      <c r="E6" s="223"/>
    </row>
    <row r="7" spans="1:7" x14ac:dyDescent="0.3">
      <c r="B7" s="806" t="s">
        <v>1</v>
      </c>
      <c r="C7" s="805"/>
      <c r="D7" s="805"/>
      <c r="E7" s="221"/>
    </row>
    <row r="8" spans="1:7" ht="16.2" thickBot="1" x14ac:dyDescent="0.35">
      <c r="A8" s="223"/>
      <c r="B8" s="224"/>
      <c r="C8" s="225"/>
      <c r="D8" s="225"/>
      <c r="E8" s="223"/>
    </row>
    <row r="9" spans="1:7" x14ac:dyDescent="0.3">
      <c r="A9" s="227" t="s">
        <v>2</v>
      </c>
      <c r="B9" s="228"/>
      <c r="C9" s="297"/>
      <c r="D9" s="298"/>
      <c r="E9" s="231" t="s">
        <v>2</v>
      </c>
    </row>
    <row r="10" spans="1:7" x14ac:dyDescent="0.3">
      <c r="A10" s="227" t="s">
        <v>6</v>
      </c>
      <c r="B10" s="232" t="s">
        <v>218</v>
      </c>
      <c r="C10" s="232" t="s">
        <v>4</v>
      </c>
      <c r="D10" s="299" t="s">
        <v>5</v>
      </c>
      <c r="E10" s="231" t="s">
        <v>6</v>
      </c>
    </row>
    <row r="11" spans="1:7" x14ac:dyDescent="0.3">
      <c r="A11" s="227"/>
      <c r="B11" s="234"/>
      <c r="C11" s="300"/>
      <c r="D11" s="301"/>
      <c r="E11" s="231"/>
    </row>
    <row r="12" spans="1:7" x14ac:dyDescent="0.3">
      <c r="A12" s="227">
        <v>1</v>
      </c>
      <c r="B12" s="238" t="s">
        <v>219</v>
      </c>
      <c r="C12" s="302">
        <v>0</v>
      </c>
      <c r="D12" s="303" t="s">
        <v>404</v>
      </c>
      <c r="E12" s="231">
        <f>A12</f>
        <v>1</v>
      </c>
      <c r="G12" s="22"/>
    </row>
    <row r="13" spans="1:7" x14ac:dyDescent="0.3">
      <c r="A13" s="227">
        <f>A12+1</f>
        <v>2</v>
      </c>
      <c r="B13" s="242"/>
      <c r="C13" s="304"/>
      <c r="D13" s="305"/>
      <c r="E13" s="231">
        <f>E12+1</f>
        <v>2</v>
      </c>
    </row>
    <row r="14" spans="1:7" x14ac:dyDescent="0.3">
      <c r="A14" s="227">
        <f t="shared" ref="A14:A29" si="0">A13+1</f>
        <v>3</v>
      </c>
      <c r="B14" s="238" t="s">
        <v>220</v>
      </c>
      <c r="C14" s="306">
        <v>859.93602449389209</v>
      </c>
      <c r="D14" s="303" t="s">
        <v>405</v>
      </c>
      <c r="E14" s="231">
        <f t="shared" ref="E14:E29" si="1">E13+1</f>
        <v>3</v>
      </c>
      <c r="G14" s="30"/>
    </row>
    <row r="15" spans="1:7" x14ac:dyDescent="0.3">
      <c r="A15" s="227">
        <f t="shared" si="0"/>
        <v>4</v>
      </c>
      <c r="B15" s="242"/>
      <c r="C15" s="304"/>
      <c r="D15" s="307"/>
      <c r="E15" s="231">
        <f t="shared" si="1"/>
        <v>4</v>
      </c>
    </row>
    <row r="16" spans="1:7" x14ac:dyDescent="0.3">
      <c r="A16" s="227">
        <f t="shared" si="0"/>
        <v>5</v>
      </c>
      <c r="B16" s="246" t="s">
        <v>221</v>
      </c>
      <c r="C16" s="247">
        <v>-76.861081329199209</v>
      </c>
      <c r="D16" s="241" t="s">
        <v>406</v>
      </c>
      <c r="E16" s="231">
        <f t="shared" si="1"/>
        <v>5</v>
      </c>
      <c r="G16" s="30"/>
    </row>
    <row r="17" spans="1:9" x14ac:dyDescent="0.3">
      <c r="A17" s="227">
        <f t="shared" si="0"/>
        <v>6</v>
      </c>
      <c r="B17" s="249"/>
      <c r="C17" s="117"/>
      <c r="D17" s="241"/>
      <c r="E17" s="231">
        <f t="shared" si="1"/>
        <v>6</v>
      </c>
      <c r="G17" s="30"/>
    </row>
    <row r="18" spans="1:9" x14ac:dyDescent="0.3">
      <c r="A18" s="227">
        <f t="shared" si="0"/>
        <v>7</v>
      </c>
      <c r="B18" s="250" t="s">
        <v>390</v>
      </c>
      <c r="C18" s="308">
        <f>C12+C14+C16</f>
        <v>783.07494316469285</v>
      </c>
      <c r="D18" s="251" t="s">
        <v>407</v>
      </c>
      <c r="E18" s="231">
        <f t="shared" si="1"/>
        <v>7</v>
      </c>
      <c r="G18" s="30"/>
    </row>
    <row r="19" spans="1:9" x14ac:dyDescent="0.3">
      <c r="A19" s="227">
        <f t="shared" si="0"/>
        <v>8</v>
      </c>
      <c r="B19" s="252"/>
      <c r="C19" s="304"/>
      <c r="D19" s="309"/>
      <c r="E19" s="231">
        <f t="shared" si="1"/>
        <v>8</v>
      </c>
    </row>
    <row r="20" spans="1:9" x14ac:dyDescent="0.3">
      <c r="A20" s="227">
        <f t="shared" si="0"/>
        <v>9</v>
      </c>
      <c r="B20" s="238" t="s">
        <v>222</v>
      </c>
      <c r="C20" s="310">
        <v>-129.17028829369025</v>
      </c>
      <c r="D20" s="241" t="s">
        <v>408</v>
      </c>
      <c r="E20" s="231">
        <f t="shared" si="1"/>
        <v>9</v>
      </c>
    </row>
    <row r="21" spans="1:9" x14ac:dyDescent="0.3">
      <c r="A21" s="227">
        <f t="shared" si="0"/>
        <v>10</v>
      </c>
      <c r="B21" s="238"/>
      <c r="C21" s="304"/>
      <c r="D21" s="311"/>
      <c r="E21" s="231">
        <f t="shared" si="1"/>
        <v>10</v>
      </c>
    </row>
    <row r="22" spans="1:9" x14ac:dyDescent="0.3">
      <c r="A22" s="227">
        <f t="shared" si="0"/>
        <v>11</v>
      </c>
      <c r="B22" s="238" t="s">
        <v>223</v>
      </c>
      <c r="C22" s="247">
        <v>-2.6155405682218507</v>
      </c>
      <c r="D22" s="251" t="s">
        <v>409</v>
      </c>
      <c r="E22" s="231">
        <f t="shared" si="1"/>
        <v>11</v>
      </c>
    </row>
    <row r="23" spans="1:9" x14ac:dyDescent="0.3">
      <c r="A23" s="227">
        <f t="shared" si="0"/>
        <v>12</v>
      </c>
      <c r="B23" s="249"/>
      <c r="C23" s="255"/>
      <c r="D23" s="312"/>
      <c r="E23" s="231">
        <f t="shared" si="1"/>
        <v>12</v>
      </c>
    </row>
    <row r="24" spans="1:9" x14ac:dyDescent="0.3">
      <c r="A24" s="227">
        <f t="shared" si="0"/>
        <v>13</v>
      </c>
      <c r="B24" s="249" t="s">
        <v>224</v>
      </c>
      <c r="C24" s="76">
        <f>C18+C20+C22</f>
        <v>651.28911430278072</v>
      </c>
      <c r="D24" s="251" t="s">
        <v>410</v>
      </c>
      <c r="E24" s="231">
        <f t="shared" si="1"/>
        <v>13</v>
      </c>
      <c r="G24" s="30"/>
    </row>
    <row r="25" spans="1:9" x14ac:dyDescent="0.3">
      <c r="A25" s="227">
        <f t="shared" si="0"/>
        <v>14</v>
      </c>
      <c r="B25" s="257"/>
      <c r="C25" s="77"/>
      <c r="D25" s="251"/>
      <c r="E25" s="231">
        <f t="shared" si="1"/>
        <v>14</v>
      </c>
      <c r="G25" s="30"/>
    </row>
    <row r="26" spans="1:9" x14ac:dyDescent="0.3">
      <c r="A26" s="227">
        <f t="shared" si="0"/>
        <v>15</v>
      </c>
      <c r="B26" s="246" t="s">
        <v>225</v>
      </c>
      <c r="C26" s="258">
        <v>-26.403206586286924</v>
      </c>
      <c r="D26" s="251" t="s">
        <v>23</v>
      </c>
      <c r="E26" s="231">
        <f t="shared" si="1"/>
        <v>15</v>
      </c>
      <c r="G26" s="30"/>
    </row>
    <row r="27" spans="1:9" x14ac:dyDescent="0.3">
      <c r="A27" s="227">
        <f t="shared" si="0"/>
        <v>16</v>
      </c>
      <c r="B27" s="225"/>
      <c r="C27" s="259"/>
      <c r="D27" s="312"/>
      <c r="E27" s="231">
        <f t="shared" si="1"/>
        <v>16</v>
      </c>
    </row>
    <row r="28" spans="1:9" ht="16.2" thickBot="1" x14ac:dyDescent="0.35">
      <c r="A28" s="227">
        <f t="shared" si="0"/>
        <v>17</v>
      </c>
      <c r="B28" s="250" t="s">
        <v>226</v>
      </c>
      <c r="C28" s="261">
        <f>C24+C26</f>
        <v>624.88590771649376</v>
      </c>
      <c r="D28" s="312" t="s">
        <v>411</v>
      </c>
      <c r="E28" s="231">
        <f t="shared" si="1"/>
        <v>17</v>
      </c>
      <c r="H28" s="22"/>
      <c r="I28" s="262"/>
    </row>
    <row r="29" spans="1:9" ht="16.8" thickTop="1" thickBot="1" x14ac:dyDescent="0.35">
      <c r="A29" s="227">
        <f t="shared" si="0"/>
        <v>18</v>
      </c>
      <c r="B29" s="263"/>
      <c r="C29" s="263"/>
      <c r="D29" s="313"/>
      <c r="E29" s="231">
        <f t="shared" si="1"/>
        <v>18</v>
      </c>
    </row>
    <row r="31" spans="1:9" ht="16.2" thickBot="1" x14ac:dyDescent="0.35">
      <c r="A31" s="223"/>
      <c r="B31" s="265"/>
      <c r="C31" s="266"/>
      <c r="D31" s="266"/>
      <c r="E31" s="223"/>
    </row>
    <row r="32" spans="1:9" x14ac:dyDescent="0.3">
      <c r="A32" s="227" t="s">
        <v>2</v>
      </c>
      <c r="B32" s="267"/>
      <c r="C32" s="267"/>
      <c r="D32" s="305"/>
      <c r="E32" s="231" t="s">
        <v>2</v>
      </c>
    </row>
    <row r="33" spans="1:5" x14ac:dyDescent="0.3">
      <c r="A33" s="227" t="s">
        <v>6</v>
      </c>
      <c r="B33" s="232" t="s">
        <v>227</v>
      </c>
      <c r="C33" s="232" t="str">
        <f>C10</f>
        <v>Amounts</v>
      </c>
      <c r="D33" s="299" t="str">
        <f>D10</f>
        <v>Reference</v>
      </c>
      <c r="E33" s="231" t="s">
        <v>6</v>
      </c>
    </row>
    <row r="34" spans="1:5" x14ac:dyDescent="0.3">
      <c r="A34" s="227">
        <f>A29+1</f>
        <v>19</v>
      </c>
      <c r="B34" s="268"/>
      <c r="C34" s="300"/>
      <c r="D34" s="301"/>
      <c r="E34" s="231">
        <f>E29+1</f>
        <v>19</v>
      </c>
    </row>
    <row r="35" spans="1:5" x14ac:dyDescent="0.3">
      <c r="A35" s="227">
        <f>A34+1</f>
        <v>20</v>
      </c>
      <c r="B35" s="238" t="str">
        <f>B12</f>
        <v>Section 1 - Direct Maintenance Expense Cost Component</v>
      </c>
      <c r="C35" s="314">
        <f>C12/12</f>
        <v>0</v>
      </c>
      <c r="D35" s="303" t="str">
        <f>"Line "&amp;A12&amp;" / "&amp;C51&amp;" Months"</f>
        <v>Line 1 / 12 Months</v>
      </c>
      <c r="E35" s="231">
        <f>E34+1</f>
        <v>20</v>
      </c>
    </row>
    <row r="36" spans="1:5" x14ac:dyDescent="0.3">
      <c r="A36" s="227">
        <f t="shared" ref="A36:A54" si="2">A35+1</f>
        <v>21</v>
      </c>
      <c r="B36" s="242"/>
      <c r="C36" s="315"/>
      <c r="D36" s="316"/>
      <c r="E36" s="231">
        <f t="shared" ref="E36:E54" si="3">E35+1</f>
        <v>21</v>
      </c>
    </row>
    <row r="37" spans="1:5" x14ac:dyDescent="0.3">
      <c r="A37" s="227">
        <f t="shared" si="2"/>
        <v>22</v>
      </c>
      <c r="B37" s="238" t="str">
        <f>B14</f>
        <v>Section 2 - Non-Direct Expense Cost Component</v>
      </c>
      <c r="C37" s="317">
        <f>C14/12</f>
        <v>71.661335374491003</v>
      </c>
      <c r="D37" s="303" t="str">
        <f>"Line "&amp;A14&amp;" / "&amp;C51&amp;" Months"</f>
        <v>Line 3 / 12 Months</v>
      </c>
      <c r="E37" s="231">
        <f t="shared" si="3"/>
        <v>22</v>
      </c>
    </row>
    <row r="38" spans="1:5" x14ac:dyDescent="0.3">
      <c r="A38" s="227">
        <f t="shared" si="2"/>
        <v>23</v>
      </c>
      <c r="B38" s="242"/>
      <c r="C38" s="318"/>
      <c r="D38" s="319"/>
      <c r="E38" s="231">
        <f t="shared" si="3"/>
        <v>23</v>
      </c>
    </row>
    <row r="39" spans="1:5" x14ac:dyDescent="0.3">
      <c r="A39" s="227">
        <f t="shared" si="2"/>
        <v>24</v>
      </c>
      <c r="B39" s="238" t="str">
        <f>B16</f>
        <v>Section 3 - Cost Component Containing Other Specific Expenses</v>
      </c>
      <c r="C39" s="278">
        <f>C16/12</f>
        <v>-6.4050901107666007</v>
      </c>
      <c r="D39" s="303" t="str">
        <f>"Line "&amp;A16&amp;" / "&amp;C51&amp;" Months"</f>
        <v>Line 5 / 12 Months</v>
      </c>
      <c r="E39" s="231">
        <f t="shared" si="3"/>
        <v>24</v>
      </c>
    </row>
    <row r="40" spans="1:5" x14ac:dyDescent="0.3">
      <c r="A40" s="227">
        <f t="shared" si="2"/>
        <v>25</v>
      </c>
      <c r="B40" s="252"/>
      <c r="C40" s="320"/>
      <c r="D40" s="303"/>
      <c r="E40" s="231">
        <f t="shared" si="3"/>
        <v>25</v>
      </c>
    </row>
    <row r="41" spans="1:5" x14ac:dyDescent="0.3">
      <c r="A41" s="227">
        <f t="shared" si="2"/>
        <v>26</v>
      </c>
      <c r="B41" s="250" t="s">
        <v>391</v>
      </c>
      <c r="C41" s="321">
        <f>C35+C37+C39</f>
        <v>65.256245263724395</v>
      </c>
      <c r="D41" s="251" t="str">
        <f>"Sum Lines "&amp;A35&amp;", "&amp;A37&amp;", "&amp;A39</f>
        <v>Sum Lines 20, 22, 24</v>
      </c>
      <c r="E41" s="231">
        <f t="shared" si="3"/>
        <v>26</v>
      </c>
    </row>
    <row r="42" spans="1:5" x14ac:dyDescent="0.3">
      <c r="A42" s="227">
        <f t="shared" si="2"/>
        <v>27</v>
      </c>
      <c r="B42" s="268"/>
      <c r="C42" s="318"/>
      <c r="D42" s="307"/>
      <c r="E42" s="231">
        <f t="shared" si="3"/>
        <v>27</v>
      </c>
    </row>
    <row r="43" spans="1:5" x14ac:dyDescent="0.3">
      <c r="A43" s="227">
        <f t="shared" si="2"/>
        <v>28</v>
      </c>
      <c r="B43" s="238" t="str">
        <f>LEFT(B20,45)</f>
        <v>Section 4 - True-Up Adjustment Cost Component</v>
      </c>
      <c r="C43" s="317">
        <f>C20/12</f>
        <v>-10.764190691140854</v>
      </c>
      <c r="D43" s="303" t="str">
        <f>"Line "&amp;A20&amp;" / "&amp;C51&amp;" Months"</f>
        <v>Line 9 / 12 Months</v>
      </c>
      <c r="E43" s="231">
        <f t="shared" si="3"/>
        <v>28</v>
      </c>
    </row>
    <row r="44" spans="1:5" x14ac:dyDescent="0.3">
      <c r="A44" s="227">
        <f t="shared" si="2"/>
        <v>29</v>
      </c>
      <c r="B44" s="238"/>
      <c r="C44" s="318"/>
      <c r="D44" s="322"/>
      <c r="E44" s="231">
        <f t="shared" si="3"/>
        <v>29</v>
      </c>
    </row>
    <row r="45" spans="1:5" x14ac:dyDescent="0.3">
      <c r="A45" s="227">
        <f t="shared" si="2"/>
        <v>30</v>
      </c>
      <c r="B45" s="238" t="str">
        <f>B22</f>
        <v>Section 5 - Interest True-Up Adjustment Cost Component</v>
      </c>
      <c r="C45" s="317">
        <f>C22/12</f>
        <v>-0.21796171401848755</v>
      </c>
      <c r="D45" s="312" t="str">
        <f>"Line "&amp;A22&amp;" / "&amp;C51&amp;" Months"</f>
        <v>Line 11 / 12 Months</v>
      </c>
      <c r="E45" s="231">
        <f t="shared" si="3"/>
        <v>30</v>
      </c>
    </row>
    <row r="46" spans="1:5" x14ac:dyDescent="0.3">
      <c r="A46" s="227">
        <f t="shared" si="2"/>
        <v>31</v>
      </c>
      <c r="B46" s="252"/>
      <c r="C46" s="284"/>
      <c r="D46" s="323"/>
      <c r="E46" s="231">
        <f t="shared" si="3"/>
        <v>31</v>
      </c>
    </row>
    <row r="47" spans="1:5" x14ac:dyDescent="0.3">
      <c r="A47" s="227">
        <f t="shared" si="2"/>
        <v>32</v>
      </c>
      <c r="B47" s="246" t="str">
        <f>B26</f>
        <v>Other Adjustments</v>
      </c>
      <c r="C47" s="278">
        <f>C26/12</f>
        <v>-2.2002672155239105</v>
      </c>
      <c r="D47" s="312" t="str">
        <f>"Line "&amp;A26&amp;" / "&amp;C51&amp;" Months"</f>
        <v>Line 15 / 12 Months</v>
      </c>
      <c r="E47" s="231">
        <f t="shared" si="3"/>
        <v>32</v>
      </c>
    </row>
    <row r="48" spans="1:5" x14ac:dyDescent="0.3">
      <c r="A48" s="227">
        <f t="shared" si="2"/>
        <v>33</v>
      </c>
      <c r="B48" s="249"/>
      <c r="C48" s="284"/>
      <c r="D48" s="285"/>
      <c r="E48" s="231">
        <f t="shared" si="3"/>
        <v>33</v>
      </c>
    </row>
    <row r="49" spans="1:5" ht="16.2" thickBot="1" x14ac:dyDescent="0.35">
      <c r="A49" s="227">
        <f t="shared" si="2"/>
        <v>34</v>
      </c>
      <c r="B49" s="249" t="s">
        <v>228</v>
      </c>
      <c r="C49" s="286">
        <f>C41+C43+C45+C47</f>
        <v>52.073825643041147</v>
      </c>
      <c r="D49" s="251" t="str">
        <f>"Sum Lines "&amp;A41&amp;", "&amp;A43&amp;", "&amp;A45&amp;", "&amp;A47</f>
        <v>Sum Lines 26, 28, 30, 32</v>
      </c>
      <c r="E49" s="231">
        <f t="shared" si="3"/>
        <v>34</v>
      </c>
    </row>
    <row r="50" spans="1:5" ht="16.2" thickTop="1" x14ac:dyDescent="0.3">
      <c r="A50" s="227">
        <f t="shared" si="2"/>
        <v>35</v>
      </c>
      <c r="B50" s="268"/>
      <c r="C50" s="287"/>
      <c r="D50" s="324"/>
      <c r="E50" s="231">
        <f t="shared" si="3"/>
        <v>35</v>
      </c>
    </row>
    <row r="51" spans="1:5" x14ac:dyDescent="0.3">
      <c r="A51" s="227">
        <f t="shared" si="2"/>
        <v>36</v>
      </c>
      <c r="B51" s="242" t="s">
        <v>229</v>
      </c>
      <c r="C51" s="290">
        <v>12</v>
      </c>
      <c r="D51" s="324"/>
      <c r="E51" s="231">
        <f t="shared" si="3"/>
        <v>36</v>
      </c>
    </row>
    <row r="52" spans="1:5" x14ac:dyDescent="0.3">
      <c r="A52" s="227">
        <f t="shared" si="2"/>
        <v>37</v>
      </c>
      <c r="B52" s="268"/>
      <c r="C52" s="287"/>
      <c r="D52" s="325"/>
      <c r="E52" s="231">
        <f t="shared" si="3"/>
        <v>37</v>
      </c>
    </row>
    <row r="53" spans="1:5" ht="16.2" thickBot="1" x14ac:dyDescent="0.35">
      <c r="A53" s="227">
        <f t="shared" si="2"/>
        <v>38</v>
      </c>
      <c r="B53" s="250" t="str">
        <f>B28</f>
        <v>Total Annual Costs</v>
      </c>
      <c r="C53" s="293">
        <f>C49*C51</f>
        <v>624.88590771649376</v>
      </c>
      <c r="D53" s="312" t="str">
        <f>"Line "&amp;A49&amp;" x Line "&amp;A51</f>
        <v>Line 34 x Line 36</v>
      </c>
      <c r="E53" s="231">
        <f t="shared" si="3"/>
        <v>38</v>
      </c>
    </row>
    <row r="54" spans="1:5" ht="16.8" thickTop="1" thickBot="1" x14ac:dyDescent="0.35">
      <c r="A54" s="227">
        <f t="shared" si="2"/>
        <v>39</v>
      </c>
      <c r="B54" s="226"/>
      <c r="C54" s="294"/>
      <c r="D54" s="326"/>
      <c r="E54" s="231">
        <f t="shared" si="3"/>
        <v>39</v>
      </c>
    </row>
  </sheetData>
  <mergeCells count="5">
    <mergeCell ref="B3:D3"/>
    <mergeCell ref="B4:D4"/>
    <mergeCell ref="B5:D5"/>
    <mergeCell ref="B6:D6"/>
    <mergeCell ref="B7:D7"/>
  </mergeCells>
  <printOptions horizontalCentered="1"/>
  <pageMargins left="0.25" right="0.25" top="0.5" bottom="0.5" header="0.35" footer="0.25"/>
  <pageSetup scale="68" orientation="portrait" r:id="rId1"/>
  <headerFooter scaleWithDoc="0" alignWithMargins="0">
    <oddHeader>&amp;C&amp;"Times New Roman,Bold"&amp;8AS FILED</oddHeader>
    <oddFooter>&amp;CPage 4&amp;R&amp;F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59"/>
  <sheetViews>
    <sheetView zoomScale="80" zoomScaleNormal="80" workbookViewId="0"/>
  </sheetViews>
  <sheetFormatPr defaultColWidth="8.88671875" defaultRowHeight="15.6" x14ac:dyDescent="0.3"/>
  <cols>
    <col min="1" max="1" width="5.109375" style="42" customWidth="1"/>
    <col min="2" max="2" width="93.109375" style="20" bestFit="1" customWidth="1"/>
    <col min="3" max="3" width="10.44140625" style="20" customWidth="1"/>
    <col min="4" max="4" width="1.5546875" style="20" customWidth="1"/>
    <col min="5" max="5" width="16.88671875" style="20" customWidth="1"/>
    <col min="6" max="6" width="1.5546875" style="20" customWidth="1"/>
    <col min="7" max="7" width="43.44140625" style="20" customWidth="1"/>
    <col min="8" max="8" width="5.109375" style="41" customWidth="1"/>
    <col min="9" max="9" width="8.88671875" style="20"/>
    <col min="10" max="10" width="9.88671875" style="20" bestFit="1" customWidth="1"/>
    <col min="11" max="16384" width="8.88671875" style="20"/>
  </cols>
  <sheetData>
    <row r="1" spans="1:8" x14ac:dyDescent="0.3">
      <c r="A1" s="368"/>
      <c r="B1" s="369"/>
      <c r="C1" s="369"/>
      <c r="D1" s="369"/>
      <c r="E1" s="370"/>
      <c r="F1" s="370"/>
      <c r="G1" s="542"/>
      <c r="H1" s="223"/>
    </row>
    <row r="2" spans="1:8" x14ac:dyDescent="0.3">
      <c r="A2" s="368"/>
      <c r="B2" s="810" t="s">
        <v>24</v>
      </c>
      <c r="C2" s="810"/>
      <c r="D2" s="810"/>
      <c r="E2" s="810"/>
      <c r="F2" s="810"/>
      <c r="G2" s="810"/>
      <c r="H2" s="223"/>
    </row>
    <row r="3" spans="1:8" x14ac:dyDescent="0.3">
      <c r="B3" s="810" t="s">
        <v>216</v>
      </c>
      <c r="C3" s="810"/>
      <c r="D3" s="810"/>
      <c r="E3" s="810"/>
      <c r="F3" s="810"/>
      <c r="G3" s="810"/>
      <c r="H3" s="368"/>
    </row>
    <row r="4" spans="1:8" x14ac:dyDescent="0.3">
      <c r="B4" s="810" t="s">
        <v>231</v>
      </c>
      <c r="C4" s="810"/>
      <c r="D4" s="810"/>
      <c r="E4" s="810"/>
      <c r="F4" s="810"/>
      <c r="G4" s="810"/>
      <c r="H4" s="368"/>
    </row>
    <row r="5" spans="1:8" x14ac:dyDescent="0.3">
      <c r="B5" s="808" t="s">
        <v>544</v>
      </c>
      <c r="C5" s="808"/>
      <c r="D5" s="808"/>
      <c r="E5" s="808"/>
      <c r="F5" s="808"/>
      <c r="G5" s="808"/>
      <c r="H5" s="368"/>
    </row>
    <row r="6" spans="1:8" x14ac:dyDescent="0.3">
      <c r="B6" s="809" t="s">
        <v>1</v>
      </c>
      <c r="C6" s="809"/>
      <c r="D6" s="809"/>
      <c r="E6" s="809"/>
      <c r="F6" s="809"/>
      <c r="G6" s="809"/>
      <c r="H6" s="371"/>
    </row>
    <row r="7" spans="1:8" x14ac:dyDescent="0.3">
      <c r="A7" s="372"/>
      <c r="B7" s="544"/>
      <c r="C7" s="544"/>
      <c r="D7" s="544"/>
      <c r="E7" s="544"/>
      <c r="F7" s="544"/>
      <c r="G7" s="370"/>
      <c r="H7" s="223"/>
    </row>
    <row r="8" spans="1:8" x14ac:dyDescent="0.3">
      <c r="A8" s="373" t="s">
        <v>2</v>
      </c>
      <c r="B8" s="369"/>
      <c r="C8" s="369"/>
      <c r="D8" s="369"/>
      <c r="E8" s="544"/>
      <c r="F8" s="544"/>
      <c r="G8" s="369"/>
      <c r="H8" s="373" t="s">
        <v>2</v>
      </c>
    </row>
    <row r="9" spans="1:8" x14ac:dyDescent="0.3">
      <c r="A9" s="373" t="s">
        <v>6</v>
      </c>
      <c r="B9" s="369"/>
      <c r="C9" s="369"/>
      <c r="D9" s="369"/>
      <c r="E9" s="374" t="s">
        <v>4</v>
      </c>
      <c r="F9" s="375"/>
      <c r="G9" s="374" t="s">
        <v>5</v>
      </c>
      <c r="H9" s="373" t="s">
        <v>6</v>
      </c>
    </row>
    <row r="10" spans="1:8" x14ac:dyDescent="0.3">
      <c r="A10" s="373"/>
      <c r="B10" s="369"/>
      <c r="C10" s="369"/>
      <c r="D10" s="369"/>
      <c r="E10" s="544"/>
      <c r="F10" s="375"/>
      <c r="G10" s="544"/>
      <c r="H10" s="373"/>
    </row>
    <row r="11" spans="1:8" x14ac:dyDescent="0.3">
      <c r="A11" s="373">
        <v>1</v>
      </c>
      <c r="B11" s="376" t="s">
        <v>232</v>
      </c>
      <c r="C11" s="376"/>
      <c r="D11" s="376"/>
      <c r="E11" s="370"/>
      <c r="F11" s="370"/>
      <c r="G11" s="544"/>
      <c r="H11" s="373">
        <f>A11</f>
        <v>1</v>
      </c>
    </row>
    <row r="12" spans="1:8" x14ac:dyDescent="0.3">
      <c r="A12" s="373">
        <f>A11+1</f>
        <v>2</v>
      </c>
      <c r="B12" s="377" t="s">
        <v>233</v>
      </c>
      <c r="C12" s="378"/>
      <c r="D12" s="378"/>
      <c r="E12" s="382">
        <f>E53</f>
        <v>6.2750390372064554E-3</v>
      </c>
      <c r="F12" s="27"/>
      <c r="G12" s="379" t="str">
        <f>"Page 2; Line "&amp;A53</f>
        <v>Page 2; Line 6</v>
      </c>
      <c r="H12" s="373">
        <f>H11+1</f>
        <v>2</v>
      </c>
    </row>
    <row r="13" spans="1:8" x14ac:dyDescent="0.3">
      <c r="A13" s="373">
        <f t="shared" ref="A13:A35" si="0">A12+1</f>
        <v>3</v>
      </c>
      <c r="B13" s="369"/>
      <c r="C13" s="380"/>
      <c r="D13" s="380"/>
      <c r="E13" s="381"/>
      <c r="F13" s="375"/>
      <c r="G13" s="379"/>
      <c r="H13" s="373">
        <f t="shared" ref="H13:H35" si="1">H12+1</f>
        <v>3</v>
      </c>
    </row>
    <row r="14" spans="1:8" x14ac:dyDescent="0.3">
      <c r="A14" s="373">
        <f t="shared" si="0"/>
        <v>4</v>
      </c>
      <c r="B14" s="377" t="s">
        <v>17</v>
      </c>
      <c r="C14" s="378"/>
      <c r="D14" s="378"/>
      <c r="E14" s="382">
        <f>E58</f>
        <v>8.576144830735313E-3</v>
      </c>
      <c r="F14" s="383"/>
      <c r="G14" s="379" t="str">
        <f>"Page 2; Line "&amp;A58</f>
        <v>Page 2; Line 11</v>
      </c>
      <c r="H14" s="373">
        <f t="shared" si="1"/>
        <v>4</v>
      </c>
    </row>
    <row r="15" spans="1:8" x14ac:dyDescent="0.3">
      <c r="A15" s="373">
        <f t="shared" si="0"/>
        <v>5</v>
      </c>
      <c r="B15" s="370"/>
      <c r="C15" s="372"/>
      <c r="D15" s="372"/>
      <c r="E15" s="384"/>
      <c r="F15" s="385"/>
      <c r="G15" s="379"/>
      <c r="H15" s="373">
        <f t="shared" si="1"/>
        <v>5</v>
      </c>
    </row>
    <row r="16" spans="1:8" x14ac:dyDescent="0.3">
      <c r="A16" s="373">
        <f t="shared" si="0"/>
        <v>6</v>
      </c>
      <c r="B16" s="370" t="s">
        <v>234</v>
      </c>
      <c r="C16" s="372"/>
      <c r="D16" s="372"/>
      <c r="E16" s="386">
        <f>E63</f>
        <v>1.060685107447207E-2</v>
      </c>
      <c r="F16" s="385"/>
      <c r="G16" s="379" t="str">
        <f>"Page 2; Line "&amp;A63</f>
        <v>Page 2; Line 16</v>
      </c>
      <c r="H16" s="373">
        <f t="shared" si="1"/>
        <v>6</v>
      </c>
    </row>
    <row r="17" spans="1:8" x14ac:dyDescent="0.3">
      <c r="A17" s="373">
        <f t="shared" si="0"/>
        <v>7</v>
      </c>
      <c r="B17" s="370"/>
      <c r="C17" s="372"/>
      <c r="D17" s="372"/>
      <c r="E17" s="384"/>
      <c r="F17" s="385"/>
      <c r="G17" s="379"/>
      <c r="H17" s="373">
        <f t="shared" si="1"/>
        <v>7</v>
      </c>
    </row>
    <row r="18" spans="1:8" x14ac:dyDescent="0.3">
      <c r="A18" s="373">
        <f t="shared" si="0"/>
        <v>8</v>
      </c>
      <c r="B18" s="377" t="s">
        <v>235</v>
      </c>
      <c r="C18" s="378"/>
      <c r="D18" s="378"/>
      <c r="E18" s="382">
        <f>E68</f>
        <v>3.1683253029490246E-4</v>
      </c>
      <c r="F18" s="383"/>
      <c r="G18" s="379" t="str">
        <f>"Page 2; Line "&amp;A68</f>
        <v>Page 2; Line 21</v>
      </c>
      <c r="H18" s="373">
        <f t="shared" si="1"/>
        <v>8</v>
      </c>
    </row>
    <row r="19" spans="1:8" x14ac:dyDescent="0.3">
      <c r="A19" s="373">
        <f t="shared" si="0"/>
        <v>9</v>
      </c>
      <c r="B19" s="369"/>
      <c r="C19" s="380"/>
      <c r="D19" s="380"/>
      <c r="E19" s="381"/>
      <c r="F19" s="375"/>
      <c r="G19" s="379"/>
      <c r="H19" s="373">
        <f t="shared" si="1"/>
        <v>9</v>
      </c>
    </row>
    <row r="20" spans="1:8" x14ac:dyDescent="0.3">
      <c r="A20" s="373">
        <f t="shared" si="0"/>
        <v>10</v>
      </c>
      <c r="B20" s="377" t="s">
        <v>236</v>
      </c>
      <c r="C20" s="380"/>
      <c r="D20" s="380"/>
      <c r="E20" s="382">
        <f>E81</f>
        <v>1.8394493609672209E-3</v>
      </c>
      <c r="F20" s="375"/>
      <c r="G20" s="379" t="str">
        <f>"Page 2; Line "&amp;A81</f>
        <v>Page 2; Line 34</v>
      </c>
      <c r="H20" s="373">
        <f t="shared" si="1"/>
        <v>10</v>
      </c>
    </row>
    <row r="21" spans="1:8" x14ac:dyDescent="0.3">
      <c r="A21" s="373">
        <f t="shared" si="0"/>
        <v>11</v>
      </c>
      <c r="B21" s="369"/>
      <c r="C21" s="380"/>
      <c r="D21" s="380"/>
      <c r="E21" s="381"/>
      <c r="F21" s="375"/>
      <c r="G21" s="379"/>
      <c r="H21" s="373">
        <f t="shared" si="1"/>
        <v>11</v>
      </c>
    </row>
    <row r="22" spans="1:8" x14ac:dyDescent="0.3">
      <c r="A22" s="373">
        <f t="shared" si="0"/>
        <v>12</v>
      </c>
      <c r="B22" s="377" t="s">
        <v>237</v>
      </c>
      <c r="C22" s="378"/>
      <c r="D22" s="378"/>
      <c r="E22" s="382">
        <f>E98</f>
        <v>3.9095816264277418E-3</v>
      </c>
      <c r="F22" s="383"/>
      <c r="G22" s="379" t="str">
        <f>"Page 2; Line "&amp;A98</f>
        <v>Page 2; Line 51</v>
      </c>
      <c r="H22" s="373">
        <f t="shared" si="1"/>
        <v>12</v>
      </c>
    </row>
    <row r="23" spans="1:8" x14ac:dyDescent="0.3">
      <c r="A23" s="373">
        <f t="shared" si="0"/>
        <v>13</v>
      </c>
      <c r="B23" s="387"/>
      <c r="C23" s="388"/>
      <c r="D23" s="388"/>
      <c r="E23" s="389"/>
      <c r="F23" s="390"/>
      <c r="G23" s="379"/>
      <c r="H23" s="373">
        <f t="shared" si="1"/>
        <v>13</v>
      </c>
    </row>
    <row r="24" spans="1:8" x14ac:dyDescent="0.3">
      <c r="A24" s="373">
        <f t="shared" si="0"/>
        <v>14</v>
      </c>
      <c r="B24" s="377" t="s">
        <v>238</v>
      </c>
      <c r="C24" s="378"/>
      <c r="D24" s="378"/>
      <c r="E24" s="672">
        <f>SUM(E12:E22)</f>
        <v>3.15238984601037E-2</v>
      </c>
      <c r="F24" s="27"/>
      <c r="G24" s="379" t="str">
        <f>"Sum Lines "&amp;A12&amp;" thru "&amp;A22&amp;""</f>
        <v>Sum Lines 2 thru 12</v>
      </c>
      <c r="H24" s="373">
        <f t="shared" si="1"/>
        <v>14</v>
      </c>
    </row>
    <row r="25" spans="1:8" x14ac:dyDescent="0.3">
      <c r="A25" s="373">
        <f t="shared" si="0"/>
        <v>15</v>
      </c>
      <c r="B25" s="369"/>
      <c r="C25" s="380"/>
      <c r="D25" s="380"/>
      <c r="E25" s="391"/>
      <c r="F25" s="392"/>
      <c r="G25" s="379"/>
      <c r="H25" s="373">
        <f t="shared" si="1"/>
        <v>15</v>
      </c>
    </row>
    <row r="26" spans="1:8" x14ac:dyDescent="0.3">
      <c r="A26" s="373">
        <f t="shared" si="0"/>
        <v>16</v>
      </c>
      <c r="B26" s="370" t="s">
        <v>239</v>
      </c>
      <c r="C26" s="393">
        <v>1.0274999999999999E-2</v>
      </c>
      <c r="D26" s="380"/>
      <c r="E26" s="557">
        <f>E24*C26</f>
        <v>3.239080566775655E-4</v>
      </c>
      <c r="F26" s="394"/>
      <c r="G26" s="379" t="str">
        <f>"Line "&amp;A24&amp;" x Franchise Fee Rate"</f>
        <v>Line 14 x Franchise Fee Rate</v>
      </c>
      <c r="H26" s="373">
        <f t="shared" si="1"/>
        <v>16</v>
      </c>
    </row>
    <row r="27" spans="1:8" x14ac:dyDescent="0.3">
      <c r="A27" s="373">
        <f t="shared" si="0"/>
        <v>17</v>
      </c>
      <c r="B27" s="369"/>
      <c r="C27" s="380"/>
      <c r="D27" s="380"/>
      <c r="E27" s="395"/>
      <c r="F27" s="396"/>
      <c r="G27" s="379"/>
      <c r="H27" s="373">
        <f t="shared" si="1"/>
        <v>17</v>
      </c>
    </row>
    <row r="28" spans="1:8" ht="16.2" thickBot="1" x14ac:dyDescent="0.35">
      <c r="A28" s="373">
        <f t="shared" si="0"/>
        <v>18</v>
      </c>
      <c r="B28" s="369" t="s">
        <v>240</v>
      </c>
      <c r="C28" s="380"/>
      <c r="D28" s="380"/>
      <c r="E28" s="673">
        <f>E24+E26</f>
        <v>3.1847806516781263E-2</v>
      </c>
      <c r="F28" s="27"/>
      <c r="G28" s="379" t="str">
        <f>"Line "&amp;A24&amp;" + Line "&amp;A26</f>
        <v>Line 14 + Line 16</v>
      </c>
      <c r="H28" s="373">
        <f t="shared" si="1"/>
        <v>18</v>
      </c>
    </row>
    <row r="29" spans="1:8" ht="16.2" thickTop="1" x14ac:dyDescent="0.3">
      <c r="A29" s="373">
        <f t="shared" si="0"/>
        <v>19</v>
      </c>
      <c r="B29" s="370"/>
      <c r="C29" s="372"/>
      <c r="D29" s="372"/>
      <c r="E29" s="380"/>
      <c r="F29" s="369"/>
      <c r="G29" s="369"/>
      <c r="H29" s="373">
        <f t="shared" si="1"/>
        <v>19</v>
      </c>
    </row>
    <row r="30" spans="1:8" x14ac:dyDescent="0.3">
      <c r="A30" s="373">
        <f t="shared" si="0"/>
        <v>20</v>
      </c>
      <c r="B30" s="376" t="s">
        <v>241</v>
      </c>
      <c r="C30" s="397"/>
      <c r="D30" s="397"/>
      <c r="E30" s="372"/>
      <c r="F30" s="370"/>
      <c r="G30" s="369"/>
      <c r="H30" s="373">
        <f t="shared" si="1"/>
        <v>20</v>
      </c>
    </row>
    <row r="31" spans="1:8" x14ac:dyDescent="0.3">
      <c r="A31" s="373">
        <f t="shared" si="0"/>
        <v>21</v>
      </c>
      <c r="B31" s="377" t="s">
        <v>392</v>
      </c>
      <c r="C31" s="378"/>
      <c r="D31" s="378"/>
      <c r="E31" s="398">
        <v>27000</v>
      </c>
      <c r="F31" s="375"/>
      <c r="G31" s="379" t="s">
        <v>242</v>
      </c>
      <c r="H31" s="373">
        <f t="shared" si="1"/>
        <v>21</v>
      </c>
    </row>
    <row r="32" spans="1:8" x14ac:dyDescent="0.3">
      <c r="A32" s="373">
        <f t="shared" si="0"/>
        <v>22</v>
      </c>
      <c r="B32" s="377"/>
      <c r="C32" s="378"/>
      <c r="D32" s="378"/>
      <c r="E32" s="378"/>
      <c r="F32" s="377"/>
      <c r="G32" s="379"/>
      <c r="H32" s="373">
        <f t="shared" si="1"/>
        <v>22</v>
      </c>
    </row>
    <row r="33" spans="1:8" x14ac:dyDescent="0.3">
      <c r="A33" s="373">
        <f t="shared" si="0"/>
        <v>23</v>
      </c>
      <c r="B33" s="377" t="s">
        <v>243</v>
      </c>
      <c r="C33" s="378"/>
      <c r="D33" s="378"/>
      <c r="E33" s="672">
        <f>+E28</f>
        <v>3.1847806516781263E-2</v>
      </c>
      <c r="F33" s="27"/>
      <c r="G33" s="379" t="str">
        <f>"Line "&amp;A28&amp;" Above"</f>
        <v>Line 18 Above</v>
      </c>
      <c r="H33" s="373">
        <f t="shared" si="1"/>
        <v>23</v>
      </c>
    </row>
    <row r="34" spans="1:8" x14ac:dyDescent="0.3">
      <c r="A34" s="373">
        <f t="shared" si="0"/>
        <v>24</v>
      </c>
      <c r="B34" s="369"/>
      <c r="C34" s="380"/>
      <c r="D34" s="380"/>
      <c r="E34" s="399"/>
      <c r="F34" s="400"/>
      <c r="G34" s="379"/>
      <c r="H34" s="373">
        <f t="shared" si="1"/>
        <v>24</v>
      </c>
    </row>
    <row r="35" spans="1:8" ht="16.2" thickBot="1" x14ac:dyDescent="0.35">
      <c r="A35" s="373">
        <f t="shared" si="0"/>
        <v>25</v>
      </c>
      <c r="B35" s="369" t="s">
        <v>244</v>
      </c>
      <c r="C35" s="378"/>
      <c r="D35" s="378"/>
      <c r="E35" s="674">
        <f>E31*E33</f>
        <v>859.89077595309413</v>
      </c>
      <c r="F35" s="27"/>
      <c r="G35" s="379" t="str">
        <f>"Line "&amp;A31&amp;" x Line "&amp;A33</f>
        <v>Line 21 x Line 23</v>
      </c>
      <c r="H35" s="373">
        <f t="shared" si="1"/>
        <v>25</v>
      </c>
    </row>
    <row r="36" spans="1:8" ht="16.2" thickTop="1" x14ac:dyDescent="0.3">
      <c r="A36" s="373"/>
      <c r="B36" s="369"/>
      <c r="C36" s="377"/>
      <c r="D36" s="377"/>
      <c r="E36" s="401"/>
      <c r="F36" s="402"/>
      <c r="G36" s="379"/>
      <c r="H36" s="373"/>
    </row>
    <row r="37" spans="1:8" x14ac:dyDescent="0.3">
      <c r="A37" s="541"/>
      <c r="B37" s="24"/>
      <c r="C37" s="369"/>
      <c r="D37" s="369"/>
      <c r="E37" s="387"/>
      <c r="F37" s="387"/>
      <c r="G37" s="370"/>
      <c r="H37" s="223"/>
    </row>
    <row r="38" spans="1:8" x14ac:dyDescent="0.3">
      <c r="A38" s="541"/>
      <c r="B38" s="24"/>
      <c r="C38" s="369"/>
      <c r="D38" s="369"/>
      <c r="E38" s="387"/>
      <c r="F38" s="387"/>
      <c r="G38" s="370"/>
      <c r="H38" s="223"/>
    </row>
    <row r="39" spans="1:8" x14ac:dyDescent="0.3">
      <c r="A39" s="372"/>
      <c r="B39" s="811" t="str">
        <f>B2</f>
        <v>SAN DIEGO GAS &amp; ELECTRIC COMPANY</v>
      </c>
      <c r="C39" s="811"/>
      <c r="D39" s="811"/>
      <c r="E39" s="811"/>
      <c r="F39" s="811"/>
      <c r="G39" s="811"/>
      <c r="H39" s="223"/>
    </row>
    <row r="40" spans="1:8" x14ac:dyDescent="0.3">
      <c r="B40" s="811" t="str">
        <f>B3</f>
        <v>CITIZENS' SHARE OF THE SX-PQ UNDERGROUND LINE SEGMENT</v>
      </c>
      <c r="C40" s="811"/>
      <c r="D40" s="811"/>
      <c r="E40" s="811"/>
      <c r="F40" s="811"/>
      <c r="G40" s="811"/>
      <c r="H40" s="388"/>
    </row>
    <row r="41" spans="1:8" x14ac:dyDescent="0.3">
      <c r="B41" s="810" t="str">
        <f>B4</f>
        <v xml:space="preserve">Section 2 - Non-Direct Expense Cost Component </v>
      </c>
      <c r="C41" s="810"/>
      <c r="D41" s="810"/>
      <c r="E41" s="810"/>
      <c r="F41" s="810"/>
      <c r="G41" s="810"/>
      <c r="H41" s="380"/>
    </row>
    <row r="42" spans="1:8" x14ac:dyDescent="0.3">
      <c r="B42" s="808" t="str">
        <f>B5</f>
        <v>Base Period &amp; True-Up Period 12 - Months Ending December 31, 2020</v>
      </c>
      <c r="C42" s="808"/>
      <c r="D42" s="808"/>
      <c r="E42" s="808"/>
      <c r="F42" s="808"/>
      <c r="G42" s="808"/>
      <c r="H42" s="380"/>
    </row>
    <row r="43" spans="1:8" x14ac:dyDescent="0.3">
      <c r="B43" s="809" t="str">
        <f>B6</f>
        <v>($1,000)</v>
      </c>
      <c r="C43" s="805"/>
      <c r="D43" s="805"/>
      <c r="E43" s="805"/>
      <c r="F43" s="805"/>
      <c r="G43" s="805"/>
      <c r="H43" s="150"/>
    </row>
    <row r="44" spans="1:8" x14ac:dyDescent="0.3">
      <c r="A44" s="403"/>
      <c r="B44" s="369"/>
      <c r="C44" s="369"/>
      <c r="D44" s="369"/>
      <c r="E44" s="369"/>
      <c r="F44" s="369"/>
      <c r="G44" s="369"/>
      <c r="H44" s="223"/>
    </row>
    <row r="45" spans="1:8" x14ac:dyDescent="0.3">
      <c r="A45" s="373" t="s">
        <v>2</v>
      </c>
      <c r="B45" s="369"/>
      <c r="C45" s="369"/>
      <c r="D45" s="369"/>
      <c r="E45" s="544"/>
      <c r="F45" s="544"/>
      <c r="G45" s="369"/>
      <c r="H45" s="373" t="s">
        <v>2</v>
      </c>
    </row>
    <row r="46" spans="1:8" x14ac:dyDescent="0.3">
      <c r="A46" s="373" t="s">
        <v>6</v>
      </c>
      <c r="B46" s="369"/>
      <c r="C46" s="369"/>
      <c r="D46" s="369"/>
      <c r="E46" s="374" t="s">
        <v>4</v>
      </c>
      <c r="F46" s="379"/>
      <c r="G46" s="374" t="s">
        <v>5</v>
      </c>
      <c r="H46" s="373" t="s">
        <v>6</v>
      </c>
    </row>
    <row r="47" spans="1:8" x14ac:dyDescent="0.3">
      <c r="A47" s="373"/>
      <c r="B47" s="369"/>
      <c r="C47" s="369"/>
      <c r="D47" s="369"/>
      <c r="E47" s="544"/>
      <c r="F47" s="544"/>
      <c r="G47" s="369"/>
      <c r="H47" s="373"/>
    </row>
    <row r="48" spans="1:8" x14ac:dyDescent="0.3">
      <c r="A48" s="373">
        <v>1</v>
      </c>
      <c r="B48" s="404" t="s">
        <v>22</v>
      </c>
      <c r="C48" s="404"/>
      <c r="D48" s="404"/>
      <c r="E48" s="405">
        <f>'Pg13 Rev AV-4'!C16</f>
        <v>5362709.3410053086</v>
      </c>
      <c r="F48" s="544"/>
      <c r="G48" s="379" t="s">
        <v>412</v>
      </c>
      <c r="H48" s="373">
        <f>A48</f>
        <v>1</v>
      </c>
    </row>
    <row r="49" spans="1:10" x14ac:dyDescent="0.3">
      <c r="A49" s="373">
        <f>A48+1</f>
        <v>2</v>
      </c>
      <c r="B49" s="369"/>
      <c r="C49" s="369"/>
      <c r="D49" s="369"/>
      <c r="E49" s="368"/>
      <c r="F49" s="544"/>
      <c r="G49" s="369"/>
      <c r="H49" s="373">
        <f>H48+1</f>
        <v>2</v>
      </c>
    </row>
    <row r="50" spans="1:10" x14ac:dyDescent="0.3">
      <c r="A50" s="373">
        <f t="shared" ref="A50:A98" si="2">A49+1</f>
        <v>3</v>
      </c>
      <c r="B50" s="376" t="s">
        <v>245</v>
      </c>
      <c r="C50" s="376"/>
      <c r="D50" s="376"/>
      <c r="E50" s="406"/>
      <c r="F50" s="407"/>
      <c r="G50" s="369"/>
      <c r="H50" s="373">
        <f t="shared" ref="H50:H98" si="3">H49+1</f>
        <v>3</v>
      </c>
    </row>
    <row r="51" spans="1:10" x14ac:dyDescent="0.3">
      <c r="A51" s="373">
        <f t="shared" si="2"/>
        <v>4</v>
      </c>
      <c r="B51" s="377" t="s">
        <v>246</v>
      </c>
      <c r="C51" s="377"/>
      <c r="D51" s="377"/>
      <c r="E51" s="675">
        <f>'Pg9 Rev Stmt AH'!E27</f>
        <v>33651.210460000017</v>
      </c>
      <c r="F51" s="27"/>
      <c r="G51" s="379" t="s">
        <v>413</v>
      </c>
      <c r="H51" s="373">
        <f t="shared" si="3"/>
        <v>4</v>
      </c>
      <c r="J51" s="408"/>
    </row>
    <row r="52" spans="1:10" x14ac:dyDescent="0.3">
      <c r="A52" s="373">
        <f t="shared" si="2"/>
        <v>5</v>
      </c>
      <c r="B52" s="377"/>
      <c r="C52" s="377"/>
      <c r="D52" s="377"/>
      <c r="E52" s="409"/>
      <c r="F52" s="410"/>
      <c r="G52" s="379"/>
      <c r="H52" s="373">
        <f t="shared" si="3"/>
        <v>5</v>
      </c>
      <c r="J52" s="408"/>
    </row>
    <row r="53" spans="1:10" x14ac:dyDescent="0.3">
      <c r="A53" s="373">
        <f t="shared" si="2"/>
        <v>6</v>
      </c>
      <c r="B53" s="377" t="s">
        <v>247</v>
      </c>
      <c r="C53" s="369"/>
      <c r="D53" s="369"/>
      <c r="E53" s="418">
        <f>E51/E48</f>
        <v>6.2750390372064554E-3</v>
      </c>
      <c r="F53" s="27"/>
      <c r="G53" s="379" t="s">
        <v>414</v>
      </c>
      <c r="H53" s="373">
        <f t="shared" si="3"/>
        <v>6</v>
      </c>
      <c r="J53" s="408"/>
    </row>
    <row r="54" spans="1:10" x14ac:dyDescent="0.3">
      <c r="A54" s="373">
        <f t="shared" si="2"/>
        <v>7</v>
      </c>
      <c r="B54" s="377"/>
      <c r="C54" s="377"/>
      <c r="D54" s="377"/>
      <c r="E54" s="411"/>
      <c r="F54" s="412"/>
      <c r="G54" s="379"/>
      <c r="H54" s="373">
        <f t="shared" si="3"/>
        <v>7</v>
      </c>
    </row>
    <row r="55" spans="1:10" x14ac:dyDescent="0.3">
      <c r="A55" s="373">
        <f t="shared" si="2"/>
        <v>8</v>
      </c>
      <c r="B55" s="376" t="s">
        <v>248</v>
      </c>
      <c r="C55" s="376"/>
      <c r="D55" s="376"/>
      <c r="E55" s="413"/>
      <c r="F55" s="414"/>
      <c r="G55" s="415"/>
      <c r="H55" s="373">
        <f t="shared" si="3"/>
        <v>8</v>
      </c>
    </row>
    <row r="56" spans="1:10" x14ac:dyDescent="0.3">
      <c r="A56" s="373">
        <f t="shared" si="2"/>
        <v>9</v>
      </c>
      <c r="B56" s="377" t="s">
        <v>249</v>
      </c>
      <c r="C56" s="377"/>
      <c r="D56" s="377"/>
      <c r="E56" s="416">
        <f>'Pg9 Rev Stmt AH'!E50</f>
        <v>45991.371993598652</v>
      </c>
      <c r="F56" s="27" t="s">
        <v>16</v>
      </c>
      <c r="G56" s="379" t="s">
        <v>415</v>
      </c>
      <c r="H56" s="373">
        <f t="shared" si="3"/>
        <v>9</v>
      </c>
    </row>
    <row r="57" spans="1:10" x14ac:dyDescent="0.3">
      <c r="A57" s="373">
        <f t="shared" si="2"/>
        <v>10</v>
      </c>
      <c r="B57" s="369"/>
      <c r="C57" s="369"/>
      <c r="D57" s="369"/>
      <c r="E57" s="413"/>
      <c r="F57" s="414"/>
      <c r="G57" s="379"/>
      <c r="H57" s="373">
        <f t="shared" si="3"/>
        <v>10</v>
      </c>
    </row>
    <row r="58" spans="1:10" x14ac:dyDescent="0.3">
      <c r="A58" s="373">
        <f t="shared" si="2"/>
        <v>11</v>
      </c>
      <c r="B58" s="417" t="s">
        <v>250</v>
      </c>
      <c r="C58" s="415"/>
      <c r="D58" s="415"/>
      <c r="E58" s="418">
        <f>E56/E48</f>
        <v>8.576144830735313E-3</v>
      </c>
      <c r="F58" s="419"/>
      <c r="G58" s="379" t="s">
        <v>416</v>
      </c>
      <c r="H58" s="373">
        <f t="shared" si="3"/>
        <v>11</v>
      </c>
    </row>
    <row r="59" spans="1:10" x14ac:dyDescent="0.3">
      <c r="A59" s="373">
        <f t="shared" si="2"/>
        <v>12</v>
      </c>
      <c r="B59" s="415"/>
      <c r="C59" s="415"/>
      <c r="D59" s="415"/>
      <c r="E59" s="420"/>
      <c r="F59" s="421"/>
      <c r="G59" s="379"/>
      <c r="H59" s="373">
        <f t="shared" si="3"/>
        <v>12</v>
      </c>
    </row>
    <row r="60" spans="1:10" x14ac:dyDescent="0.3">
      <c r="A60" s="373">
        <f t="shared" si="2"/>
        <v>13</v>
      </c>
      <c r="B60" s="376" t="s">
        <v>251</v>
      </c>
      <c r="C60" s="415"/>
      <c r="D60" s="415"/>
      <c r="E60" s="420"/>
      <c r="F60" s="421"/>
      <c r="G60" s="379"/>
      <c r="H60" s="373">
        <f t="shared" si="3"/>
        <v>13</v>
      </c>
    </row>
    <row r="61" spans="1:10" x14ac:dyDescent="0.3">
      <c r="A61" s="373">
        <f t="shared" si="2"/>
        <v>14</v>
      </c>
      <c r="B61" s="417" t="s">
        <v>234</v>
      </c>
      <c r="C61" s="415"/>
      <c r="D61" s="415"/>
      <c r="E61" s="422">
        <v>56881.459335723564</v>
      </c>
      <c r="F61" s="421"/>
      <c r="G61" s="379" t="s">
        <v>417</v>
      </c>
      <c r="H61" s="373">
        <f t="shared" si="3"/>
        <v>14</v>
      </c>
    </row>
    <row r="62" spans="1:10" x14ac:dyDescent="0.3">
      <c r="A62" s="373">
        <f t="shared" si="2"/>
        <v>15</v>
      </c>
      <c r="B62" s="415"/>
      <c r="C62" s="415"/>
      <c r="D62" s="415"/>
      <c r="E62" s="413"/>
      <c r="F62" s="421"/>
      <c r="G62" s="379"/>
      <c r="H62" s="373">
        <f t="shared" si="3"/>
        <v>15</v>
      </c>
    </row>
    <row r="63" spans="1:10" x14ac:dyDescent="0.3">
      <c r="A63" s="373">
        <f t="shared" si="2"/>
        <v>16</v>
      </c>
      <c r="B63" s="417" t="s">
        <v>252</v>
      </c>
      <c r="C63" s="415"/>
      <c r="D63" s="415"/>
      <c r="E63" s="418">
        <f>E61/E48</f>
        <v>1.060685107447207E-2</v>
      </c>
      <c r="F63" s="421"/>
      <c r="G63" s="379" t="s">
        <v>418</v>
      </c>
      <c r="H63" s="373">
        <f t="shared" si="3"/>
        <v>16</v>
      </c>
    </row>
    <row r="64" spans="1:10" x14ac:dyDescent="0.3">
      <c r="A64" s="373">
        <f t="shared" si="2"/>
        <v>17</v>
      </c>
      <c r="B64" s="415"/>
      <c r="C64" s="415"/>
      <c r="D64" s="415"/>
      <c r="E64" s="420"/>
      <c r="F64" s="421"/>
      <c r="G64" s="379"/>
      <c r="H64" s="373">
        <f t="shared" si="3"/>
        <v>17</v>
      </c>
    </row>
    <row r="65" spans="1:8" x14ac:dyDescent="0.3">
      <c r="A65" s="373">
        <f t="shared" si="2"/>
        <v>18</v>
      </c>
      <c r="B65" s="376" t="s">
        <v>253</v>
      </c>
      <c r="C65" s="376"/>
      <c r="D65" s="376"/>
      <c r="E65" s="420"/>
      <c r="F65" s="421"/>
      <c r="G65" s="379"/>
      <c r="H65" s="373">
        <f t="shared" si="3"/>
        <v>18</v>
      </c>
    </row>
    <row r="66" spans="1:8" x14ac:dyDescent="0.3">
      <c r="A66" s="373">
        <f t="shared" si="2"/>
        <v>19</v>
      </c>
      <c r="B66" s="377" t="s">
        <v>235</v>
      </c>
      <c r="C66" s="377"/>
      <c r="D66" s="377"/>
      <c r="E66" s="422">
        <v>1699.0807697468208</v>
      </c>
      <c r="F66" s="544"/>
      <c r="G66" s="379" t="s">
        <v>419</v>
      </c>
      <c r="H66" s="373">
        <f t="shared" si="3"/>
        <v>19</v>
      </c>
    </row>
    <row r="67" spans="1:8" x14ac:dyDescent="0.3">
      <c r="A67" s="373">
        <f t="shared" si="2"/>
        <v>20</v>
      </c>
      <c r="B67" s="415"/>
      <c r="C67" s="415"/>
      <c r="D67" s="415"/>
      <c r="E67" s="420"/>
      <c r="F67" s="421"/>
      <c r="G67" s="379"/>
      <c r="H67" s="373">
        <f t="shared" si="3"/>
        <v>20</v>
      </c>
    </row>
    <row r="68" spans="1:8" x14ac:dyDescent="0.3">
      <c r="A68" s="373">
        <f t="shared" si="2"/>
        <v>21</v>
      </c>
      <c r="B68" s="417" t="s">
        <v>254</v>
      </c>
      <c r="C68" s="415"/>
      <c r="D68" s="415"/>
      <c r="E68" s="418">
        <f>E66/E48</f>
        <v>3.1683253029490246E-4</v>
      </c>
      <c r="F68" s="419"/>
      <c r="G68" s="379" t="s">
        <v>420</v>
      </c>
      <c r="H68" s="373">
        <f t="shared" si="3"/>
        <v>21</v>
      </c>
    </row>
    <row r="69" spans="1:8" x14ac:dyDescent="0.3">
      <c r="A69" s="373">
        <f t="shared" si="2"/>
        <v>22</v>
      </c>
      <c r="B69" s="415"/>
      <c r="C69" s="415"/>
      <c r="D69" s="415"/>
      <c r="E69" s="420"/>
      <c r="F69" s="421"/>
      <c r="G69" s="379"/>
      <c r="H69" s="373">
        <f t="shared" si="3"/>
        <v>22</v>
      </c>
    </row>
    <row r="70" spans="1:8" x14ac:dyDescent="0.3">
      <c r="A70" s="373">
        <f t="shared" si="2"/>
        <v>23</v>
      </c>
      <c r="B70" s="376" t="s">
        <v>255</v>
      </c>
      <c r="C70" s="376"/>
      <c r="D70" s="376"/>
      <c r="E70" s="423"/>
      <c r="F70" s="424"/>
      <c r="G70" s="379"/>
      <c r="H70" s="373">
        <f t="shared" si="3"/>
        <v>23</v>
      </c>
    </row>
    <row r="71" spans="1:8" x14ac:dyDescent="0.3">
      <c r="A71" s="373">
        <f t="shared" si="2"/>
        <v>24</v>
      </c>
      <c r="B71" s="425" t="s">
        <v>393</v>
      </c>
      <c r="C71" s="369"/>
      <c r="D71" s="369"/>
      <c r="E71" s="423"/>
      <c r="F71" s="424"/>
      <c r="G71" s="379"/>
      <c r="H71" s="373">
        <f t="shared" si="3"/>
        <v>24</v>
      </c>
    </row>
    <row r="72" spans="1:8" x14ac:dyDescent="0.3">
      <c r="A72" s="373">
        <f t="shared" si="2"/>
        <v>25</v>
      </c>
      <c r="B72" s="377" t="s">
        <v>256</v>
      </c>
      <c r="C72" s="377"/>
      <c r="D72" s="377"/>
      <c r="E72" s="426">
        <f>'Pg10 Rev Stmt AL'!G15</f>
        <v>50955.986223078966</v>
      </c>
      <c r="F72" s="544"/>
      <c r="G72" s="379" t="s">
        <v>421</v>
      </c>
      <c r="H72" s="373">
        <f t="shared" si="3"/>
        <v>25</v>
      </c>
    </row>
    <row r="73" spans="1:8" x14ac:dyDescent="0.3">
      <c r="A73" s="373">
        <f t="shared" si="2"/>
        <v>26</v>
      </c>
      <c r="B73" s="377" t="s">
        <v>257</v>
      </c>
      <c r="C73" s="377"/>
      <c r="D73" s="377"/>
      <c r="E73" s="427">
        <f>'Pg10 Rev Stmt AL'!G19</f>
        <v>37080.695383757316</v>
      </c>
      <c r="F73" s="544"/>
      <c r="G73" s="379" t="s">
        <v>422</v>
      </c>
      <c r="H73" s="373">
        <f t="shared" si="3"/>
        <v>26</v>
      </c>
    </row>
    <row r="74" spans="1:8" x14ac:dyDescent="0.3">
      <c r="A74" s="373">
        <f t="shared" si="2"/>
        <v>27</v>
      </c>
      <c r="B74" s="377" t="s">
        <v>258</v>
      </c>
      <c r="C74" s="377"/>
      <c r="D74" s="377"/>
      <c r="E74" s="428">
        <f>'Pg10 Rev Stmt AL'!E29</f>
        <v>9955.3228066998345</v>
      </c>
      <c r="F74" s="27" t="s">
        <v>16</v>
      </c>
      <c r="G74" s="379" t="s">
        <v>423</v>
      </c>
      <c r="H74" s="373">
        <f t="shared" si="3"/>
        <v>27</v>
      </c>
    </row>
    <row r="75" spans="1:8" x14ac:dyDescent="0.3">
      <c r="A75" s="373">
        <f t="shared" si="2"/>
        <v>28</v>
      </c>
      <c r="B75" s="377" t="s">
        <v>259</v>
      </c>
      <c r="C75" s="369"/>
      <c r="D75" s="369"/>
      <c r="E75" s="429">
        <f>SUM(E72:E74)</f>
        <v>97992.004413536109</v>
      </c>
      <c r="F75" s="27" t="s">
        <v>16</v>
      </c>
      <c r="G75" s="379" t="s">
        <v>424</v>
      </c>
      <c r="H75" s="373">
        <f t="shared" si="3"/>
        <v>28</v>
      </c>
    </row>
    <row r="76" spans="1:8" x14ac:dyDescent="0.3">
      <c r="A76" s="373">
        <f t="shared" si="2"/>
        <v>29</v>
      </c>
      <c r="B76" s="369"/>
      <c r="C76" s="369"/>
      <c r="D76" s="369"/>
      <c r="E76" s="430"/>
      <c r="F76" s="431"/>
      <c r="G76" s="379"/>
      <c r="H76" s="373">
        <f t="shared" si="3"/>
        <v>29</v>
      </c>
    </row>
    <row r="77" spans="1:8" x14ac:dyDescent="0.3">
      <c r="A77" s="373">
        <f t="shared" si="2"/>
        <v>30</v>
      </c>
      <c r="B77" s="377" t="s">
        <v>260</v>
      </c>
      <c r="C77" s="377"/>
      <c r="D77" s="377"/>
      <c r="E77" s="736">
        <f>'Pg11 Rev Stmt AV'!G110</f>
        <v>0.10066568521995188</v>
      </c>
      <c r="F77" s="27" t="s">
        <v>16</v>
      </c>
      <c r="G77" s="379" t="s">
        <v>425</v>
      </c>
      <c r="H77" s="373">
        <f t="shared" si="3"/>
        <v>30</v>
      </c>
    </row>
    <row r="78" spans="1:8" x14ac:dyDescent="0.3">
      <c r="A78" s="373">
        <f t="shared" si="2"/>
        <v>31</v>
      </c>
      <c r="B78" s="369"/>
      <c r="C78" s="369"/>
      <c r="D78" s="369"/>
      <c r="E78" s="430"/>
      <c r="F78" s="431"/>
      <c r="G78" s="379"/>
      <c r="H78" s="373">
        <f t="shared" si="3"/>
        <v>31</v>
      </c>
    </row>
    <row r="79" spans="1:8" x14ac:dyDescent="0.3">
      <c r="A79" s="373">
        <f t="shared" si="2"/>
        <v>32</v>
      </c>
      <c r="B79" s="377" t="s">
        <v>261</v>
      </c>
      <c r="C79" s="369"/>
      <c r="D79" s="369"/>
      <c r="E79" s="676">
        <f>E75*E77</f>
        <v>9864.4322703651615</v>
      </c>
      <c r="F79" s="27"/>
      <c r="G79" s="379" t="s">
        <v>426</v>
      </c>
      <c r="H79" s="373">
        <f t="shared" si="3"/>
        <v>32</v>
      </c>
    </row>
    <row r="80" spans="1:8" x14ac:dyDescent="0.3">
      <c r="A80" s="373">
        <f t="shared" si="2"/>
        <v>33</v>
      </c>
      <c r="B80" s="369"/>
      <c r="C80" s="369"/>
      <c r="D80" s="369"/>
      <c r="E80" s="430"/>
      <c r="F80" s="431"/>
      <c r="G80" s="379"/>
      <c r="H80" s="373">
        <f t="shared" si="3"/>
        <v>33</v>
      </c>
    </row>
    <row r="81" spans="1:9" x14ac:dyDescent="0.3">
      <c r="A81" s="373">
        <f t="shared" si="2"/>
        <v>34</v>
      </c>
      <c r="B81" s="377" t="s">
        <v>262</v>
      </c>
      <c r="C81" s="369"/>
      <c r="D81" s="369"/>
      <c r="E81" s="418">
        <f>E79/E48</f>
        <v>1.8394493609672209E-3</v>
      </c>
      <c r="F81" s="419"/>
      <c r="G81" s="379" t="s">
        <v>427</v>
      </c>
      <c r="H81" s="373">
        <f t="shared" si="3"/>
        <v>34</v>
      </c>
    </row>
    <row r="82" spans="1:9" x14ac:dyDescent="0.3">
      <c r="A82" s="373">
        <f t="shared" si="2"/>
        <v>35</v>
      </c>
      <c r="B82" s="377"/>
      <c r="C82" s="369"/>
      <c r="D82" s="369"/>
      <c r="E82" s="433"/>
      <c r="F82" s="419"/>
      <c r="G82" s="379"/>
      <c r="H82" s="373">
        <f t="shared" si="3"/>
        <v>35</v>
      </c>
    </row>
    <row r="83" spans="1:9" x14ac:dyDescent="0.3">
      <c r="A83" s="373">
        <f t="shared" si="2"/>
        <v>36</v>
      </c>
      <c r="B83" s="376" t="s">
        <v>263</v>
      </c>
      <c r="C83" s="434"/>
      <c r="D83" s="434"/>
      <c r="E83" s="435"/>
      <c r="F83" s="435"/>
      <c r="G83" s="435"/>
      <c r="H83" s="373">
        <f t="shared" si="3"/>
        <v>36</v>
      </c>
    </row>
    <row r="84" spans="1:9" x14ac:dyDescent="0.3">
      <c r="A84" s="373">
        <f t="shared" si="2"/>
        <v>37</v>
      </c>
      <c r="B84" s="377" t="s">
        <v>264</v>
      </c>
      <c r="C84" s="434"/>
      <c r="D84" s="434"/>
      <c r="E84" s="191">
        <f>'Pg13 Rev AV-4'!C14</f>
        <v>28018.267765879718</v>
      </c>
      <c r="F84" s="435"/>
      <c r="G84" s="379" t="s">
        <v>428</v>
      </c>
      <c r="H84" s="373">
        <f t="shared" si="3"/>
        <v>37</v>
      </c>
    </row>
    <row r="85" spans="1:9" x14ac:dyDescent="0.3">
      <c r="A85" s="373">
        <f t="shared" si="2"/>
        <v>38</v>
      </c>
      <c r="B85" s="376"/>
      <c r="C85" s="434"/>
      <c r="D85" s="434"/>
      <c r="E85" s="435"/>
      <c r="F85" s="435"/>
      <c r="G85" s="435"/>
      <c r="H85" s="373">
        <f t="shared" si="3"/>
        <v>38</v>
      </c>
    </row>
    <row r="86" spans="1:9" x14ac:dyDescent="0.3">
      <c r="A86" s="373">
        <f t="shared" si="2"/>
        <v>39</v>
      </c>
      <c r="B86" s="377" t="s">
        <v>265</v>
      </c>
      <c r="C86" s="434"/>
      <c r="D86" s="434"/>
      <c r="E86" s="436">
        <f>'Pg13 Rev AV-4'!C15</f>
        <v>58941.050956189742</v>
      </c>
      <c r="F86" s="435"/>
      <c r="G86" s="379" t="s">
        <v>429</v>
      </c>
      <c r="H86" s="373">
        <f t="shared" si="3"/>
        <v>39</v>
      </c>
    </row>
    <row r="87" spans="1:9" ht="19.2" x14ac:dyDescent="0.6">
      <c r="A87" s="373">
        <f t="shared" si="2"/>
        <v>40</v>
      </c>
      <c r="B87" s="434"/>
      <c r="C87" s="437"/>
      <c r="D87" s="437"/>
      <c r="E87" s="438"/>
      <c r="F87" s="439"/>
      <c r="G87" s="434"/>
      <c r="H87" s="373">
        <f t="shared" si="3"/>
        <v>40</v>
      </c>
    </row>
    <row r="88" spans="1:9" x14ac:dyDescent="0.3">
      <c r="A88" s="373">
        <f t="shared" si="2"/>
        <v>41</v>
      </c>
      <c r="B88" s="377" t="s">
        <v>266</v>
      </c>
      <c r="C88" s="437"/>
      <c r="D88" s="437"/>
      <c r="E88" s="440">
        <f>E84+E86</f>
        <v>86959.318722069467</v>
      </c>
      <c r="F88" s="441"/>
      <c r="G88" s="379" t="s">
        <v>430</v>
      </c>
      <c r="H88" s="373">
        <f t="shared" si="3"/>
        <v>41</v>
      </c>
    </row>
    <row r="89" spans="1:9" x14ac:dyDescent="0.3">
      <c r="A89" s="373">
        <f t="shared" si="2"/>
        <v>42</v>
      </c>
      <c r="B89" s="442"/>
      <c r="C89" s="437"/>
      <c r="D89" s="437"/>
      <c r="E89" s="443"/>
      <c r="F89" s="441"/>
      <c r="G89" s="444"/>
      <c r="H89" s="373">
        <f t="shared" si="3"/>
        <v>42</v>
      </c>
    </row>
    <row r="90" spans="1:9" x14ac:dyDescent="0.3">
      <c r="A90" s="373">
        <f t="shared" si="2"/>
        <v>43</v>
      </c>
      <c r="B90" s="377" t="s">
        <v>260</v>
      </c>
      <c r="C90" s="437"/>
      <c r="D90" s="437"/>
      <c r="E90" s="742">
        <f>E77</f>
        <v>0.10066568521995188</v>
      </c>
      <c r="F90" s="541" t="s">
        <v>16</v>
      </c>
      <c r="G90" s="379" t="s">
        <v>431</v>
      </c>
      <c r="H90" s="373">
        <f t="shared" si="3"/>
        <v>43</v>
      </c>
    </row>
    <row r="91" spans="1:9" x14ac:dyDescent="0.3">
      <c r="A91" s="373">
        <f t="shared" si="2"/>
        <v>44</v>
      </c>
      <c r="B91" s="434"/>
      <c r="C91" s="437"/>
      <c r="D91" s="437"/>
      <c r="E91" s="446"/>
      <c r="F91" s="447"/>
      <c r="G91" s="434"/>
      <c r="H91" s="373">
        <f t="shared" si="3"/>
        <v>44</v>
      </c>
    </row>
    <row r="92" spans="1:9" x14ac:dyDescent="0.3">
      <c r="A92" s="373">
        <f t="shared" si="2"/>
        <v>45</v>
      </c>
      <c r="B92" s="377" t="s">
        <v>267</v>
      </c>
      <c r="C92" s="437"/>
      <c r="D92" s="437"/>
      <c r="E92" s="336">
        <f>E88*E90</f>
        <v>8753.8194054173127</v>
      </c>
      <c r="F92" s="448"/>
      <c r="G92" s="379" t="s">
        <v>432</v>
      </c>
      <c r="H92" s="373">
        <f t="shared" si="3"/>
        <v>45</v>
      </c>
    </row>
    <row r="93" spans="1:9" x14ac:dyDescent="0.3">
      <c r="A93" s="373">
        <f t="shared" si="2"/>
        <v>46</v>
      </c>
      <c r="B93" s="442"/>
      <c r="C93" s="437"/>
      <c r="D93" s="437"/>
      <c r="E93" s="449"/>
      <c r="F93" s="448"/>
      <c r="G93" s="444"/>
      <c r="H93" s="373">
        <f t="shared" si="3"/>
        <v>46</v>
      </c>
    </row>
    <row r="94" spans="1:9" x14ac:dyDescent="0.3">
      <c r="A94" s="373">
        <f t="shared" si="2"/>
        <v>47</v>
      </c>
      <c r="B94" s="377" t="s">
        <v>268</v>
      </c>
      <c r="C94" s="437"/>
      <c r="D94" s="437"/>
      <c r="E94" s="450">
        <v>12212.130502049462</v>
      </c>
      <c r="F94" s="448"/>
      <c r="G94" s="379" t="s">
        <v>433</v>
      </c>
      <c r="H94" s="373">
        <f t="shared" si="3"/>
        <v>47</v>
      </c>
      <c r="I94" s="437"/>
    </row>
    <row r="95" spans="1:9" x14ac:dyDescent="0.3">
      <c r="A95" s="373">
        <f t="shared" si="2"/>
        <v>48</v>
      </c>
      <c r="B95" s="377"/>
      <c r="C95" s="437"/>
      <c r="D95" s="437"/>
      <c r="E95" s="331"/>
      <c r="F95" s="448"/>
      <c r="G95" s="379"/>
      <c r="H95" s="373">
        <f t="shared" si="3"/>
        <v>48</v>
      </c>
    </row>
    <row r="96" spans="1:9" x14ac:dyDescent="0.3">
      <c r="A96" s="373">
        <f t="shared" si="2"/>
        <v>49</v>
      </c>
      <c r="B96" s="377" t="s">
        <v>269</v>
      </c>
      <c r="C96" s="437"/>
      <c r="D96" s="437"/>
      <c r="E96" s="331">
        <f>E92+E94</f>
        <v>20965.949907466776</v>
      </c>
      <c r="F96" s="448"/>
      <c r="G96" s="379" t="s">
        <v>434</v>
      </c>
      <c r="H96" s="373">
        <f t="shared" si="3"/>
        <v>49</v>
      </c>
    </row>
    <row r="97" spans="1:8" x14ac:dyDescent="0.3">
      <c r="A97" s="373">
        <f t="shared" si="2"/>
        <v>50</v>
      </c>
      <c r="B97" s="434"/>
      <c r="C97" s="437"/>
      <c r="D97" s="437"/>
      <c r="E97" s="451"/>
      <c r="F97" s="434"/>
      <c r="G97" s="434"/>
      <c r="H97" s="373">
        <f t="shared" si="3"/>
        <v>50</v>
      </c>
    </row>
    <row r="98" spans="1:8" ht="16.2" thickBot="1" x14ac:dyDescent="0.35">
      <c r="A98" s="373">
        <f t="shared" si="2"/>
        <v>51</v>
      </c>
      <c r="B98" s="377" t="s">
        <v>270</v>
      </c>
      <c r="C98" s="437"/>
      <c r="D98" s="437"/>
      <c r="E98" s="452">
        <f>E96/E48</f>
        <v>3.9095816264277418E-3</v>
      </c>
      <c r="F98" s="453"/>
      <c r="G98" s="379" t="s">
        <v>435</v>
      </c>
      <c r="H98" s="373">
        <f t="shared" si="3"/>
        <v>51</v>
      </c>
    </row>
    <row r="99" spans="1:8" ht="16.2" thickTop="1" x14ac:dyDescent="0.3">
      <c r="A99" s="380"/>
    </row>
    <row r="100" spans="1:8" x14ac:dyDescent="0.3">
      <c r="A100" s="380"/>
    </row>
    <row r="101" spans="1:8" x14ac:dyDescent="0.3">
      <c r="A101" s="541" t="s">
        <v>16</v>
      </c>
      <c r="B101" s="24" t="str">
        <f>'Pg3 Rev Appendix XII C4'!B55</f>
        <v>Items in BOLD have changed due to A&amp;G adjustments and removal of CIAC related ADIT per SDG&amp;E's TO5 Cycle 4 Letter Order determination in ER22-527</v>
      </c>
    </row>
    <row r="102" spans="1:8" x14ac:dyDescent="0.3">
      <c r="A102" s="380"/>
      <c r="B102" s="24" t="str">
        <f>'Pg3 Rev Appendix XII C4'!B56</f>
        <v>as compared to the original SX-PQ Appendix XII Cycle 4 filing per ER22-133.</v>
      </c>
    </row>
    <row r="103" spans="1:8" x14ac:dyDescent="0.3">
      <c r="A103" s="380"/>
    </row>
    <row r="104" spans="1:8" x14ac:dyDescent="0.3">
      <c r="A104" s="380"/>
    </row>
    <row r="105" spans="1:8" x14ac:dyDescent="0.3">
      <c r="A105" s="380"/>
    </row>
    <row r="106" spans="1:8" x14ac:dyDescent="0.3">
      <c r="A106" s="380"/>
    </row>
    <row r="107" spans="1:8" x14ac:dyDescent="0.3">
      <c r="A107" s="380"/>
    </row>
    <row r="108" spans="1:8" x14ac:dyDescent="0.3">
      <c r="A108" s="380"/>
    </row>
    <row r="109" spans="1:8" x14ac:dyDescent="0.3">
      <c r="A109" s="380"/>
    </row>
    <row r="110" spans="1:8" x14ac:dyDescent="0.3">
      <c r="A110" s="380"/>
    </row>
    <row r="111" spans="1:8" x14ac:dyDescent="0.3">
      <c r="A111" s="380"/>
    </row>
    <row r="112" spans="1:8" x14ac:dyDescent="0.3">
      <c r="A112" s="380"/>
    </row>
    <row r="113" spans="1:1" x14ac:dyDescent="0.3">
      <c r="A113" s="380"/>
    </row>
    <row r="114" spans="1:1" x14ac:dyDescent="0.3">
      <c r="A114" s="380"/>
    </row>
    <row r="115" spans="1:1" x14ac:dyDescent="0.3">
      <c r="A115" s="380"/>
    </row>
    <row r="116" spans="1:1" x14ac:dyDescent="0.3">
      <c r="A116" s="380"/>
    </row>
    <row r="117" spans="1:1" x14ac:dyDescent="0.3">
      <c r="A117" s="380"/>
    </row>
    <row r="118" spans="1:1" x14ac:dyDescent="0.3">
      <c r="A118" s="380"/>
    </row>
    <row r="119" spans="1:1" x14ac:dyDescent="0.3">
      <c r="A119" s="380"/>
    </row>
    <row r="120" spans="1:1" x14ac:dyDescent="0.3">
      <c r="A120" s="380"/>
    </row>
    <row r="121" spans="1:1" x14ac:dyDescent="0.3">
      <c r="A121" s="380"/>
    </row>
    <row r="122" spans="1:1" x14ac:dyDescent="0.3">
      <c r="A122" s="380"/>
    </row>
    <row r="123" spans="1:1" x14ac:dyDescent="0.3">
      <c r="A123" s="380"/>
    </row>
    <row r="124" spans="1:1" x14ac:dyDescent="0.3">
      <c r="A124" s="380"/>
    </row>
    <row r="125" spans="1:1" x14ac:dyDescent="0.3">
      <c r="A125" s="380"/>
    </row>
    <row r="126" spans="1:1" x14ac:dyDescent="0.3">
      <c r="A126" s="380"/>
    </row>
    <row r="127" spans="1:1" x14ac:dyDescent="0.3">
      <c r="A127" s="380"/>
    </row>
    <row r="128" spans="1:1" x14ac:dyDescent="0.3">
      <c r="A128" s="380"/>
    </row>
    <row r="129" spans="1:1" x14ac:dyDescent="0.3">
      <c r="A129" s="380"/>
    </row>
    <row r="130" spans="1:1" x14ac:dyDescent="0.3">
      <c r="A130" s="380"/>
    </row>
    <row r="131" spans="1:1" x14ac:dyDescent="0.3">
      <c r="A131" s="380"/>
    </row>
    <row r="132" spans="1:1" x14ac:dyDescent="0.3">
      <c r="A132" s="380"/>
    </row>
    <row r="133" spans="1:1" x14ac:dyDescent="0.3">
      <c r="A133" s="380"/>
    </row>
    <row r="134" spans="1:1" x14ac:dyDescent="0.3">
      <c r="A134" s="380"/>
    </row>
    <row r="135" spans="1:1" x14ac:dyDescent="0.3">
      <c r="A135" s="380"/>
    </row>
    <row r="136" spans="1:1" x14ac:dyDescent="0.3">
      <c r="A136" s="380"/>
    </row>
    <row r="137" spans="1:1" x14ac:dyDescent="0.3">
      <c r="A137" s="380"/>
    </row>
    <row r="138" spans="1:1" x14ac:dyDescent="0.3">
      <c r="A138" s="380"/>
    </row>
    <row r="139" spans="1:1" x14ac:dyDescent="0.3">
      <c r="A139" s="380"/>
    </row>
    <row r="140" spans="1:1" x14ac:dyDescent="0.3">
      <c r="A140" s="380"/>
    </row>
    <row r="141" spans="1:1" x14ac:dyDescent="0.3">
      <c r="A141" s="380"/>
    </row>
    <row r="142" spans="1:1" x14ac:dyDescent="0.3">
      <c r="A142" s="380"/>
    </row>
    <row r="143" spans="1:1" x14ac:dyDescent="0.3">
      <c r="A143" s="380"/>
    </row>
    <row r="144" spans="1:1" x14ac:dyDescent="0.3">
      <c r="A144" s="380"/>
    </row>
    <row r="145" spans="1:6" x14ac:dyDescent="0.3">
      <c r="A145" s="380"/>
    </row>
    <row r="146" spans="1:6" x14ac:dyDescent="0.3">
      <c r="A146" s="380"/>
    </row>
    <row r="147" spans="1:6" x14ac:dyDescent="0.3">
      <c r="A147" s="380"/>
    </row>
    <row r="148" spans="1:6" x14ac:dyDescent="0.3">
      <c r="A148" s="380"/>
    </row>
    <row r="149" spans="1:6" x14ac:dyDescent="0.3">
      <c r="A149" s="380"/>
    </row>
    <row r="150" spans="1:6" x14ac:dyDescent="0.3">
      <c r="A150" s="380"/>
    </row>
    <row r="151" spans="1:6" x14ac:dyDescent="0.3">
      <c r="A151" s="380"/>
    </row>
    <row r="152" spans="1:6" x14ac:dyDescent="0.3">
      <c r="A152" s="380"/>
    </row>
    <row r="153" spans="1:6" x14ac:dyDescent="0.3">
      <c r="A153" s="380"/>
      <c r="B153" s="370"/>
      <c r="C153" s="370"/>
      <c r="D153" s="370"/>
      <c r="E153" s="370"/>
      <c r="F153" s="370"/>
    </row>
    <row r="154" spans="1:6" x14ac:dyDescent="0.3">
      <c r="A154" s="380"/>
      <c r="B154" s="370"/>
      <c r="C154" s="370"/>
      <c r="D154" s="370"/>
      <c r="E154" s="370"/>
      <c r="F154" s="370"/>
    </row>
    <row r="159" spans="1:6" x14ac:dyDescent="0.3">
      <c r="A159" s="372"/>
      <c r="B159" s="370"/>
      <c r="C159" s="370"/>
      <c r="D159" s="370"/>
      <c r="E159" s="454"/>
      <c r="F159" s="454"/>
    </row>
  </sheetData>
  <mergeCells count="10">
    <mergeCell ref="B42:G42"/>
    <mergeCell ref="B43:G43"/>
    <mergeCell ref="B2:G2"/>
    <mergeCell ref="B3:G3"/>
    <mergeCell ref="B4:G4"/>
    <mergeCell ref="B5:G5"/>
    <mergeCell ref="B6:G6"/>
    <mergeCell ref="B41:G41"/>
    <mergeCell ref="B39:G39"/>
    <mergeCell ref="B40:G40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Roman,Bold"&amp;8REVISED</oddHeader>
    <oddFooter>&amp;CPage 5.&amp;P&amp;R&amp;F</oddFoot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87D53-60A5-442E-9B67-5853047727DE}">
  <dimension ref="A1:J158"/>
  <sheetViews>
    <sheetView zoomScale="80" zoomScaleNormal="80" workbookViewId="0"/>
  </sheetViews>
  <sheetFormatPr defaultColWidth="8.88671875" defaultRowHeight="15.6" x14ac:dyDescent="0.3"/>
  <cols>
    <col min="1" max="1" width="5.109375" style="42" customWidth="1"/>
    <col min="2" max="2" width="93.109375" style="20" bestFit="1" customWidth="1"/>
    <col min="3" max="3" width="10.44140625" style="20" customWidth="1"/>
    <col min="4" max="4" width="1.5546875" style="20" customWidth="1"/>
    <col min="5" max="5" width="16.88671875" style="20" customWidth="1"/>
    <col min="6" max="6" width="1.5546875" style="20" customWidth="1"/>
    <col min="7" max="7" width="43.44140625" style="20" customWidth="1"/>
    <col min="8" max="8" width="5.109375" style="41" customWidth="1"/>
    <col min="9" max="9" width="8.88671875" style="20"/>
    <col min="10" max="10" width="9.88671875" style="20" bestFit="1" customWidth="1"/>
    <col min="11" max="16384" width="8.88671875" style="20"/>
  </cols>
  <sheetData>
    <row r="1" spans="1:8" x14ac:dyDescent="0.3">
      <c r="A1" s="718" t="s">
        <v>614</v>
      </c>
    </row>
    <row r="2" spans="1:8" x14ac:dyDescent="0.3">
      <c r="A2" s="368"/>
      <c r="B2" s="369"/>
      <c r="C2" s="369"/>
      <c r="D2" s="369"/>
      <c r="E2" s="370"/>
      <c r="F2" s="370"/>
      <c r="G2" s="542"/>
      <c r="H2" s="223"/>
    </row>
    <row r="3" spans="1:8" x14ac:dyDescent="0.3">
      <c r="A3" s="368"/>
      <c r="B3" s="810" t="s">
        <v>24</v>
      </c>
      <c r="C3" s="810"/>
      <c r="D3" s="810"/>
      <c r="E3" s="810"/>
      <c r="F3" s="810"/>
      <c r="G3" s="810"/>
      <c r="H3" s="223"/>
    </row>
    <row r="4" spans="1:8" x14ac:dyDescent="0.3">
      <c r="B4" s="810" t="s">
        <v>216</v>
      </c>
      <c r="C4" s="810"/>
      <c r="D4" s="810"/>
      <c r="E4" s="810"/>
      <c r="F4" s="810"/>
      <c r="G4" s="810"/>
      <c r="H4" s="368"/>
    </row>
    <row r="5" spans="1:8" x14ac:dyDescent="0.3">
      <c r="B5" s="810" t="s">
        <v>231</v>
      </c>
      <c r="C5" s="810"/>
      <c r="D5" s="810"/>
      <c r="E5" s="810"/>
      <c r="F5" s="810"/>
      <c r="G5" s="810"/>
      <c r="H5" s="368"/>
    </row>
    <row r="6" spans="1:8" x14ac:dyDescent="0.3">
      <c r="B6" s="808" t="s">
        <v>544</v>
      </c>
      <c r="C6" s="808"/>
      <c r="D6" s="808"/>
      <c r="E6" s="808"/>
      <c r="F6" s="808"/>
      <c r="G6" s="808"/>
      <c r="H6" s="368"/>
    </row>
    <row r="7" spans="1:8" x14ac:dyDescent="0.3">
      <c r="B7" s="809" t="s">
        <v>1</v>
      </c>
      <c r="C7" s="809"/>
      <c r="D7" s="809"/>
      <c r="E7" s="809"/>
      <c r="F7" s="809"/>
      <c r="G7" s="809"/>
      <c r="H7" s="371"/>
    </row>
    <row r="8" spans="1:8" x14ac:dyDescent="0.3">
      <c r="A8" s="372"/>
      <c r="B8" s="720"/>
      <c r="C8" s="720"/>
      <c r="D8" s="720"/>
      <c r="E8" s="720"/>
      <c r="F8" s="720"/>
      <c r="G8" s="370"/>
      <c r="H8" s="223"/>
    </row>
    <row r="9" spans="1:8" x14ac:dyDescent="0.3">
      <c r="A9" s="373" t="s">
        <v>2</v>
      </c>
      <c r="B9" s="369"/>
      <c r="C9" s="369"/>
      <c r="D9" s="369"/>
      <c r="E9" s="720"/>
      <c r="F9" s="720"/>
      <c r="G9" s="369"/>
      <c r="H9" s="373" t="s">
        <v>2</v>
      </c>
    </row>
    <row r="10" spans="1:8" x14ac:dyDescent="0.3">
      <c r="A10" s="373" t="s">
        <v>6</v>
      </c>
      <c r="B10" s="369"/>
      <c r="C10" s="369"/>
      <c r="D10" s="369"/>
      <c r="E10" s="374" t="s">
        <v>4</v>
      </c>
      <c r="F10" s="375"/>
      <c r="G10" s="374" t="s">
        <v>5</v>
      </c>
      <c r="H10" s="373" t="s">
        <v>6</v>
      </c>
    </row>
    <row r="11" spans="1:8" x14ac:dyDescent="0.3">
      <c r="A11" s="373"/>
      <c r="B11" s="369"/>
      <c r="C11" s="369"/>
      <c r="D11" s="369"/>
      <c r="E11" s="720"/>
      <c r="F11" s="375"/>
      <c r="G11" s="720"/>
      <c r="H11" s="373"/>
    </row>
    <row r="12" spans="1:8" x14ac:dyDescent="0.3">
      <c r="A12" s="373">
        <v>1</v>
      </c>
      <c r="B12" s="376" t="s">
        <v>232</v>
      </c>
      <c r="C12" s="376"/>
      <c r="D12" s="376"/>
      <c r="E12" s="370"/>
      <c r="F12" s="370"/>
      <c r="G12" s="720"/>
      <c r="H12" s="373">
        <f>A12</f>
        <v>1</v>
      </c>
    </row>
    <row r="13" spans="1:8" x14ac:dyDescent="0.3">
      <c r="A13" s="373">
        <f>A12+1</f>
        <v>2</v>
      </c>
      <c r="B13" s="377" t="s">
        <v>233</v>
      </c>
      <c r="C13" s="378"/>
      <c r="D13" s="378"/>
      <c r="E13" s="382">
        <f>E53</f>
        <v>6.2750390372064554E-3</v>
      </c>
      <c r="F13" s="27"/>
      <c r="G13" s="379" t="str">
        <f>"Page 2; Line "&amp;A53</f>
        <v>Page 2; Line 6</v>
      </c>
      <c r="H13" s="373">
        <f>H12+1</f>
        <v>2</v>
      </c>
    </row>
    <row r="14" spans="1:8" x14ac:dyDescent="0.3">
      <c r="A14" s="373">
        <f t="shared" ref="A14:A36" si="0">A13+1</f>
        <v>3</v>
      </c>
      <c r="B14" s="369"/>
      <c r="C14" s="380"/>
      <c r="D14" s="380"/>
      <c r="E14" s="381"/>
      <c r="F14" s="375"/>
      <c r="G14" s="379"/>
      <c r="H14" s="373">
        <f t="shared" ref="H14:H36" si="1">H13+1</f>
        <v>3</v>
      </c>
    </row>
    <row r="15" spans="1:8" x14ac:dyDescent="0.3">
      <c r="A15" s="373">
        <f t="shared" si="0"/>
        <v>4</v>
      </c>
      <c r="B15" s="377" t="s">
        <v>17</v>
      </c>
      <c r="C15" s="378"/>
      <c r="D15" s="378"/>
      <c r="E15" s="382">
        <f>E58</f>
        <v>8.5778777855485232E-3</v>
      </c>
      <c r="F15" s="383"/>
      <c r="G15" s="379" t="str">
        <f>"Page 2; Line "&amp;A58</f>
        <v>Page 2; Line 11</v>
      </c>
      <c r="H15" s="373">
        <f t="shared" si="1"/>
        <v>4</v>
      </c>
    </row>
    <row r="16" spans="1:8" x14ac:dyDescent="0.3">
      <c r="A16" s="373">
        <f t="shared" si="0"/>
        <v>5</v>
      </c>
      <c r="B16" s="370"/>
      <c r="C16" s="372"/>
      <c r="D16" s="372"/>
      <c r="E16" s="384"/>
      <c r="F16" s="385"/>
      <c r="G16" s="379"/>
      <c r="H16" s="373">
        <f t="shared" si="1"/>
        <v>5</v>
      </c>
    </row>
    <row r="17" spans="1:8" x14ac:dyDescent="0.3">
      <c r="A17" s="373">
        <f t="shared" si="0"/>
        <v>6</v>
      </c>
      <c r="B17" s="370" t="s">
        <v>234</v>
      </c>
      <c r="C17" s="372"/>
      <c r="D17" s="372"/>
      <c r="E17" s="386">
        <f>E63</f>
        <v>1.060685107447207E-2</v>
      </c>
      <c r="F17" s="385"/>
      <c r="G17" s="379" t="str">
        <f>"Page 2; Line "&amp;A63</f>
        <v>Page 2; Line 16</v>
      </c>
      <c r="H17" s="373">
        <f t="shared" si="1"/>
        <v>6</v>
      </c>
    </row>
    <row r="18" spans="1:8" x14ac:dyDescent="0.3">
      <c r="A18" s="373">
        <f t="shared" si="0"/>
        <v>7</v>
      </c>
      <c r="B18" s="370"/>
      <c r="C18" s="372"/>
      <c r="D18" s="372"/>
      <c r="E18" s="384"/>
      <c r="F18" s="385"/>
      <c r="G18" s="379"/>
      <c r="H18" s="373">
        <f t="shared" si="1"/>
        <v>7</v>
      </c>
    </row>
    <row r="19" spans="1:8" x14ac:dyDescent="0.3">
      <c r="A19" s="373">
        <f t="shared" si="0"/>
        <v>8</v>
      </c>
      <c r="B19" s="377" t="s">
        <v>235</v>
      </c>
      <c r="C19" s="378"/>
      <c r="D19" s="378"/>
      <c r="E19" s="382">
        <f>E68</f>
        <v>3.1683253029490246E-4</v>
      </c>
      <c r="F19" s="383"/>
      <c r="G19" s="379" t="str">
        <f>"Page 2; Line "&amp;A68</f>
        <v>Page 2; Line 21</v>
      </c>
      <c r="H19" s="373">
        <f t="shared" si="1"/>
        <v>8</v>
      </c>
    </row>
    <row r="20" spans="1:8" x14ac:dyDescent="0.3">
      <c r="A20" s="373">
        <f t="shared" si="0"/>
        <v>9</v>
      </c>
      <c r="B20" s="369"/>
      <c r="C20" s="380"/>
      <c r="D20" s="380"/>
      <c r="E20" s="381"/>
      <c r="F20" s="375"/>
      <c r="G20" s="379"/>
      <c r="H20" s="373">
        <f t="shared" si="1"/>
        <v>9</v>
      </c>
    </row>
    <row r="21" spans="1:8" x14ac:dyDescent="0.3">
      <c r="A21" s="373">
        <f t="shared" si="0"/>
        <v>10</v>
      </c>
      <c r="B21" s="377" t="s">
        <v>236</v>
      </c>
      <c r="C21" s="380"/>
      <c r="D21" s="380"/>
      <c r="E21" s="382">
        <f>E81</f>
        <v>1.8394203387546316E-3</v>
      </c>
      <c r="F21" s="375"/>
      <c r="G21" s="379" t="str">
        <f>"Page 2; Line "&amp;A81</f>
        <v>Page 2; Line 34</v>
      </c>
      <c r="H21" s="373">
        <f t="shared" si="1"/>
        <v>10</v>
      </c>
    </row>
    <row r="22" spans="1:8" x14ac:dyDescent="0.3">
      <c r="A22" s="373">
        <f t="shared" si="0"/>
        <v>11</v>
      </c>
      <c r="B22" s="369"/>
      <c r="C22" s="380"/>
      <c r="D22" s="380"/>
      <c r="E22" s="381"/>
      <c r="F22" s="375"/>
      <c r="G22" s="379"/>
      <c r="H22" s="373">
        <f t="shared" si="1"/>
        <v>11</v>
      </c>
    </row>
    <row r="23" spans="1:8" x14ac:dyDescent="0.3">
      <c r="A23" s="373">
        <f t="shared" si="0"/>
        <v>12</v>
      </c>
      <c r="B23" s="377" t="s">
        <v>237</v>
      </c>
      <c r="C23" s="378"/>
      <c r="D23" s="378"/>
      <c r="E23" s="382">
        <f>E98</f>
        <v>3.9095365212566827E-3</v>
      </c>
      <c r="F23" s="383"/>
      <c r="G23" s="379" t="str">
        <f>"Page 2; Line "&amp;A98</f>
        <v>Page 2; Line 51</v>
      </c>
      <c r="H23" s="373">
        <f t="shared" si="1"/>
        <v>12</v>
      </c>
    </row>
    <row r="24" spans="1:8" x14ac:dyDescent="0.3">
      <c r="A24" s="373">
        <f t="shared" si="0"/>
        <v>13</v>
      </c>
      <c r="B24" s="387"/>
      <c r="C24" s="388"/>
      <c r="D24" s="388"/>
      <c r="E24" s="389"/>
      <c r="F24" s="390"/>
      <c r="G24" s="379"/>
      <c r="H24" s="373">
        <f t="shared" si="1"/>
        <v>13</v>
      </c>
    </row>
    <row r="25" spans="1:8" x14ac:dyDescent="0.3">
      <c r="A25" s="373">
        <f t="shared" si="0"/>
        <v>14</v>
      </c>
      <c r="B25" s="377" t="s">
        <v>238</v>
      </c>
      <c r="C25" s="378"/>
      <c r="D25" s="378"/>
      <c r="E25" s="672">
        <f>SUM(E13:E23)</f>
        <v>3.1525557287533264E-2</v>
      </c>
      <c r="F25" s="27"/>
      <c r="G25" s="379" t="str">
        <f>"Sum Lines "&amp;A13&amp;" thru "&amp;A23&amp;""</f>
        <v>Sum Lines 2 thru 12</v>
      </c>
      <c r="H25" s="373">
        <f t="shared" si="1"/>
        <v>14</v>
      </c>
    </row>
    <row r="26" spans="1:8" x14ac:dyDescent="0.3">
      <c r="A26" s="373">
        <f t="shared" si="0"/>
        <v>15</v>
      </c>
      <c r="B26" s="369"/>
      <c r="C26" s="380"/>
      <c r="D26" s="380"/>
      <c r="E26" s="391"/>
      <c r="F26" s="392"/>
      <c r="G26" s="379"/>
      <c r="H26" s="373">
        <f t="shared" si="1"/>
        <v>15</v>
      </c>
    </row>
    <row r="27" spans="1:8" x14ac:dyDescent="0.3">
      <c r="A27" s="373">
        <f t="shared" si="0"/>
        <v>16</v>
      </c>
      <c r="B27" s="370" t="s">
        <v>239</v>
      </c>
      <c r="C27" s="393">
        <v>1.0274999999999999E-2</v>
      </c>
      <c r="D27" s="380"/>
      <c r="E27" s="557">
        <f>E25*C27</f>
        <v>3.2392510112940425E-4</v>
      </c>
      <c r="F27" s="394"/>
      <c r="G27" s="379" t="str">
        <f>"Line "&amp;A25&amp;" x Franchise Fee Rate"</f>
        <v>Line 14 x Franchise Fee Rate</v>
      </c>
      <c r="H27" s="373">
        <f t="shared" si="1"/>
        <v>16</v>
      </c>
    </row>
    <row r="28" spans="1:8" x14ac:dyDescent="0.3">
      <c r="A28" s="373">
        <f t="shared" si="0"/>
        <v>17</v>
      </c>
      <c r="B28" s="369"/>
      <c r="C28" s="380"/>
      <c r="D28" s="380"/>
      <c r="E28" s="395"/>
      <c r="F28" s="396"/>
      <c r="G28" s="379"/>
      <c r="H28" s="373">
        <f t="shared" si="1"/>
        <v>17</v>
      </c>
    </row>
    <row r="29" spans="1:8" ht="16.2" thickBot="1" x14ac:dyDescent="0.35">
      <c r="A29" s="373">
        <f t="shared" si="0"/>
        <v>18</v>
      </c>
      <c r="B29" s="369" t="s">
        <v>240</v>
      </c>
      <c r="C29" s="380"/>
      <c r="D29" s="380"/>
      <c r="E29" s="673">
        <f>E25+E27</f>
        <v>3.184948238866267E-2</v>
      </c>
      <c r="F29" s="27"/>
      <c r="G29" s="379" t="str">
        <f>"Line "&amp;A25&amp;" + Line "&amp;A27</f>
        <v>Line 14 + Line 16</v>
      </c>
      <c r="H29" s="373">
        <f t="shared" si="1"/>
        <v>18</v>
      </c>
    </row>
    <row r="30" spans="1:8" ht="16.2" thickTop="1" x14ac:dyDescent="0.3">
      <c r="A30" s="373">
        <f t="shared" si="0"/>
        <v>19</v>
      </c>
      <c r="B30" s="370"/>
      <c r="C30" s="372"/>
      <c r="D30" s="372"/>
      <c r="E30" s="380"/>
      <c r="F30" s="369"/>
      <c r="G30" s="369"/>
      <c r="H30" s="373">
        <f t="shared" si="1"/>
        <v>19</v>
      </c>
    </row>
    <row r="31" spans="1:8" x14ac:dyDescent="0.3">
      <c r="A31" s="373">
        <f t="shared" si="0"/>
        <v>20</v>
      </c>
      <c r="B31" s="376" t="s">
        <v>241</v>
      </c>
      <c r="C31" s="397"/>
      <c r="D31" s="397"/>
      <c r="E31" s="372"/>
      <c r="F31" s="370"/>
      <c r="G31" s="369"/>
      <c r="H31" s="373">
        <f t="shared" si="1"/>
        <v>20</v>
      </c>
    </row>
    <row r="32" spans="1:8" x14ac:dyDescent="0.3">
      <c r="A32" s="373">
        <f t="shared" si="0"/>
        <v>21</v>
      </c>
      <c r="B32" s="377" t="s">
        <v>392</v>
      </c>
      <c r="C32" s="378"/>
      <c r="D32" s="378"/>
      <c r="E32" s="398">
        <v>27000</v>
      </c>
      <c r="F32" s="375"/>
      <c r="G32" s="379" t="s">
        <v>242</v>
      </c>
      <c r="H32" s="373">
        <f t="shared" si="1"/>
        <v>21</v>
      </c>
    </row>
    <row r="33" spans="1:8" x14ac:dyDescent="0.3">
      <c r="A33" s="373">
        <f t="shared" si="0"/>
        <v>22</v>
      </c>
      <c r="B33" s="377"/>
      <c r="C33" s="378"/>
      <c r="D33" s="378"/>
      <c r="E33" s="378"/>
      <c r="F33" s="377"/>
      <c r="G33" s="379"/>
      <c r="H33" s="373">
        <f t="shared" si="1"/>
        <v>22</v>
      </c>
    </row>
    <row r="34" spans="1:8" x14ac:dyDescent="0.3">
      <c r="A34" s="373">
        <f t="shared" si="0"/>
        <v>23</v>
      </c>
      <c r="B34" s="377" t="s">
        <v>243</v>
      </c>
      <c r="C34" s="378"/>
      <c r="D34" s="378"/>
      <c r="E34" s="672">
        <f>+E29</f>
        <v>3.184948238866267E-2</v>
      </c>
      <c r="F34" s="27"/>
      <c r="G34" s="379" t="str">
        <f>"Line "&amp;A29&amp;" Above"</f>
        <v>Line 18 Above</v>
      </c>
      <c r="H34" s="373">
        <f t="shared" si="1"/>
        <v>23</v>
      </c>
    </row>
    <row r="35" spans="1:8" x14ac:dyDescent="0.3">
      <c r="A35" s="373">
        <f t="shared" si="0"/>
        <v>24</v>
      </c>
      <c r="B35" s="369"/>
      <c r="C35" s="380"/>
      <c r="D35" s="380"/>
      <c r="E35" s="399"/>
      <c r="F35" s="400"/>
      <c r="G35" s="379"/>
      <c r="H35" s="373">
        <f t="shared" si="1"/>
        <v>24</v>
      </c>
    </row>
    <row r="36" spans="1:8" ht="16.2" thickBot="1" x14ac:dyDescent="0.35">
      <c r="A36" s="373">
        <f t="shared" si="0"/>
        <v>25</v>
      </c>
      <c r="B36" s="369" t="s">
        <v>244</v>
      </c>
      <c r="C36" s="378"/>
      <c r="D36" s="378"/>
      <c r="E36" s="674">
        <f>E32*E34</f>
        <v>859.93602449389209</v>
      </c>
      <c r="F36" s="27"/>
      <c r="G36" s="379" t="str">
        <f>"Line "&amp;A32&amp;" x Line "&amp;A34</f>
        <v>Line 21 x Line 23</v>
      </c>
      <c r="H36" s="373">
        <f t="shared" si="1"/>
        <v>25</v>
      </c>
    </row>
    <row r="37" spans="1:8" ht="16.2" thickTop="1" x14ac:dyDescent="0.3">
      <c r="A37" s="373"/>
      <c r="B37" s="369"/>
      <c r="C37" s="377"/>
      <c r="D37" s="377"/>
      <c r="E37" s="401"/>
      <c r="F37" s="402"/>
      <c r="G37" s="379"/>
      <c r="H37" s="373"/>
    </row>
    <row r="38" spans="1:8" x14ac:dyDescent="0.3">
      <c r="A38" s="541"/>
      <c r="B38" s="24"/>
      <c r="C38" s="369"/>
      <c r="D38" s="369"/>
      <c r="E38" s="387"/>
      <c r="F38" s="387"/>
      <c r="G38" s="370"/>
      <c r="H38" s="223"/>
    </row>
    <row r="39" spans="1:8" x14ac:dyDescent="0.3">
      <c r="A39" s="372"/>
      <c r="B39" s="811" t="str">
        <f>B3</f>
        <v>SAN DIEGO GAS &amp; ELECTRIC COMPANY</v>
      </c>
      <c r="C39" s="811"/>
      <c r="D39" s="811"/>
      <c r="E39" s="811"/>
      <c r="F39" s="811"/>
      <c r="G39" s="811"/>
      <c r="H39" s="223"/>
    </row>
    <row r="40" spans="1:8" x14ac:dyDescent="0.3">
      <c r="B40" s="811" t="str">
        <f>B4</f>
        <v>CITIZENS' SHARE OF THE SX-PQ UNDERGROUND LINE SEGMENT</v>
      </c>
      <c r="C40" s="811"/>
      <c r="D40" s="811"/>
      <c r="E40" s="811"/>
      <c r="F40" s="811"/>
      <c r="G40" s="811"/>
      <c r="H40" s="388"/>
    </row>
    <row r="41" spans="1:8" x14ac:dyDescent="0.3">
      <c r="B41" s="810" t="str">
        <f>B5</f>
        <v xml:space="preserve">Section 2 - Non-Direct Expense Cost Component </v>
      </c>
      <c r="C41" s="810"/>
      <c r="D41" s="810"/>
      <c r="E41" s="810"/>
      <c r="F41" s="810"/>
      <c r="G41" s="810"/>
      <c r="H41" s="380"/>
    </row>
    <row r="42" spans="1:8" x14ac:dyDescent="0.3">
      <c r="B42" s="808" t="str">
        <f>B6</f>
        <v>Base Period &amp; True-Up Period 12 - Months Ending December 31, 2020</v>
      </c>
      <c r="C42" s="808"/>
      <c r="D42" s="808"/>
      <c r="E42" s="808"/>
      <c r="F42" s="808"/>
      <c r="G42" s="808"/>
      <c r="H42" s="380"/>
    </row>
    <row r="43" spans="1:8" x14ac:dyDescent="0.3">
      <c r="B43" s="809" t="str">
        <f>B7</f>
        <v>($1,000)</v>
      </c>
      <c r="C43" s="805"/>
      <c r="D43" s="805"/>
      <c r="E43" s="805"/>
      <c r="F43" s="805"/>
      <c r="G43" s="805"/>
      <c r="H43" s="150"/>
    </row>
    <row r="44" spans="1:8" x14ac:dyDescent="0.3">
      <c r="A44" s="403"/>
      <c r="B44" s="369"/>
      <c r="C44" s="369"/>
      <c r="D44" s="369"/>
      <c r="E44" s="369"/>
      <c r="F44" s="369"/>
      <c r="G44" s="369"/>
      <c r="H44" s="223"/>
    </row>
    <row r="45" spans="1:8" x14ac:dyDescent="0.3">
      <c r="A45" s="373" t="s">
        <v>2</v>
      </c>
      <c r="B45" s="369"/>
      <c r="C45" s="369"/>
      <c r="D45" s="369"/>
      <c r="E45" s="720"/>
      <c r="F45" s="720"/>
      <c r="G45" s="369"/>
      <c r="H45" s="373" t="s">
        <v>2</v>
      </c>
    </row>
    <row r="46" spans="1:8" x14ac:dyDescent="0.3">
      <c r="A46" s="373" t="s">
        <v>6</v>
      </c>
      <c r="B46" s="369"/>
      <c r="C46" s="369"/>
      <c r="D46" s="369"/>
      <c r="E46" s="374" t="s">
        <v>4</v>
      </c>
      <c r="F46" s="379"/>
      <c r="G46" s="374" t="s">
        <v>5</v>
      </c>
      <c r="H46" s="373" t="s">
        <v>6</v>
      </c>
    </row>
    <row r="47" spans="1:8" x14ac:dyDescent="0.3">
      <c r="A47" s="373"/>
      <c r="B47" s="369"/>
      <c r="C47" s="369"/>
      <c r="D47" s="369"/>
      <c r="E47" s="720"/>
      <c r="F47" s="720"/>
      <c r="G47" s="369"/>
      <c r="H47" s="373"/>
    </row>
    <row r="48" spans="1:8" x14ac:dyDescent="0.3">
      <c r="A48" s="373">
        <v>1</v>
      </c>
      <c r="B48" s="404" t="s">
        <v>22</v>
      </c>
      <c r="C48" s="404"/>
      <c r="D48" s="404"/>
      <c r="E48" s="405">
        <f>'Pg13 Rev AV-4'!C16</f>
        <v>5362709.3410053086</v>
      </c>
      <c r="F48" s="720"/>
      <c r="G48" s="379" t="s">
        <v>412</v>
      </c>
      <c r="H48" s="373">
        <f>A48</f>
        <v>1</v>
      </c>
    </row>
    <row r="49" spans="1:10" x14ac:dyDescent="0.3">
      <c r="A49" s="373">
        <f>A48+1</f>
        <v>2</v>
      </c>
      <c r="B49" s="369"/>
      <c r="C49" s="369"/>
      <c r="D49" s="369"/>
      <c r="E49" s="368"/>
      <c r="F49" s="720"/>
      <c r="G49" s="369"/>
      <c r="H49" s="373">
        <f>H48+1</f>
        <v>2</v>
      </c>
    </row>
    <row r="50" spans="1:10" x14ac:dyDescent="0.3">
      <c r="A50" s="373">
        <f t="shared" ref="A50:A98" si="2">A49+1</f>
        <v>3</v>
      </c>
      <c r="B50" s="376" t="s">
        <v>245</v>
      </c>
      <c r="C50" s="376"/>
      <c r="D50" s="376"/>
      <c r="E50" s="406"/>
      <c r="F50" s="407"/>
      <c r="G50" s="369"/>
      <c r="H50" s="373">
        <f t="shared" ref="H50:H98" si="3">H49+1</f>
        <v>3</v>
      </c>
    </row>
    <row r="51" spans="1:10" x14ac:dyDescent="0.3">
      <c r="A51" s="373">
        <f t="shared" si="2"/>
        <v>4</v>
      </c>
      <c r="B51" s="377" t="s">
        <v>246</v>
      </c>
      <c r="C51" s="377"/>
      <c r="D51" s="377"/>
      <c r="E51" s="675">
        <f>'Pg9 Rev Stmt AH'!E27</f>
        <v>33651.210460000017</v>
      </c>
      <c r="F51" s="27"/>
      <c r="G51" s="379" t="s">
        <v>413</v>
      </c>
      <c r="H51" s="373">
        <f t="shared" si="3"/>
        <v>4</v>
      </c>
      <c r="J51" s="408"/>
    </row>
    <row r="52" spans="1:10" x14ac:dyDescent="0.3">
      <c r="A52" s="373">
        <f t="shared" si="2"/>
        <v>5</v>
      </c>
      <c r="B52" s="377"/>
      <c r="C52" s="377"/>
      <c r="D52" s="377"/>
      <c r="E52" s="409"/>
      <c r="F52" s="410"/>
      <c r="G52" s="379"/>
      <c r="H52" s="373">
        <f t="shared" si="3"/>
        <v>5</v>
      </c>
      <c r="J52" s="408"/>
    </row>
    <row r="53" spans="1:10" x14ac:dyDescent="0.3">
      <c r="A53" s="373">
        <f t="shared" si="2"/>
        <v>6</v>
      </c>
      <c r="B53" s="377" t="s">
        <v>247</v>
      </c>
      <c r="C53" s="369"/>
      <c r="D53" s="369"/>
      <c r="E53" s="418">
        <f>E51/E48</f>
        <v>6.2750390372064554E-3</v>
      </c>
      <c r="F53" s="27"/>
      <c r="G53" s="379" t="s">
        <v>414</v>
      </c>
      <c r="H53" s="373">
        <f t="shared" si="3"/>
        <v>6</v>
      </c>
      <c r="J53" s="408"/>
    </row>
    <row r="54" spans="1:10" x14ac:dyDescent="0.3">
      <c r="A54" s="373">
        <f t="shared" si="2"/>
        <v>7</v>
      </c>
      <c r="B54" s="377"/>
      <c r="C54" s="377"/>
      <c r="D54" s="377"/>
      <c r="E54" s="411"/>
      <c r="F54" s="412"/>
      <c r="G54" s="379"/>
      <c r="H54" s="373">
        <f t="shared" si="3"/>
        <v>7</v>
      </c>
    </row>
    <row r="55" spans="1:10" x14ac:dyDescent="0.3">
      <c r="A55" s="373">
        <f t="shared" si="2"/>
        <v>8</v>
      </c>
      <c r="B55" s="376" t="s">
        <v>248</v>
      </c>
      <c r="C55" s="376"/>
      <c r="D55" s="376"/>
      <c r="E55" s="413"/>
      <c r="F55" s="414"/>
      <c r="G55" s="415"/>
      <c r="H55" s="373">
        <f t="shared" si="3"/>
        <v>8</v>
      </c>
    </row>
    <row r="56" spans="1:10" x14ac:dyDescent="0.3">
      <c r="A56" s="373">
        <f t="shared" si="2"/>
        <v>9</v>
      </c>
      <c r="B56" s="377" t="s">
        <v>249</v>
      </c>
      <c r="C56" s="377"/>
      <c r="D56" s="377"/>
      <c r="E56" s="422">
        <v>46000.665326562994</v>
      </c>
      <c r="F56" s="27"/>
      <c r="G56" s="379" t="s">
        <v>415</v>
      </c>
      <c r="H56" s="373">
        <f t="shared" si="3"/>
        <v>9</v>
      </c>
    </row>
    <row r="57" spans="1:10" x14ac:dyDescent="0.3">
      <c r="A57" s="373">
        <f t="shared" si="2"/>
        <v>10</v>
      </c>
      <c r="B57" s="369"/>
      <c r="C57" s="369"/>
      <c r="D57" s="369"/>
      <c r="E57" s="413"/>
      <c r="F57" s="414"/>
      <c r="G57" s="379"/>
      <c r="H57" s="373">
        <f t="shared" si="3"/>
        <v>10</v>
      </c>
    </row>
    <row r="58" spans="1:10" x14ac:dyDescent="0.3">
      <c r="A58" s="373">
        <f t="shared" si="2"/>
        <v>11</v>
      </c>
      <c r="B58" s="417" t="s">
        <v>250</v>
      </c>
      <c r="C58" s="415"/>
      <c r="D58" s="415"/>
      <c r="E58" s="418">
        <f>E56/E48</f>
        <v>8.5778777855485232E-3</v>
      </c>
      <c r="F58" s="419"/>
      <c r="G58" s="379" t="s">
        <v>416</v>
      </c>
      <c r="H58" s="373">
        <f t="shared" si="3"/>
        <v>11</v>
      </c>
    </row>
    <row r="59" spans="1:10" x14ac:dyDescent="0.3">
      <c r="A59" s="373">
        <f t="shared" si="2"/>
        <v>12</v>
      </c>
      <c r="B59" s="415"/>
      <c r="C59" s="415"/>
      <c r="D59" s="415"/>
      <c r="E59" s="420"/>
      <c r="F59" s="421"/>
      <c r="G59" s="379"/>
      <c r="H59" s="373">
        <f t="shared" si="3"/>
        <v>12</v>
      </c>
    </row>
    <row r="60" spans="1:10" x14ac:dyDescent="0.3">
      <c r="A60" s="373">
        <f t="shared" si="2"/>
        <v>13</v>
      </c>
      <c r="B60" s="376" t="s">
        <v>251</v>
      </c>
      <c r="C60" s="415"/>
      <c r="D60" s="415"/>
      <c r="E60" s="420"/>
      <c r="F60" s="421"/>
      <c r="G60" s="379"/>
      <c r="H60" s="373">
        <f t="shared" si="3"/>
        <v>13</v>
      </c>
    </row>
    <row r="61" spans="1:10" x14ac:dyDescent="0.3">
      <c r="A61" s="373">
        <f t="shared" si="2"/>
        <v>14</v>
      </c>
      <c r="B61" s="417" t="s">
        <v>234</v>
      </c>
      <c r="C61" s="415"/>
      <c r="D61" s="415"/>
      <c r="E61" s="422">
        <v>56881.459335723564</v>
      </c>
      <c r="F61" s="421"/>
      <c r="G61" s="379" t="s">
        <v>417</v>
      </c>
      <c r="H61" s="373">
        <f t="shared" si="3"/>
        <v>14</v>
      </c>
    </row>
    <row r="62" spans="1:10" x14ac:dyDescent="0.3">
      <c r="A62" s="373">
        <f t="shared" si="2"/>
        <v>15</v>
      </c>
      <c r="B62" s="415"/>
      <c r="C62" s="415"/>
      <c r="D62" s="415"/>
      <c r="E62" s="413"/>
      <c r="F62" s="421"/>
      <c r="G62" s="379"/>
      <c r="H62" s="373">
        <f t="shared" si="3"/>
        <v>15</v>
      </c>
    </row>
    <row r="63" spans="1:10" x14ac:dyDescent="0.3">
      <c r="A63" s="373">
        <f t="shared" si="2"/>
        <v>16</v>
      </c>
      <c r="B63" s="417" t="s">
        <v>252</v>
      </c>
      <c r="C63" s="415"/>
      <c r="D63" s="415"/>
      <c r="E63" s="418">
        <f>E61/E48</f>
        <v>1.060685107447207E-2</v>
      </c>
      <c r="F63" s="421"/>
      <c r="G63" s="379" t="s">
        <v>418</v>
      </c>
      <c r="H63" s="373">
        <f t="shared" si="3"/>
        <v>16</v>
      </c>
    </row>
    <row r="64" spans="1:10" x14ac:dyDescent="0.3">
      <c r="A64" s="373">
        <f t="shared" si="2"/>
        <v>17</v>
      </c>
      <c r="B64" s="415"/>
      <c r="C64" s="415"/>
      <c r="D64" s="415"/>
      <c r="E64" s="420"/>
      <c r="F64" s="421"/>
      <c r="G64" s="379"/>
      <c r="H64" s="373">
        <f t="shared" si="3"/>
        <v>17</v>
      </c>
    </row>
    <row r="65" spans="1:8" x14ac:dyDescent="0.3">
      <c r="A65" s="373">
        <f t="shared" si="2"/>
        <v>18</v>
      </c>
      <c r="B65" s="376" t="s">
        <v>253</v>
      </c>
      <c r="C65" s="376"/>
      <c r="D65" s="376"/>
      <c r="E65" s="420"/>
      <c r="F65" s="421"/>
      <c r="G65" s="379"/>
      <c r="H65" s="373">
        <f t="shared" si="3"/>
        <v>18</v>
      </c>
    </row>
    <row r="66" spans="1:8" x14ac:dyDescent="0.3">
      <c r="A66" s="373">
        <f t="shared" si="2"/>
        <v>19</v>
      </c>
      <c r="B66" s="377" t="s">
        <v>235</v>
      </c>
      <c r="C66" s="377"/>
      <c r="D66" s="377"/>
      <c r="E66" s="422">
        <v>1699.0807697468208</v>
      </c>
      <c r="F66" s="720"/>
      <c r="G66" s="379" t="s">
        <v>419</v>
      </c>
      <c r="H66" s="373">
        <f t="shared" si="3"/>
        <v>19</v>
      </c>
    </row>
    <row r="67" spans="1:8" x14ac:dyDescent="0.3">
      <c r="A67" s="373">
        <f t="shared" si="2"/>
        <v>20</v>
      </c>
      <c r="B67" s="415"/>
      <c r="C67" s="415"/>
      <c r="D67" s="415"/>
      <c r="E67" s="420"/>
      <c r="F67" s="421"/>
      <c r="G67" s="379"/>
      <c r="H67" s="373">
        <f t="shared" si="3"/>
        <v>20</v>
      </c>
    </row>
    <row r="68" spans="1:8" x14ac:dyDescent="0.3">
      <c r="A68" s="373">
        <f t="shared" si="2"/>
        <v>21</v>
      </c>
      <c r="B68" s="417" t="s">
        <v>254</v>
      </c>
      <c r="C68" s="415"/>
      <c r="D68" s="415"/>
      <c r="E68" s="418">
        <f>E66/E48</f>
        <v>3.1683253029490246E-4</v>
      </c>
      <c r="F68" s="419"/>
      <c r="G68" s="379" t="s">
        <v>420</v>
      </c>
      <c r="H68" s="373">
        <f t="shared" si="3"/>
        <v>21</v>
      </c>
    </row>
    <row r="69" spans="1:8" x14ac:dyDescent="0.3">
      <c r="A69" s="373">
        <f t="shared" si="2"/>
        <v>22</v>
      </c>
      <c r="B69" s="415"/>
      <c r="C69" s="415"/>
      <c r="D69" s="415"/>
      <c r="E69" s="420"/>
      <c r="F69" s="421"/>
      <c r="G69" s="379"/>
      <c r="H69" s="373">
        <f t="shared" si="3"/>
        <v>22</v>
      </c>
    </row>
    <row r="70" spans="1:8" x14ac:dyDescent="0.3">
      <c r="A70" s="373">
        <f t="shared" si="2"/>
        <v>23</v>
      </c>
      <c r="B70" s="376" t="s">
        <v>255</v>
      </c>
      <c r="C70" s="376"/>
      <c r="D70" s="376"/>
      <c r="E70" s="423"/>
      <c r="F70" s="424"/>
      <c r="G70" s="379"/>
      <c r="H70" s="373">
        <f t="shared" si="3"/>
        <v>23</v>
      </c>
    </row>
    <row r="71" spans="1:8" x14ac:dyDescent="0.3">
      <c r="A71" s="373">
        <f t="shared" si="2"/>
        <v>24</v>
      </c>
      <c r="B71" s="425" t="s">
        <v>393</v>
      </c>
      <c r="C71" s="369"/>
      <c r="D71" s="369"/>
      <c r="E71" s="423"/>
      <c r="F71" s="424"/>
      <c r="G71" s="379"/>
      <c r="H71" s="373">
        <f t="shared" si="3"/>
        <v>24</v>
      </c>
    </row>
    <row r="72" spans="1:8" x14ac:dyDescent="0.3">
      <c r="A72" s="373">
        <f t="shared" si="2"/>
        <v>25</v>
      </c>
      <c r="B72" s="377" t="s">
        <v>256</v>
      </c>
      <c r="C72" s="377"/>
      <c r="D72" s="377"/>
      <c r="E72" s="426">
        <f>'Pg10 Rev Stmt AL'!G15</f>
        <v>50955.986223078966</v>
      </c>
      <c r="F72" s="720"/>
      <c r="G72" s="379" t="s">
        <v>421</v>
      </c>
      <c r="H72" s="373">
        <f t="shared" si="3"/>
        <v>25</v>
      </c>
    </row>
    <row r="73" spans="1:8" x14ac:dyDescent="0.3">
      <c r="A73" s="373">
        <f t="shared" si="2"/>
        <v>26</v>
      </c>
      <c r="B73" s="377" t="s">
        <v>257</v>
      </c>
      <c r="C73" s="377"/>
      <c r="D73" s="377"/>
      <c r="E73" s="427">
        <f>'Pg10 Rev Stmt AL'!G19</f>
        <v>37080.695383757316</v>
      </c>
      <c r="F73" s="720"/>
      <c r="G73" s="379" t="s">
        <v>422</v>
      </c>
      <c r="H73" s="373">
        <f t="shared" si="3"/>
        <v>26</v>
      </c>
    </row>
    <row r="74" spans="1:8" x14ac:dyDescent="0.3">
      <c r="A74" s="373">
        <f t="shared" si="2"/>
        <v>27</v>
      </c>
      <c r="B74" s="377" t="s">
        <v>258</v>
      </c>
      <c r="C74" s="377"/>
      <c r="D74" s="377"/>
      <c r="E74" s="427">
        <v>9956.4844733203754</v>
      </c>
      <c r="F74" s="27"/>
      <c r="G74" s="379" t="s">
        <v>423</v>
      </c>
      <c r="H74" s="373">
        <f t="shared" si="3"/>
        <v>27</v>
      </c>
    </row>
    <row r="75" spans="1:8" x14ac:dyDescent="0.3">
      <c r="A75" s="373">
        <f t="shared" si="2"/>
        <v>28</v>
      </c>
      <c r="B75" s="377" t="s">
        <v>259</v>
      </c>
      <c r="C75" s="369"/>
      <c r="D75" s="369"/>
      <c r="E75" s="794">
        <f>SUM(E72:E74)</f>
        <v>97993.166080156661</v>
      </c>
      <c r="F75" s="27"/>
      <c r="G75" s="379" t="s">
        <v>424</v>
      </c>
      <c r="H75" s="373">
        <f t="shared" si="3"/>
        <v>28</v>
      </c>
    </row>
    <row r="76" spans="1:8" x14ac:dyDescent="0.3">
      <c r="A76" s="373">
        <f t="shared" si="2"/>
        <v>29</v>
      </c>
      <c r="B76" s="369"/>
      <c r="C76" s="369"/>
      <c r="D76" s="369"/>
      <c r="E76" s="430"/>
      <c r="F76" s="431"/>
      <c r="G76" s="379"/>
      <c r="H76" s="373">
        <f t="shared" si="3"/>
        <v>29</v>
      </c>
    </row>
    <row r="77" spans="1:8" x14ac:dyDescent="0.3">
      <c r="A77" s="373">
        <f t="shared" si="2"/>
        <v>30</v>
      </c>
      <c r="B77" s="377" t="s">
        <v>260</v>
      </c>
      <c r="C77" s="377"/>
      <c r="D77" s="377"/>
      <c r="E77" s="432">
        <v>0.10066290362131794</v>
      </c>
      <c r="F77" s="27"/>
      <c r="G77" s="379" t="s">
        <v>425</v>
      </c>
      <c r="H77" s="373">
        <f t="shared" si="3"/>
        <v>30</v>
      </c>
    </row>
    <row r="78" spans="1:8" x14ac:dyDescent="0.3">
      <c r="A78" s="373">
        <f t="shared" si="2"/>
        <v>31</v>
      </c>
      <c r="B78" s="369"/>
      <c r="C78" s="369"/>
      <c r="D78" s="369"/>
      <c r="E78" s="430"/>
      <c r="F78" s="431"/>
      <c r="G78" s="379"/>
      <c r="H78" s="373">
        <f t="shared" si="3"/>
        <v>31</v>
      </c>
    </row>
    <row r="79" spans="1:8" x14ac:dyDescent="0.3">
      <c r="A79" s="373">
        <f t="shared" si="2"/>
        <v>32</v>
      </c>
      <c r="B79" s="377" t="s">
        <v>261</v>
      </c>
      <c r="C79" s="369"/>
      <c r="D79" s="369"/>
      <c r="E79" s="676">
        <f>E75*E77</f>
        <v>9864.2766326746114</v>
      </c>
      <c r="F79" s="27"/>
      <c r="G79" s="379" t="s">
        <v>426</v>
      </c>
      <c r="H79" s="373">
        <f t="shared" si="3"/>
        <v>32</v>
      </c>
    </row>
    <row r="80" spans="1:8" x14ac:dyDescent="0.3">
      <c r="A80" s="373">
        <f t="shared" si="2"/>
        <v>33</v>
      </c>
      <c r="B80" s="369"/>
      <c r="C80" s="369"/>
      <c r="D80" s="369"/>
      <c r="E80" s="430"/>
      <c r="F80" s="431"/>
      <c r="G80" s="379"/>
      <c r="H80" s="373">
        <f t="shared" si="3"/>
        <v>33</v>
      </c>
    </row>
    <row r="81" spans="1:9" x14ac:dyDescent="0.3">
      <c r="A81" s="373">
        <f t="shared" si="2"/>
        <v>34</v>
      </c>
      <c r="B81" s="377" t="s">
        <v>262</v>
      </c>
      <c r="C81" s="369"/>
      <c r="D81" s="369"/>
      <c r="E81" s="418">
        <f>E79/E48</f>
        <v>1.8394203387546316E-3</v>
      </c>
      <c r="F81" s="419"/>
      <c r="G81" s="379" t="s">
        <v>427</v>
      </c>
      <c r="H81" s="373">
        <f t="shared" si="3"/>
        <v>34</v>
      </c>
    </row>
    <row r="82" spans="1:9" x14ac:dyDescent="0.3">
      <c r="A82" s="373">
        <f t="shared" si="2"/>
        <v>35</v>
      </c>
      <c r="B82" s="377"/>
      <c r="C82" s="369"/>
      <c r="D82" s="369"/>
      <c r="E82" s="433"/>
      <c r="F82" s="419"/>
      <c r="G82" s="379"/>
      <c r="H82" s="373">
        <f t="shared" si="3"/>
        <v>35</v>
      </c>
    </row>
    <row r="83" spans="1:9" x14ac:dyDescent="0.3">
      <c r="A83" s="373">
        <f t="shared" si="2"/>
        <v>36</v>
      </c>
      <c r="B83" s="376" t="s">
        <v>263</v>
      </c>
      <c r="C83" s="434"/>
      <c r="D83" s="434"/>
      <c r="E83" s="435"/>
      <c r="F83" s="435"/>
      <c r="G83" s="435"/>
      <c r="H83" s="373">
        <f t="shared" si="3"/>
        <v>36</v>
      </c>
    </row>
    <row r="84" spans="1:9" x14ac:dyDescent="0.3">
      <c r="A84" s="373">
        <f t="shared" si="2"/>
        <v>37</v>
      </c>
      <c r="B84" s="377" t="s">
        <v>264</v>
      </c>
      <c r="C84" s="434"/>
      <c r="D84" s="434"/>
      <c r="E84" s="191">
        <f>'Pg13 Rev AV-4'!C14</f>
        <v>28018.267765879718</v>
      </c>
      <c r="F84" s="435"/>
      <c r="G84" s="379" t="s">
        <v>428</v>
      </c>
      <c r="H84" s="373">
        <f t="shared" si="3"/>
        <v>37</v>
      </c>
    </row>
    <row r="85" spans="1:9" x14ac:dyDescent="0.3">
      <c r="A85" s="373">
        <f t="shared" si="2"/>
        <v>38</v>
      </c>
      <c r="B85" s="376"/>
      <c r="C85" s="434"/>
      <c r="D85" s="434"/>
      <c r="E85" s="435"/>
      <c r="F85" s="435"/>
      <c r="G85" s="435"/>
      <c r="H85" s="373">
        <f t="shared" si="3"/>
        <v>38</v>
      </c>
    </row>
    <row r="86" spans="1:9" x14ac:dyDescent="0.3">
      <c r="A86" s="373">
        <f t="shared" si="2"/>
        <v>39</v>
      </c>
      <c r="B86" s="377" t="s">
        <v>265</v>
      </c>
      <c r="C86" s="434"/>
      <c r="D86" s="434"/>
      <c r="E86" s="436">
        <f>'Pg13 Rev AV-4'!C15</f>
        <v>58941.050956189742</v>
      </c>
      <c r="F86" s="435"/>
      <c r="G86" s="379" t="s">
        <v>429</v>
      </c>
      <c r="H86" s="373">
        <f t="shared" si="3"/>
        <v>39</v>
      </c>
    </row>
    <row r="87" spans="1:9" ht="19.2" x14ac:dyDescent="0.6">
      <c r="A87" s="373">
        <f t="shared" si="2"/>
        <v>40</v>
      </c>
      <c r="B87" s="434"/>
      <c r="C87" s="437"/>
      <c r="D87" s="437"/>
      <c r="E87" s="438"/>
      <c r="F87" s="439"/>
      <c r="G87" s="434"/>
      <c r="H87" s="373">
        <f t="shared" si="3"/>
        <v>40</v>
      </c>
    </row>
    <row r="88" spans="1:9" x14ac:dyDescent="0.3">
      <c r="A88" s="373">
        <f t="shared" si="2"/>
        <v>41</v>
      </c>
      <c r="B88" s="377" t="s">
        <v>266</v>
      </c>
      <c r="C88" s="437"/>
      <c r="D88" s="437"/>
      <c r="E88" s="440">
        <f>E84+E86</f>
        <v>86959.318722069467</v>
      </c>
      <c r="F88" s="441"/>
      <c r="G88" s="379" t="s">
        <v>430</v>
      </c>
      <c r="H88" s="373">
        <f t="shared" si="3"/>
        <v>41</v>
      </c>
    </row>
    <row r="89" spans="1:9" x14ac:dyDescent="0.3">
      <c r="A89" s="373">
        <f t="shared" si="2"/>
        <v>42</v>
      </c>
      <c r="B89" s="442"/>
      <c r="C89" s="437"/>
      <c r="D89" s="437"/>
      <c r="E89" s="443"/>
      <c r="F89" s="441"/>
      <c r="G89" s="444"/>
      <c r="H89" s="373">
        <f t="shared" si="3"/>
        <v>42</v>
      </c>
    </row>
    <row r="90" spans="1:9" x14ac:dyDescent="0.3">
      <c r="A90" s="373">
        <f t="shared" si="2"/>
        <v>43</v>
      </c>
      <c r="B90" s="377" t="s">
        <v>260</v>
      </c>
      <c r="C90" s="437"/>
      <c r="D90" s="437"/>
      <c r="E90" s="445">
        <v>0.10066290362131794</v>
      </c>
      <c r="F90" s="541"/>
      <c r="G90" s="379" t="s">
        <v>431</v>
      </c>
      <c r="H90" s="373">
        <f t="shared" si="3"/>
        <v>43</v>
      </c>
    </row>
    <row r="91" spans="1:9" x14ac:dyDescent="0.3">
      <c r="A91" s="373">
        <f t="shared" si="2"/>
        <v>44</v>
      </c>
      <c r="B91" s="434"/>
      <c r="C91" s="437"/>
      <c r="D91" s="437"/>
      <c r="E91" s="446"/>
      <c r="F91" s="447"/>
      <c r="G91" s="434"/>
      <c r="H91" s="373">
        <f t="shared" si="3"/>
        <v>44</v>
      </c>
    </row>
    <row r="92" spans="1:9" x14ac:dyDescent="0.3">
      <c r="A92" s="373">
        <f t="shared" si="2"/>
        <v>45</v>
      </c>
      <c r="B92" s="377" t="s">
        <v>267</v>
      </c>
      <c r="C92" s="437"/>
      <c r="D92" s="437"/>
      <c r="E92" s="336">
        <f>E88*E90</f>
        <v>8753.5775194951475</v>
      </c>
      <c r="F92" s="448"/>
      <c r="G92" s="379" t="s">
        <v>432</v>
      </c>
      <c r="H92" s="373">
        <f t="shared" si="3"/>
        <v>45</v>
      </c>
    </row>
    <row r="93" spans="1:9" x14ac:dyDescent="0.3">
      <c r="A93" s="373">
        <f t="shared" si="2"/>
        <v>46</v>
      </c>
      <c r="B93" s="442"/>
      <c r="C93" s="437"/>
      <c r="D93" s="437"/>
      <c r="E93" s="449"/>
      <c r="F93" s="448"/>
      <c r="G93" s="444"/>
      <c r="H93" s="373">
        <f t="shared" si="3"/>
        <v>46</v>
      </c>
    </row>
    <row r="94" spans="1:9" x14ac:dyDescent="0.3">
      <c r="A94" s="373">
        <f t="shared" si="2"/>
        <v>47</v>
      </c>
      <c r="B94" s="377" t="s">
        <v>268</v>
      </c>
      <c r="C94" s="437"/>
      <c r="D94" s="437"/>
      <c r="E94" s="450">
        <v>12212.130502049462</v>
      </c>
      <c r="F94" s="448"/>
      <c r="G94" s="379" t="s">
        <v>433</v>
      </c>
      <c r="H94" s="373">
        <f t="shared" si="3"/>
        <v>47</v>
      </c>
      <c r="I94" s="437"/>
    </row>
    <row r="95" spans="1:9" x14ac:dyDescent="0.3">
      <c r="A95" s="373">
        <f t="shared" si="2"/>
        <v>48</v>
      </c>
      <c r="B95" s="377"/>
      <c r="C95" s="437"/>
      <c r="D95" s="437"/>
      <c r="E95" s="331"/>
      <c r="F95" s="448"/>
      <c r="G95" s="379"/>
      <c r="H95" s="373">
        <f t="shared" si="3"/>
        <v>48</v>
      </c>
    </row>
    <row r="96" spans="1:9" x14ac:dyDescent="0.3">
      <c r="A96" s="373">
        <f t="shared" si="2"/>
        <v>49</v>
      </c>
      <c r="B96" s="377" t="s">
        <v>269</v>
      </c>
      <c r="C96" s="437"/>
      <c r="D96" s="437"/>
      <c r="E96" s="331">
        <f>E92+E94</f>
        <v>20965.708021544611</v>
      </c>
      <c r="F96" s="448"/>
      <c r="G96" s="379" t="s">
        <v>434</v>
      </c>
      <c r="H96" s="373">
        <f t="shared" si="3"/>
        <v>49</v>
      </c>
    </row>
    <row r="97" spans="1:8" x14ac:dyDescent="0.3">
      <c r="A97" s="373">
        <f t="shared" si="2"/>
        <v>50</v>
      </c>
      <c r="B97" s="434"/>
      <c r="C97" s="437"/>
      <c r="D97" s="437"/>
      <c r="E97" s="451"/>
      <c r="F97" s="434"/>
      <c r="G97" s="434"/>
      <c r="H97" s="373">
        <f t="shared" si="3"/>
        <v>50</v>
      </c>
    </row>
    <row r="98" spans="1:8" ht="16.2" thickBot="1" x14ac:dyDescent="0.35">
      <c r="A98" s="373">
        <f t="shared" si="2"/>
        <v>51</v>
      </c>
      <c r="B98" s="377" t="s">
        <v>270</v>
      </c>
      <c r="C98" s="437"/>
      <c r="D98" s="437"/>
      <c r="E98" s="452">
        <f>E96/E48</f>
        <v>3.9095365212566827E-3</v>
      </c>
      <c r="F98" s="453"/>
      <c r="G98" s="379" t="s">
        <v>435</v>
      </c>
      <c r="H98" s="373">
        <f t="shared" si="3"/>
        <v>51</v>
      </c>
    </row>
    <row r="99" spans="1:8" ht="16.2" thickTop="1" x14ac:dyDescent="0.3">
      <c r="A99" s="380"/>
    </row>
    <row r="100" spans="1:8" x14ac:dyDescent="0.3">
      <c r="A100" s="541"/>
      <c r="B100" s="24"/>
    </row>
    <row r="101" spans="1:8" x14ac:dyDescent="0.3">
      <c r="A101" s="380"/>
      <c r="B101" s="24"/>
    </row>
    <row r="102" spans="1:8" x14ac:dyDescent="0.3">
      <c r="A102" s="380"/>
    </row>
    <row r="103" spans="1:8" x14ac:dyDescent="0.3">
      <c r="A103" s="380"/>
    </row>
    <row r="104" spans="1:8" x14ac:dyDescent="0.3">
      <c r="A104" s="380"/>
    </row>
    <row r="105" spans="1:8" x14ac:dyDescent="0.3">
      <c r="A105" s="380"/>
    </row>
    <row r="106" spans="1:8" x14ac:dyDescent="0.3">
      <c r="A106" s="380"/>
    </row>
    <row r="107" spans="1:8" x14ac:dyDescent="0.3">
      <c r="A107" s="380"/>
    </row>
    <row r="108" spans="1:8" x14ac:dyDescent="0.3">
      <c r="A108" s="380"/>
    </row>
    <row r="109" spans="1:8" x14ac:dyDescent="0.3">
      <c r="A109" s="380"/>
    </row>
    <row r="110" spans="1:8" x14ac:dyDescent="0.3">
      <c r="A110" s="380"/>
    </row>
    <row r="111" spans="1:8" x14ac:dyDescent="0.3">
      <c r="A111" s="380"/>
    </row>
    <row r="112" spans="1:8" x14ac:dyDescent="0.3">
      <c r="A112" s="380"/>
    </row>
    <row r="113" spans="1:1" x14ac:dyDescent="0.3">
      <c r="A113" s="380"/>
    </row>
    <row r="114" spans="1:1" x14ac:dyDescent="0.3">
      <c r="A114" s="380"/>
    </row>
    <row r="115" spans="1:1" x14ac:dyDescent="0.3">
      <c r="A115" s="380"/>
    </row>
    <row r="116" spans="1:1" x14ac:dyDescent="0.3">
      <c r="A116" s="380"/>
    </row>
    <row r="117" spans="1:1" x14ac:dyDescent="0.3">
      <c r="A117" s="380"/>
    </row>
    <row r="118" spans="1:1" x14ac:dyDescent="0.3">
      <c r="A118" s="380"/>
    </row>
    <row r="119" spans="1:1" x14ac:dyDescent="0.3">
      <c r="A119" s="380"/>
    </row>
    <row r="120" spans="1:1" x14ac:dyDescent="0.3">
      <c r="A120" s="380"/>
    </row>
    <row r="121" spans="1:1" x14ac:dyDescent="0.3">
      <c r="A121" s="380"/>
    </row>
    <row r="122" spans="1:1" x14ac:dyDescent="0.3">
      <c r="A122" s="380"/>
    </row>
    <row r="123" spans="1:1" x14ac:dyDescent="0.3">
      <c r="A123" s="380"/>
    </row>
    <row r="124" spans="1:1" x14ac:dyDescent="0.3">
      <c r="A124" s="380"/>
    </row>
    <row r="125" spans="1:1" x14ac:dyDescent="0.3">
      <c r="A125" s="380"/>
    </row>
    <row r="126" spans="1:1" x14ac:dyDescent="0.3">
      <c r="A126" s="380"/>
    </row>
    <row r="127" spans="1:1" x14ac:dyDescent="0.3">
      <c r="A127" s="380"/>
    </row>
    <row r="128" spans="1:1" x14ac:dyDescent="0.3">
      <c r="A128" s="380"/>
    </row>
    <row r="129" spans="1:1" x14ac:dyDescent="0.3">
      <c r="A129" s="380"/>
    </row>
    <row r="130" spans="1:1" x14ac:dyDescent="0.3">
      <c r="A130" s="380"/>
    </row>
    <row r="131" spans="1:1" x14ac:dyDescent="0.3">
      <c r="A131" s="380"/>
    </row>
    <row r="132" spans="1:1" x14ac:dyDescent="0.3">
      <c r="A132" s="380"/>
    </row>
    <row r="133" spans="1:1" x14ac:dyDescent="0.3">
      <c r="A133" s="380"/>
    </row>
    <row r="134" spans="1:1" x14ac:dyDescent="0.3">
      <c r="A134" s="380"/>
    </row>
    <row r="135" spans="1:1" x14ac:dyDescent="0.3">
      <c r="A135" s="380"/>
    </row>
    <row r="136" spans="1:1" x14ac:dyDescent="0.3">
      <c r="A136" s="380"/>
    </row>
    <row r="137" spans="1:1" x14ac:dyDescent="0.3">
      <c r="A137" s="380"/>
    </row>
    <row r="138" spans="1:1" x14ac:dyDescent="0.3">
      <c r="A138" s="380"/>
    </row>
    <row r="139" spans="1:1" x14ac:dyDescent="0.3">
      <c r="A139" s="380"/>
    </row>
    <row r="140" spans="1:1" x14ac:dyDescent="0.3">
      <c r="A140" s="380"/>
    </row>
    <row r="141" spans="1:1" x14ac:dyDescent="0.3">
      <c r="A141" s="380"/>
    </row>
    <row r="142" spans="1:1" x14ac:dyDescent="0.3">
      <c r="A142" s="380"/>
    </row>
    <row r="143" spans="1:1" x14ac:dyDescent="0.3">
      <c r="A143" s="380"/>
    </row>
    <row r="144" spans="1:1" x14ac:dyDescent="0.3">
      <c r="A144" s="380"/>
    </row>
    <row r="145" spans="1:6" x14ac:dyDescent="0.3">
      <c r="A145" s="380"/>
    </row>
    <row r="146" spans="1:6" x14ac:dyDescent="0.3">
      <c r="A146" s="380"/>
    </row>
    <row r="147" spans="1:6" x14ac:dyDescent="0.3">
      <c r="A147" s="380"/>
    </row>
    <row r="148" spans="1:6" x14ac:dyDescent="0.3">
      <c r="A148" s="380"/>
    </row>
    <row r="149" spans="1:6" x14ac:dyDescent="0.3">
      <c r="A149" s="380"/>
    </row>
    <row r="150" spans="1:6" x14ac:dyDescent="0.3">
      <c r="A150" s="380"/>
    </row>
    <row r="151" spans="1:6" x14ac:dyDescent="0.3">
      <c r="A151" s="380"/>
    </row>
    <row r="152" spans="1:6" x14ac:dyDescent="0.3">
      <c r="A152" s="380"/>
      <c r="B152" s="370"/>
      <c r="C152" s="370"/>
      <c r="D152" s="370"/>
      <c r="E152" s="370"/>
      <c r="F152" s="370"/>
    </row>
    <row r="153" spans="1:6" x14ac:dyDescent="0.3">
      <c r="A153" s="380"/>
      <c r="B153" s="370"/>
      <c r="C153" s="370"/>
      <c r="D153" s="370"/>
      <c r="E153" s="370"/>
      <c r="F153" s="370"/>
    </row>
    <row r="158" spans="1:6" x14ac:dyDescent="0.3">
      <c r="A158" s="372"/>
      <c r="B158" s="370"/>
      <c r="C158" s="370"/>
      <c r="D158" s="370"/>
      <c r="E158" s="454"/>
      <c r="F158" s="454"/>
    </row>
  </sheetData>
  <mergeCells count="10">
    <mergeCell ref="B40:G40"/>
    <mergeCell ref="B41:G41"/>
    <mergeCell ref="B42:G42"/>
    <mergeCell ref="B43:G43"/>
    <mergeCell ref="B3:G3"/>
    <mergeCell ref="B4:G4"/>
    <mergeCell ref="B5:G5"/>
    <mergeCell ref="B6:G6"/>
    <mergeCell ref="B7:G7"/>
    <mergeCell ref="B39:G39"/>
  </mergeCells>
  <printOptions horizontalCentered="1"/>
  <pageMargins left="0.25" right="0.25" top="0.5" bottom="0.5" header="0.35" footer="0.25"/>
  <pageSetup scale="51" orientation="portrait" r:id="rId1"/>
  <headerFooter scaleWithDoc="0" alignWithMargins="0">
    <oddHeader>&amp;C&amp;"Times New Roman,Bold"&amp;8AS FILED</oddHeader>
    <oddFooter>&amp;CPage 6.&amp;P&amp;R&amp;F</oddFooter>
  </headerFooter>
  <rowBreaks count="1" manualBreakCount="1">
    <brk id="3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7F1DA-F037-43FC-BA1F-8FAB958D7242}">
  <sheetPr>
    <pageSetUpPr fitToPage="1"/>
  </sheetPr>
  <dimension ref="A1:J46"/>
  <sheetViews>
    <sheetView zoomScale="80" zoomScaleNormal="80" workbookViewId="0"/>
  </sheetViews>
  <sheetFormatPr defaultColWidth="8.77734375" defaultRowHeight="15.6" x14ac:dyDescent="0.3"/>
  <cols>
    <col min="1" max="1" width="5.109375" style="41" customWidth="1"/>
    <col min="2" max="2" width="78.109375" style="20" bestFit="1" customWidth="1"/>
    <col min="3" max="3" width="16.77734375" style="20" customWidth="1"/>
    <col min="4" max="4" width="1.77734375" style="20" customWidth="1"/>
    <col min="5" max="5" width="16.77734375" style="20" customWidth="1"/>
    <col min="6" max="6" width="1.77734375" style="20" customWidth="1"/>
    <col min="7" max="7" width="16.77734375" style="20" customWidth="1"/>
    <col min="8" max="8" width="1.5546875" style="20" customWidth="1"/>
    <col min="9" max="9" width="46.109375" style="20" customWidth="1"/>
    <col min="10" max="10" width="5.109375" style="41" customWidth="1"/>
    <col min="11" max="16384" width="8.77734375" style="20"/>
  </cols>
  <sheetData>
    <row r="1" spans="1:10" x14ac:dyDescent="0.3">
      <c r="A1" s="223"/>
      <c r="B1" s="370"/>
      <c r="C1" s="370"/>
      <c r="D1" s="370"/>
      <c r="E1" s="370"/>
      <c r="F1" s="370"/>
      <c r="G1" s="370"/>
      <c r="H1" s="370"/>
      <c r="I1" s="743"/>
      <c r="J1" s="223"/>
    </row>
    <row r="2" spans="1:10" x14ac:dyDescent="0.3">
      <c r="A2" s="223"/>
      <c r="B2" s="812" t="s">
        <v>24</v>
      </c>
      <c r="C2" s="812"/>
      <c r="D2" s="812"/>
      <c r="E2" s="812"/>
      <c r="F2" s="812"/>
      <c r="G2" s="812"/>
      <c r="H2" s="812"/>
      <c r="I2" s="812"/>
      <c r="J2" s="223"/>
    </row>
    <row r="3" spans="1:10" x14ac:dyDescent="0.3">
      <c r="B3" s="812" t="s">
        <v>216</v>
      </c>
      <c r="C3" s="812"/>
      <c r="D3" s="812"/>
      <c r="E3" s="812"/>
      <c r="F3" s="812"/>
      <c r="G3" s="812"/>
      <c r="H3" s="812"/>
      <c r="I3" s="812"/>
      <c r="J3" s="744"/>
    </row>
    <row r="4" spans="1:10" x14ac:dyDescent="0.3">
      <c r="B4" s="812" t="s">
        <v>221</v>
      </c>
      <c r="C4" s="812"/>
      <c r="D4" s="812"/>
      <c r="E4" s="812"/>
      <c r="F4" s="812"/>
      <c r="G4" s="812"/>
      <c r="H4" s="812"/>
      <c r="I4" s="812"/>
      <c r="J4" s="744"/>
    </row>
    <row r="5" spans="1:10" x14ac:dyDescent="0.3">
      <c r="B5" s="813" t="s">
        <v>544</v>
      </c>
      <c r="C5" s="813"/>
      <c r="D5" s="813"/>
      <c r="E5" s="813"/>
      <c r="F5" s="813"/>
      <c r="G5" s="813"/>
      <c r="H5" s="813"/>
      <c r="I5" s="813"/>
      <c r="J5" s="744"/>
    </row>
    <row r="6" spans="1:10" x14ac:dyDescent="0.3">
      <c r="B6" s="814" t="s">
        <v>1</v>
      </c>
      <c r="C6" s="814"/>
      <c r="D6" s="814"/>
      <c r="E6" s="814"/>
      <c r="F6" s="814"/>
      <c r="G6" s="814"/>
      <c r="H6" s="814"/>
      <c r="I6" s="814"/>
      <c r="J6" s="745"/>
    </row>
    <row r="7" spans="1:10" x14ac:dyDescent="0.3">
      <c r="B7" s="746"/>
      <c r="C7" s="746"/>
      <c r="D7" s="746"/>
      <c r="E7" s="746"/>
      <c r="F7" s="746"/>
      <c r="G7" s="746"/>
      <c r="H7" s="746"/>
      <c r="I7" s="746"/>
      <c r="J7" s="745"/>
    </row>
    <row r="8" spans="1:10" x14ac:dyDescent="0.3">
      <c r="A8" s="223"/>
      <c r="B8" s="370"/>
      <c r="C8" s="747" t="s">
        <v>10</v>
      </c>
      <c r="D8" s="370"/>
      <c r="E8" s="747" t="s">
        <v>56</v>
      </c>
      <c r="F8" s="743"/>
      <c r="G8" s="747" t="s">
        <v>618</v>
      </c>
      <c r="H8" s="370"/>
      <c r="I8" s="370"/>
      <c r="J8" s="223"/>
    </row>
    <row r="9" spans="1:10" x14ac:dyDescent="0.3">
      <c r="A9" s="223" t="s">
        <v>2</v>
      </c>
      <c r="B9" s="370"/>
      <c r="C9" s="748" t="s">
        <v>9</v>
      </c>
      <c r="D9" s="370"/>
      <c r="E9" s="748" t="s">
        <v>619</v>
      </c>
      <c r="F9" s="370"/>
      <c r="G9" s="370"/>
      <c r="H9" s="370"/>
      <c r="I9" s="370"/>
      <c r="J9" s="223" t="s">
        <v>2</v>
      </c>
    </row>
    <row r="10" spans="1:10" x14ac:dyDescent="0.3">
      <c r="A10" s="223" t="s">
        <v>6</v>
      </c>
      <c r="B10" s="370"/>
      <c r="C10" s="749" t="s">
        <v>620</v>
      </c>
      <c r="D10" s="370"/>
      <c r="E10" s="749" t="s">
        <v>621</v>
      </c>
      <c r="F10" s="370"/>
      <c r="G10" s="749" t="s">
        <v>4</v>
      </c>
      <c r="H10" s="370"/>
      <c r="I10" s="749" t="s">
        <v>5</v>
      </c>
      <c r="J10" s="223" t="s">
        <v>6</v>
      </c>
    </row>
    <row r="11" spans="1:10" x14ac:dyDescent="0.3">
      <c r="A11" s="223"/>
      <c r="B11" s="370"/>
      <c r="C11" s="370"/>
      <c r="D11" s="370"/>
      <c r="E11" s="370"/>
      <c r="F11" s="370"/>
      <c r="G11" s="743"/>
      <c r="H11" s="370"/>
      <c r="I11" s="743"/>
      <c r="J11" s="223"/>
    </row>
    <row r="12" spans="1:10" x14ac:dyDescent="0.3">
      <c r="A12" s="223">
        <v>1</v>
      </c>
      <c r="B12" s="750" t="s">
        <v>622</v>
      </c>
      <c r="C12" s="370"/>
      <c r="D12" s="370"/>
      <c r="E12" s="370"/>
      <c r="F12" s="370"/>
      <c r="G12" s="370"/>
      <c r="H12" s="370"/>
      <c r="I12" s="743"/>
      <c r="J12" s="223">
        <f>A12</f>
        <v>1</v>
      </c>
    </row>
    <row r="13" spans="1:10" x14ac:dyDescent="0.3">
      <c r="A13" s="223">
        <f>A12+1</f>
        <v>2</v>
      </c>
      <c r="B13" s="370"/>
      <c r="C13" s="370"/>
      <c r="D13" s="370"/>
      <c r="E13" s="370"/>
      <c r="F13" s="370"/>
      <c r="G13" s="370"/>
      <c r="H13" s="370"/>
      <c r="I13" s="370"/>
      <c r="J13" s="223">
        <f>J12+1</f>
        <v>2</v>
      </c>
    </row>
    <row r="14" spans="1:10" x14ac:dyDescent="0.3">
      <c r="A14" s="223">
        <f t="shared" ref="A14:A42" si="0">A13+1</f>
        <v>3</v>
      </c>
      <c r="B14" s="751" t="s">
        <v>623</v>
      </c>
      <c r="C14" s="370"/>
      <c r="D14" s="370"/>
      <c r="E14" s="370"/>
      <c r="F14" s="370"/>
      <c r="G14" s="752">
        <v>-1842.183</v>
      </c>
      <c r="H14" s="753"/>
      <c r="I14" s="379" t="s">
        <v>624</v>
      </c>
      <c r="J14" s="223">
        <f t="shared" ref="J14:J42" si="1">J13+1</f>
        <v>3</v>
      </c>
    </row>
    <row r="15" spans="1:10" x14ac:dyDescent="0.3">
      <c r="A15" s="223">
        <f t="shared" si="0"/>
        <v>4</v>
      </c>
      <c r="B15" s="751"/>
      <c r="C15" s="370"/>
      <c r="D15" s="370"/>
      <c r="E15" s="370"/>
      <c r="F15" s="370"/>
      <c r="G15" s="754"/>
      <c r="H15" s="370"/>
      <c r="I15" s="370"/>
      <c r="J15" s="223">
        <f t="shared" si="1"/>
        <v>4</v>
      </c>
    </row>
    <row r="16" spans="1:10" x14ac:dyDescent="0.3">
      <c r="A16" s="223">
        <f t="shared" si="0"/>
        <v>5</v>
      </c>
      <c r="B16" s="751" t="s">
        <v>260</v>
      </c>
      <c r="C16" s="370"/>
      <c r="D16" s="370"/>
      <c r="E16" s="370"/>
      <c r="F16" s="370"/>
      <c r="G16" s="791">
        <f>'Pg11 Rev Stmt AV'!G110</f>
        <v>0.10066568521995188</v>
      </c>
      <c r="H16" s="27" t="s">
        <v>16</v>
      </c>
      <c r="I16" s="379" t="s">
        <v>425</v>
      </c>
      <c r="J16" s="223">
        <f t="shared" si="1"/>
        <v>5</v>
      </c>
    </row>
    <row r="17" spans="1:10" x14ac:dyDescent="0.3">
      <c r="A17" s="223">
        <f t="shared" si="0"/>
        <v>6</v>
      </c>
      <c r="B17" s="751"/>
      <c r="C17" s="370"/>
      <c r="D17" s="370"/>
      <c r="E17" s="370"/>
      <c r="F17" s="370"/>
      <c r="G17" s="756"/>
      <c r="H17" s="370"/>
      <c r="I17" s="748"/>
      <c r="J17" s="223">
        <f t="shared" si="1"/>
        <v>6</v>
      </c>
    </row>
    <row r="18" spans="1:10" x14ac:dyDescent="0.3">
      <c r="A18" s="223">
        <f t="shared" si="0"/>
        <v>7</v>
      </c>
      <c r="B18" s="751" t="s">
        <v>625</v>
      </c>
      <c r="C18" s="370"/>
      <c r="D18" s="370"/>
      <c r="E18" s="370"/>
      <c r="F18" s="370"/>
      <c r="G18" s="757">
        <f>G14*G16</f>
        <v>-185.4446139955466</v>
      </c>
      <c r="H18" s="758"/>
      <c r="I18" s="748" t="str">
        <f>"Line "&amp;A14&amp;" x Line "&amp;A16</f>
        <v>Line 3 x Line 5</v>
      </c>
      <c r="J18" s="223">
        <f t="shared" si="1"/>
        <v>7</v>
      </c>
    </row>
    <row r="19" spans="1:10" x14ac:dyDescent="0.3">
      <c r="A19" s="223">
        <f t="shared" si="0"/>
        <v>8</v>
      </c>
      <c r="B19" s="751"/>
      <c r="C19" s="370"/>
      <c r="D19" s="370"/>
      <c r="E19" s="370"/>
      <c r="F19" s="370"/>
      <c r="G19" s="759"/>
      <c r="H19" s="760"/>
      <c r="I19" s="370"/>
      <c r="J19" s="223">
        <f t="shared" si="1"/>
        <v>8</v>
      </c>
    </row>
    <row r="20" spans="1:10" x14ac:dyDescent="0.3">
      <c r="A20" s="223">
        <f t="shared" si="0"/>
        <v>9</v>
      </c>
      <c r="B20" s="761" t="s">
        <v>626</v>
      </c>
      <c r="C20" s="370"/>
      <c r="D20" s="370"/>
      <c r="E20" s="370"/>
      <c r="F20" s="370"/>
      <c r="G20" s="762"/>
      <c r="H20" s="760"/>
      <c r="I20" s="748"/>
      <c r="J20" s="223">
        <f t="shared" si="1"/>
        <v>9</v>
      </c>
    </row>
    <row r="21" spans="1:10" x14ac:dyDescent="0.3">
      <c r="A21" s="223">
        <f t="shared" si="0"/>
        <v>10</v>
      </c>
      <c r="B21" s="763" t="s">
        <v>627</v>
      </c>
      <c r="C21" s="370"/>
      <c r="D21" s="764"/>
      <c r="E21" s="765"/>
      <c r="F21" s="370"/>
      <c r="G21" s="766">
        <v>21.770731132631123</v>
      </c>
      <c r="H21" s="355"/>
      <c r="I21" s="767" t="s">
        <v>640</v>
      </c>
      <c r="J21" s="223">
        <f t="shared" si="1"/>
        <v>10</v>
      </c>
    </row>
    <row r="22" spans="1:10" x14ac:dyDescent="0.3">
      <c r="A22" s="223">
        <f t="shared" si="0"/>
        <v>11</v>
      </c>
      <c r="B22" s="370"/>
      <c r="C22" s="743"/>
      <c r="D22" s="370"/>
      <c r="E22" s="743"/>
      <c r="F22" s="370"/>
      <c r="G22" s="743"/>
      <c r="H22" s="743"/>
      <c r="I22" s="370"/>
      <c r="J22" s="223">
        <f t="shared" si="1"/>
        <v>11</v>
      </c>
    </row>
    <row r="23" spans="1:10" x14ac:dyDescent="0.3">
      <c r="A23" s="223">
        <f t="shared" si="0"/>
        <v>12</v>
      </c>
      <c r="B23" s="750" t="s">
        <v>628</v>
      </c>
      <c r="C23" s="743"/>
      <c r="D23" s="370"/>
      <c r="E23" s="743"/>
      <c r="F23" s="370"/>
      <c r="G23" s="743"/>
      <c r="H23" s="743"/>
      <c r="I23" s="370"/>
      <c r="J23" s="223">
        <f t="shared" si="1"/>
        <v>12</v>
      </c>
    </row>
    <row r="24" spans="1:10" x14ac:dyDescent="0.3">
      <c r="A24" s="223">
        <f t="shared" si="0"/>
        <v>13</v>
      </c>
      <c r="B24" s="768" t="s">
        <v>629</v>
      </c>
      <c r="C24" s="370"/>
      <c r="D24" s="370"/>
      <c r="E24" s="370"/>
      <c r="F24" s="370"/>
      <c r="G24" s="370"/>
      <c r="H24" s="370"/>
      <c r="I24" s="370"/>
      <c r="J24" s="223">
        <f t="shared" si="1"/>
        <v>13</v>
      </c>
    </row>
    <row r="25" spans="1:10" x14ac:dyDescent="0.3">
      <c r="A25" s="223">
        <f t="shared" si="0"/>
        <v>14</v>
      </c>
      <c r="B25" s="370" t="s">
        <v>630</v>
      </c>
      <c r="C25" s="752">
        <v>11661.3</v>
      </c>
      <c r="D25" s="372"/>
      <c r="E25" s="769">
        <v>4.8999999999999998E-3</v>
      </c>
      <c r="F25" s="370"/>
      <c r="G25" s="770">
        <f>C25*E25</f>
        <v>57.140369999999997</v>
      </c>
      <c r="H25" s="771"/>
      <c r="I25" s="748" t="s">
        <v>631</v>
      </c>
      <c r="J25" s="223">
        <f t="shared" si="1"/>
        <v>14</v>
      </c>
    </row>
    <row r="26" spans="1:10" x14ac:dyDescent="0.3">
      <c r="A26" s="223">
        <f t="shared" si="0"/>
        <v>15</v>
      </c>
      <c r="B26" s="370"/>
      <c r="C26" s="770"/>
      <c r="D26" s="372"/>
      <c r="E26" s="772"/>
      <c r="F26" s="370"/>
      <c r="G26" s="770"/>
      <c r="H26" s="771"/>
      <c r="I26" s="748"/>
      <c r="J26" s="223">
        <f t="shared" si="1"/>
        <v>15</v>
      </c>
    </row>
    <row r="27" spans="1:10" x14ac:dyDescent="0.3">
      <c r="A27" s="223">
        <f t="shared" si="0"/>
        <v>16</v>
      </c>
      <c r="B27" s="370" t="s">
        <v>632</v>
      </c>
      <c r="C27" s="773">
        <v>15149.7</v>
      </c>
      <c r="D27" s="372"/>
      <c r="E27" s="769">
        <v>1.9E-3</v>
      </c>
      <c r="F27" s="370"/>
      <c r="G27" s="178">
        <f>C27*E27</f>
        <v>28.78443</v>
      </c>
      <c r="H27" s="658"/>
      <c r="I27" s="748" t="s">
        <v>631</v>
      </c>
      <c r="J27" s="223">
        <f t="shared" si="1"/>
        <v>16</v>
      </c>
    </row>
    <row r="28" spans="1:10" x14ac:dyDescent="0.3">
      <c r="A28" s="223">
        <f t="shared" si="0"/>
        <v>17</v>
      </c>
      <c r="B28" s="370"/>
      <c r="C28" s="178"/>
      <c r="D28" s="372"/>
      <c r="E28" s="772"/>
      <c r="F28" s="370"/>
      <c r="G28" s="178"/>
      <c r="H28" s="658"/>
      <c r="I28" s="370"/>
      <c r="J28" s="223">
        <f t="shared" si="1"/>
        <v>17</v>
      </c>
    </row>
    <row r="29" spans="1:10" x14ac:dyDescent="0.3">
      <c r="A29" s="223">
        <f t="shared" si="0"/>
        <v>18</v>
      </c>
      <c r="B29" s="370" t="s">
        <v>633</v>
      </c>
      <c r="C29" s="773">
        <v>186.3</v>
      </c>
      <c r="D29" s="372"/>
      <c r="E29" s="774">
        <v>0</v>
      </c>
      <c r="F29" s="370"/>
      <c r="G29" s="178">
        <f>C29*E29</f>
        <v>0</v>
      </c>
      <c r="H29" s="658"/>
      <c r="I29" s="748" t="s">
        <v>631</v>
      </c>
      <c r="J29" s="223">
        <f t="shared" si="1"/>
        <v>18</v>
      </c>
    </row>
    <row r="30" spans="1:10" x14ac:dyDescent="0.3">
      <c r="A30" s="223">
        <f t="shared" si="0"/>
        <v>19</v>
      </c>
      <c r="B30" s="370"/>
      <c r="C30" s="178"/>
      <c r="D30" s="372"/>
      <c r="E30" s="775"/>
      <c r="F30" s="370"/>
      <c r="G30" s="178"/>
      <c r="H30" s="658"/>
      <c r="I30" s="748"/>
      <c r="J30" s="223">
        <f t="shared" si="1"/>
        <v>19</v>
      </c>
    </row>
    <row r="31" spans="1:10" x14ac:dyDescent="0.3">
      <c r="A31" s="223">
        <f t="shared" si="0"/>
        <v>20</v>
      </c>
      <c r="B31" s="370" t="s">
        <v>634</v>
      </c>
      <c r="C31" s="773">
        <v>0</v>
      </c>
      <c r="D31" s="372"/>
      <c r="E31" s="774">
        <v>0</v>
      </c>
      <c r="F31" s="370"/>
      <c r="G31" s="178">
        <f>C31*E31</f>
        <v>0</v>
      </c>
      <c r="H31" s="658"/>
      <c r="I31" s="748" t="s">
        <v>631</v>
      </c>
      <c r="J31" s="223">
        <f t="shared" si="1"/>
        <v>20</v>
      </c>
    </row>
    <row r="32" spans="1:10" x14ac:dyDescent="0.3">
      <c r="A32" s="223">
        <f t="shared" si="0"/>
        <v>21</v>
      </c>
      <c r="B32" s="370"/>
      <c r="C32" s="776"/>
      <c r="D32" s="372"/>
      <c r="E32" s="775"/>
      <c r="F32" s="370"/>
      <c r="G32" s="178"/>
      <c r="H32" s="658"/>
      <c r="I32" s="748"/>
      <c r="J32" s="223">
        <f t="shared" si="1"/>
        <v>21</v>
      </c>
    </row>
    <row r="33" spans="1:10" x14ac:dyDescent="0.3">
      <c r="A33" s="223">
        <f t="shared" si="0"/>
        <v>22</v>
      </c>
      <c r="B33" s="370" t="s">
        <v>635</v>
      </c>
      <c r="C33" s="621">
        <v>2.7</v>
      </c>
      <c r="D33" s="372"/>
      <c r="E33" s="777">
        <v>0</v>
      </c>
      <c r="F33" s="370"/>
      <c r="G33" s="459">
        <f>C33*E33</f>
        <v>0</v>
      </c>
      <c r="H33" s="31"/>
      <c r="I33" s="748" t="s">
        <v>631</v>
      </c>
      <c r="J33" s="223">
        <f t="shared" si="1"/>
        <v>22</v>
      </c>
    </row>
    <row r="34" spans="1:10" x14ac:dyDescent="0.3">
      <c r="A34" s="223">
        <f t="shared" si="0"/>
        <v>23</v>
      </c>
      <c r="B34" s="370"/>
      <c r="C34" s="778">
        <f>SUM(C25:C33)</f>
        <v>27000</v>
      </c>
      <c r="D34" s="372"/>
      <c r="E34" s="372"/>
      <c r="F34" s="370"/>
      <c r="G34" s="779"/>
      <c r="H34" s="780"/>
      <c r="I34" s="748" t="str">
        <f>"Col. a = Sum Lines "&amp;A25&amp;" thru "&amp;A33</f>
        <v>Col. a = Sum Lines 14 thru 22</v>
      </c>
      <c r="J34" s="223">
        <f t="shared" si="1"/>
        <v>23</v>
      </c>
    </row>
    <row r="35" spans="1:10" x14ac:dyDescent="0.3">
      <c r="A35" s="223">
        <f t="shared" si="0"/>
        <v>24</v>
      </c>
      <c r="B35" s="370"/>
      <c r="C35" s="778"/>
      <c r="D35" s="372"/>
      <c r="E35" s="372"/>
      <c r="F35" s="370"/>
      <c r="G35" s="372"/>
      <c r="H35" s="370"/>
      <c r="I35" s="370"/>
      <c r="J35" s="223">
        <f t="shared" si="1"/>
        <v>24</v>
      </c>
    </row>
    <row r="36" spans="1:10" x14ac:dyDescent="0.3">
      <c r="A36" s="223">
        <f t="shared" si="0"/>
        <v>25</v>
      </c>
      <c r="B36" s="370" t="s">
        <v>636</v>
      </c>
      <c r="C36" s="372"/>
      <c r="D36" s="372"/>
      <c r="E36" s="372"/>
      <c r="F36" s="370"/>
      <c r="G36" s="778">
        <f>SUM(G25:G33)</f>
        <v>85.924800000000005</v>
      </c>
      <c r="H36" s="780"/>
      <c r="I36" s="748" t="str">
        <f>"Sum Lines "&amp;A25&amp;" thru "&amp;A33</f>
        <v>Sum Lines 14 thru 22</v>
      </c>
      <c r="J36" s="223">
        <f t="shared" si="1"/>
        <v>25</v>
      </c>
    </row>
    <row r="37" spans="1:10" x14ac:dyDescent="0.3">
      <c r="A37" s="223">
        <f t="shared" si="0"/>
        <v>26</v>
      </c>
      <c r="B37" s="370"/>
      <c r="C37" s="372"/>
      <c r="D37" s="372"/>
      <c r="E37" s="372"/>
      <c r="F37" s="370"/>
      <c r="G37" s="779"/>
      <c r="H37" s="780"/>
      <c r="I37" s="370"/>
      <c r="J37" s="223">
        <f t="shared" si="1"/>
        <v>26</v>
      </c>
    </row>
    <row r="38" spans="1:10" x14ac:dyDescent="0.3">
      <c r="A38" s="223">
        <f t="shared" si="0"/>
        <v>27</v>
      </c>
      <c r="B38" s="370" t="s">
        <v>239</v>
      </c>
      <c r="C38" s="372"/>
      <c r="D38" s="372"/>
      <c r="E38" s="781">
        <v>1.0274999999999999E-2</v>
      </c>
      <c r="F38" s="370"/>
      <c r="G38" s="782">
        <f>G36*E38</f>
        <v>0.88287731999999997</v>
      </c>
      <c r="H38" s="32"/>
      <c r="I38" s="748" t="str">
        <f>"Line "&amp;A36&amp;" x Franchise Fee Rate"</f>
        <v>Line 25 x Franchise Fee Rate</v>
      </c>
      <c r="J38" s="223">
        <f t="shared" si="1"/>
        <v>27</v>
      </c>
    </row>
    <row r="39" spans="1:10" x14ac:dyDescent="0.3">
      <c r="A39" s="223">
        <f t="shared" si="0"/>
        <v>28</v>
      </c>
      <c r="B39" s="370"/>
      <c r="C39" s="370"/>
      <c r="D39" s="370"/>
      <c r="E39" s="370"/>
      <c r="F39" s="370"/>
      <c r="G39" s="779"/>
      <c r="H39" s="780"/>
      <c r="I39" s="370"/>
      <c r="J39" s="223">
        <f t="shared" si="1"/>
        <v>28</v>
      </c>
    </row>
    <row r="40" spans="1:10" x14ac:dyDescent="0.3">
      <c r="A40" s="223">
        <f t="shared" si="0"/>
        <v>29</v>
      </c>
      <c r="B40" s="370" t="s">
        <v>637</v>
      </c>
      <c r="C40" s="370"/>
      <c r="D40" s="370"/>
      <c r="E40" s="370"/>
      <c r="F40" s="370"/>
      <c r="G40" s="157">
        <f>G36+G38</f>
        <v>86.80767732000001</v>
      </c>
      <c r="H40" s="783"/>
      <c r="I40" s="748" t="str">
        <f>"Line "&amp;A36&amp;" + Line "&amp;A38</f>
        <v>Line 25 + Line 27</v>
      </c>
      <c r="J40" s="223">
        <f t="shared" si="1"/>
        <v>29</v>
      </c>
    </row>
    <row r="41" spans="1:10" x14ac:dyDescent="0.3">
      <c r="A41" s="223">
        <f t="shared" si="0"/>
        <v>30</v>
      </c>
      <c r="B41" s="370"/>
      <c r="C41" s="370"/>
      <c r="D41" s="370"/>
      <c r="E41" s="370"/>
      <c r="F41" s="370"/>
      <c r="G41" s="372"/>
      <c r="H41" s="370"/>
      <c r="I41" s="370"/>
      <c r="J41" s="223">
        <f t="shared" si="1"/>
        <v>30</v>
      </c>
    </row>
    <row r="42" spans="1:10" ht="16.2" thickBot="1" x14ac:dyDescent="0.35">
      <c r="A42" s="223">
        <f t="shared" si="0"/>
        <v>31</v>
      </c>
      <c r="B42" s="784" t="s">
        <v>638</v>
      </c>
      <c r="C42" s="370"/>
      <c r="D42" s="370"/>
      <c r="E42" s="370"/>
      <c r="F42" s="370"/>
      <c r="G42" s="785">
        <f>G18+G21+G40</f>
        <v>-76.86620554291548</v>
      </c>
      <c r="H42" s="786"/>
      <c r="I42" s="748" t="str">
        <f>"Line "&amp;A18&amp;" + Line "&amp;A21&amp;" + Line "&amp;A40&amp;""</f>
        <v>Line 7 + Line 10 + Line 29</v>
      </c>
      <c r="J42" s="223">
        <f t="shared" si="1"/>
        <v>31</v>
      </c>
    </row>
    <row r="43" spans="1:10" ht="16.2" thickTop="1" x14ac:dyDescent="0.3">
      <c r="A43" s="223"/>
      <c r="B43" s="370"/>
      <c r="C43" s="370"/>
      <c r="D43" s="370"/>
      <c r="E43" s="370"/>
      <c r="F43" s="370"/>
      <c r="G43" s="787"/>
      <c r="H43" s="787"/>
      <c r="I43" s="748"/>
      <c r="J43" s="223"/>
    </row>
    <row r="44" spans="1:10" x14ac:dyDescent="0.3">
      <c r="A44" s="223"/>
      <c r="B44" s="784"/>
      <c r="C44" s="784"/>
      <c r="D44" s="784"/>
      <c r="E44" s="784"/>
      <c r="F44" s="784"/>
      <c r="G44" s="784"/>
      <c r="H44" s="784"/>
      <c r="I44" s="784"/>
      <c r="J44" s="223"/>
    </row>
    <row r="45" spans="1:10" x14ac:dyDescent="0.3">
      <c r="A45" s="541" t="s">
        <v>16</v>
      </c>
      <c r="B45" s="24" t="str">
        <f>'Pg5 Rev B.Sec.2-Non-Direct Exp'!B101</f>
        <v>Items in BOLD have changed due to A&amp;G adjustments and removal of CIAC related ADIT per SDG&amp;E's TO5 Cycle 4 Letter Order determination in ER22-527</v>
      </c>
      <c r="C45" s="784"/>
      <c r="D45" s="784"/>
      <c r="E45" s="784"/>
      <c r="F45" s="784"/>
      <c r="G45" s="784"/>
      <c r="H45" s="784"/>
      <c r="I45" s="784"/>
      <c r="J45" s="223"/>
    </row>
    <row r="46" spans="1:10" x14ac:dyDescent="0.3">
      <c r="A46" s="380"/>
      <c r="B46" s="24" t="str">
        <f>'Pg5 Rev B.Sec.2-Non-Direct Exp'!B102</f>
        <v>as compared to the original SX-PQ Appendix XII Cycle 4 filing per ER22-133.</v>
      </c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Roman,Bold"&amp;8REVISED</oddHeader>
    <oddFooter>&amp;CPage 7&amp;R&amp;F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7760-FD5D-471C-9C1A-41B21383D911}">
  <sheetPr>
    <pageSetUpPr fitToPage="1"/>
  </sheetPr>
  <dimension ref="A1:J47"/>
  <sheetViews>
    <sheetView zoomScale="80" zoomScaleNormal="80" workbookViewId="0"/>
  </sheetViews>
  <sheetFormatPr defaultColWidth="8.77734375" defaultRowHeight="15.6" x14ac:dyDescent="0.3"/>
  <cols>
    <col min="1" max="1" width="5.109375" style="41" customWidth="1"/>
    <col min="2" max="2" width="78.109375" style="20" bestFit="1" customWidth="1"/>
    <col min="3" max="3" width="16.77734375" style="20" customWidth="1"/>
    <col min="4" max="4" width="1.77734375" style="20" customWidth="1"/>
    <col min="5" max="5" width="16.77734375" style="20" customWidth="1"/>
    <col min="6" max="6" width="1.77734375" style="20" customWidth="1"/>
    <col min="7" max="7" width="16.77734375" style="20" customWidth="1"/>
    <col min="8" max="8" width="1.5546875" style="20" customWidth="1"/>
    <col min="9" max="9" width="46.109375" style="20" customWidth="1"/>
    <col min="10" max="10" width="5.109375" style="41" customWidth="1"/>
    <col min="11" max="16384" width="8.77734375" style="20"/>
  </cols>
  <sheetData>
    <row r="1" spans="1:10" x14ac:dyDescent="0.3">
      <c r="A1" s="718" t="s">
        <v>614</v>
      </c>
    </row>
    <row r="2" spans="1:10" x14ac:dyDescent="0.3">
      <c r="A2" s="223"/>
      <c r="B2" s="370"/>
      <c r="C2" s="370"/>
      <c r="D2" s="370"/>
      <c r="E2" s="370"/>
      <c r="F2" s="370"/>
      <c r="G2" s="370"/>
      <c r="H2" s="370"/>
      <c r="I2" s="743"/>
      <c r="J2" s="223"/>
    </row>
    <row r="3" spans="1:10" x14ac:dyDescent="0.3">
      <c r="A3" s="223"/>
      <c r="B3" s="812" t="s">
        <v>24</v>
      </c>
      <c r="C3" s="812"/>
      <c r="D3" s="812"/>
      <c r="E3" s="812"/>
      <c r="F3" s="812"/>
      <c r="G3" s="812"/>
      <c r="H3" s="812"/>
      <c r="I3" s="812"/>
      <c r="J3" s="223"/>
    </row>
    <row r="4" spans="1:10" x14ac:dyDescent="0.3">
      <c r="B4" s="812" t="s">
        <v>216</v>
      </c>
      <c r="C4" s="812"/>
      <c r="D4" s="812"/>
      <c r="E4" s="812"/>
      <c r="F4" s="812"/>
      <c r="G4" s="812"/>
      <c r="H4" s="812"/>
      <c r="I4" s="812"/>
      <c r="J4" s="744"/>
    </row>
    <row r="5" spans="1:10" x14ac:dyDescent="0.3">
      <c r="B5" s="812" t="s">
        <v>221</v>
      </c>
      <c r="C5" s="812"/>
      <c r="D5" s="812"/>
      <c r="E5" s="812"/>
      <c r="F5" s="812"/>
      <c r="G5" s="812"/>
      <c r="H5" s="812"/>
      <c r="I5" s="812"/>
      <c r="J5" s="744"/>
    </row>
    <row r="6" spans="1:10" x14ac:dyDescent="0.3">
      <c r="B6" s="813" t="s">
        <v>544</v>
      </c>
      <c r="C6" s="813"/>
      <c r="D6" s="813"/>
      <c r="E6" s="813"/>
      <c r="F6" s="813"/>
      <c r="G6" s="813"/>
      <c r="H6" s="813"/>
      <c r="I6" s="813"/>
      <c r="J6" s="744"/>
    </row>
    <row r="7" spans="1:10" x14ac:dyDescent="0.3">
      <c r="B7" s="814" t="s">
        <v>1</v>
      </c>
      <c r="C7" s="814"/>
      <c r="D7" s="814"/>
      <c r="E7" s="814"/>
      <c r="F7" s="814"/>
      <c r="G7" s="814"/>
      <c r="H7" s="814"/>
      <c r="I7" s="814"/>
      <c r="J7" s="745"/>
    </row>
    <row r="8" spans="1:10" x14ac:dyDescent="0.3">
      <c r="B8" s="746"/>
      <c r="C8" s="746"/>
      <c r="D8" s="746"/>
      <c r="E8" s="746"/>
      <c r="F8" s="746"/>
      <c r="G8" s="746"/>
      <c r="H8" s="746"/>
      <c r="I8" s="746"/>
      <c r="J8" s="745"/>
    </row>
    <row r="9" spans="1:10" x14ac:dyDescent="0.3">
      <c r="A9" s="223"/>
      <c r="B9" s="370"/>
      <c r="C9" s="747" t="s">
        <v>10</v>
      </c>
      <c r="D9" s="370"/>
      <c r="E9" s="747" t="s">
        <v>56</v>
      </c>
      <c r="F9" s="743"/>
      <c r="G9" s="747" t="s">
        <v>618</v>
      </c>
      <c r="H9" s="370"/>
      <c r="I9" s="370"/>
      <c r="J9" s="223"/>
    </row>
    <row r="10" spans="1:10" x14ac:dyDescent="0.3">
      <c r="A10" s="223" t="s">
        <v>2</v>
      </c>
      <c r="B10" s="370"/>
      <c r="C10" s="748" t="s">
        <v>9</v>
      </c>
      <c r="D10" s="370"/>
      <c r="E10" s="748" t="s">
        <v>619</v>
      </c>
      <c r="F10" s="370"/>
      <c r="G10" s="370"/>
      <c r="H10" s="370"/>
      <c r="I10" s="370"/>
      <c r="J10" s="223" t="s">
        <v>2</v>
      </c>
    </row>
    <row r="11" spans="1:10" x14ac:dyDescent="0.3">
      <c r="A11" s="223" t="s">
        <v>6</v>
      </c>
      <c r="B11" s="370"/>
      <c r="C11" s="749" t="s">
        <v>620</v>
      </c>
      <c r="D11" s="370"/>
      <c r="E11" s="749" t="s">
        <v>621</v>
      </c>
      <c r="F11" s="370"/>
      <c r="G11" s="749" t="s">
        <v>4</v>
      </c>
      <c r="H11" s="370"/>
      <c r="I11" s="749" t="s">
        <v>5</v>
      </c>
      <c r="J11" s="223" t="s">
        <v>6</v>
      </c>
    </row>
    <row r="12" spans="1:10" x14ac:dyDescent="0.3">
      <c r="A12" s="223"/>
      <c r="B12" s="370"/>
      <c r="C12" s="370"/>
      <c r="D12" s="370"/>
      <c r="E12" s="370"/>
      <c r="F12" s="370"/>
      <c r="G12" s="743"/>
      <c r="H12" s="370"/>
      <c r="I12" s="743"/>
      <c r="J12" s="223"/>
    </row>
    <row r="13" spans="1:10" x14ac:dyDescent="0.3">
      <c r="A13" s="223">
        <v>1</v>
      </c>
      <c r="B13" s="750" t="s">
        <v>622</v>
      </c>
      <c r="C13" s="370"/>
      <c r="D13" s="370"/>
      <c r="E13" s="370"/>
      <c r="F13" s="370"/>
      <c r="G13" s="370"/>
      <c r="H13" s="370"/>
      <c r="I13" s="743"/>
      <c r="J13" s="223">
        <f>A13</f>
        <v>1</v>
      </c>
    </row>
    <row r="14" spans="1:10" x14ac:dyDescent="0.3">
      <c r="A14" s="223">
        <f>A13+1</f>
        <v>2</v>
      </c>
      <c r="B14" s="370"/>
      <c r="C14" s="370"/>
      <c r="D14" s="370"/>
      <c r="E14" s="370"/>
      <c r="F14" s="370"/>
      <c r="G14" s="370"/>
      <c r="H14" s="370"/>
      <c r="I14" s="370"/>
      <c r="J14" s="223">
        <f>J13+1</f>
        <v>2</v>
      </c>
    </row>
    <row r="15" spans="1:10" x14ac:dyDescent="0.3">
      <c r="A15" s="223">
        <f t="shared" ref="A15:A43" si="0">A14+1</f>
        <v>3</v>
      </c>
      <c r="B15" s="751" t="s">
        <v>623</v>
      </c>
      <c r="C15" s="370"/>
      <c r="D15" s="370"/>
      <c r="E15" s="370"/>
      <c r="F15" s="370"/>
      <c r="G15" s="752">
        <v>-1842.183</v>
      </c>
      <c r="H15" s="753"/>
      <c r="I15" s="379" t="s">
        <v>624</v>
      </c>
      <c r="J15" s="223">
        <f t="shared" ref="J15:J43" si="1">J14+1</f>
        <v>3</v>
      </c>
    </row>
    <row r="16" spans="1:10" x14ac:dyDescent="0.3">
      <c r="A16" s="223">
        <f t="shared" si="0"/>
        <v>4</v>
      </c>
      <c r="B16" s="751"/>
      <c r="C16" s="370"/>
      <c r="D16" s="370"/>
      <c r="E16" s="370"/>
      <c r="F16" s="370"/>
      <c r="G16" s="754"/>
      <c r="H16" s="370"/>
      <c r="I16" s="370"/>
      <c r="J16" s="223">
        <f t="shared" si="1"/>
        <v>4</v>
      </c>
    </row>
    <row r="17" spans="1:10" x14ac:dyDescent="0.3">
      <c r="A17" s="223">
        <f t="shared" si="0"/>
        <v>5</v>
      </c>
      <c r="B17" s="751" t="s">
        <v>260</v>
      </c>
      <c r="C17" s="370"/>
      <c r="D17" s="370"/>
      <c r="E17" s="370"/>
      <c r="F17" s="370"/>
      <c r="G17" s="755">
        <v>0.10066290362131794</v>
      </c>
      <c r="H17" s="370"/>
      <c r="I17" s="379" t="s">
        <v>425</v>
      </c>
      <c r="J17" s="223">
        <f t="shared" si="1"/>
        <v>5</v>
      </c>
    </row>
    <row r="18" spans="1:10" x14ac:dyDescent="0.3">
      <c r="A18" s="223">
        <f t="shared" si="0"/>
        <v>6</v>
      </c>
      <c r="B18" s="751"/>
      <c r="C18" s="370"/>
      <c r="D18" s="370"/>
      <c r="E18" s="370"/>
      <c r="F18" s="370"/>
      <c r="G18" s="756"/>
      <c r="H18" s="370"/>
      <c r="I18" s="748"/>
      <c r="J18" s="223">
        <f t="shared" si="1"/>
        <v>6</v>
      </c>
    </row>
    <row r="19" spans="1:10" x14ac:dyDescent="0.3">
      <c r="A19" s="223">
        <f t="shared" si="0"/>
        <v>7</v>
      </c>
      <c r="B19" s="751" t="s">
        <v>625</v>
      </c>
      <c r="C19" s="370"/>
      <c r="D19" s="370"/>
      <c r="E19" s="370"/>
      <c r="F19" s="370"/>
      <c r="G19" s="757">
        <f>G15*G17</f>
        <v>-185.43948978183033</v>
      </c>
      <c r="H19" s="758"/>
      <c r="I19" s="748" t="str">
        <f>"Line "&amp;A15&amp;" x Line "&amp;A17</f>
        <v>Line 3 x Line 5</v>
      </c>
      <c r="J19" s="223">
        <f t="shared" si="1"/>
        <v>7</v>
      </c>
    </row>
    <row r="20" spans="1:10" x14ac:dyDescent="0.3">
      <c r="A20" s="223">
        <f t="shared" si="0"/>
        <v>8</v>
      </c>
      <c r="B20" s="751"/>
      <c r="C20" s="370"/>
      <c r="D20" s="370"/>
      <c r="E20" s="370"/>
      <c r="F20" s="370"/>
      <c r="G20" s="759"/>
      <c r="H20" s="760"/>
      <c r="I20" s="370"/>
      <c r="J20" s="223">
        <f t="shared" si="1"/>
        <v>8</v>
      </c>
    </row>
    <row r="21" spans="1:10" x14ac:dyDescent="0.3">
      <c r="A21" s="223">
        <f t="shared" si="0"/>
        <v>9</v>
      </c>
      <c r="B21" s="761" t="s">
        <v>626</v>
      </c>
      <c r="C21" s="370"/>
      <c r="D21" s="370"/>
      <c r="E21" s="370"/>
      <c r="F21" s="370"/>
      <c r="G21" s="762"/>
      <c r="H21" s="760"/>
      <c r="I21" s="748"/>
      <c r="J21" s="223">
        <f t="shared" si="1"/>
        <v>9</v>
      </c>
    </row>
    <row r="22" spans="1:10" x14ac:dyDescent="0.3">
      <c r="A22" s="223">
        <f t="shared" si="0"/>
        <v>10</v>
      </c>
      <c r="B22" s="763" t="s">
        <v>627</v>
      </c>
      <c r="C22" s="370"/>
      <c r="D22" s="764"/>
      <c r="E22" s="765"/>
      <c r="F22" s="370"/>
      <c r="G22" s="766">
        <v>21.770731132631123</v>
      </c>
      <c r="H22" s="355"/>
      <c r="I22" s="767" t="s">
        <v>640</v>
      </c>
      <c r="J22" s="223">
        <f t="shared" si="1"/>
        <v>10</v>
      </c>
    </row>
    <row r="23" spans="1:10" x14ac:dyDescent="0.3">
      <c r="A23" s="223">
        <f t="shared" si="0"/>
        <v>11</v>
      </c>
      <c r="B23" s="370"/>
      <c r="C23" s="743"/>
      <c r="D23" s="370"/>
      <c r="E23" s="743"/>
      <c r="F23" s="370"/>
      <c r="G23" s="743"/>
      <c r="H23" s="743"/>
      <c r="I23" s="370"/>
      <c r="J23" s="223">
        <f t="shared" si="1"/>
        <v>11</v>
      </c>
    </row>
    <row r="24" spans="1:10" x14ac:dyDescent="0.3">
      <c r="A24" s="223">
        <f t="shared" si="0"/>
        <v>12</v>
      </c>
      <c r="B24" s="750" t="s">
        <v>628</v>
      </c>
      <c r="C24" s="743"/>
      <c r="D24" s="370"/>
      <c r="E24" s="743"/>
      <c r="F24" s="370"/>
      <c r="G24" s="743"/>
      <c r="H24" s="743"/>
      <c r="I24" s="370"/>
      <c r="J24" s="223">
        <f t="shared" si="1"/>
        <v>12</v>
      </c>
    </row>
    <row r="25" spans="1:10" x14ac:dyDescent="0.3">
      <c r="A25" s="223">
        <f t="shared" si="0"/>
        <v>13</v>
      </c>
      <c r="B25" s="768" t="s">
        <v>629</v>
      </c>
      <c r="C25" s="370"/>
      <c r="D25" s="370"/>
      <c r="E25" s="370"/>
      <c r="F25" s="370"/>
      <c r="G25" s="370"/>
      <c r="H25" s="370"/>
      <c r="I25" s="370"/>
      <c r="J25" s="223">
        <f t="shared" si="1"/>
        <v>13</v>
      </c>
    </row>
    <row r="26" spans="1:10" x14ac:dyDescent="0.3">
      <c r="A26" s="223">
        <f t="shared" si="0"/>
        <v>14</v>
      </c>
      <c r="B26" s="370" t="s">
        <v>630</v>
      </c>
      <c r="C26" s="752">
        <v>11661.3</v>
      </c>
      <c r="D26" s="372"/>
      <c r="E26" s="769">
        <v>4.8999999999999998E-3</v>
      </c>
      <c r="F26" s="370"/>
      <c r="G26" s="770">
        <f>C26*E26</f>
        <v>57.140369999999997</v>
      </c>
      <c r="H26" s="771"/>
      <c r="I26" s="748" t="s">
        <v>631</v>
      </c>
      <c r="J26" s="223">
        <f t="shared" si="1"/>
        <v>14</v>
      </c>
    </row>
    <row r="27" spans="1:10" x14ac:dyDescent="0.3">
      <c r="A27" s="223">
        <f t="shared" si="0"/>
        <v>15</v>
      </c>
      <c r="B27" s="370"/>
      <c r="C27" s="770"/>
      <c r="D27" s="372"/>
      <c r="E27" s="772"/>
      <c r="F27" s="370"/>
      <c r="G27" s="770"/>
      <c r="H27" s="771"/>
      <c r="I27" s="748"/>
      <c r="J27" s="223">
        <f t="shared" si="1"/>
        <v>15</v>
      </c>
    </row>
    <row r="28" spans="1:10" x14ac:dyDescent="0.3">
      <c r="A28" s="223">
        <f t="shared" si="0"/>
        <v>16</v>
      </c>
      <c r="B28" s="370" t="s">
        <v>632</v>
      </c>
      <c r="C28" s="773">
        <v>15149.7</v>
      </c>
      <c r="D28" s="372"/>
      <c r="E28" s="769">
        <v>1.9E-3</v>
      </c>
      <c r="F28" s="370"/>
      <c r="G28" s="178">
        <f>C28*E28</f>
        <v>28.78443</v>
      </c>
      <c r="H28" s="658"/>
      <c r="I28" s="748" t="s">
        <v>631</v>
      </c>
      <c r="J28" s="223">
        <f t="shared" si="1"/>
        <v>16</v>
      </c>
    </row>
    <row r="29" spans="1:10" x14ac:dyDescent="0.3">
      <c r="A29" s="223">
        <f t="shared" si="0"/>
        <v>17</v>
      </c>
      <c r="B29" s="370"/>
      <c r="C29" s="178"/>
      <c r="D29" s="372"/>
      <c r="E29" s="772"/>
      <c r="F29" s="370"/>
      <c r="G29" s="178"/>
      <c r="H29" s="658"/>
      <c r="I29" s="370"/>
      <c r="J29" s="223">
        <f t="shared" si="1"/>
        <v>17</v>
      </c>
    </row>
    <row r="30" spans="1:10" x14ac:dyDescent="0.3">
      <c r="A30" s="223">
        <f t="shared" si="0"/>
        <v>18</v>
      </c>
      <c r="B30" s="370" t="s">
        <v>633</v>
      </c>
      <c r="C30" s="773">
        <v>186.3</v>
      </c>
      <c r="D30" s="372"/>
      <c r="E30" s="774">
        <v>0</v>
      </c>
      <c r="F30" s="370"/>
      <c r="G30" s="178">
        <f>C30*E30</f>
        <v>0</v>
      </c>
      <c r="H30" s="658"/>
      <c r="I30" s="748" t="s">
        <v>631</v>
      </c>
      <c r="J30" s="223">
        <f t="shared" si="1"/>
        <v>18</v>
      </c>
    </row>
    <row r="31" spans="1:10" x14ac:dyDescent="0.3">
      <c r="A31" s="223">
        <f t="shared" si="0"/>
        <v>19</v>
      </c>
      <c r="B31" s="370"/>
      <c r="C31" s="178"/>
      <c r="D31" s="372"/>
      <c r="E31" s="775"/>
      <c r="F31" s="370"/>
      <c r="G31" s="178"/>
      <c r="H31" s="658"/>
      <c r="I31" s="748"/>
      <c r="J31" s="223">
        <f t="shared" si="1"/>
        <v>19</v>
      </c>
    </row>
    <row r="32" spans="1:10" x14ac:dyDescent="0.3">
      <c r="A32" s="223">
        <f t="shared" si="0"/>
        <v>20</v>
      </c>
      <c r="B32" s="370" t="s">
        <v>634</v>
      </c>
      <c r="C32" s="773">
        <v>0</v>
      </c>
      <c r="D32" s="372"/>
      <c r="E32" s="774">
        <v>0</v>
      </c>
      <c r="F32" s="370"/>
      <c r="G32" s="178">
        <f>C32*E32</f>
        <v>0</v>
      </c>
      <c r="H32" s="658"/>
      <c r="I32" s="748" t="s">
        <v>631</v>
      </c>
      <c r="J32" s="223">
        <f t="shared" si="1"/>
        <v>20</v>
      </c>
    </row>
    <row r="33" spans="1:10" x14ac:dyDescent="0.3">
      <c r="A33" s="223">
        <f t="shared" si="0"/>
        <v>21</v>
      </c>
      <c r="B33" s="370"/>
      <c r="C33" s="776"/>
      <c r="D33" s="372"/>
      <c r="E33" s="775"/>
      <c r="F33" s="370"/>
      <c r="G33" s="178"/>
      <c r="H33" s="658"/>
      <c r="I33" s="748"/>
      <c r="J33" s="223">
        <f t="shared" si="1"/>
        <v>21</v>
      </c>
    </row>
    <row r="34" spans="1:10" x14ac:dyDescent="0.3">
      <c r="A34" s="223">
        <f t="shared" si="0"/>
        <v>22</v>
      </c>
      <c r="B34" s="370" t="s">
        <v>635</v>
      </c>
      <c r="C34" s="621">
        <v>2.7</v>
      </c>
      <c r="D34" s="372"/>
      <c r="E34" s="777">
        <v>0</v>
      </c>
      <c r="F34" s="370"/>
      <c r="G34" s="459">
        <f>C34*E34</f>
        <v>0</v>
      </c>
      <c r="H34" s="31"/>
      <c r="I34" s="748" t="s">
        <v>631</v>
      </c>
      <c r="J34" s="223">
        <f t="shared" si="1"/>
        <v>22</v>
      </c>
    </row>
    <row r="35" spans="1:10" x14ac:dyDescent="0.3">
      <c r="A35" s="223">
        <f t="shared" si="0"/>
        <v>23</v>
      </c>
      <c r="B35" s="370"/>
      <c r="C35" s="778">
        <f>SUM(C26:C34)</f>
        <v>27000</v>
      </c>
      <c r="D35" s="372"/>
      <c r="E35" s="372"/>
      <c r="F35" s="370"/>
      <c r="G35" s="779"/>
      <c r="H35" s="780"/>
      <c r="I35" s="748" t="str">
        <f>"Col. a = Sum Lines "&amp;A26&amp;" thru "&amp;A34</f>
        <v>Col. a = Sum Lines 14 thru 22</v>
      </c>
      <c r="J35" s="223">
        <f t="shared" si="1"/>
        <v>23</v>
      </c>
    </row>
    <row r="36" spans="1:10" x14ac:dyDescent="0.3">
      <c r="A36" s="223">
        <f t="shared" si="0"/>
        <v>24</v>
      </c>
      <c r="B36" s="370"/>
      <c r="C36" s="778"/>
      <c r="D36" s="372"/>
      <c r="E36" s="372"/>
      <c r="F36" s="370"/>
      <c r="G36" s="372"/>
      <c r="H36" s="370"/>
      <c r="I36" s="370"/>
      <c r="J36" s="223">
        <f t="shared" si="1"/>
        <v>24</v>
      </c>
    </row>
    <row r="37" spans="1:10" x14ac:dyDescent="0.3">
      <c r="A37" s="223">
        <f t="shared" si="0"/>
        <v>25</v>
      </c>
      <c r="B37" s="370" t="s">
        <v>636</v>
      </c>
      <c r="C37" s="372"/>
      <c r="D37" s="372"/>
      <c r="E37" s="372"/>
      <c r="F37" s="370"/>
      <c r="G37" s="778">
        <f>SUM(G26:G34)</f>
        <v>85.924800000000005</v>
      </c>
      <c r="H37" s="780"/>
      <c r="I37" s="748" t="str">
        <f>"Sum Lines "&amp;A26&amp;" thru "&amp;A34</f>
        <v>Sum Lines 14 thru 22</v>
      </c>
      <c r="J37" s="223">
        <f t="shared" si="1"/>
        <v>25</v>
      </c>
    </row>
    <row r="38" spans="1:10" x14ac:dyDescent="0.3">
      <c r="A38" s="223">
        <f t="shared" si="0"/>
        <v>26</v>
      </c>
      <c r="B38" s="370"/>
      <c r="C38" s="372"/>
      <c r="D38" s="372"/>
      <c r="E38" s="372"/>
      <c r="F38" s="370"/>
      <c r="G38" s="779"/>
      <c r="H38" s="780"/>
      <c r="I38" s="370"/>
      <c r="J38" s="223">
        <f t="shared" si="1"/>
        <v>26</v>
      </c>
    </row>
    <row r="39" spans="1:10" x14ac:dyDescent="0.3">
      <c r="A39" s="223">
        <f t="shared" si="0"/>
        <v>27</v>
      </c>
      <c r="B39" s="370" t="s">
        <v>239</v>
      </c>
      <c r="C39" s="372"/>
      <c r="D39" s="372"/>
      <c r="E39" s="781">
        <v>1.0274999999999999E-2</v>
      </c>
      <c r="F39" s="370"/>
      <c r="G39" s="782">
        <f>G37*E39</f>
        <v>0.88287731999999997</v>
      </c>
      <c r="H39" s="32"/>
      <c r="I39" s="748" t="str">
        <f>"Line "&amp;A37&amp;" x Franchise Fee Rate"</f>
        <v>Line 25 x Franchise Fee Rate</v>
      </c>
      <c r="J39" s="223">
        <f t="shared" si="1"/>
        <v>27</v>
      </c>
    </row>
    <row r="40" spans="1:10" x14ac:dyDescent="0.3">
      <c r="A40" s="223">
        <f t="shared" si="0"/>
        <v>28</v>
      </c>
      <c r="B40" s="370"/>
      <c r="C40" s="370"/>
      <c r="D40" s="370"/>
      <c r="E40" s="370"/>
      <c r="F40" s="370"/>
      <c r="G40" s="779"/>
      <c r="H40" s="780"/>
      <c r="I40" s="370"/>
      <c r="J40" s="223">
        <f t="shared" si="1"/>
        <v>28</v>
      </c>
    </row>
    <row r="41" spans="1:10" x14ac:dyDescent="0.3">
      <c r="A41" s="223">
        <f t="shared" si="0"/>
        <v>29</v>
      </c>
      <c r="B41" s="370" t="s">
        <v>637</v>
      </c>
      <c r="C41" s="370"/>
      <c r="D41" s="370"/>
      <c r="E41" s="370"/>
      <c r="F41" s="370"/>
      <c r="G41" s="157">
        <f>G37+G39</f>
        <v>86.80767732000001</v>
      </c>
      <c r="H41" s="783"/>
      <c r="I41" s="748" t="str">
        <f>"Line "&amp;A37&amp;" + Line "&amp;A39</f>
        <v>Line 25 + Line 27</v>
      </c>
      <c r="J41" s="223">
        <f t="shared" si="1"/>
        <v>29</v>
      </c>
    </row>
    <row r="42" spans="1:10" x14ac:dyDescent="0.3">
      <c r="A42" s="223">
        <f t="shared" si="0"/>
        <v>30</v>
      </c>
      <c r="B42" s="370"/>
      <c r="C42" s="370"/>
      <c r="D42" s="370"/>
      <c r="E42" s="370"/>
      <c r="F42" s="370"/>
      <c r="G42" s="372"/>
      <c r="H42" s="370"/>
      <c r="I42" s="370"/>
      <c r="J42" s="223">
        <f t="shared" si="1"/>
        <v>30</v>
      </c>
    </row>
    <row r="43" spans="1:10" ht="16.2" thickBot="1" x14ac:dyDescent="0.35">
      <c r="A43" s="223">
        <f t="shared" si="0"/>
        <v>31</v>
      </c>
      <c r="B43" s="784" t="s">
        <v>638</v>
      </c>
      <c r="C43" s="370"/>
      <c r="D43" s="370"/>
      <c r="E43" s="370"/>
      <c r="F43" s="370"/>
      <c r="G43" s="785">
        <f>G19+G22+G41</f>
        <v>-76.861081329199209</v>
      </c>
      <c r="H43" s="786"/>
      <c r="I43" s="748" t="str">
        <f>"Line "&amp;A19&amp;" + Line "&amp;A22&amp;" + Line "&amp;A41&amp;""</f>
        <v>Line 7 + Line 10 + Line 29</v>
      </c>
      <c r="J43" s="223">
        <f t="shared" si="1"/>
        <v>31</v>
      </c>
    </row>
    <row r="44" spans="1:10" ht="16.2" thickTop="1" x14ac:dyDescent="0.3">
      <c r="A44" s="223"/>
      <c r="B44" s="370"/>
      <c r="C44" s="370"/>
      <c r="D44" s="370"/>
      <c r="E44" s="370"/>
      <c r="F44" s="370"/>
      <c r="G44" s="787"/>
      <c r="H44" s="787"/>
      <c r="I44" s="748"/>
      <c r="J44" s="223"/>
    </row>
    <row r="45" spans="1:10" x14ac:dyDescent="0.3">
      <c r="A45" s="223"/>
      <c r="B45" s="784"/>
      <c r="C45" s="784"/>
      <c r="D45" s="784"/>
      <c r="E45" s="784"/>
      <c r="F45" s="784"/>
      <c r="G45" s="784"/>
      <c r="H45" s="784"/>
      <c r="I45" s="784"/>
      <c r="J45" s="223"/>
    </row>
    <row r="46" spans="1:10" ht="18" x14ac:dyDescent="0.3">
      <c r="A46" s="788"/>
      <c r="B46" s="789"/>
      <c r="C46" s="784"/>
      <c r="D46" s="784"/>
      <c r="E46" s="784"/>
      <c r="F46" s="784"/>
      <c r="G46" s="784"/>
      <c r="H46" s="784"/>
      <c r="I46" s="784"/>
      <c r="J46" s="223"/>
    </row>
    <row r="47" spans="1:10" x14ac:dyDescent="0.3">
      <c r="A47" s="790"/>
      <c r="B47" s="789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Roman,Bold"&amp;8AS  FILED</oddHeader>
    <oddFooter>&amp;CPage 7.1&amp;R&amp;F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03C5-057F-4DCA-89D2-09EB392704F5}">
  <sheetPr>
    <pageSetUpPr fitToPage="1"/>
  </sheetPr>
  <dimension ref="A1:N30"/>
  <sheetViews>
    <sheetView zoomScale="80" zoomScaleNormal="80" workbookViewId="0"/>
  </sheetViews>
  <sheetFormatPr defaultColWidth="9.109375" defaultRowHeight="15.6" x14ac:dyDescent="0.3"/>
  <cols>
    <col min="1" max="1" width="5.109375" style="41" customWidth="1"/>
    <col min="2" max="2" width="56" style="42" customWidth="1"/>
    <col min="3" max="3" width="24" style="42" customWidth="1"/>
    <col min="4" max="4" width="1.6640625" style="42" customWidth="1"/>
    <col min="5" max="5" width="16.77734375" style="42" customWidth="1"/>
    <col min="6" max="6" width="1.6640625" style="42" customWidth="1"/>
    <col min="7" max="7" width="16.77734375" style="42" customWidth="1"/>
    <col min="8" max="8" width="1.6640625" style="42" customWidth="1"/>
    <col min="9" max="9" width="17.77734375" style="42" bestFit="1" customWidth="1"/>
    <col min="10" max="10" width="1.6640625" style="42" customWidth="1"/>
    <col min="11" max="11" width="39.33203125" style="42" bestFit="1" customWidth="1"/>
    <col min="12" max="12" width="5.109375" style="42" customWidth="1"/>
    <col min="13" max="13" width="9.109375" style="42"/>
    <col min="14" max="14" width="20.33203125" style="42" bestFit="1" customWidth="1"/>
    <col min="15" max="16384" width="9.109375" style="42"/>
  </cols>
  <sheetData>
    <row r="1" spans="1:14" x14ac:dyDescent="0.3">
      <c r="H1" s="41"/>
      <c r="I1" s="41"/>
      <c r="J1" s="41"/>
      <c r="K1" s="41"/>
      <c r="L1" s="41"/>
    </row>
    <row r="2" spans="1:14" x14ac:dyDescent="0.3">
      <c r="B2" s="815" t="s">
        <v>24</v>
      </c>
      <c r="C2" s="815"/>
      <c r="D2" s="815"/>
      <c r="E2" s="815"/>
      <c r="F2" s="815"/>
      <c r="G2" s="815"/>
      <c r="H2" s="815"/>
      <c r="I2" s="815"/>
      <c r="J2" s="815"/>
      <c r="K2" s="815"/>
      <c r="L2" s="41"/>
    </row>
    <row r="3" spans="1:14" ht="18" x14ac:dyDescent="0.3">
      <c r="B3" s="815" t="s">
        <v>562</v>
      </c>
      <c r="C3" s="815"/>
      <c r="D3" s="815"/>
      <c r="E3" s="815"/>
      <c r="F3" s="815"/>
      <c r="G3" s="815"/>
      <c r="H3" s="815"/>
      <c r="I3" s="815"/>
      <c r="J3" s="815"/>
      <c r="K3" s="815"/>
      <c r="L3" s="41"/>
    </row>
    <row r="4" spans="1:14" x14ac:dyDescent="0.3">
      <c r="B4" s="815" t="s">
        <v>563</v>
      </c>
      <c r="C4" s="815"/>
      <c r="D4" s="815"/>
      <c r="E4" s="815"/>
      <c r="F4" s="815"/>
      <c r="G4" s="815"/>
      <c r="H4" s="815"/>
      <c r="I4" s="815"/>
      <c r="J4" s="815"/>
      <c r="K4" s="815"/>
      <c r="L4" s="41"/>
    </row>
    <row r="5" spans="1:14" x14ac:dyDescent="0.3">
      <c r="B5" s="816" t="s">
        <v>544</v>
      </c>
      <c r="C5" s="816"/>
      <c r="D5" s="816"/>
      <c r="E5" s="816"/>
      <c r="F5" s="816"/>
      <c r="G5" s="816"/>
      <c r="H5" s="816"/>
      <c r="I5" s="816"/>
      <c r="J5" s="816"/>
      <c r="K5" s="816"/>
      <c r="L5" s="41"/>
    </row>
    <row r="6" spans="1:14" x14ac:dyDescent="0.3">
      <c r="B6" s="817" t="s">
        <v>1</v>
      </c>
      <c r="C6" s="818"/>
      <c r="D6" s="818"/>
      <c r="E6" s="818"/>
      <c r="F6" s="818"/>
      <c r="G6" s="818"/>
      <c r="H6" s="818"/>
      <c r="I6" s="818"/>
      <c r="J6" s="818"/>
      <c r="K6" s="818"/>
      <c r="L6" s="41"/>
    </row>
    <row r="7" spans="1:14" x14ac:dyDescent="0.3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4" x14ac:dyDescent="0.3">
      <c r="A8" s="41" t="s">
        <v>2</v>
      </c>
      <c r="B8" s="721"/>
      <c r="C8" s="41" t="s">
        <v>27</v>
      </c>
      <c r="D8" s="721"/>
      <c r="E8" s="72" t="s">
        <v>10</v>
      </c>
      <c r="F8" s="41"/>
      <c r="G8" s="72" t="s">
        <v>56</v>
      </c>
      <c r="H8" s="41"/>
      <c r="I8" s="72" t="s">
        <v>564</v>
      </c>
      <c r="J8" s="41"/>
      <c r="K8" s="41"/>
      <c r="L8" s="41" t="s">
        <v>2</v>
      </c>
    </row>
    <row r="9" spans="1:14" x14ac:dyDescent="0.3">
      <c r="A9" s="41" t="s">
        <v>6</v>
      </c>
      <c r="C9" s="463" t="s">
        <v>28</v>
      </c>
      <c r="E9" s="687" t="s">
        <v>605</v>
      </c>
      <c r="F9" s="724"/>
      <c r="G9" s="687" t="s">
        <v>606</v>
      </c>
      <c r="H9" s="721"/>
      <c r="I9" s="464" t="s">
        <v>110</v>
      </c>
      <c r="J9" s="721"/>
      <c r="K9" s="463" t="s">
        <v>5</v>
      </c>
      <c r="L9" s="41" t="s">
        <v>6</v>
      </c>
    </row>
    <row r="10" spans="1:14" x14ac:dyDescent="0.3">
      <c r="H10" s="41"/>
      <c r="I10" s="41"/>
      <c r="J10" s="41"/>
      <c r="K10" s="41"/>
      <c r="L10" s="41"/>
    </row>
    <row r="11" spans="1:14" x14ac:dyDescent="0.3">
      <c r="A11" s="41">
        <v>1</v>
      </c>
      <c r="B11" s="42" t="s">
        <v>565</v>
      </c>
      <c r="E11" s="688">
        <f>'Pg8.2 Rev AF-1'!I16+'Pg8.2 Rev AF-1'!I32</f>
        <v>229259.12075949862</v>
      </c>
      <c r="F11" s="689"/>
      <c r="G11" s="688">
        <f>'Pg8.3 Rev AF-2'!I16+'Pg8.3 Rev AF-2'!I32</f>
        <v>166268.59600825864</v>
      </c>
      <c r="H11" s="41"/>
      <c r="I11" s="689">
        <f>(E11+G11)/2</f>
        <v>197763.85838387863</v>
      </c>
      <c r="J11" s="41"/>
      <c r="K11" s="41" t="s">
        <v>607</v>
      </c>
      <c r="L11" s="41">
        <f>A11</f>
        <v>1</v>
      </c>
    </row>
    <row r="12" spans="1:14" x14ac:dyDescent="0.3">
      <c r="A12" s="41">
        <f>A11+1</f>
        <v>2</v>
      </c>
      <c r="H12" s="41"/>
      <c r="I12" s="41"/>
      <c r="J12" s="41"/>
      <c r="K12" s="41"/>
      <c r="L12" s="41">
        <f>L11+1</f>
        <v>2</v>
      </c>
    </row>
    <row r="13" spans="1:14" s="692" customFormat="1" x14ac:dyDescent="0.3">
      <c r="A13" s="41">
        <f t="shared" ref="A13:A23" si="0">A12+1</f>
        <v>3</v>
      </c>
      <c r="B13" s="42" t="s">
        <v>566</v>
      </c>
      <c r="C13" s="42"/>
      <c r="D13" s="42"/>
      <c r="E13" s="732">
        <f>'Pg8.2 Rev AF-1'!I21+'Pg8.2 Rev AF-1'!I37</f>
        <v>-1123081.9701065868</v>
      </c>
      <c r="F13" s="27" t="s">
        <v>16</v>
      </c>
      <c r="G13" s="732">
        <f>'Pg8.3 Rev AF-2'!I21+'Pg8.3 Rev AF-2'!I37</f>
        <v>-1133069.7978301237</v>
      </c>
      <c r="H13" s="27" t="s">
        <v>16</v>
      </c>
      <c r="I13" s="733">
        <f>(E13+G13)/2</f>
        <v>-1128075.8839683551</v>
      </c>
      <c r="J13" s="27" t="s">
        <v>16</v>
      </c>
      <c r="K13" s="41" t="s">
        <v>608</v>
      </c>
      <c r="L13" s="41">
        <f t="shared" ref="L13:L23" si="1">L12+1</f>
        <v>3</v>
      </c>
      <c r="M13" s="42"/>
    </row>
    <row r="14" spans="1:14" s="692" customFormat="1" x14ac:dyDescent="0.3">
      <c r="A14" s="41">
        <f t="shared" si="0"/>
        <v>4</v>
      </c>
      <c r="B14" s="42"/>
      <c r="C14" s="42"/>
      <c r="D14" s="42"/>
      <c r="E14" s="42"/>
      <c r="F14" s="42"/>
      <c r="G14" s="42"/>
      <c r="H14" s="41"/>
      <c r="I14" s="41"/>
      <c r="J14" s="41"/>
      <c r="K14" s="8"/>
      <c r="L14" s="41">
        <f t="shared" si="1"/>
        <v>4</v>
      </c>
    </row>
    <row r="15" spans="1:14" s="692" customFormat="1" x14ac:dyDescent="0.3">
      <c r="A15" s="41">
        <f t="shared" si="0"/>
        <v>5</v>
      </c>
      <c r="B15" s="42" t="s">
        <v>567</v>
      </c>
      <c r="C15" s="42"/>
      <c r="D15" s="42"/>
      <c r="E15" s="621">
        <f>'Pg8.2 Rev AF-1'!I26+'Pg8.2 Rev AF-1'!I42</f>
        <v>-5987.5143200000075</v>
      </c>
      <c r="F15" s="42"/>
      <c r="G15" s="621">
        <f>'Pg8.3 Rev AF-2'!I26+'Pg8.3 Rev AF-2'!I42</f>
        <v>-7906.4293200000075</v>
      </c>
      <c r="H15" s="41"/>
      <c r="I15" s="693">
        <f>(E15+G15)/2</f>
        <v>-6946.9718200000079</v>
      </c>
      <c r="J15" s="41"/>
      <c r="K15" s="41" t="s">
        <v>609</v>
      </c>
      <c r="L15" s="41">
        <f t="shared" si="1"/>
        <v>5</v>
      </c>
      <c r="M15" s="42"/>
      <c r="N15" s="42"/>
    </row>
    <row r="16" spans="1:14" x14ac:dyDescent="0.3">
      <c r="A16" s="41">
        <f t="shared" si="0"/>
        <v>6</v>
      </c>
      <c r="B16" s="20"/>
      <c r="E16" s="689"/>
      <c r="F16" s="689"/>
      <c r="G16" s="689"/>
      <c r="I16" s="689"/>
      <c r="J16" s="41"/>
      <c r="K16" s="8"/>
      <c r="L16" s="41">
        <f t="shared" si="1"/>
        <v>6</v>
      </c>
    </row>
    <row r="17" spans="1:12" ht="18.600000000000001" thickBot="1" x14ac:dyDescent="0.35">
      <c r="A17" s="41">
        <f t="shared" si="0"/>
        <v>7</v>
      </c>
      <c r="B17" s="20" t="s">
        <v>615</v>
      </c>
      <c r="C17" s="41"/>
      <c r="E17" s="560">
        <f>SUM(E11:E15)</f>
        <v>-899810.36366708821</v>
      </c>
      <c r="F17" s="27" t="s">
        <v>16</v>
      </c>
      <c r="G17" s="560">
        <f>SUM(G11:G15)</f>
        <v>-974707.63114186504</v>
      </c>
      <c r="H17" s="27" t="s">
        <v>16</v>
      </c>
      <c r="I17" s="560">
        <f>SUM(I11:I15)</f>
        <v>-937258.99740447651</v>
      </c>
      <c r="J17" s="27" t="s">
        <v>16</v>
      </c>
      <c r="K17" s="695" t="str">
        <f>"Sum Lines "&amp;A11&amp;" thru "&amp;A15</f>
        <v>Sum Lines 1 thru 5</v>
      </c>
      <c r="L17" s="41">
        <f t="shared" si="1"/>
        <v>7</v>
      </c>
    </row>
    <row r="18" spans="1:12" ht="16.2" thickTop="1" x14ac:dyDescent="0.3">
      <c r="A18" s="41">
        <f t="shared" si="0"/>
        <v>8</v>
      </c>
      <c r="J18" s="41"/>
      <c r="K18" s="8"/>
      <c r="L18" s="41">
        <f t="shared" si="1"/>
        <v>8</v>
      </c>
    </row>
    <row r="19" spans="1:12" ht="16.2" thickBot="1" x14ac:dyDescent="0.35">
      <c r="A19" s="41">
        <f t="shared" si="0"/>
        <v>9</v>
      </c>
      <c r="B19" s="20" t="s">
        <v>569</v>
      </c>
      <c r="E19" s="696">
        <v>0</v>
      </c>
      <c r="G19" s="696">
        <v>0</v>
      </c>
      <c r="I19" s="697">
        <f>(E19+G19)/2</f>
        <v>0</v>
      </c>
      <c r="J19" s="41"/>
      <c r="K19" s="41" t="s">
        <v>19</v>
      </c>
      <c r="L19" s="41">
        <f t="shared" si="1"/>
        <v>9</v>
      </c>
    </row>
    <row r="20" spans="1:12" ht="16.2" thickTop="1" x14ac:dyDescent="0.3">
      <c r="A20" s="41">
        <f t="shared" si="0"/>
        <v>10</v>
      </c>
      <c r="B20" s="20"/>
      <c r="I20" s="723"/>
      <c r="J20" s="41"/>
      <c r="K20" s="8"/>
      <c r="L20" s="41">
        <f t="shared" si="1"/>
        <v>10</v>
      </c>
    </row>
    <row r="21" spans="1:12" ht="16.2" thickBot="1" x14ac:dyDescent="0.35">
      <c r="A21" s="41">
        <f t="shared" si="0"/>
        <v>11</v>
      </c>
      <c r="B21" s="20" t="s">
        <v>570</v>
      </c>
      <c r="E21" s="698">
        <v>0</v>
      </c>
      <c r="F21" s="699"/>
      <c r="G21" s="698">
        <v>0</v>
      </c>
      <c r="H21" s="700"/>
      <c r="I21" s="697">
        <f>(E21+G21)/2</f>
        <v>0</v>
      </c>
      <c r="K21" s="41" t="s">
        <v>610</v>
      </c>
      <c r="L21" s="41">
        <f t="shared" si="1"/>
        <v>11</v>
      </c>
    </row>
    <row r="22" spans="1:12" ht="16.2" thickTop="1" x14ac:dyDescent="0.3">
      <c r="A22" s="41">
        <f t="shared" si="0"/>
        <v>12</v>
      </c>
      <c r="B22" s="20"/>
      <c r="E22" s="39"/>
      <c r="F22" s="701"/>
      <c r="G22" s="39"/>
      <c r="H22" s="700"/>
      <c r="I22" s="723"/>
      <c r="K22" s="8"/>
      <c r="L22" s="41">
        <f t="shared" si="1"/>
        <v>12</v>
      </c>
    </row>
    <row r="23" spans="1:12" ht="16.2" thickBot="1" x14ac:dyDescent="0.35">
      <c r="A23" s="41">
        <f t="shared" si="0"/>
        <v>13</v>
      </c>
      <c r="B23" s="20" t="s">
        <v>571</v>
      </c>
      <c r="E23" s="696">
        <v>0</v>
      </c>
      <c r="F23" s="699"/>
      <c r="G23" s="696">
        <v>0</v>
      </c>
      <c r="H23" s="700"/>
      <c r="I23" s="697">
        <f>(E23+G23)/2</f>
        <v>0</v>
      </c>
      <c r="K23" s="41" t="s">
        <v>19</v>
      </c>
      <c r="L23" s="41">
        <f t="shared" si="1"/>
        <v>13</v>
      </c>
    </row>
    <row r="24" spans="1:12" ht="16.2" thickTop="1" x14ac:dyDescent="0.3">
      <c r="L24" s="41"/>
    </row>
    <row r="25" spans="1:12" x14ac:dyDescent="0.3">
      <c r="L25" s="41"/>
    </row>
    <row r="26" spans="1:12" x14ac:dyDescent="0.3">
      <c r="A26" s="27" t="s">
        <v>16</v>
      </c>
      <c r="B26" s="24" t="s">
        <v>653</v>
      </c>
      <c r="L26" s="41"/>
    </row>
    <row r="27" spans="1:12" x14ac:dyDescent="0.3">
      <c r="A27" s="27"/>
      <c r="B27" s="723" t="s">
        <v>654</v>
      </c>
    </row>
    <row r="28" spans="1:12" ht="18" x14ac:dyDescent="0.3">
      <c r="A28" s="159">
        <v>1</v>
      </c>
      <c r="B28" s="20" t="s">
        <v>572</v>
      </c>
    </row>
    <row r="29" spans="1:12" ht="18" x14ac:dyDescent="0.3">
      <c r="A29" s="159">
        <v>2</v>
      </c>
      <c r="B29" s="42" t="s">
        <v>573</v>
      </c>
    </row>
    <row r="30" spans="1:12" x14ac:dyDescent="0.3">
      <c r="A30" s="42"/>
      <c r="B30" s="48" t="s">
        <v>574</v>
      </c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Roman,Bold"&amp;8REVISED</oddHeader>
    <oddFooter>&amp;CPage 8&amp;R&amp;F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68B23024258429DAC4122732B87ED" ma:contentTypeVersion="4" ma:contentTypeDescription="Create a new document." ma:contentTypeScope="" ma:versionID="636ff0a5a2bdf7d37862f872c94f0413">
  <xsd:schema xmlns:xsd="http://www.w3.org/2001/XMLSchema" xmlns:xs="http://www.w3.org/2001/XMLSchema" xmlns:p="http://schemas.microsoft.com/office/2006/metadata/properties" xmlns:ns2="af4f6bea-4661-4cda-b825-bd4d480ecdc0" targetNamespace="http://schemas.microsoft.com/office/2006/metadata/properties" ma:root="true" ma:fieldsID="1c3ab18bd271619b778fa6c53a5ac965" ns2:_="">
    <xsd:import namespace="af4f6bea-4661-4cda-b825-bd4d480ecd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f6bea-4661-4cda-b825-bd4d480ec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7A2B05-BF81-4694-A48B-85B2EB9AE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f6bea-4661-4cda-b825-bd4d480ec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3B3B9-87C6-4A42-8C75-02B6AB4D9C35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af4f6bea-4661-4cda-b825-bd4d480ecdc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11</vt:i4>
      </vt:variant>
    </vt:vector>
  </HeadingPairs>
  <TitlesOfParts>
    <vt:vector size="35" baseType="lpstr">
      <vt:lpstr>Pg1 Appendix XII C4 Cost Adj</vt:lpstr>
      <vt:lpstr>Pg2 Appendix XII C4 Comparison</vt:lpstr>
      <vt:lpstr>Pg3 Rev Appendix XII C4</vt:lpstr>
      <vt:lpstr>Pg4 As Filed Appendix XII C4</vt:lpstr>
      <vt:lpstr>Pg5 Rev B.Sec.2-Non-Direct Exp</vt:lpstr>
      <vt:lpstr>Pg6 As Filed B.Sec.2-Non-Direct</vt:lpstr>
      <vt:lpstr>Pg7 Rev C.Sec.3-Other Costs</vt:lpstr>
      <vt:lpstr>Pg7.1 As Filed C.Sec.3-O-Costs</vt:lpstr>
      <vt:lpstr>Pg8 Rev Stmt AF</vt:lpstr>
      <vt:lpstr>Pg8.1 As Filed Stmt AF</vt:lpstr>
      <vt:lpstr>Pg8.2 Rev AF-1</vt:lpstr>
      <vt:lpstr>Pg8.2A As Filed AF-1</vt:lpstr>
      <vt:lpstr>Pg8.3 Rev AF-2</vt:lpstr>
      <vt:lpstr>Pg8.3A As Filed AF-2</vt:lpstr>
      <vt:lpstr>Pg9 Rev Stmt AH</vt:lpstr>
      <vt:lpstr>Pg9.1 As Filed Stmt AH</vt:lpstr>
      <vt:lpstr>Pg9.2 Rev AH-3</vt:lpstr>
      <vt:lpstr>Pg10 Rev Stmt AL</vt:lpstr>
      <vt:lpstr>Pg10.1 As Filed Stmt AL</vt:lpstr>
      <vt:lpstr>Pg11 Rev Stmt AV</vt:lpstr>
      <vt:lpstr>Pg12 As Filed Stmt AV</vt:lpstr>
      <vt:lpstr>Pg13 Rev AV-4</vt:lpstr>
      <vt:lpstr>Pg14 As Filed AV-4</vt:lpstr>
      <vt:lpstr>Pg15 Appendix XII C4 Int Calc</vt:lpstr>
      <vt:lpstr>'Pg10.1 As Filed Stmt AL'!Print_Area</vt:lpstr>
      <vt:lpstr>'Pg12 As Filed Stmt AV'!Print_Area</vt:lpstr>
      <vt:lpstr>'Pg14 As Filed AV-4'!Print_Area</vt:lpstr>
      <vt:lpstr>'Pg4 As Filed Appendix XII C4'!Print_Area</vt:lpstr>
      <vt:lpstr>'Pg6 As Filed B.Sec.2-Non-Direct'!Print_Area</vt:lpstr>
      <vt:lpstr>'Pg7 Rev C.Sec.3-Other Costs'!Print_Area</vt:lpstr>
      <vt:lpstr>'Pg7.1 As Filed C.Sec.3-O-Costs'!Print_Area</vt:lpstr>
      <vt:lpstr>'Pg8.1 As Filed Stmt AF'!Print_Area</vt:lpstr>
      <vt:lpstr>'Pg8.2A As Filed AF-1'!Print_Area</vt:lpstr>
      <vt:lpstr>'Pg8.3A As Filed AF-2'!Print_Area</vt:lpstr>
      <vt:lpstr>'Pg9.1 As Filed Stmt AH'!Print_Area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Tanedo, Lolit</dc:creator>
  <cp:lastModifiedBy>Tanedo, Lolit</cp:lastModifiedBy>
  <cp:lastPrinted>2022-09-21T20:16:04Z</cp:lastPrinted>
  <dcterms:created xsi:type="dcterms:W3CDTF">2021-03-15T22:51:55Z</dcterms:created>
  <dcterms:modified xsi:type="dcterms:W3CDTF">2022-09-21T20:32:00Z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0x01010056268B23024258429DAC4122732B87ED</vt:lpwstr>
  </property>
</Properties>
</file>