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sempra.sharepoint.com/teams/transmissionrevenue/2024/Citizens/SX-PQ/Cycle 7 Annual Filing/Cost Adjustment Workpapers - July Posting/"/>
    </mc:Choice>
  </mc:AlternateContent>
  <xr:revisionPtr revIDLastSave="638" documentId="14_{AFE1A968-2AD1-459C-858B-A7FF7EF37C0A}" xr6:coauthVersionLast="47" xr6:coauthVersionMax="47" xr10:uidLastSave="{1424FEFA-5640-42AC-BC79-E5E4BB8268A5}"/>
  <bookViews>
    <workbookView xWindow="-110" yWindow="-110" windowWidth="19420" windowHeight="10420" xr2:uid="{A1AA674E-836A-4CFE-B14F-C8BAAC5651C2}"/>
  </bookViews>
  <sheets>
    <sheet name="Pg1 App XII C4 Cost Adj" sheetId="1" r:id="rId1"/>
    <sheet name="Pg2 App XII C4 Comparison" sheetId="16" r:id="rId2"/>
    <sheet name="Pg3 Rev App XII C4" sheetId="44" r:id="rId3"/>
    <sheet name="Pg4 As Filed App XII C4 FERC" sheetId="15" r:id="rId4"/>
    <sheet name="Pg5 Rev Sec 2-Non-Dir Exp" sheetId="45" r:id="rId5"/>
    <sheet name="Pg6 As Filed Non-Dir Exp FERC" sheetId="13" r:id="rId6"/>
    <sheet name="Pg7 Rev Sec 4-TU" sheetId="46" r:id="rId7"/>
    <sheet name="Pg7.1 As Filed Sec 4-TU FERC " sheetId="42" r:id="rId8"/>
    <sheet name="Pg8 Rev Stmt AH" sheetId="47" r:id="rId9"/>
    <sheet name="Pg8.1 As Filed Stmt AH-Oct Adj" sheetId="56" r:id="rId10"/>
    <sheet name="Pg8.2 As Filed Stmt AH FERC Adj" sheetId="54" r:id="rId11"/>
    <sheet name="Pg8.3 Rev AH-3" sheetId="53" r:id="rId12"/>
    <sheet name="Pg8.4 As Filed AH-3 Oct Filing" sheetId="55" r:id="rId13"/>
    <sheet name="Pg8.5 As Filed AH-3 FERC Adj" sheetId="52" r:id="rId14"/>
    <sheet name="Pg9 Rev Stmt AL" sheetId="49" r:id="rId15"/>
    <sheet name="Pg9.1 As Filed Stmt AL FERC Adj" sheetId="17" r:id="rId16"/>
    <sheet name="Pg10 Rev Stmt AV" sheetId="50" r:id="rId17"/>
    <sheet name="Pg11 As Filed Stmt AV FERC Adj" sheetId="11" r:id="rId18"/>
    <sheet name="Pg12 Rev AV-4" sheetId="51" r:id="rId19"/>
    <sheet name="Pg13 As Filed AV-4 FERC Adj" sheetId="21" r:id="rId20"/>
    <sheet name="Pg14 Appendix XII C4 Int Calc" sheetId="22" r:id="rId21"/>
  </sheets>
  <definedNames>
    <definedName name="_xlnm.Print_Area" localSheetId="17">'Pg11 As Filed Stmt AV FERC Adj'!$A$2:$J$158</definedName>
    <definedName name="_xlnm.Print_Area" localSheetId="19">'Pg13 As Filed AV-4 FERC Adj'!$A$2:$F$93</definedName>
    <definedName name="_xlnm.Print_Area" localSheetId="3">'Pg4 As Filed App XII C4 FERC'!$A$2:$F$58</definedName>
    <definedName name="_xlnm.Print_Area" localSheetId="5">'Pg6 As Filed Non-Dir Exp FERC'!$A$2:$H$106</definedName>
    <definedName name="_xlnm.Print_Area" localSheetId="7">'Pg7.1 As Filed Sec 4-TU FERC '!$A$2:$P$43</definedName>
    <definedName name="_xlnm.Print_Area" localSheetId="9">'Pg8.1 As Filed Stmt AH-Oct Adj'!$A$2:$H$76</definedName>
    <definedName name="_xlnm.Print_Area" localSheetId="10">'Pg8.2 As Filed Stmt AH FERC Adj'!$A$2:$H$77</definedName>
    <definedName name="_xlnm.Print_Area" localSheetId="12">'Pg8.4 As Filed AH-3 Oct Filing'!$A$2:$P$99</definedName>
    <definedName name="_xlnm.Print_Area" localSheetId="13">'Pg8.5 As Filed AH-3 FERC Adj'!$A$2:$T$97</definedName>
    <definedName name="_xlnm.Print_Area" localSheetId="15">'Pg9.1 As Filed Stmt AL FERC Adj'!$A$2:$J$35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51" l="1"/>
  <c r="B32" i="49"/>
  <c r="C83" i="53"/>
  <c r="B34" i="46"/>
  <c r="B103" i="45"/>
  <c r="B56" i="44"/>
  <c r="E51" i="47"/>
  <c r="A49" i="47"/>
  <c r="A50" i="47" s="1"/>
  <c r="A51" i="47" s="1"/>
  <c r="A52" i="47" s="1"/>
  <c r="H49" i="47"/>
  <c r="H50" i="47" s="1"/>
  <c r="H51" i="47" s="1"/>
  <c r="H52" i="47" s="1"/>
  <c r="E50" i="47"/>
  <c r="E49" i="47"/>
  <c r="C24" i="15" l="1"/>
  <c r="V74" i="53" l="1"/>
  <c r="V75" i="53" s="1"/>
  <c r="V76" i="53" s="1"/>
  <c r="V77" i="53" s="1"/>
  <c r="V44" i="53"/>
  <c r="V45" i="53" s="1"/>
  <c r="V46" i="53" s="1"/>
  <c r="V47" i="53" s="1"/>
  <c r="V48" i="53" s="1"/>
  <c r="V49" i="53" s="1"/>
  <c r="V50" i="53" s="1"/>
  <c r="V51" i="53" s="1"/>
  <c r="V52" i="53" s="1"/>
  <c r="V53" i="53" s="1"/>
  <c r="V54" i="53" s="1"/>
  <c r="V55" i="53" s="1"/>
  <c r="A74" i="53"/>
  <c r="A75" i="53" s="1"/>
  <c r="A76" i="53" s="1"/>
  <c r="A77" i="53" s="1"/>
  <c r="A54" i="53"/>
  <c r="A55" i="53" s="1"/>
  <c r="A56" i="53" s="1"/>
  <c r="A57" i="53" s="1"/>
  <c r="A44" i="53"/>
  <c r="A45" i="53" s="1"/>
  <c r="A46" i="53" s="1"/>
  <c r="A47" i="53" s="1"/>
  <c r="L80" i="53"/>
  <c r="L75" i="53"/>
  <c r="L63" i="53"/>
  <c r="L59" i="53"/>
  <c r="L55" i="53"/>
  <c r="L45" i="53"/>
  <c r="L40" i="53"/>
  <c r="D77" i="55"/>
  <c r="E78" i="55" s="1"/>
  <c r="E28" i="55" s="1"/>
  <c r="F28" i="55" s="1"/>
  <c r="J28" i="55" s="1"/>
  <c r="N28" i="55" s="1"/>
  <c r="L75" i="55"/>
  <c r="D73" i="55"/>
  <c r="E76" i="55" s="1"/>
  <c r="E25" i="55" s="1"/>
  <c r="F25" i="55" s="1"/>
  <c r="E71" i="55"/>
  <c r="E22" i="55" s="1"/>
  <c r="F22" i="55" s="1"/>
  <c r="J22" i="55" s="1"/>
  <c r="L64" i="55"/>
  <c r="E63" i="55"/>
  <c r="E20" i="55" s="1"/>
  <c r="F20" i="55" s="1"/>
  <c r="J20" i="55" s="1"/>
  <c r="N20" i="55" s="1"/>
  <c r="L60" i="55"/>
  <c r="L19" i="55" s="1"/>
  <c r="E59" i="55"/>
  <c r="E19" i="55" s="1"/>
  <c r="F19" i="55" s="1"/>
  <c r="J19" i="55" s="1"/>
  <c r="N19" i="55" s="1"/>
  <c r="L56" i="55"/>
  <c r="E54" i="55"/>
  <c r="E16" i="55" s="1"/>
  <c r="F16" i="55" s="1"/>
  <c r="J16" i="55" s="1"/>
  <c r="N16" i="55" s="1"/>
  <c r="L46" i="55"/>
  <c r="E44" i="55"/>
  <c r="L41" i="55"/>
  <c r="L12" i="55" s="1"/>
  <c r="E40" i="55"/>
  <c r="J32" i="55"/>
  <c r="N32" i="55" s="1"/>
  <c r="F32" i="55"/>
  <c r="L30" i="55"/>
  <c r="L34" i="55" s="1"/>
  <c r="H30" i="55"/>
  <c r="H34" i="55" s="1"/>
  <c r="D30" i="55"/>
  <c r="D34" i="55" s="1"/>
  <c r="F27" i="55"/>
  <c r="J27" i="55" s="1"/>
  <c r="N27" i="55" s="1"/>
  <c r="J25" i="55"/>
  <c r="N25" i="55" s="1"/>
  <c r="E24" i="55"/>
  <c r="F24" i="55" s="1"/>
  <c r="J24" i="55" s="1"/>
  <c r="N24" i="55" s="1"/>
  <c r="F23" i="55"/>
  <c r="J23" i="55" s="1"/>
  <c r="N23" i="55" s="1"/>
  <c r="N22" i="55"/>
  <c r="F21" i="55"/>
  <c r="J21" i="55" s="1"/>
  <c r="N21" i="55" s="1"/>
  <c r="E21" i="55"/>
  <c r="L20" i="55"/>
  <c r="F18" i="55"/>
  <c r="J18" i="55" s="1"/>
  <c r="N18" i="55" s="1"/>
  <c r="L17" i="55"/>
  <c r="A17" i="55"/>
  <c r="A18" i="55" s="1"/>
  <c r="A19" i="55" s="1"/>
  <c r="A20" i="55" s="1"/>
  <c r="A21" i="55" s="1"/>
  <c r="A22" i="55" s="1"/>
  <c r="A23" i="55" s="1"/>
  <c r="A24" i="55" s="1"/>
  <c r="A25" i="55" s="1"/>
  <c r="A26" i="55" s="1"/>
  <c r="A27" i="55" s="1"/>
  <c r="A28" i="55" s="1"/>
  <c r="L15" i="55"/>
  <c r="E15" i="55"/>
  <c r="F15" i="55" s="1"/>
  <c r="J15" i="55" s="1"/>
  <c r="N15" i="55" s="1"/>
  <c r="L14" i="55"/>
  <c r="A14" i="55"/>
  <c r="A15" i="55" s="1"/>
  <c r="A16" i="55" s="1"/>
  <c r="E13" i="55"/>
  <c r="F13" i="55" s="1"/>
  <c r="J13" i="55" s="1"/>
  <c r="N13" i="55" s="1"/>
  <c r="A13" i="55"/>
  <c r="P12" i="55"/>
  <c r="P13" i="55" s="1"/>
  <c r="P14" i="55" s="1"/>
  <c r="P15" i="55" s="1"/>
  <c r="P16" i="55" s="1"/>
  <c r="P17" i="55" s="1"/>
  <c r="P18" i="55" s="1"/>
  <c r="P19" i="55" s="1"/>
  <c r="P20" i="55" s="1"/>
  <c r="P21" i="55" s="1"/>
  <c r="P22" i="55" s="1"/>
  <c r="P23" i="55" s="1"/>
  <c r="P24" i="55" s="1"/>
  <c r="P25" i="55" s="1"/>
  <c r="P26" i="55" s="1"/>
  <c r="P27" i="55" s="1"/>
  <c r="P28" i="55" s="1"/>
  <c r="P29" i="55" s="1"/>
  <c r="P30" i="55" s="1"/>
  <c r="P31" i="55" s="1"/>
  <c r="P32" i="55" s="1"/>
  <c r="P33" i="55" s="1"/>
  <c r="P34" i="55" s="1"/>
  <c r="P35" i="55" s="1"/>
  <c r="P36" i="55" s="1"/>
  <c r="P37" i="55" s="1"/>
  <c r="P38" i="55" s="1"/>
  <c r="P39" i="55" s="1"/>
  <c r="P40" i="55" s="1"/>
  <c r="P41" i="55" s="1"/>
  <c r="P42" i="55" s="1"/>
  <c r="P43" i="55" s="1"/>
  <c r="P44" i="55" s="1"/>
  <c r="P45" i="55" s="1"/>
  <c r="P46" i="55" s="1"/>
  <c r="P47" i="55" s="1"/>
  <c r="P48" i="55" s="1"/>
  <c r="P49" i="55" s="1"/>
  <c r="P50" i="55" s="1"/>
  <c r="P51" i="55" s="1"/>
  <c r="P52" i="55" s="1"/>
  <c r="P53" i="55" s="1"/>
  <c r="P54" i="55" s="1"/>
  <c r="P55" i="55" s="1"/>
  <c r="P56" i="55" s="1"/>
  <c r="P57" i="55" s="1"/>
  <c r="P58" i="55" s="1"/>
  <c r="P59" i="55" s="1"/>
  <c r="P60" i="55" s="1"/>
  <c r="P61" i="55" s="1"/>
  <c r="P62" i="55" s="1"/>
  <c r="P63" i="55" s="1"/>
  <c r="P64" i="55" s="1"/>
  <c r="P65" i="55" s="1"/>
  <c r="P66" i="55" s="1"/>
  <c r="P67" i="55" s="1"/>
  <c r="P68" i="55" s="1"/>
  <c r="P69" i="55" s="1"/>
  <c r="P70" i="55" s="1"/>
  <c r="P71" i="55" s="1"/>
  <c r="P72" i="55" s="1"/>
  <c r="P73" i="55" s="1"/>
  <c r="P74" i="55" s="1"/>
  <c r="P75" i="55" s="1"/>
  <c r="P76" i="55" s="1"/>
  <c r="P77" i="55" s="1"/>
  <c r="P78" i="55" s="1"/>
  <c r="P79" i="55" s="1"/>
  <c r="P80" i="55" s="1"/>
  <c r="P81" i="55" s="1"/>
  <c r="P82" i="55" s="1"/>
  <c r="P83" i="55" s="1"/>
  <c r="P84" i="55" s="1"/>
  <c r="P85" i="55" s="1"/>
  <c r="P86" i="55" s="1"/>
  <c r="P87" i="55" s="1"/>
  <c r="P88" i="55" s="1"/>
  <c r="P89" i="55" s="1"/>
  <c r="P90" i="55" s="1"/>
  <c r="P91" i="55" s="1"/>
  <c r="P92" i="55" s="1"/>
  <c r="P93" i="55" s="1"/>
  <c r="P94" i="55" s="1"/>
  <c r="P95" i="55" s="1"/>
  <c r="P96" i="55" s="1"/>
  <c r="P97" i="55" s="1"/>
  <c r="P98" i="55" s="1"/>
  <c r="P99" i="55" s="1"/>
  <c r="E61" i="56"/>
  <c r="E69" i="56" s="1"/>
  <c r="E59" i="56"/>
  <c r="E28" i="56"/>
  <c r="A13" i="56"/>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H12" i="56"/>
  <c r="H13" i="56" s="1"/>
  <c r="H14" i="56" s="1"/>
  <c r="H15" i="56" s="1"/>
  <c r="H16" i="56" s="1"/>
  <c r="H17" i="56" s="1"/>
  <c r="H18" i="56" s="1"/>
  <c r="H19" i="56" s="1"/>
  <c r="H20" i="56" s="1"/>
  <c r="H21" i="56" s="1"/>
  <c r="H22" i="56" s="1"/>
  <c r="H23" i="56" s="1"/>
  <c r="H24" i="56" s="1"/>
  <c r="H25" i="56" s="1"/>
  <c r="H26" i="56" s="1"/>
  <c r="H27" i="56" s="1"/>
  <c r="H28" i="56" s="1"/>
  <c r="H29" i="56" s="1"/>
  <c r="H30" i="56" s="1"/>
  <c r="H31" i="56" s="1"/>
  <c r="H32" i="56" s="1"/>
  <c r="H33" i="56" s="1"/>
  <c r="H34" i="56" s="1"/>
  <c r="H35" i="56" s="1"/>
  <c r="H36" i="56" s="1"/>
  <c r="H37" i="56" s="1"/>
  <c r="H38" i="56" s="1"/>
  <c r="H39" i="56" s="1"/>
  <c r="H40" i="56" s="1"/>
  <c r="H41" i="56" s="1"/>
  <c r="H42" i="56" s="1"/>
  <c r="H43" i="56" s="1"/>
  <c r="H44" i="56" s="1"/>
  <c r="H45" i="56" s="1"/>
  <c r="H46" i="56" s="1"/>
  <c r="H47" i="56" s="1"/>
  <c r="H48" i="56" s="1"/>
  <c r="H49" i="56" s="1"/>
  <c r="H50" i="56" s="1"/>
  <c r="H51" i="56" s="1"/>
  <c r="H52" i="56" s="1"/>
  <c r="H53" i="56" s="1"/>
  <c r="H54" i="56" s="1"/>
  <c r="H55" i="56" s="1"/>
  <c r="H56" i="56" s="1"/>
  <c r="H57" i="56" s="1"/>
  <c r="H58" i="56" s="1"/>
  <c r="H59" i="56" s="1"/>
  <c r="H60" i="56" s="1"/>
  <c r="H61" i="56" s="1"/>
  <c r="H62" i="56" s="1"/>
  <c r="H63" i="56" s="1"/>
  <c r="H64" i="56" s="1"/>
  <c r="H65" i="56" s="1"/>
  <c r="H66" i="56" s="1"/>
  <c r="H67" i="56" s="1"/>
  <c r="H68" i="56" s="1"/>
  <c r="H69" i="56" s="1"/>
  <c r="H70" i="56" s="1"/>
  <c r="H71" i="56" s="1"/>
  <c r="O30" i="55" l="1"/>
  <c r="A29" i="55"/>
  <c r="A30" i="55" s="1"/>
  <c r="E80" i="55"/>
  <c r="L80" i="55"/>
  <c r="E12" i="55"/>
  <c r="E71" i="56"/>
  <c r="E51" i="56" s="1"/>
  <c r="E46" i="56"/>
  <c r="E48" i="56" s="1"/>
  <c r="E50" i="56" s="1"/>
  <c r="O34" i="55" l="1"/>
  <c r="A31" i="55"/>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F12" i="55"/>
  <c r="E30" i="55"/>
  <c r="E34" i="55" s="1"/>
  <c r="E52" i="56"/>
  <c r="J12" i="55" l="1"/>
  <c r="F30" i="55"/>
  <c r="F34" i="55" s="1"/>
  <c r="J30" i="55" l="1"/>
  <c r="J34" i="55" s="1"/>
  <c r="N12" i="55"/>
  <c r="N30" i="55" s="1"/>
  <c r="N34" i="55" s="1"/>
  <c r="E41" i="16" l="1"/>
  <c r="E24" i="16"/>
  <c r="E18" i="16"/>
  <c r="F89" i="21" l="1"/>
  <c r="C89" i="21"/>
  <c r="F88" i="21"/>
  <c r="F87" i="21"/>
  <c r="F86" i="21"/>
  <c r="F85" i="21"/>
  <c r="F84" i="21"/>
  <c r="F83" i="21"/>
  <c r="F82" i="21"/>
  <c r="F81" i="21"/>
  <c r="F80" i="21"/>
  <c r="F79" i="21"/>
  <c r="F78" i="21"/>
  <c r="F77" i="21"/>
  <c r="F76" i="21"/>
  <c r="F75" i="21"/>
  <c r="F74" i="21"/>
  <c r="F73" i="21"/>
  <c r="C77" i="21"/>
  <c r="F72" i="21"/>
  <c r="F71" i="21"/>
  <c r="F70" i="21"/>
  <c r="F69" i="21"/>
  <c r="C83" i="21"/>
  <c r="C16" i="21" s="1"/>
  <c r="F68" i="21"/>
  <c r="C82" i="21"/>
  <c r="C15" i="21" s="1"/>
  <c r="F67" i="21"/>
  <c r="C81" i="21"/>
  <c r="C14" i="21" s="1"/>
  <c r="F66" i="21"/>
  <c r="C80" i="21"/>
  <c r="F65" i="21"/>
  <c r="B58" i="21"/>
  <c r="B57" i="21"/>
  <c r="B56" i="21"/>
  <c r="C47" i="21"/>
  <c r="C42" i="21"/>
  <c r="C27" i="21"/>
  <c r="C22" i="21"/>
  <c r="A13" i="2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F12" i="21"/>
  <c r="F13" i="21" s="1"/>
  <c r="F14" i="21" s="1"/>
  <c r="F15" i="21" s="1"/>
  <c r="F16" i="21" s="1"/>
  <c r="F17" i="21" s="1"/>
  <c r="F18" i="21" s="1"/>
  <c r="F19" i="21" s="1"/>
  <c r="F20" i="21" s="1"/>
  <c r="F21" i="21" s="1"/>
  <c r="F22" i="21" s="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E60" i="54"/>
  <c r="E62" i="54"/>
  <c r="E47" i="54"/>
  <c r="E49" i="54" s="1"/>
  <c r="E51" i="54" s="1"/>
  <c r="E28" i="54"/>
  <c r="A13" i="54"/>
  <c r="A14" i="54" s="1"/>
  <c r="A15" i="54" s="1"/>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H12" i="54"/>
  <c r="H13" i="54" s="1"/>
  <c r="H14" i="54" s="1"/>
  <c r="H15" i="54" s="1"/>
  <c r="H16" i="54" s="1"/>
  <c r="H17" i="54" s="1"/>
  <c r="H18" i="54" s="1"/>
  <c r="H19" i="54" s="1"/>
  <c r="H20" i="54" s="1"/>
  <c r="H21" i="54" s="1"/>
  <c r="H22" i="54" s="1"/>
  <c r="H23" i="54" s="1"/>
  <c r="H24" i="54" s="1"/>
  <c r="H25" i="54" s="1"/>
  <c r="H26" i="54" s="1"/>
  <c r="H27" i="54" s="1"/>
  <c r="H28" i="54" s="1"/>
  <c r="H29" i="54" s="1"/>
  <c r="H30" i="54" s="1"/>
  <c r="H31" i="54" s="1"/>
  <c r="H32" i="54" s="1"/>
  <c r="H33" i="54" s="1"/>
  <c r="H34" i="54" s="1"/>
  <c r="H35" i="54" s="1"/>
  <c r="H36" i="54" s="1"/>
  <c r="H37" i="54" s="1"/>
  <c r="H38" i="54" s="1"/>
  <c r="H39" i="54" s="1"/>
  <c r="H40" i="54" s="1"/>
  <c r="H41" i="54" s="1"/>
  <c r="H42" i="54" s="1"/>
  <c r="H43" i="54" s="1"/>
  <c r="H44" i="54" s="1"/>
  <c r="H45" i="54" s="1"/>
  <c r="H46" i="54" s="1"/>
  <c r="H47" i="54" s="1"/>
  <c r="H48" i="54" s="1"/>
  <c r="H49" i="54" s="1"/>
  <c r="H50" i="54" s="1"/>
  <c r="H51" i="54" s="1"/>
  <c r="H52" i="54" s="1"/>
  <c r="H53" i="54" s="1"/>
  <c r="H54" i="54" s="1"/>
  <c r="H55" i="54" s="1"/>
  <c r="H56" i="54" s="1"/>
  <c r="H57" i="54" s="1"/>
  <c r="H58" i="54" s="1"/>
  <c r="H59" i="54" s="1"/>
  <c r="H60" i="54" s="1"/>
  <c r="H61" i="54" s="1"/>
  <c r="H62" i="54" s="1"/>
  <c r="H63" i="54" s="1"/>
  <c r="H64" i="54" s="1"/>
  <c r="H65" i="54" s="1"/>
  <c r="H66" i="54" s="1"/>
  <c r="H67" i="54" s="1"/>
  <c r="H68" i="54" s="1"/>
  <c r="H69" i="54" s="1"/>
  <c r="H70" i="54" s="1"/>
  <c r="H71" i="54" s="1"/>
  <c r="H72" i="54" s="1"/>
  <c r="C33" i="21" l="1"/>
  <c r="C13" i="21"/>
  <c r="C17" i="21" s="1"/>
  <c r="C84" i="21"/>
  <c r="C70" i="21"/>
  <c r="E70" i="54"/>
  <c r="E72" i="54" s="1"/>
  <c r="E52" i="54" s="1"/>
  <c r="E53" i="54" s="1"/>
  <c r="R29" i="53"/>
  <c r="R33" i="53" s="1"/>
  <c r="E46" i="47" s="1"/>
  <c r="D77" i="53"/>
  <c r="E78" i="53" s="1"/>
  <c r="E27" i="53" s="1"/>
  <c r="F27" i="53" s="1"/>
  <c r="J27" i="53" s="1"/>
  <c r="N27" i="53" s="1"/>
  <c r="Q27" i="53" s="1"/>
  <c r="T27" i="53" s="1"/>
  <c r="D73" i="53"/>
  <c r="E76" i="53" s="1"/>
  <c r="E24" i="53" s="1"/>
  <c r="F24" i="53" s="1"/>
  <c r="J24" i="53" s="1"/>
  <c r="N24" i="53" s="1"/>
  <c r="Q24" i="53" s="1"/>
  <c r="T24" i="53" s="1"/>
  <c r="E70" i="53"/>
  <c r="E21" i="53" s="1"/>
  <c r="F21" i="53" s="1"/>
  <c r="J21" i="53" s="1"/>
  <c r="N21" i="53" s="1"/>
  <c r="Q21" i="53" s="1"/>
  <c r="T21" i="53" s="1"/>
  <c r="E62" i="53"/>
  <c r="E19" i="53" s="1"/>
  <c r="F19" i="53" s="1"/>
  <c r="J19" i="53" s="1"/>
  <c r="E58" i="53"/>
  <c r="E18" i="53" s="1"/>
  <c r="F18" i="53" s="1"/>
  <c r="J18" i="53" s="1"/>
  <c r="E53" i="53"/>
  <c r="E15" i="53" s="1"/>
  <c r="F15" i="53" s="1"/>
  <c r="J15" i="53" s="1"/>
  <c r="E43" i="53"/>
  <c r="E12" i="53" s="1"/>
  <c r="F12" i="53" s="1"/>
  <c r="J12" i="53" s="1"/>
  <c r="E39" i="53"/>
  <c r="E11" i="53" s="1"/>
  <c r="F31" i="53"/>
  <c r="J31" i="53" s="1"/>
  <c r="N31" i="53" s="1"/>
  <c r="Q31" i="53" s="1"/>
  <c r="T31" i="53" s="1"/>
  <c r="O29" i="53"/>
  <c r="O33" i="53" s="1"/>
  <c r="H29" i="53"/>
  <c r="H33" i="53" s="1"/>
  <c r="D29" i="53"/>
  <c r="D33" i="53" s="1"/>
  <c r="F26" i="53"/>
  <c r="J26" i="53" s="1"/>
  <c r="N26" i="53" s="1"/>
  <c r="Q26" i="53" s="1"/>
  <c r="T26" i="53" s="1"/>
  <c r="E23" i="53"/>
  <c r="F23" i="53" s="1"/>
  <c r="J23" i="53" s="1"/>
  <c r="N23" i="53" s="1"/>
  <c r="Q23" i="53" s="1"/>
  <c r="T23" i="53" s="1"/>
  <c r="F22" i="53"/>
  <c r="J22" i="53" s="1"/>
  <c r="N22" i="53" s="1"/>
  <c r="Q22" i="53" s="1"/>
  <c r="T22" i="53" s="1"/>
  <c r="E20" i="53"/>
  <c r="F20" i="53" s="1"/>
  <c r="J20" i="53" s="1"/>
  <c r="N20" i="53" s="1"/>
  <c r="Q20" i="53" s="1"/>
  <c r="T20" i="53" s="1"/>
  <c r="L19" i="53"/>
  <c r="L18" i="53"/>
  <c r="F17" i="53"/>
  <c r="J17" i="53" s="1"/>
  <c r="N17" i="53" s="1"/>
  <c r="Q17" i="53" s="1"/>
  <c r="T17" i="53" s="1"/>
  <c r="L16" i="53"/>
  <c r="L14" i="53"/>
  <c r="E14" i="53"/>
  <c r="F14" i="53" s="1"/>
  <c r="J14" i="53" s="1"/>
  <c r="L13" i="53"/>
  <c r="A12" i="53"/>
  <c r="A13" i="53" s="1"/>
  <c r="A14" i="53" s="1"/>
  <c r="A15" i="53" s="1"/>
  <c r="A16" i="53" s="1"/>
  <c r="A17" i="53" s="1"/>
  <c r="A18" i="53" s="1"/>
  <c r="A19" i="53" s="1"/>
  <c r="A20" i="53" s="1"/>
  <c r="A21" i="53" s="1"/>
  <c r="A22" i="53" s="1"/>
  <c r="A23" i="53" s="1"/>
  <c r="A24" i="53" s="1"/>
  <c r="A25" i="53" s="1"/>
  <c r="A26" i="53" s="1"/>
  <c r="A27" i="53" s="1"/>
  <c r="V11" i="53"/>
  <c r="V12" i="53" s="1"/>
  <c r="V13" i="53" s="1"/>
  <c r="V14" i="53" s="1"/>
  <c r="V15" i="53" s="1"/>
  <c r="V16" i="53" s="1"/>
  <c r="V17" i="53" s="1"/>
  <c r="V18" i="53" s="1"/>
  <c r="V19" i="53" s="1"/>
  <c r="V20" i="53" s="1"/>
  <c r="V21" i="53" s="1"/>
  <c r="V22" i="53" s="1"/>
  <c r="V23" i="53" s="1"/>
  <c r="V24" i="53" s="1"/>
  <c r="V25" i="53" s="1"/>
  <c r="V26" i="53" s="1"/>
  <c r="V27" i="53" s="1"/>
  <c r="V28" i="53" s="1"/>
  <c r="V29" i="53" s="1"/>
  <c r="V30" i="53" s="1"/>
  <c r="V31" i="53" s="1"/>
  <c r="V32" i="53" s="1"/>
  <c r="V33" i="53" s="1"/>
  <c r="V34" i="53" s="1"/>
  <c r="V35" i="53" s="1"/>
  <c r="V36" i="53" s="1"/>
  <c r="V37" i="53" s="1"/>
  <c r="V38" i="53" s="1"/>
  <c r="V39" i="53" s="1"/>
  <c r="V40" i="53" s="1"/>
  <c r="V41" i="53" s="1"/>
  <c r="V42" i="53" s="1"/>
  <c r="V43" i="53" s="1"/>
  <c r="V56" i="53" s="1"/>
  <c r="V57" i="53" s="1"/>
  <c r="V58" i="53" s="1"/>
  <c r="V59" i="53" s="1"/>
  <c r="V60" i="53" s="1"/>
  <c r="V61" i="53" s="1"/>
  <c r="V62" i="53" s="1"/>
  <c r="V63" i="53" s="1"/>
  <c r="V64" i="53" s="1"/>
  <c r="V65" i="53" s="1"/>
  <c r="V66" i="53" s="1"/>
  <c r="V67" i="53" s="1"/>
  <c r="V68" i="53" s="1"/>
  <c r="V69" i="53" s="1"/>
  <c r="V70" i="53" s="1"/>
  <c r="L11" i="53"/>
  <c r="E75" i="52"/>
  <c r="E28" i="52" s="1"/>
  <c r="F28" i="52" s="1"/>
  <c r="J28" i="52" s="1"/>
  <c r="N28" i="52" s="1"/>
  <c r="R28" i="52" s="1"/>
  <c r="D74" i="52"/>
  <c r="L72" i="52"/>
  <c r="D71" i="52"/>
  <c r="E73" i="52" s="1"/>
  <c r="E25" i="52" s="1"/>
  <c r="F25" i="52" s="1"/>
  <c r="J25" i="52" s="1"/>
  <c r="N25" i="52" s="1"/>
  <c r="R25" i="52" s="1"/>
  <c r="E69" i="52"/>
  <c r="E22" i="52" s="1"/>
  <c r="F22" i="52" s="1"/>
  <c r="J22" i="52" s="1"/>
  <c r="N22" i="52" s="1"/>
  <c r="R22" i="52" s="1"/>
  <c r="E61" i="52"/>
  <c r="E57" i="52"/>
  <c r="E19" i="52" s="1"/>
  <c r="F19" i="52" s="1"/>
  <c r="J19" i="52" s="1"/>
  <c r="N19" i="52" s="1"/>
  <c r="R19" i="52" s="1"/>
  <c r="E53" i="52"/>
  <c r="E16" i="52" s="1"/>
  <c r="F16" i="52" s="1"/>
  <c r="J16" i="52" s="1"/>
  <c r="N16" i="52" s="1"/>
  <c r="R16" i="52" s="1"/>
  <c r="E44" i="52"/>
  <c r="E40" i="52"/>
  <c r="P34" i="52"/>
  <c r="F32" i="52"/>
  <c r="J32" i="52" s="1"/>
  <c r="N32" i="52" s="1"/>
  <c r="R32" i="52" s="1"/>
  <c r="P30" i="52"/>
  <c r="H30" i="52"/>
  <c r="H34" i="52" s="1"/>
  <c r="D30" i="52"/>
  <c r="D34" i="52" s="1"/>
  <c r="F27" i="52"/>
  <c r="J27" i="52" s="1"/>
  <c r="N27" i="52" s="1"/>
  <c r="R27" i="52" s="1"/>
  <c r="E24" i="52"/>
  <c r="F24" i="52" s="1"/>
  <c r="J24" i="52" s="1"/>
  <c r="N24" i="52" s="1"/>
  <c r="R24" i="52" s="1"/>
  <c r="F23" i="52"/>
  <c r="J23" i="52" s="1"/>
  <c r="N23" i="52" s="1"/>
  <c r="R23" i="52" s="1"/>
  <c r="E21" i="52"/>
  <c r="F21" i="52" s="1"/>
  <c r="J21" i="52" s="1"/>
  <c r="N21" i="52" s="1"/>
  <c r="R21" i="52" s="1"/>
  <c r="L20" i="52"/>
  <c r="E20" i="52"/>
  <c r="F20" i="52" s="1"/>
  <c r="J20" i="52" s="1"/>
  <c r="N20" i="52" s="1"/>
  <c r="R20" i="52" s="1"/>
  <c r="L19" i="52"/>
  <c r="F18" i="52"/>
  <c r="J18" i="52" s="1"/>
  <c r="N18" i="52" s="1"/>
  <c r="R18" i="52" s="1"/>
  <c r="L17" i="52"/>
  <c r="L15" i="52"/>
  <c r="E15" i="52"/>
  <c r="F15" i="52" s="1"/>
  <c r="J15" i="52" s="1"/>
  <c r="N15" i="52" s="1"/>
  <c r="R15" i="52" s="1"/>
  <c r="L14" i="52"/>
  <c r="E13" i="52"/>
  <c r="F13" i="52" s="1"/>
  <c r="J13" i="52" s="1"/>
  <c r="N13" i="52" s="1"/>
  <c r="R13" i="52" s="1"/>
  <c r="A13" i="52"/>
  <c r="A14" i="52" s="1"/>
  <c r="A15" i="52" s="1"/>
  <c r="A16" i="52" s="1"/>
  <c r="A17" i="52" s="1"/>
  <c r="A18" i="52" s="1"/>
  <c r="A19" i="52" s="1"/>
  <c r="A20" i="52" s="1"/>
  <c r="A21" i="52" s="1"/>
  <c r="A22" i="52" s="1"/>
  <c r="A23" i="52" s="1"/>
  <c r="A24" i="52" s="1"/>
  <c r="A25" i="52" s="1"/>
  <c r="A26" i="52" s="1"/>
  <c r="A27" i="52" s="1"/>
  <c r="A28" i="52" s="1"/>
  <c r="T12" i="52"/>
  <c r="T13" i="52" s="1"/>
  <c r="T14" i="52" s="1"/>
  <c r="T15" i="52" s="1"/>
  <c r="T16" i="52" s="1"/>
  <c r="T17" i="52" s="1"/>
  <c r="T18" i="52" s="1"/>
  <c r="T19" i="52" s="1"/>
  <c r="T20" i="52" s="1"/>
  <c r="T21" i="52" s="1"/>
  <c r="T22" i="52" s="1"/>
  <c r="T23" i="52" s="1"/>
  <c r="T24" i="52" s="1"/>
  <c r="T25" i="52" s="1"/>
  <c r="T26" i="52" s="1"/>
  <c r="T27" i="52" s="1"/>
  <c r="T28" i="52" s="1"/>
  <c r="T29" i="52" s="1"/>
  <c r="T30" i="52" s="1"/>
  <c r="T31" i="52" s="1"/>
  <c r="T32" i="52" s="1"/>
  <c r="T33" i="52" s="1"/>
  <c r="T34" i="52" s="1"/>
  <c r="T35" i="52" s="1"/>
  <c r="T36" i="52" s="1"/>
  <c r="T37" i="52" s="1"/>
  <c r="T38" i="52" s="1"/>
  <c r="T39" i="52" s="1"/>
  <c r="T40" i="52" s="1"/>
  <c r="T41" i="52" s="1"/>
  <c r="T42" i="52" s="1"/>
  <c r="T43" i="52" s="1"/>
  <c r="T44" i="52" s="1"/>
  <c r="T45" i="52" s="1"/>
  <c r="T46" i="52" s="1"/>
  <c r="T47" i="52" s="1"/>
  <c r="T48" i="52" s="1"/>
  <c r="T49" i="52" s="1"/>
  <c r="T50" i="52" s="1"/>
  <c r="T51" i="52" s="1"/>
  <c r="T52" i="52" s="1"/>
  <c r="T53" i="52" s="1"/>
  <c r="T54" i="52" s="1"/>
  <c r="T55" i="52" s="1"/>
  <c r="T56" i="52" s="1"/>
  <c r="T57" i="52" s="1"/>
  <c r="T58" i="52" s="1"/>
  <c r="T59" i="52" s="1"/>
  <c r="T60" i="52" s="1"/>
  <c r="T61" i="52" s="1"/>
  <c r="T62" i="52" s="1"/>
  <c r="T63" i="52" s="1"/>
  <c r="T64" i="52" s="1"/>
  <c r="T65" i="52" s="1"/>
  <c r="T66" i="52" s="1"/>
  <c r="T67" i="52" s="1"/>
  <c r="T68" i="52" s="1"/>
  <c r="T69" i="52" s="1"/>
  <c r="T70" i="52" s="1"/>
  <c r="T71" i="52" s="1"/>
  <c r="T72" i="52" s="1"/>
  <c r="T73" i="52" s="1"/>
  <c r="T74" i="52" s="1"/>
  <c r="T75" i="52" s="1"/>
  <c r="T76" i="52" s="1"/>
  <c r="T77" i="52" s="1"/>
  <c r="T78" i="52" s="1"/>
  <c r="T79" i="52" s="1"/>
  <c r="T80" i="52" s="1"/>
  <c r="T81" i="52" s="1"/>
  <c r="T82" i="52" s="1"/>
  <c r="T83" i="52" s="1"/>
  <c r="T84" i="52" s="1"/>
  <c r="T85" i="52" s="1"/>
  <c r="T86" i="52" s="1"/>
  <c r="T87" i="52" s="1"/>
  <c r="T88" i="52" s="1"/>
  <c r="T89" i="52" s="1"/>
  <c r="T90" i="52" s="1"/>
  <c r="T91" i="52" s="1"/>
  <c r="T92" i="52" s="1"/>
  <c r="T93" i="52" s="1"/>
  <c r="T94" i="52" s="1"/>
  <c r="T95" i="52" s="1"/>
  <c r="T96" i="52" s="1"/>
  <c r="T97" i="52" s="1"/>
  <c r="L12" i="52"/>
  <c r="E12" i="52"/>
  <c r="C37" i="21" l="1"/>
  <c r="V71" i="53"/>
  <c r="V72" i="53" s="1"/>
  <c r="V73" i="53" s="1"/>
  <c r="V78" i="53" s="1"/>
  <c r="V79" i="53" s="1"/>
  <c r="V80" i="53" s="1"/>
  <c r="V81" i="53" s="1"/>
  <c r="V82" i="53" s="1"/>
  <c r="V83" i="53" s="1"/>
  <c r="V84" i="53" s="1"/>
  <c r="V85" i="53" s="1"/>
  <c r="V86" i="53" s="1"/>
  <c r="V87" i="53" s="1"/>
  <c r="V88" i="53" s="1"/>
  <c r="V89" i="53" s="1"/>
  <c r="V90" i="53" s="1"/>
  <c r="V91" i="53" s="1"/>
  <c r="V92" i="53" s="1"/>
  <c r="V93" i="53" s="1"/>
  <c r="V94" i="53" s="1"/>
  <c r="V95" i="53" s="1"/>
  <c r="V96" i="53" s="1"/>
  <c r="V97" i="53" s="1"/>
  <c r="V98" i="53" s="1"/>
  <c r="V99" i="53" s="1"/>
  <c r="V100" i="53" s="1"/>
  <c r="V101" i="53" s="1"/>
  <c r="L29" i="53"/>
  <c r="L33" i="53" s="1"/>
  <c r="N12" i="53"/>
  <c r="Q12" i="53" s="1"/>
  <c r="T12" i="53" s="1"/>
  <c r="N14" i="53"/>
  <c r="Q14" i="53" s="1"/>
  <c r="T14" i="53" s="1"/>
  <c r="N15" i="53"/>
  <c r="Q15" i="53" s="1"/>
  <c r="T15" i="53" s="1"/>
  <c r="N18" i="53"/>
  <c r="Q18" i="53" s="1"/>
  <c r="T18" i="53" s="1"/>
  <c r="N19" i="53"/>
  <c r="Q19" i="53" s="1"/>
  <c r="T19" i="53" s="1"/>
  <c r="A28" i="53"/>
  <c r="A29" i="53" s="1"/>
  <c r="U29" i="53"/>
  <c r="F11" i="53"/>
  <c r="E29" i="53"/>
  <c r="E33" i="53" s="1"/>
  <c r="E80" i="53"/>
  <c r="L30" i="52"/>
  <c r="L34" i="52" s="1"/>
  <c r="E77" i="52"/>
  <c r="S30" i="52"/>
  <c r="A29" i="52"/>
  <c r="A30" i="52" s="1"/>
  <c r="E30" i="52"/>
  <c r="E34" i="52" s="1"/>
  <c r="F12" i="52"/>
  <c r="A30" i="53" l="1"/>
  <c r="A31" i="53" s="1"/>
  <c r="A32" i="53" s="1"/>
  <c r="A33" i="53" s="1"/>
  <c r="A34" i="53" s="1"/>
  <c r="A35" i="53" s="1"/>
  <c r="A36" i="53" s="1"/>
  <c r="A37" i="53" s="1"/>
  <c r="A38" i="53" s="1"/>
  <c r="A39" i="53" s="1"/>
  <c r="A40" i="53" s="1"/>
  <c r="A41" i="53" s="1"/>
  <c r="A42" i="53" s="1"/>
  <c r="A43" i="53" s="1"/>
  <c r="A48" i="53" s="1"/>
  <c r="A49" i="53" s="1"/>
  <c r="A50" i="53" s="1"/>
  <c r="A51" i="53" s="1"/>
  <c r="A52" i="53" s="1"/>
  <c r="A53" i="53" s="1"/>
  <c r="A58" i="53" s="1"/>
  <c r="A59" i="53" s="1"/>
  <c r="A60" i="53" s="1"/>
  <c r="A61" i="53" s="1"/>
  <c r="A62" i="53" s="1"/>
  <c r="A63" i="53" s="1"/>
  <c r="A64" i="53" s="1"/>
  <c r="A65" i="53" s="1"/>
  <c r="A66" i="53" s="1"/>
  <c r="A67" i="53" s="1"/>
  <c r="A68" i="53" s="1"/>
  <c r="A69" i="53" s="1"/>
  <c r="A70" i="53" s="1"/>
  <c r="J11" i="53"/>
  <c r="F29" i="53"/>
  <c r="F33" i="53" s="1"/>
  <c r="F30" i="52"/>
  <c r="F34" i="52" s="1"/>
  <c r="J12" i="52"/>
  <c r="A31" i="52"/>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71" i="53" l="1"/>
  <c r="A72" i="53" s="1"/>
  <c r="A73"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U33" i="53"/>
  <c r="N11" i="53"/>
  <c r="J29" i="53"/>
  <c r="J33" i="53" s="1"/>
  <c r="S34" i="52"/>
  <c r="N12" i="52"/>
  <c r="J30" i="52"/>
  <c r="J34" i="52" s="1"/>
  <c r="Q11" i="53" l="1"/>
  <c r="N29" i="53"/>
  <c r="N33" i="53" s="1"/>
  <c r="R12" i="52"/>
  <c r="R30" i="52" s="1"/>
  <c r="R34" i="52" s="1"/>
  <c r="N30" i="52"/>
  <c r="N34" i="52" s="1"/>
  <c r="Q29" i="53" l="1"/>
  <c r="Q33" i="53" s="1"/>
  <c r="T11" i="53"/>
  <c r="T29" i="53" s="1"/>
  <c r="T33" i="53" s="1"/>
  <c r="E51" i="16" l="1"/>
  <c r="C51" i="16"/>
  <c r="I66" i="22"/>
  <c r="I67" i="22" s="1"/>
  <c r="I68" i="22" s="1"/>
  <c r="I69" i="22" s="1"/>
  <c r="I70" i="22" s="1"/>
  <c r="I71" i="22" s="1"/>
  <c r="I72" i="22" s="1"/>
  <c r="I73" i="22" s="1"/>
  <c r="I74" i="22" s="1"/>
  <c r="I75" i="22" s="1"/>
  <c r="I76" i="22" s="1"/>
  <c r="I77" i="22" s="1"/>
  <c r="I78" i="22" s="1"/>
  <c r="A66" i="22"/>
  <c r="A67" i="22" s="1"/>
  <c r="A68" i="22" s="1"/>
  <c r="A69" i="22" s="1"/>
  <c r="A70" i="22" s="1"/>
  <c r="A71" i="22" s="1"/>
  <c r="A72" i="22" s="1"/>
  <c r="A73" i="22" s="1"/>
  <c r="A74" i="22" s="1"/>
  <c r="A75" i="22" s="1"/>
  <c r="A76" i="22" s="1"/>
  <c r="A77" i="22" s="1"/>
  <c r="A78" i="22" s="1"/>
  <c r="E47" i="16"/>
  <c r="E45" i="16"/>
  <c r="E39" i="16"/>
  <c r="E35" i="16"/>
  <c r="C47" i="16"/>
  <c r="C45" i="16"/>
  <c r="C39" i="16"/>
  <c r="C35" i="16"/>
  <c r="C22" i="16"/>
  <c r="C16" i="16"/>
  <c r="E12" i="16"/>
  <c r="C12" i="16"/>
  <c r="C26" i="16"/>
  <c r="E26" i="16"/>
  <c r="E22" i="16"/>
  <c r="E16" i="16"/>
  <c r="E14" i="16"/>
  <c r="F87" i="51" l="1"/>
  <c r="E87" i="51"/>
  <c r="C87" i="51"/>
  <c r="F86" i="51"/>
  <c r="F85" i="51"/>
  <c r="F84" i="51"/>
  <c r="F83" i="51"/>
  <c r="F82" i="51"/>
  <c r="E82" i="51"/>
  <c r="F81" i="51"/>
  <c r="E81" i="51"/>
  <c r="C81" i="51"/>
  <c r="C15" i="51" s="1"/>
  <c r="F80" i="51"/>
  <c r="E80" i="51"/>
  <c r="C80" i="51"/>
  <c r="C14" i="51" s="1"/>
  <c r="F79" i="51"/>
  <c r="E79" i="51"/>
  <c r="C79" i="51"/>
  <c r="C13" i="51" s="1"/>
  <c r="F78" i="51"/>
  <c r="E78" i="51"/>
  <c r="C78" i="51"/>
  <c r="F77" i="51"/>
  <c r="F76" i="51"/>
  <c r="F75" i="51"/>
  <c r="C75" i="51"/>
  <c r="F74" i="51"/>
  <c r="F73" i="51"/>
  <c r="F72" i="51"/>
  <c r="F71" i="51"/>
  <c r="F70" i="51"/>
  <c r="F69" i="51"/>
  <c r="F68" i="51"/>
  <c r="C68" i="51"/>
  <c r="F67" i="51"/>
  <c r="F66" i="51"/>
  <c r="F65" i="51"/>
  <c r="F64" i="51"/>
  <c r="F63" i="51"/>
  <c r="B56" i="51"/>
  <c r="B55" i="51"/>
  <c r="B54" i="51"/>
  <c r="C46" i="51"/>
  <c r="C41" i="51"/>
  <c r="C26" i="51"/>
  <c r="C21" i="51"/>
  <c r="A13" i="5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46" i="51" s="1"/>
  <c r="A47" i="51" s="1"/>
  <c r="A48" i="51" s="1"/>
  <c r="C12" i="51"/>
  <c r="A12" i="51"/>
  <c r="F11" i="5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F40" i="51" s="1"/>
  <c r="F41" i="51" s="1"/>
  <c r="F42" i="51" s="1"/>
  <c r="F43" i="51" s="1"/>
  <c r="F44" i="51" s="1"/>
  <c r="F45" i="51" s="1"/>
  <c r="F46" i="51" s="1"/>
  <c r="F47" i="51" s="1"/>
  <c r="F48" i="51" s="1"/>
  <c r="G147" i="50"/>
  <c r="B147" i="50"/>
  <c r="B146" i="50"/>
  <c r="G145" i="50"/>
  <c r="G144" i="50"/>
  <c r="B144" i="50"/>
  <c r="B143" i="50"/>
  <c r="G135" i="50"/>
  <c r="B135" i="50"/>
  <c r="B132" i="50"/>
  <c r="B131" i="50"/>
  <c r="J127" i="50"/>
  <c r="J128" i="50" s="1"/>
  <c r="J129" i="50" s="1"/>
  <c r="J130" i="50" s="1"/>
  <c r="J131" i="50" s="1"/>
  <c r="J132" i="50" s="1"/>
  <c r="J133" i="50" s="1"/>
  <c r="J134" i="50" s="1"/>
  <c r="J135" i="50" s="1"/>
  <c r="J136" i="50" s="1"/>
  <c r="J137" i="50" s="1"/>
  <c r="J138" i="50" s="1"/>
  <c r="J139" i="50" s="1"/>
  <c r="J140" i="50" s="1"/>
  <c r="J141" i="50" s="1"/>
  <c r="J142" i="50" s="1"/>
  <c r="J143" i="50" s="1"/>
  <c r="J144" i="50" s="1"/>
  <c r="J145" i="50" s="1"/>
  <c r="J146" i="50" s="1"/>
  <c r="J147" i="50" s="1"/>
  <c r="J148" i="50" s="1"/>
  <c r="J149" i="50" s="1"/>
  <c r="J150" i="50" s="1"/>
  <c r="J151" i="50" s="1"/>
  <c r="J152" i="50" s="1"/>
  <c r="J153" i="50" s="1"/>
  <c r="J154" i="50" s="1"/>
  <c r="J155" i="50" s="1"/>
  <c r="J156" i="50" s="1"/>
  <c r="A127" i="50"/>
  <c r="A128" i="50" s="1"/>
  <c r="A129" i="50" s="1"/>
  <c r="A130" i="50" s="1"/>
  <c r="A131" i="50" s="1"/>
  <c r="B120" i="50"/>
  <c r="B113" i="50"/>
  <c r="G98" i="50"/>
  <c r="J81" i="50"/>
  <c r="J82" i="50" s="1"/>
  <c r="J83" i="50" s="1"/>
  <c r="J84" i="50" s="1"/>
  <c r="J85" i="50" s="1"/>
  <c r="J86" i="50" s="1"/>
  <c r="J87" i="50" s="1"/>
  <c r="J88" i="50" s="1"/>
  <c r="J89" i="50" s="1"/>
  <c r="J90" i="50" s="1"/>
  <c r="J91" i="50" s="1"/>
  <c r="J92" i="50" s="1"/>
  <c r="J93" i="50" s="1"/>
  <c r="J94" i="50" s="1"/>
  <c r="J95" i="50" s="1"/>
  <c r="J96" i="50" s="1"/>
  <c r="J97" i="50" s="1"/>
  <c r="J98" i="50" s="1"/>
  <c r="J99" i="50" s="1"/>
  <c r="J100" i="50" s="1"/>
  <c r="J101" i="50" s="1"/>
  <c r="J102" i="50" s="1"/>
  <c r="J103" i="50" s="1"/>
  <c r="J104" i="50" s="1"/>
  <c r="J105" i="50" s="1"/>
  <c r="J106" i="50" s="1"/>
  <c r="J107" i="50" s="1"/>
  <c r="J108" i="50" s="1"/>
  <c r="J109" i="50" s="1"/>
  <c r="J110" i="50" s="1"/>
  <c r="A81" i="50"/>
  <c r="A82" i="50" s="1"/>
  <c r="A83" i="50" s="1"/>
  <c r="A84" i="50" s="1"/>
  <c r="A85" i="50" s="1"/>
  <c r="B74" i="50"/>
  <c r="D63" i="50"/>
  <c r="C63" i="50"/>
  <c r="G62" i="50"/>
  <c r="G61" i="50"/>
  <c r="G65" i="50" s="1"/>
  <c r="G131" i="50" s="1"/>
  <c r="G60" i="50"/>
  <c r="E49" i="50"/>
  <c r="C48" i="50"/>
  <c r="G39" i="50"/>
  <c r="C49" i="50" s="1"/>
  <c r="G32" i="50"/>
  <c r="E48" i="50" s="1"/>
  <c r="G25" i="50"/>
  <c r="G27" i="50" s="1"/>
  <c r="E47" i="50" s="1"/>
  <c r="G17" i="50"/>
  <c r="C47" i="50" s="1"/>
  <c r="A12" i="50"/>
  <c r="J11" i="50"/>
  <c r="J12" i="50" s="1"/>
  <c r="J13" i="50" s="1"/>
  <c r="J14" i="50" s="1"/>
  <c r="J15" i="50" s="1"/>
  <c r="J16" i="50" s="1"/>
  <c r="J17" i="50" s="1"/>
  <c r="J18" i="50" s="1"/>
  <c r="J19" i="50" s="1"/>
  <c r="J20" i="50" s="1"/>
  <c r="J21" i="50" s="1"/>
  <c r="J22" i="50" s="1"/>
  <c r="J23" i="50" s="1"/>
  <c r="J24" i="50" s="1"/>
  <c r="J25" i="50" s="1"/>
  <c r="J26" i="50" s="1"/>
  <c r="J27" i="50" s="1"/>
  <c r="J28" i="50" s="1"/>
  <c r="J29" i="50" s="1"/>
  <c r="J30" i="50" s="1"/>
  <c r="J31" i="50" s="1"/>
  <c r="J32" i="50" s="1"/>
  <c r="J33" i="50" s="1"/>
  <c r="J34" i="50" s="1"/>
  <c r="J35" i="50" s="1"/>
  <c r="J36" i="50" s="1"/>
  <c r="J37" i="50" s="1"/>
  <c r="J38" i="50" s="1"/>
  <c r="J39" i="50" s="1"/>
  <c r="J40" i="50" s="1"/>
  <c r="J41" i="50" s="1"/>
  <c r="J42" i="50" s="1"/>
  <c r="J43" i="50" s="1"/>
  <c r="J44" i="50" s="1"/>
  <c r="J45" i="50" s="1"/>
  <c r="J46" i="50" s="1"/>
  <c r="J47" i="50" s="1"/>
  <c r="J48" i="50" s="1"/>
  <c r="J49" i="50" s="1"/>
  <c r="J50" i="50" s="1"/>
  <c r="J51" i="50" s="1"/>
  <c r="J52" i="50" s="1"/>
  <c r="J53" i="50" s="1"/>
  <c r="J54" i="50" s="1"/>
  <c r="J55" i="50" s="1"/>
  <c r="J56" i="50" s="1"/>
  <c r="J57" i="50" s="1"/>
  <c r="J58" i="50" s="1"/>
  <c r="J59" i="50" s="1"/>
  <c r="J60" i="50" s="1"/>
  <c r="J61" i="50" s="1"/>
  <c r="J62" i="50" s="1"/>
  <c r="J63" i="50" s="1"/>
  <c r="J64" i="50" s="1"/>
  <c r="J65" i="50" s="1"/>
  <c r="E27" i="49"/>
  <c r="G19" i="49"/>
  <c r="G15" i="49"/>
  <c r="A12" i="49"/>
  <c r="A13" i="49" s="1"/>
  <c r="A14" i="49" s="1"/>
  <c r="A15" i="49" s="1"/>
  <c r="A16" i="49" s="1"/>
  <c r="A17" i="49" s="1"/>
  <c r="A18" i="49" s="1"/>
  <c r="A19" i="49" s="1"/>
  <c r="A20" i="49" s="1"/>
  <c r="A21" i="49" s="1"/>
  <c r="A22" i="49" s="1"/>
  <c r="A23" i="49" s="1"/>
  <c r="A24" i="49" s="1"/>
  <c r="A25" i="49" s="1"/>
  <c r="A26" i="49" s="1"/>
  <c r="A27" i="49" s="1"/>
  <c r="A28" i="49" s="1"/>
  <c r="A29" i="49" s="1"/>
  <c r="J11" i="49"/>
  <c r="J12" i="49" s="1"/>
  <c r="J13" i="49" s="1"/>
  <c r="J14" i="49" s="1"/>
  <c r="J15" i="49" s="1"/>
  <c r="J16" i="49" s="1"/>
  <c r="J17" i="49" s="1"/>
  <c r="J18" i="49" s="1"/>
  <c r="J19" i="49" s="1"/>
  <c r="J20" i="49" s="1"/>
  <c r="J21" i="49" s="1"/>
  <c r="J22" i="49" s="1"/>
  <c r="J23" i="49" s="1"/>
  <c r="J24" i="49" s="1"/>
  <c r="J25" i="49" s="1"/>
  <c r="J26" i="49" s="1"/>
  <c r="J27" i="49" s="1"/>
  <c r="J28" i="49" s="1"/>
  <c r="J29" i="49" s="1"/>
  <c r="B77" i="47"/>
  <c r="E64" i="47"/>
  <c r="E72" i="47" s="1"/>
  <c r="E62" i="47"/>
  <c r="E27" i="47"/>
  <c r="A12" i="47"/>
  <c r="A13" i="47" s="1"/>
  <c r="A14" i="47" s="1"/>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H11" i="47"/>
  <c r="H12" i="47" s="1"/>
  <c r="H13" i="47" s="1"/>
  <c r="H14" i="47" s="1"/>
  <c r="H15" i="47" s="1"/>
  <c r="H16" i="47" s="1"/>
  <c r="H17" i="47" s="1"/>
  <c r="H18" i="47" s="1"/>
  <c r="H19" i="47" s="1"/>
  <c r="H20" i="47" s="1"/>
  <c r="H21" i="47" s="1"/>
  <c r="H22" i="47" s="1"/>
  <c r="H23" i="47" s="1"/>
  <c r="H24" i="47" s="1"/>
  <c r="H25" i="47" s="1"/>
  <c r="H26" i="47" s="1"/>
  <c r="H27" i="47" s="1"/>
  <c r="H28" i="47" s="1"/>
  <c r="H29" i="47" s="1"/>
  <c r="H30" i="47" s="1"/>
  <c r="H31" i="47" s="1"/>
  <c r="H32" i="47" s="1"/>
  <c r="H33" i="47" s="1"/>
  <c r="H34" i="47" s="1"/>
  <c r="H35" i="47" s="1"/>
  <c r="H36" i="47" s="1"/>
  <c r="H37" i="47" s="1"/>
  <c r="H38" i="47" s="1"/>
  <c r="H39" i="47" s="1"/>
  <c r="H40" i="47" s="1"/>
  <c r="H41" i="47" s="1"/>
  <c r="H42" i="47" s="1"/>
  <c r="H43" i="47" s="1"/>
  <c r="H44" i="47" s="1"/>
  <c r="G30" i="46"/>
  <c r="F30" i="46"/>
  <c r="E30" i="46"/>
  <c r="G29" i="46"/>
  <c r="F29" i="46"/>
  <c r="E29" i="46"/>
  <c r="H29" i="46" s="1"/>
  <c r="G28" i="46"/>
  <c r="F28" i="46"/>
  <c r="E28" i="46"/>
  <c r="G27" i="46"/>
  <c r="F27" i="46"/>
  <c r="E27" i="46"/>
  <c r="G26" i="46"/>
  <c r="F26" i="46"/>
  <c r="E26" i="46"/>
  <c r="G25" i="46"/>
  <c r="F25" i="46"/>
  <c r="E25" i="46"/>
  <c r="H25" i="46" s="1"/>
  <c r="G24" i="46"/>
  <c r="F24" i="46"/>
  <c r="E24" i="46"/>
  <c r="G23" i="46"/>
  <c r="F23" i="46"/>
  <c r="E23" i="46"/>
  <c r="G22" i="46"/>
  <c r="F22" i="46"/>
  <c r="E22" i="46"/>
  <c r="G21" i="46"/>
  <c r="F21" i="46"/>
  <c r="E21" i="46"/>
  <c r="G20" i="46"/>
  <c r="F20" i="46"/>
  <c r="E20" i="46"/>
  <c r="H19" i="46"/>
  <c r="C19" i="46"/>
  <c r="C30" i="46" s="1"/>
  <c r="N12" i="46"/>
  <c r="M12" i="46"/>
  <c r="K12" i="46"/>
  <c r="I12" i="46"/>
  <c r="H12" i="46"/>
  <c r="P11" i="46"/>
  <c r="P12" i="46" s="1"/>
  <c r="P13" i="46" s="1"/>
  <c r="P14" i="46" s="1"/>
  <c r="P15" i="46" s="1"/>
  <c r="P16" i="46" s="1"/>
  <c r="P17" i="46" s="1"/>
  <c r="P18" i="46" s="1"/>
  <c r="P19" i="46" s="1"/>
  <c r="P20" i="46" s="1"/>
  <c r="P21" i="46" s="1"/>
  <c r="P22" i="46" s="1"/>
  <c r="P23" i="46" s="1"/>
  <c r="P24" i="46" s="1"/>
  <c r="P25" i="46" s="1"/>
  <c r="P26" i="46" s="1"/>
  <c r="P27" i="46" s="1"/>
  <c r="P28" i="46" s="1"/>
  <c r="P29" i="46" s="1"/>
  <c r="P30" i="46" s="1"/>
  <c r="P31" i="46" s="1"/>
  <c r="A11" i="46"/>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F12" i="46" s="1"/>
  <c r="E90" i="45"/>
  <c r="E70" i="45"/>
  <c r="E18" i="45" s="1"/>
  <c r="E65" i="45"/>
  <c r="E16" i="45" s="1"/>
  <c r="E55" i="45"/>
  <c r="E12" i="45" s="1"/>
  <c r="A51" i="45"/>
  <c r="A52" i="45" s="1"/>
  <c r="A53" i="45" s="1"/>
  <c r="A54" i="45" s="1"/>
  <c r="A55" i="45" s="1"/>
  <c r="H50" i="45"/>
  <c r="H51" i="45" s="1"/>
  <c r="H52" i="45" s="1"/>
  <c r="H53" i="45" s="1"/>
  <c r="H54" i="45" s="1"/>
  <c r="H55" i="45" s="1"/>
  <c r="H56" i="45" s="1"/>
  <c r="H57" i="45" s="1"/>
  <c r="H58" i="45" s="1"/>
  <c r="H59" i="45" s="1"/>
  <c r="H60" i="45" s="1"/>
  <c r="H61" i="45" s="1"/>
  <c r="H62" i="45" s="1"/>
  <c r="H63" i="45" s="1"/>
  <c r="H64" i="45" s="1"/>
  <c r="H65" i="45" s="1"/>
  <c r="H66" i="45" s="1"/>
  <c r="H67" i="45" s="1"/>
  <c r="H68" i="45" s="1"/>
  <c r="H69" i="45" s="1"/>
  <c r="H70" i="45" s="1"/>
  <c r="H71" i="45" s="1"/>
  <c r="H72" i="45" s="1"/>
  <c r="H73" i="45" s="1"/>
  <c r="H74" i="45" s="1"/>
  <c r="H75" i="45" s="1"/>
  <c r="H76" i="45" s="1"/>
  <c r="H77" i="45" s="1"/>
  <c r="H78" i="45" s="1"/>
  <c r="H79" i="45" s="1"/>
  <c r="H80" i="45" s="1"/>
  <c r="H81" i="45" s="1"/>
  <c r="H82" i="45" s="1"/>
  <c r="H83" i="45" s="1"/>
  <c r="H84" i="45" s="1"/>
  <c r="H85" i="45" s="1"/>
  <c r="H86" i="45" s="1"/>
  <c r="H87" i="45" s="1"/>
  <c r="H88" i="45" s="1"/>
  <c r="H89" i="45" s="1"/>
  <c r="H90" i="45" s="1"/>
  <c r="H91" i="45" s="1"/>
  <c r="H92" i="45" s="1"/>
  <c r="H93" i="45" s="1"/>
  <c r="H94" i="45" s="1"/>
  <c r="H95" i="45" s="1"/>
  <c r="H96" i="45" s="1"/>
  <c r="H97" i="45" s="1"/>
  <c r="H98" i="45" s="1"/>
  <c r="H99" i="45" s="1"/>
  <c r="H100" i="45" s="1"/>
  <c r="B45" i="45"/>
  <c r="B44" i="45"/>
  <c r="B43" i="45"/>
  <c r="B42" i="45"/>
  <c r="B41" i="45"/>
  <c r="B38" i="45"/>
  <c r="A12" i="45"/>
  <c r="A13" i="45" s="1"/>
  <c r="A14" i="45" s="1"/>
  <c r="A15" i="45" s="1"/>
  <c r="A16" i="45" s="1"/>
  <c r="A17" i="45" s="1"/>
  <c r="A18" i="45" s="1"/>
  <c r="A19" i="45" s="1"/>
  <c r="A20" i="45" s="1"/>
  <c r="A21" i="45" s="1"/>
  <c r="A22" i="45" s="1"/>
  <c r="H11" i="45"/>
  <c r="H12" i="45" s="1"/>
  <c r="H13" i="45" s="1"/>
  <c r="H14" i="45" s="1"/>
  <c r="H15" i="45" s="1"/>
  <c r="H16" i="45" s="1"/>
  <c r="H17" i="45" s="1"/>
  <c r="H18" i="45" s="1"/>
  <c r="H19" i="45" s="1"/>
  <c r="H20" i="45" s="1"/>
  <c r="H21" i="45" s="1"/>
  <c r="H22" i="45" s="1"/>
  <c r="H23" i="45" s="1"/>
  <c r="H24" i="45" s="1"/>
  <c r="H25" i="45" s="1"/>
  <c r="H26" i="45" s="1"/>
  <c r="H27" i="45" s="1"/>
  <c r="H28" i="45" s="1"/>
  <c r="H29" i="45" s="1"/>
  <c r="H30" i="45" s="1"/>
  <c r="H31" i="45" s="1"/>
  <c r="H32" i="45" s="1"/>
  <c r="H33" i="45" s="1"/>
  <c r="H34" i="45" s="1"/>
  <c r="H35" i="45" s="1"/>
  <c r="B52" i="44"/>
  <c r="C46" i="44"/>
  <c r="B46" i="44"/>
  <c r="C44" i="44"/>
  <c r="B44" i="44"/>
  <c r="B42" i="44"/>
  <c r="C38" i="44"/>
  <c r="B38" i="44"/>
  <c r="B36" i="44"/>
  <c r="E34" i="44"/>
  <c r="C34" i="44"/>
  <c r="B34" i="44"/>
  <c r="E32" i="44"/>
  <c r="C32" i="44"/>
  <c r="F13" i="44"/>
  <c r="F14" i="44" s="1"/>
  <c r="F15" i="44" s="1"/>
  <c r="F16" i="44" s="1"/>
  <c r="F17" i="44" s="1"/>
  <c r="F18" i="44" s="1"/>
  <c r="F19" i="44" s="1"/>
  <c r="F20" i="44" s="1"/>
  <c r="F21" i="44" s="1"/>
  <c r="F22" i="44" s="1"/>
  <c r="F23" i="44" s="1"/>
  <c r="F24" i="44" s="1"/>
  <c r="F25" i="44" s="1"/>
  <c r="F26" i="44" s="1"/>
  <c r="F27" i="44" s="1"/>
  <c r="F28" i="44" s="1"/>
  <c r="F33" i="44" s="1"/>
  <c r="F34" i="44" s="1"/>
  <c r="F35" i="44" s="1"/>
  <c r="F36" i="44" s="1"/>
  <c r="F37" i="44" s="1"/>
  <c r="F38" i="44" s="1"/>
  <c r="F39" i="44" s="1"/>
  <c r="F40" i="44" s="1"/>
  <c r="F41" i="44" s="1"/>
  <c r="F42" i="44" s="1"/>
  <c r="F43" i="44" s="1"/>
  <c r="F44" i="44" s="1"/>
  <c r="F45" i="44" s="1"/>
  <c r="F46" i="44" s="1"/>
  <c r="F47" i="44" s="1"/>
  <c r="F48" i="44" s="1"/>
  <c r="F49" i="44" s="1"/>
  <c r="F50" i="44" s="1"/>
  <c r="F51" i="44" s="1"/>
  <c r="F52" i="44" s="1"/>
  <c r="F53" i="44" s="1"/>
  <c r="F12" i="44"/>
  <c r="A12" i="44"/>
  <c r="A13" i="44" s="1"/>
  <c r="F11" i="44"/>
  <c r="H45" i="47" l="1"/>
  <c r="H46" i="47" s="1"/>
  <c r="H47" i="47" s="1"/>
  <c r="H48" i="47" s="1"/>
  <c r="H53" i="47" s="1"/>
  <c r="H54" i="47" s="1"/>
  <c r="H55" i="47" s="1"/>
  <c r="H56" i="47" s="1"/>
  <c r="H57" i="47" s="1"/>
  <c r="H58" i="47" s="1"/>
  <c r="H59" i="47" s="1"/>
  <c r="H60" i="47" s="1"/>
  <c r="H61" i="47" s="1"/>
  <c r="H62" i="47" s="1"/>
  <c r="H63" i="47" s="1"/>
  <c r="H64" i="47" s="1"/>
  <c r="H65" i="47" s="1"/>
  <c r="H66" i="47" s="1"/>
  <c r="H67" i="47" s="1"/>
  <c r="H68" i="47" s="1"/>
  <c r="H69" i="47" s="1"/>
  <c r="H70" i="47" s="1"/>
  <c r="H71" i="47" s="1"/>
  <c r="H72" i="47" s="1"/>
  <c r="H73" i="47" s="1"/>
  <c r="H74" i="47" s="1"/>
  <c r="E31" i="46"/>
  <c r="F31" i="46"/>
  <c r="H23" i="46"/>
  <c r="G31" i="46"/>
  <c r="H21" i="46"/>
  <c r="H27" i="46"/>
  <c r="C21" i="46"/>
  <c r="C23" i="46"/>
  <c r="C25" i="46"/>
  <c r="C27" i="46"/>
  <c r="C29" i="46"/>
  <c r="C20" i="46"/>
  <c r="C22" i="46"/>
  <c r="C24" i="46"/>
  <c r="C26" i="46"/>
  <c r="C28" i="46"/>
  <c r="H22" i="46"/>
  <c r="H24" i="46"/>
  <c r="H26" i="46"/>
  <c r="H28" i="46"/>
  <c r="H30" i="46"/>
  <c r="C16" i="51"/>
  <c r="G63" i="50"/>
  <c r="G154" i="50" s="1"/>
  <c r="A53" i="47"/>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74" i="47" s="1"/>
  <c r="C82" i="51"/>
  <c r="G137" i="50"/>
  <c r="G146" i="50" s="1"/>
  <c r="G143" i="50"/>
  <c r="I17" i="50"/>
  <c r="C50" i="50"/>
  <c r="D47" i="50"/>
  <c r="D49" i="50"/>
  <c r="G49" i="50" s="1"/>
  <c r="A132" i="50"/>
  <c r="A133" i="50" s="1"/>
  <c r="I143" i="50"/>
  <c r="D48" i="50"/>
  <c r="G48" i="50" s="1"/>
  <c r="G52" i="50" s="1"/>
  <c r="G85" i="50" s="1"/>
  <c r="I97" i="50"/>
  <c r="A86" i="50"/>
  <c r="A87" i="50" s="1"/>
  <c r="A13" i="50"/>
  <c r="A14" i="50" s="1"/>
  <c r="A15" i="50" s="1"/>
  <c r="A16" i="50" s="1"/>
  <c r="A17" i="50" s="1"/>
  <c r="A18" i="50" s="1"/>
  <c r="A19" i="50" s="1"/>
  <c r="A20" i="50" s="1"/>
  <c r="E74" i="47"/>
  <c r="E54" i="47" s="1"/>
  <c r="H20" i="46"/>
  <c r="H31" i="46" s="1"/>
  <c r="G12" i="45"/>
  <c r="A56" i="45"/>
  <c r="A57" i="45" s="1"/>
  <c r="A58" i="45" s="1"/>
  <c r="A59" i="45" s="1"/>
  <c r="A60" i="45" s="1"/>
  <c r="A23" i="45"/>
  <c r="A24" i="45" s="1"/>
  <c r="G24" i="45"/>
  <c r="E36" i="44"/>
  <c r="A14" i="44"/>
  <c r="A15" i="44" s="1"/>
  <c r="I144" i="50" l="1"/>
  <c r="A134" i="50"/>
  <c r="I98" i="50"/>
  <c r="A88" i="50"/>
  <c r="G97" i="50"/>
  <c r="D50" i="50"/>
  <c r="G47" i="50"/>
  <c r="G50" i="50" s="1"/>
  <c r="G108" i="50" s="1"/>
  <c r="A21" i="50"/>
  <c r="A22" i="50" s="1"/>
  <c r="A23" i="50" s="1"/>
  <c r="A24" i="50" s="1"/>
  <c r="A25" i="50" s="1"/>
  <c r="G149" i="50"/>
  <c r="G152" i="50" s="1"/>
  <c r="G156" i="50" s="1"/>
  <c r="A61" i="45"/>
  <c r="A62" i="45" s="1"/>
  <c r="A63" i="45" s="1"/>
  <c r="A64" i="45" s="1"/>
  <c r="A65" i="45" s="1"/>
  <c r="G14" i="45"/>
  <c r="G26" i="45"/>
  <c r="A25" i="45"/>
  <c r="A26" i="45" s="1"/>
  <c r="A27" i="45" s="1"/>
  <c r="A28" i="45" s="1"/>
  <c r="A16" i="44"/>
  <c r="A17" i="44" s="1"/>
  <c r="A18" i="44" s="1"/>
  <c r="A19" i="44" s="1"/>
  <c r="E38" i="44"/>
  <c r="A26" i="50" l="1"/>
  <c r="A27" i="50" s="1"/>
  <c r="I27" i="50"/>
  <c r="I145" i="50"/>
  <c r="A135" i="50"/>
  <c r="A136" i="50" s="1"/>
  <c r="A137" i="50" s="1"/>
  <c r="I25" i="50"/>
  <c r="I99" i="50"/>
  <c r="A89" i="50"/>
  <c r="G28" i="45"/>
  <c r="A29" i="45"/>
  <c r="A30" i="45" s="1"/>
  <c r="A31" i="45" s="1"/>
  <c r="G33" i="45"/>
  <c r="G16" i="45"/>
  <c r="A66" i="45"/>
  <c r="A67" i="45" s="1"/>
  <c r="A68" i="45" s="1"/>
  <c r="A69" i="45" s="1"/>
  <c r="A70" i="45" s="1"/>
  <c r="A20" i="44"/>
  <c r="A21" i="44" s="1"/>
  <c r="E42" i="44"/>
  <c r="I135" i="50" l="1"/>
  <c r="A90" i="50"/>
  <c r="A91" i="50" s="1"/>
  <c r="I146" i="50"/>
  <c r="A138" i="50"/>
  <c r="A139" i="50" s="1"/>
  <c r="A140" i="50" s="1"/>
  <c r="A141" i="50" s="1"/>
  <c r="A142" i="50" s="1"/>
  <c r="A143" i="50" s="1"/>
  <c r="A144" i="50" s="1"/>
  <c r="A145" i="50" s="1"/>
  <c r="A146" i="50" s="1"/>
  <c r="A147" i="50" s="1"/>
  <c r="A148" i="50" s="1"/>
  <c r="A149" i="50" s="1"/>
  <c r="A150" i="50" s="1"/>
  <c r="A151" i="50" s="1"/>
  <c r="A152" i="50" s="1"/>
  <c r="I47" i="50"/>
  <c r="A28" i="50"/>
  <c r="A29" i="50" s="1"/>
  <c r="A30" i="50" s="1"/>
  <c r="A32" i="45"/>
  <c r="A33" i="45" s="1"/>
  <c r="A34" i="45" s="1"/>
  <c r="A35" i="45" s="1"/>
  <c r="G18" i="45"/>
  <c r="A71" i="45"/>
  <c r="A72" i="45" s="1"/>
  <c r="A73" i="45" s="1"/>
  <c r="A74" i="45" s="1"/>
  <c r="A75" i="45" s="1"/>
  <c r="A76" i="45" s="1"/>
  <c r="A77" i="45" s="1"/>
  <c r="A78" i="45" s="1"/>
  <c r="A79" i="45" s="1"/>
  <c r="A80" i="45" s="1"/>
  <c r="A81" i="45" s="1"/>
  <c r="A82" i="45" s="1"/>
  <c r="A83" i="45" s="1"/>
  <c r="E44" i="44"/>
  <c r="A22" i="44"/>
  <c r="A23" i="44" s="1"/>
  <c r="A24" i="44" s="1"/>
  <c r="A25" i="44" s="1"/>
  <c r="A31" i="50" l="1"/>
  <c r="I36" i="50"/>
  <c r="I156" i="50"/>
  <c r="A153" i="50"/>
  <c r="A154" i="50" s="1"/>
  <c r="A155" i="50" s="1"/>
  <c r="A156" i="50" s="1"/>
  <c r="I152" i="50"/>
  <c r="I100" i="50"/>
  <c r="A92" i="50"/>
  <c r="A93" i="50" s="1"/>
  <c r="A94" i="50" s="1"/>
  <c r="A95" i="50" s="1"/>
  <c r="A96" i="50" s="1"/>
  <c r="A97" i="50" s="1"/>
  <c r="A98" i="50" s="1"/>
  <c r="A99" i="50" s="1"/>
  <c r="A100" i="50" s="1"/>
  <c r="A101" i="50" s="1"/>
  <c r="G35" i="45"/>
  <c r="A84" i="45"/>
  <c r="A85" i="45" s="1"/>
  <c r="A86" i="45" s="1"/>
  <c r="A87" i="45" s="1"/>
  <c r="A88" i="45" s="1"/>
  <c r="A89" i="45" s="1"/>
  <c r="A90" i="45" s="1"/>
  <c r="A91" i="45" s="1"/>
  <c r="A92" i="45" s="1"/>
  <c r="A93" i="45" s="1"/>
  <c r="A94" i="45" s="1"/>
  <c r="A95" i="45" s="1"/>
  <c r="A96" i="45" s="1"/>
  <c r="A97" i="45" s="1"/>
  <c r="A98" i="45" s="1"/>
  <c r="A99" i="45" s="1"/>
  <c r="A100" i="45" s="1"/>
  <c r="G22" i="45" s="1"/>
  <c r="G20" i="45"/>
  <c r="A26" i="44"/>
  <c r="A27" i="44" s="1"/>
  <c r="A28" i="44" s="1"/>
  <c r="A33" i="44" s="1"/>
  <c r="A34" i="44" s="1"/>
  <c r="E46" i="44"/>
  <c r="A102" i="50" l="1"/>
  <c r="A103" i="50" s="1"/>
  <c r="I147" i="50"/>
  <c r="I32" i="50"/>
  <c r="A32" i="50"/>
  <c r="A35" i="44"/>
  <c r="A36" i="44" s="1"/>
  <c r="A37" i="44" s="1"/>
  <c r="A38" i="44" s="1"/>
  <c r="A39" i="44" s="1"/>
  <c r="A40" i="44" s="1"/>
  <c r="F31" i="42"/>
  <c r="E31" i="42"/>
  <c r="F29" i="42"/>
  <c r="E29" i="42"/>
  <c r="F27" i="42"/>
  <c r="E27" i="42"/>
  <c r="F25" i="42"/>
  <c r="E25" i="42"/>
  <c r="F23" i="42"/>
  <c r="E23" i="42"/>
  <c r="F21" i="42"/>
  <c r="E21" i="42"/>
  <c r="H20" i="42"/>
  <c r="F30" i="42"/>
  <c r="E30" i="42"/>
  <c r="N13" i="42"/>
  <c r="L13" i="42"/>
  <c r="K13" i="42"/>
  <c r="I13" i="42"/>
  <c r="H13" i="42"/>
  <c r="P12" i="42"/>
  <c r="P13" i="42" s="1"/>
  <c r="P14" i="42" s="1"/>
  <c r="P15" i="42" s="1"/>
  <c r="P16" i="42" s="1"/>
  <c r="P17" i="42" s="1"/>
  <c r="P18" i="42" s="1"/>
  <c r="P19" i="42" s="1"/>
  <c r="P20" i="42" s="1"/>
  <c r="P21" i="42" s="1"/>
  <c r="P22" i="42" s="1"/>
  <c r="P23" i="42" s="1"/>
  <c r="P24" i="42" s="1"/>
  <c r="P25" i="42" s="1"/>
  <c r="P26" i="42" s="1"/>
  <c r="P27" i="42" s="1"/>
  <c r="P28" i="42" s="1"/>
  <c r="P29" i="42" s="1"/>
  <c r="P30" i="42" s="1"/>
  <c r="P31" i="42" s="1"/>
  <c r="P32" i="42" s="1"/>
  <c r="A12" i="42"/>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F13" i="42" s="1"/>
  <c r="C20" i="42"/>
  <c r="I48" i="50" l="1"/>
  <c r="A33" i="50"/>
  <c r="A34" i="50" s="1"/>
  <c r="A35" i="50" s="1"/>
  <c r="A104" i="50"/>
  <c r="A105" i="50" s="1"/>
  <c r="A106" i="50" s="1"/>
  <c r="I106" i="50"/>
  <c r="E47" i="47"/>
  <c r="E53" i="47" s="1"/>
  <c r="E55" i="47" s="1"/>
  <c r="A41" i="44"/>
  <c r="A42" i="44" s="1"/>
  <c r="A43" i="44" s="1"/>
  <c r="A44" i="44" s="1"/>
  <c r="A45" i="44" s="1"/>
  <c r="A46" i="44" s="1"/>
  <c r="A47" i="44" s="1"/>
  <c r="A48" i="44" s="1"/>
  <c r="E40" i="44"/>
  <c r="C25" i="42"/>
  <c r="C31" i="42"/>
  <c r="C22" i="42"/>
  <c r="C27" i="42"/>
  <c r="C23" i="42"/>
  <c r="C30" i="42"/>
  <c r="C28" i="42"/>
  <c r="C26" i="42"/>
  <c r="C24" i="42"/>
  <c r="C29" i="42"/>
  <c r="C21" i="42"/>
  <c r="G24" i="42"/>
  <c r="G26" i="42"/>
  <c r="G21" i="42"/>
  <c r="H21" i="42" s="1"/>
  <c r="G27" i="42"/>
  <c r="H27" i="42" s="1"/>
  <c r="G29" i="42"/>
  <c r="H29" i="42" s="1"/>
  <c r="G31" i="42"/>
  <c r="H31" i="42" s="1"/>
  <c r="G28" i="42"/>
  <c r="G30" i="42"/>
  <c r="H30" i="42" s="1"/>
  <c r="G23" i="42"/>
  <c r="H23" i="42" s="1"/>
  <c r="G25" i="42"/>
  <c r="H25" i="42" s="1"/>
  <c r="E22" i="42"/>
  <c r="E24" i="42"/>
  <c r="E26" i="42"/>
  <c r="E28" i="42"/>
  <c r="F22" i="42"/>
  <c r="F24" i="42"/>
  <c r="F26" i="42"/>
  <c r="F28" i="42"/>
  <c r="G22" i="42"/>
  <c r="E23" i="49" l="1"/>
  <c r="E25" i="49" s="1"/>
  <c r="E29" i="49" s="1"/>
  <c r="E58" i="45"/>
  <c r="A107" i="50"/>
  <c r="A108" i="50" s="1"/>
  <c r="A109" i="50" s="1"/>
  <c r="A110" i="50" s="1"/>
  <c r="A36" i="50"/>
  <c r="A37" i="50" s="1"/>
  <c r="A38" i="50" s="1"/>
  <c r="A39" i="50" s="1"/>
  <c r="A40" i="50" s="1"/>
  <c r="A41" i="50" s="1"/>
  <c r="A42" i="50" s="1"/>
  <c r="A49" i="44"/>
  <c r="A50" i="44" s="1"/>
  <c r="A51" i="44" s="1"/>
  <c r="A52" i="44" s="1"/>
  <c r="A53" i="44" s="1"/>
  <c r="E48" i="44"/>
  <c r="H24" i="42"/>
  <c r="G32" i="42"/>
  <c r="F32" i="42"/>
  <c r="H28" i="42"/>
  <c r="E32" i="42"/>
  <c r="H26" i="42"/>
  <c r="H22" i="42"/>
  <c r="C31" i="51" l="1"/>
  <c r="E76" i="45"/>
  <c r="I110" i="50"/>
  <c r="I39" i="50"/>
  <c r="A43" i="50"/>
  <c r="A44" i="50" s="1"/>
  <c r="A45" i="50" s="1"/>
  <c r="A46" i="50" s="1"/>
  <c r="A47" i="50" s="1"/>
  <c r="I49" i="50"/>
  <c r="E52" i="44"/>
  <c r="H32" i="42"/>
  <c r="A48" i="50" l="1"/>
  <c r="A49" i="50" l="1"/>
  <c r="A50" i="50" l="1"/>
  <c r="I50" i="50"/>
  <c r="I52" i="50"/>
  <c r="I108" i="50" l="1"/>
  <c r="A51" i="50"/>
  <c r="A52" i="50" s="1"/>
  <c r="I85" i="50" l="1"/>
  <c r="A53" i="50"/>
  <c r="A54" i="50" s="1"/>
  <c r="A55" i="50" s="1"/>
  <c r="A56" i="50" s="1"/>
  <c r="A57" i="50" s="1"/>
  <c r="A58" i="50" s="1"/>
  <c r="A59" i="50" s="1"/>
  <c r="A60" i="50" s="1"/>
  <c r="A61" i="50" l="1"/>
  <c r="A62" i="50" l="1"/>
  <c r="I65" i="50"/>
  <c r="A63" i="50" l="1"/>
  <c r="I63" i="50"/>
  <c r="A64" i="50" l="1"/>
  <c r="A65" i="50" s="1"/>
  <c r="I131" i="50" s="1"/>
  <c r="I154" i="50"/>
  <c r="C19" i="22" l="1"/>
  <c r="C20" i="22" s="1"/>
  <c r="C21" i="22" s="1"/>
  <c r="C22" i="22" s="1"/>
  <c r="C23" i="22" s="1"/>
  <c r="C24" i="22" s="1"/>
  <c r="C25" i="22" s="1"/>
  <c r="C26" i="22" s="1"/>
  <c r="C27" i="22" s="1"/>
  <c r="C28" i="22" s="1"/>
  <c r="C29" i="22" s="1"/>
  <c r="C30" i="22" s="1"/>
  <c r="C31" i="22" s="1"/>
  <c r="C32" i="22" s="1"/>
  <c r="C33" i="22" s="1"/>
  <c r="C34" i="22" s="1"/>
  <c r="C35" i="22" s="1"/>
  <c r="C36" i="22" s="1"/>
  <c r="C37" i="22" s="1"/>
  <c r="C38" i="22" s="1"/>
  <c r="C39" i="22" s="1"/>
  <c r="C40" i="22" s="1"/>
  <c r="C41" i="22" s="1"/>
  <c r="I11" i="22"/>
  <c r="I12" i="22" s="1"/>
  <c r="I13" i="22" s="1"/>
  <c r="I14" i="22" s="1"/>
  <c r="I15" i="22" s="1"/>
  <c r="I16" i="22" s="1"/>
  <c r="I17" i="22" s="1"/>
  <c r="A11" i="22"/>
  <c r="A12" i="22" s="1"/>
  <c r="A13" i="22" s="1"/>
  <c r="A14" i="22" s="1"/>
  <c r="A15" i="22" s="1"/>
  <c r="A16" i="22" s="1"/>
  <c r="A17" i="22" s="1"/>
  <c r="G12" i="1"/>
  <c r="G13" i="1" s="1"/>
  <c r="A12" i="1"/>
  <c r="A13" i="1" s="1"/>
  <c r="A18" i="22" l="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I18" i="22"/>
  <c r="I19" i="22" s="1"/>
  <c r="I20" i="22" s="1"/>
  <c r="I21" i="22" s="1"/>
  <c r="I22" i="22" s="1"/>
  <c r="I23" i="22" s="1"/>
  <c r="I24" i="22" s="1"/>
  <c r="I25" i="22" s="1"/>
  <c r="I26" i="22" s="1"/>
  <c r="I27" i="22" s="1"/>
  <c r="I28" i="22" s="1"/>
  <c r="I29" i="22" s="1"/>
  <c r="I30" i="22" s="1"/>
  <c r="I31" i="22" s="1"/>
  <c r="I32" i="22" s="1"/>
  <c r="I33" i="22" s="1"/>
  <c r="I34" i="22" s="1"/>
  <c r="I35" i="22" s="1"/>
  <c r="I36" i="22" s="1"/>
  <c r="I37" i="22" s="1"/>
  <c r="I38" i="22" s="1"/>
  <c r="I39" i="22" s="1"/>
  <c r="I40" i="22" s="1"/>
  <c r="I41" i="22" s="1"/>
  <c r="I42" i="22" s="1"/>
  <c r="I43" i="22" s="1"/>
  <c r="I44" i="22" s="1"/>
  <c r="I45" i="22" s="1"/>
  <c r="I46" i="22" s="1"/>
  <c r="I47" i="22" s="1"/>
  <c r="I48" i="22" s="1"/>
  <c r="I49" i="22" s="1"/>
  <c r="I50" i="22" s="1"/>
  <c r="I51" i="22" s="1"/>
  <c r="I52" i="22" s="1"/>
  <c r="I53" i="22" s="1"/>
  <c r="I54" i="22" s="1"/>
  <c r="I55" i="22" s="1"/>
  <c r="I56" i="22" s="1"/>
  <c r="I57" i="22" s="1"/>
  <c r="I58" i="22" s="1"/>
  <c r="I59" i="22" s="1"/>
  <c r="I60" i="22" s="1"/>
  <c r="I61" i="22" s="1"/>
  <c r="I62" i="22" s="1"/>
  <c r="I63" i="22" s="1"/>
  <c r="I64" i="22" s="1"/>
  <c r="I65" i="22" s="1"/>
  <c r="G149" i="11"/>
  <c r="B149" i="11"/>
  <c r="B148" i="11"/>
  <c r="G147" i="11"/>
  <c r="G146" i="11"/>
  <c r="B146" i="11"/>
  <c r="B145" i="11"/>
  <c r="G137" i="11"/>
  <c r="B137" i="11"/>
  <c r="B134" i="11"/>
  <c r="B133" i="11"/>
  <c r="J129" i="11"/>
  <c r="J130" i="11" s="1"/>
  <c r="J131" i="11" s="1"/>
  <c r="J132" i="11" s="1"/>
  <c r="J133" i="11" s="1"/>
  <c r="J134" i="11" s="1"/>
  <c r="J135" i="11" s="1"/>
  <c r="J136" i="11" s="1"/>
  <c r="J137" i="11" s="1"/>
  <c r="J138" i="11" s="1"/>
  <c r="J139" i="11" s="1"/>
  <c r="J140" i="11" s="1"/>
  <c r="J141" i="11" s="1"/>
  <c r="J142" i="11" s="1"/>
  <c r="J143" i="11" s="1"/>
  <c r="J144" i="11" s="1"/>
  <c r="J145" i="11" s="1"/>
  <c r="J146" i="11" s="1"/>
  <c r="J147" i="11" s="1"/>
  <c r="J148" i="11" s="1"/>
  <c r="J149" i="11" s="1"/>
  <c r="J150" i="11" s="1"/>
  <c r="J151" i="11" s="1"/>
  <c r="J152" i="11" s="1"/>
  <c r="J153" i="11" s="1"/>
  <c r="J154" i="11" s="1"/>
  <c r="J155" i="11" s="1"/>
  <c r="J156" i="11" s="1"/>
  <c r="J157" i="11" s="1"/>
  <c r="J158" i="11" s="1"/>
  <c r="A129" i="11"/>
  <c r="A130" i="11" s="1"/>
  <c r="A131" i="11" s="1"/>
  <c r="A132" i="11" s="1"/>
  <c r="A133" i="11" s="1"/>
  <c r="G99" i="11"/>
  <c r="J82" i="11"/>
  <c r="J83" i="11" s="1"/>
  <c r="J84" i="11" s="1"/>
  <c r="J85" i="11" s="1"/>
  <c r="J86" i="11" s="1"/>
  <c r="J87" i="11" s="1"/>
  <c r="J88" i="11" s="1"/>
  <c r="J89" i="11" s="1"/>
  <c r="J90" i="11" s="1"/>
  <c r="J91" i="11" s="1"/>
  <c r="J92" i="11" s="1"/>
  <c r="J93" i="11" s="1"/>
  <c r="J94" i="11" s="1"/>
  <c r="J95" i="11" s="1"/>
  <c r="J96" i="11" s="1"/>
  <c r="J97" i="11" s="1"/>
  <c r="J98" i="11" s="1"/>
  <c r="J99" i="11" s="1"/>
  <c r="J100" i="11" s="1"/>
  <c r="J101" i="11" s="1"/>
  <c r="J102" i="11" s="1"/>
  <c r="J103" i="11" s="1"/>
  <c r="J104" i="11" s="1"/>
  <c r="J105" i="11" s="1"/>
  <c r="J106" i="11" s="1"/>
  <c r="J107" i="11" s="1"/>
  <c r="J108" i="11" s="1"/>
  <c r="J109" i="11" s="1"/>
  <c r="J110" i="11" s="1"/>
  <c r="J111" i="11" s="1"/>
  <c r="A82" i="11"/>
  <c r="A83" i="11" s="1"/>
  <c r="A84" i="11" s="1"/>
  <c r="A85" i="11" s="1"/>
  <c r="A86" i="11" s="1"/>
  <c r="D64" i="11"/>
  <c r="C64" i="11"/>
  <c r="G63" i="11"/>
  <c r="G62" i="11"/>
  <c r="G61" i="11"/>
  <c r="E50" i="11"/>
  <c r="C49" i="11"/>
  <c r="G40" i="11"/>
  <c r="C50" i="11" s="1"/>
  <c r="G33" i="11"/>
  <c r="E49" i="11" s="1"/>
  <c r="G26" i="11"/>
  <c r="G18" i="11"/>
  <c r="C48" i="11" s="1"/>
  <c r="A13" i="11"/>
  <c r="A14" i="11" s="1"/>
  <c r="A15" i="11" s="1"/>
  <c r="A16" i="11" s="1"/>
  <c r="A17" i="11" s="1"/>
  <c r="A18" i="11" s="1"/>
  <c r="A19" i="11" s="1"/>
  <c r="A20" i="11" s="1"/>
  <c r="A21" i="11" s="1"/>
  <c r="J12" i="11"/>
  <c r="J13" i="11" s="1"/>
  <c r="J14" i="11" s="1"/>
  <c r="J15" i="11" s="1"/>
  <c r="J16" i="11" s="1"/>
  <c r="J17" i="11" s="1"/>
  <c r="J18" i="11" s="1"/>
  <c r="J19" i="11" s="1"/>
  <c r="J20" i="11" s="1"/>
  <c r="J21" i="11" s="1"/>
  <c r="J22" i="11" s="1"/>
  <c r="J23" i="11" s="1"/>
  <c r="J24" i="11" s="1"/>
  <c r="J25" i="11" s="1"/>
  <c r="J26" i="11" s="1"/>
  <c r="J27" i="11" s="1"/>
  <c r="J28" i="11" s="1"/>
  <c r="J29" i="11" s="1"/>
  <c r="J30" i="11" s="1"/>
  <c r="J31" i="11" s="1"/>
  <c r="J32" i="11" s="1"/>
  <c r="J33" i="11" s="1"/>
  <c r="J34" i="11" s="1"/>
  <c r="J35" i="11" s="1"/>
  <c r="J36" i="11" s="1"/>
  <c r="J37" i="11" s="1"/>
  <c r="J38" i="11" s="1"/>
  <c r="J39" i="11" s="1"/>
  <c r="J40" i="11" s="1"/>
  <c r="J41" i="11" s="1"/>
  <c r="J42" i="11" s="1"/>
  <c r="J43" i="11" s="1"/>
  <c r="J44" i="11" s="1"/>
  <c r="J45" i="11" s="1"/>
  <c r="J46" i="11" s="1"/>
  <c r="J47" i="11" s="1"/>
  <c r="J48" i="11" s="1"/>
  <c r="J49" i="11" s="1"/>
  <c r="J50" i="11" s="1"/>
  <c r="J51" i="11" s="1"/>
  <c r="J52" i="11" s="1"/>
  <c r="J53" i="11" s="1"/>
  <c r="J54" i="11" s="1"/>
  <c r="J55" i="11" s="1"/>
  <c r="J56" i="11" s="1"/>
  <c r="J57" i="11" s="1"/>
  <c r="J58" i="11" s="1"/>
  <c r="J59" i="11" s="1"/>
  <c r="J60" i="11" s="1"/>
  <c r="J61" i="11" s="1"/>
  <c r="J62" i="11" s="1"/>
  <c r="J63" i="11" s="1"/>
  <c r="J64" i="11" s="1"/>
  <c r="J65" i="11" s="1"/>
  <c r="J66" i="11" s="1"/>
  <c r="B122" i="11"/>
  <c r="E28" i="17"/>
  <c r="A13" i="17"/>
  <c r="A14" i="17" s="1"/>
  <c r="J12" i="17"/>
  <c r="J13" i="17" s="1"/>
  <c r="J14" i="17" s="1"/>
  <c r="J15" i="17" s="1"/>
  <c r="J16" i="17" s="1"/>
  <c r="J17" i="17" s="1"/>
  <c r="J18" i="17" s="1"/>
  <c r="J19" i="17" s="1"/>
  <c r="J20" i="17" s="1"/>
  <c r="J21" i="17" s="1"/>
  <c r="J22" i="17" s="1"/>
  <c r="J23" i="17" s="1"/>
  <c r="J24" i="17" s="1"/>
  <c r="J25" i="17" s="1"/>
  <c r="J26" i="17" s="1"/>
  <c r="J27" i="17" s="1"/>
  <c r="J28" i="17" s="1"/>
  <c r="J29" i="17" s="1"/>
  <c r="J30" i="17" s="1"/>
  <c r="G16" i="17"/>
  <c r="A53" i="13"/>
  <c r="A54" i="13" s="1"/>
  <c r="A55" i="13" s="1"/>
  <c r="H52" i="13"/>
  <c r="H53" i="13" s="1"/>
  <c r="H54" i="13" s="1"/>
  <c r="H55" i="13" s="1"/>
  <c r="H56" i="13" s="1"/>
  <c r="H57" i="13" s="1"/>
  <c r="H58" i="13" s="1"/>
  <c r="H59" i="13" s="1"/>
  <c r="H60" i="13" s="1"/>
  <c r="H61" i="13" s="1"/>
  <c r="H62" i="13" s="1"/>
  <c r="H63" i="13" s="1"/>
  <c r="H64" i="13" s="1"/>
  <c r="H65" i="13" s="1"/>
  <c r="H66" i="13" s="1"/>
  <c r="H67" i="13" s="1"/>
  <c r="H68" i="13" s="1"/>
  <c r="H69" i="13" s="1"/>
  <c r="H70" i="13" s="1"/>
  <c r="H71" i="13" s="1"/>
  <c r="H72" i="13" s="1"/>
  <c r="H73" i="13" s="1"/>
  <c r="H74" i="13" s="1"/>
  <c r="H75" i="13" s="1"/>
  <c r="H76" i="13" s="1"/>
  <c r="H77" i="13" s="1"/>
  <c r="H78" i="13" s="1"/>
  <c r="H79" i="13" s="1"/>
  <c r="H80" i="13" s="1"/>
  <c r="H81" i="13" s="1"/>
  <c r="H82" i="13" s="1"/>
  <c r="H83" i="13" s="1"/>
  <c r="H84" i="13" s="1"/>
  <c r="H85" i="13" s="1"/>
  <c r="H86" i="13" s="1"/>
  <c r="H87" i="13" s="1"/>
  <c r="H88" i="13" s="1"/>
  <c r="H89" i="13" s="1"/>
  <c r="H90" i="13" s="1"/>
  <c r="H91" i="13" s="1"/>
  <c r="H92" i="13" s="1"/>
  <c r="H93" i="13" s="1"/>
  <c r="H94" i="13" s="1"/>
  <c r="H95" i="13" s="1"/>
  <c r="H96" i="13" s="1"/>
  <c r="H97" i="13" s="1"/>
  <c r="H98" i="13" s="1"/>
  <c r="H99" i="13" s="1"/>
  <c r="H100" i="13" s="1"/>
  <c r="H101" i="13" s="1"/>
  <c r="H102" i="13" s="1"/>
  <c r="B47" i="13"/>
  <c r="B45" i="13"/>
  <c r="A13" i="13"/>
  <c r="A14" i="13" s="1"/>
  <c r="A15" i="13" s="1"/>
  <c r="A16" i="13" s="1"/>
  <c r="A17" i="13" s="1"/>
  <c r="A18" i="13" s="1"/>
  <c r="A19" i="13" s="1"/>
  <c r="A20" i="13" s="1"/>
  <c r="A21" i="13" s="1"/>
  <c r="A22" i="13" s="1"/>
  <c r="A23" i="13" s="1"/>
  <c r="A24" i="13" s="1"/>
  <c r="A25" i="13" s="1"/>
  <c r="H12" i="13"/>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H34" i="13" s="1"/>
  <c r="H35" i="13" s="1"/>
  <c r="H36" i="13" s="1"/>
  <c r="B46" i="13"/>
  <c r="B44" i="13"/>
  <c r="B43" i="13"/>
  <c r="B53" i="15"/>
  <c r="C47" i="15"/>
  <c r="B47" i="15"/>
  <c r="B45" i="15"/>
  <c r="B43" i="15"/>
  <c r="B39" i="15"/>
  <c r="B37" i="15"/>
  <c r="E35" i="15"/>
  <c r="B35" i="15"/>
  <c r="E33" i="15"/>
  <c r="C33" i="15"/>
  <c r="C45" i="15"/>
  <c r="F13" i="15"/>
  <c r="F14" i="15" s="1"/>
  <c r="F15" i="15" s="1"/>
  <c r="F16" i="15" s="1"/>
  <c r="F17" i="15" s="1"/>
  <c r="F18" i="15" s="1"/>
  <c r="F19" i="15" s="1"/>
  <c r="F20" i="15" s="1"/>
  <c r="F21" i="15" s="1"/>
  <c r="F22" i="15" s="1"/>
  <c r="F23" i="15" s="1"/>
  <c r="F24" i="15" s="1"/>
  <c r="F25" i="15" s="1"/>
  <c r="F26" i="15" s="1"/>
  <c r="F27" i="15" s="1"/>
  <c r="F28" i="15" s="1"/>
  <c r="F29"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A13" i="15"/>
  <c r="A14" i="15" s="1"/>
  <c r="F12" i="15"/>
  <c r="G51" i="16"/>
  <c r="G33" i="16"/>
  <c r="G32" i="16"/>
  <c r="E33" i="16"/>
  <c r="E32" i="16"/>
  <c r="C32" i="16"/>
  <c r="B53" i="16"/>
  <c r="B47" i="16"/>
  <c r="B45" i="16"/>
  <c r="B43" i="16"/>
  <c r="B39" i="16"/>
  <c r="B37" i="16"/>
  <c r="B35" i="16"/>
  <c r="H33" i="16"/>
  <c r="C33" i="16"/>
  <c r="A13" i="16"/>
  <c r="A14" i="16" s="1"/>
  <c r="I12" i="16"/>
  <c r="I13" i="16" s="1"/>
  <c r="I14" i="16" s="1"/>
  <c r="I15" i="16" s="1"/>
  <c r="I16" i="16" s="1"/>
  <c r="I17" i="16" s="1"/>
  <c r="I18" i="16" s="1"/>
  <c r="I19" i="16" s="1"/>
  <c r="I20" i="16" s="1"/>
  <c r="I21" i="16" s="1"/>
  <c r="I22" i="16" s="1"/>
  <c r="I23" i="16" s="1"/>
  <c r="I24" i="16" s="1"/>
  <c r="I25" i="16" s="1"/>
  <c r="I26" i="16" s="1"/>
  <c r="I27" i="16" s="1"/>
  <c r="I28" i="16" s="1"/>
  <c r="I29" i="16" s="1"/>
  <c r="I34" i="16" s="1"/>
  <c r="I35" i="16" s="1"/>
  <c r="I36" i="16" s="1"/>
  <c r="I37" i="16" s="1"/>
  <c r="I38" i="16" s="1"/>
  <c r="I39" i="16" s="1"/>
  <c r="I40" i="16" s="1"/>
  <c r="I41" i="16" s="1"/>
  <c r="I42" i="16" s="1"/>
  <c r="I43" i="16" s="1"/>
  <c r="I44" i="16" s="1"/>
  <c r="I45" i="16" s="1"/>
  <c r="I46" i="16" s="1"/>
  <c r="I47" i="16" s="1"/>
  <c r="I48" i="16" s="1"/>
  <c r="I49" i="16" s="1"/>
  <c r="I50" i="16" s="1"/>
  <c r="I51" i="16" s="1"/>
  <c r="I52" i="16" s="1"/>
  <c r="I53" i="16" s="1"/>
  <c r="I54" i="16" s="1"/>
  <c r="G64" i="11" l="1"/>
  <c r="G156" i="11" s="1"/>
  <c r="G66" i="11"/>
  <c r="G133" i="11" s="1"/>
  <c r="G139" i="11" s="1"/>
  <c r="G148" i="11" s="1"/>
  <c r="G28" i="11"/>
  <c r="E48" i="11" s="1"/>
  <c r="G47" i="16"/>
  <c r="G45" i="16"/>
  <c r="G20" i="17"/>
  <c r="C32" i="51" s="1"/>
  <c r="C36" i="51" s="1"/>
  <c r="G88" i="50" s="1"/>
  <c r="B75" i="11"/>
  <c r="E92" i="13"/>
  <c r="A22" i="11"/>
  <c r="A23" i="11" s="1"/>
  <c r="A24" i="11" s="1"/>
  <c r="A25" i="11" s="1"/>
  <c r="A26" i="11" s="1"/>
  <c r="A87" i="11"/>
  <c r="A88" i="11" s="1"/>
  <c r="I98" i="11"/>
  <c r="I145" i="11"/>
  <c r="A134" i="11"/>
  <c r="A135" i="11" s="1"/>
  <c r="I18" i="11"/>
  <c r="C51" i="11"/>
  <c r="D50" i="11" s="1"/>
  <c r="G50" i="11" s="1"/>
  <c r="A15" i="17"/>
  <c r="A16" i="17" s="1"/>
  <c r="A17" i="17" s="1"/>
  <c r="A18" i="17" s="1"/>
  <c r="A19" i="17" s="1"/>
  <c r="A20" i="17" s="1"/>
  <c r="A21" i="17" s="1"/>
  <c r="A22" i="17" s="1"/>
  <c r="A23" i="17" s="1"/>
  <c r="A26" i="13"/>
  <c r="A27" i="13" s="1"/>
  <c r="A28" i="13" s="1"/>
  <c r="A29" i="13" s="1"/>
  <c r="G27" i="13"/>
  <c r="A56" i="13"/>
  <c r="A57" i="13" s="1"/>
  <c r="G25" i="13"/>
  <c r="E37" i="15"/>
  <c r="A15" i="15"/>
  <c r="A16" i="15" s="1"/>
  <c r="C35" i="15"/>
  <c r="G12" i="16"/>
  <c r="A15" i="16"/>
  <c r="A16" i="16" s="1"/>
  <c r="G145" i="11" l="1"/>
  <c r="G151" i="11" s="1"/>
  <c r="G154" i="11" s="1"/>
  <c r="G158" i="11" s="1"/>
  <c r="G22" i="16"/>
  <c r="G29" i="13"/>
  <c r="D49" i="11"/>
  <c r="G49" i="11" s="1"/>
  <c r="G53" i="11" s="1"/>
  <c r="G86" i="11" s="1"/>
  <c r="A27" i="11"/>
  <c r="A28" i="11" s="1"/>
  <c r="I28" i="11"/>
  <c r="I146" i="11"/>
  <c r="A136" i="11"/>
  <c r="I26" i="11"/>
  <c r="D48" i="11"/>
  <c r="A89" i="11"/>
  <c r="I99" i="11"/>
  <c r="A24" i="17"/>
  <c r="A25" i="17" s="1"/>
  <c r="A26" i="17" s="1"/>
  <c r="G13" i="13"/>
  <c r="A58" i="13"/>
  <c r="A59" i="13" s="1"/>
  <c r="A60" i="13" s="1"/>
  <c r="G34" i="13"/>
  <c r="A30" i="13"/>
  <c r="A31" i="13" s="1"/>
  <c r="A32" i="13" s="1"/>
  <c r="A17" i="15"/>
  <c r="A18" i="15" s="1"/>
  <c r="E39" i="15"/>
  <c r="A17" i="16"/>
  <c r="A18" i="16" s="1"/>
  <c r="H18" i="16"/>
  <c r="G35" i="16" l="1"/>
  <c r="A90" i="11"/>
  <c r="I100" i="11"/>
  <c r="G48" i="11"/>
  <c r="G51" i="11" s="1"/>
  <c r="G109" i="11" s="1"/>
  <c r="D51" i="11"/>
  <c r="I48" i="11"/>
  <c r="A29" i="11"/>
  <c r="A30" i="11" s="1"/>
  <c r="A31" i="11" s="1"/>
  <c r="I147" i="11"/>
  <c r="A137" i="11"/>
  <c r="A138" i="11" s="1"/>
  <c r="A139" i="11" s="1"/>
  <c r="G98" i="11"/>
  <c r="A27" i="17"/>
  <c r="A28" i="17" s="1"/>
  <c r="A29" i="17" s="1"/>
  <c r="A30" i="17" s="1"/>
  <c r="A61" i="13"/>
  <c r="A62" i="13" s="1"/>
  <c r="A33" i="13"/>
  <c r="A34" i="13" s="1"/>
  <c r="A35" i="13" s="1"/>
  <c r="A36" i="13" s="1"/>
  <c r="A19" i="15"/>
  <c r="A20" i="15" s="1"/>
  <c r="A19" i="16"/>
  <c r="A20" i="16" s="1"/>
  <c r="E26" i="17" l="1"/>
  <c r="E30" i="17" s="1"/>
  <c r="E77" i="45" s="1"/>
  <c r="E60" i="45"/>
  <c r="E14" i="45" s="1"/>
  <c r="E72" i="13"/>
  <c r="E19" i="13" s="1"/>
  <c r="E67" i="13"/>
  <c r="E17" i="13" s="1"/>
  <c r="E57" i="13"/>
  <c r="E13" i="13" s="1"/>
  <c r="E62" i="13"/>
  <c r="E15" i="13" s="1"/>
  <c r="G36" i="13"/>
  <c r="A140" i="11"/>
  <c r="A141" i="11" s="1"/>
  <c r="A142" i="11" s="1"/>
  <c r="A143" i="11" s="1"/>
  <c r="A144" i="11" s="1"/>
  <c r="A145" i="11" s="1"/>
  <c r="A146" i="11" s="1"/>
  <c r="A147" i="11" s="1"/>
  <c r="A148" i="11" s="1"/>
  <c r="A149" i="11" s="1"/>
  <c r="A150" i="11" s="1"/>
  <c r="A151" i="11" s="1"/>
  <c r="A152" i="11" s="1"/>
  <c r="A153" i="11" s="1"/>
  <c r="A154" i="11" s="1"/>
  <c r="I148" i="11"/>
  <c r="A32" i="11"/>
  <c r="I37" i="11"/>
  <c r="I137" i="11"/>
  <c r="A91" i="11"/>
  <c r="A92" i="11" s="1"/>
  <c r="G15" i="13"/>
  <c r="A63" i="13"/>
  <c r="A64" i="13" s="1"/>
  <c r="A65" i="13" s="1"/>
  <c r="A21" i="15"/>
  <c r="A22" i="15" s="1"/>
  <c r="E43" i="15"/>
  <c r="A21" i="16"/>
  <c r="A22" i="16" s="1"/>
  <c r="H24" i="16" s="1"/>
  <c r="E79" i="13" l="1"/>
  <c r="I101" i="11"/>
  <c r="A93" i="11"/>
  <c r="A94" i="11" s="1"/>
  <c r="A95" i="11" s="1"/>
  <c r="A96" i="11" s="1"/>
  <c r="A97" i="11" s="1"/>
  <c r="A98" i="11" s="1"/>
  <c r="A99" i="11" s="1"/>
  <c r="A100" i="11" s="1"/>
  <c r="A101" i="11" s="1"/>
  <c r="A102" i="11" s="1"/>
  <c r="A155" i="11"/>
  <c r="A156" i="11" s="1"/>
  <c r="A157" i="11" s="1"/>
  <c r="A158" i="11" s="1"/>
  <c r="A33" i="11"/>
  <c r="I33" i="11"/>
  <c r="I154" i="11"/>
  <c r="A66" i="13"/>
  <c r="A67" i="13" s="1"/>
  <c r="A23" i="15"/>
  <c r="A24" i="15" s="1"/>
  <c r="E45" i="15"/>
  <c r="A23" i="16"/>
  <c r="A24" i="16" s="1"/>
  <c r="G100" i="11" l="1"/>
  <c r="G92" i="11"/>
  <c r="G101" i="11" s="1"/>
  <c r="I158" i="11"/>
  <c r="A34" i="11"/>
  <c r="A35" i="11" s="1"/>
  <c r="A36" i="11" s="1"/>
  <c r="I49" i="11"/>
  <c r="I149" i="11"/>
  <c r="A103" i="11"/>
  <c r="A104" i="11" s="1"/>
  <c r="G17" i="13"/>
  <c r="A68" i="13"/>
  <c r="A69" i="13" s="1"/>
  <c r="A70" i="13" s="1"/>
  <c r="A25" i="15"/>
  <c r="A26" i="15" s="1"/>
  <c r="A25" i="16"/>
  <c r="A26" i="16" s="1"/>
  <c r="G104" i="11" l="1"/>
  <c r="G107" i="11" s="1"/>
  <c r="G111" i="11" s="1"/>
  <c r="E79" i="45" s="1"/>
  <c r="E92" i="45" s="1"/>
  <c r="E94" i="45" s="1"/>
  <c r="E98" i="45" s="1"/>
  <c r="E100" i="45" s="1"/>
  <c r="E22" i="45" s="1"/>
  <c r="G99" i="50"/>
  <c r="G91" i="50"/>
  <c r="G100" i="50" s="1"/>
  <c r="A105" i="11"/>
  <c r="A106" i="11" s="1"/>
  <c r="A107" i="11" s="1"/>
  <c r="I107" i="11"/>
  <c r="A37" i="11"/>
  <c r="A38" i="11" s="1"/>
  <c r="A39" i="11" s="1"/>
  <c r="A40" i="11" s="1"/>
  <c r="A41" i="11" s="1"/>
  <c r="A42" i="11" s="1"/>
  <c r="A43" i="11" s="1"/>
  <c r="A71" i="13"/>
  <c r="A72" i="13" s="1"/>
  <c r="E47" i="15"/>
  <c r="A27" i="15"/>
  <c r="A28" i="15" s="1"/>
  <c r="A29" i="15" s="1"/>
  <c r="A34" i="15" s="1"/>
  <c r="A35" i="15" s="1"/>
  <c r="A27" i="16"/>
  <c r="A28" i="16" s="1"/>
  <c r="A29" i="16" s="1"/>
  <c r="A34" i="16" s="1"/>
  <c r="A35" i="16" s="1"/>
  <c r="H28" i="16"/>
  <c r="E81" i="13" l="1"/>
  <c r="E94" i="13" s="1"/>
  <c r="E96" i="13" s="1"/>
  <c r="E100" i="13" s="1"/>
  <c r="E102" i="13" s="1"/>
  <c r="E23" i="13" s="1"/>
  <c r="E81" i="45"/>
  <c r="E83" i="45" s="1"/>
  <c r="E20" i="45" s="1"/>
  <c r="E24" i="45" s="1"/>
  <c r="E26" i="45" s="1"/>
  <c r="E28" i="45" s="1"/>
  <c r="E33" i="45" s="1"/>
  <c r="E35" i="45" s="1"/>
  <c r="C13" i="44" s="1"/>
  <c r="C14" i="16" s="1"/>
  <c r="G14" i="16" s="1"/>
  <c r="G103" i="50"/>
  <c r="G106" i="50" s="1"/>
  <c r="G110" i="50" s="1"/>
  <c r="E83" i="13"/>
  <c r="E85" i="13" s="1"/>
  <c r="E21" i="13" s="1"/>
  <c r="C39" i="15"/>
  <c r="G39" i="16" s="1"/>
  <c r="I40" i="11"/>
  <c r="I50" i="11"/>
  <c r="A44" i="11"/>
  <c r="A45" i="11" s="1"/>
  <c r="A46" i="11" s="1"/>
  <c r="A47" i="11" s="1"/>
  <c r="A48" i="11" s="1"/>
  <c r="A108" i="11"/>
  <c r="A109" i="11" s="1"/>
  <c r="A110" i="11" s="1"/>
  <c r="A111" i="11" s="1"/>
  <c r="I111" i="11"/>
  <c r="G19" i="13"/>
  <c r="A73" i="13"/>
  <c r="A74" i="13" s="1"/>
  <c r="A75" i="13" s="1"/>
  <c r="A76" i="13" s="1"/>
  <c r="A36" i="15"/>
  <c r="A37" i="15" s="1"/>
  <c r="A38" i="15" s="1"/>
  <c r="A39" i="15" s="1"/>
  <c r="A40" i="15" s="1"/>
  <c r="A41" i="15" s="1"/>
  <c r="A36" i="16"/>
  <c r="A37" i="16" s="1"/>
  <c r="A38" i="16" s="1"/>
  <c r="A39" i="16" s="1"/>
  <c r="A40" i="16" s="1"/>
  <c r="A41" i="16" s="1"/>
  <c r="E25" i="13" l="1"/>
  <c r="E27" i="13" s="1"/>
  <c r="E29" i="13" s="1"/>
  <c r="E34" i="13" s="1"/>
  <c r="E36" i="13" s="1"/>
  <c r="C17" i="44"/>
  <c r="C18" i="16" s="1"/>
  <c r="G18" i="16" s="1"/>
  <c r="C36" i="44"/>
  <c r="G16" i="16"/>
  <c r="A49" i="11"/>
  <c r="A77" i="13"/>
  <c r="A78" i="13" s="1"/>
  <c r="A79" i="13" s="1"/>
  <c r="E41" i="15"/>
  <c r="A42" i="15"/>
  <c r="A43" i="15" s="1"/>
  <c r="A44" i="15" s="1"/>
  <c r="A45" i="15" s="1"/>
  <c r="A46" i="15" s="1"/>
  <c r="A47" i="15" s="1"/>
  <c r="A48" i="15" s="1"/>
  <c r="A49" i="15" s="1"/>
  <c r="A42" i="16"/>
  <c r="A43" i="16" s="1"/>
  <c r="A44" i="16" s="1"/>
  <c r="A45" i="16" s="1"/>
  <c r="A46" i="16" s="1"/>
  <c r="A47" i="16" s="1"/>
  <c r="A48" i="16" s="1"/>
  <c r="A49" i="16" s="1"/>
  <c r="H41" i="16"/>
  <c r="C40" i="44" l="1"/>
  <c r="C37" i="16"/>
  <c r="E49" i="15"/>
  <c r="C18" i="15"/>
  <c r="C37" i="15"/>
  <c r="E37" i="16" s="1"/>
  <c r="A50" i="11"/>
  <c r="I53" i="11" s="1"/>
  <c r="A80" i="13"/>
  <c r="A81" i="13" s="1"/>
  <c r="A50" i="15"/>
  <c r="A51" i="15" s="1"/>
  <c r="A52" i="15" s="1"/>
  <c r="A53" i="15" s="1"/>
  <c r="A54" i="15" s="1"/>
  <c r="A50" i="16"/>
  <c r="A51" i="16" s="1"/>
  <c r="A52" i="16" s="1"/>
  <c r="A53" i="16" s="1"/>
  <c r="A54" i="16" s="1"/>
  <c r="H49" i="16"/>
  <c r="D19" i="46" l="1"/>
  <c r="C41" i="16"/>
  <c r="C41" i="15"/>
  <c r="G37" i="16"/>
  <c r="A51" i="11"/>
  <c r="I51" i="11"/>
  <c r="A82" i="13"/>
  <c r="A83" i="13" s="1"/>
  <c r="E53" i="15"/>
  <c r="D28" i="42" l="1"/>
  <c r="I28" i="42" s="1"/>
  <c r="G41" i="16"/>
  <c r="I109" i="11"/>
  <c r="A52" i="11"/>
  <c r="A53" i="11" s="1"/>
  <c r="A84" i="13"/>
  <c r="A85" i="13" s="1"/>
  <c r="D31" i="42" l="1"/>
  <c r="I31" i="42" s="1"/>
  <c r="D24" i="42"/>
  <c r="I24" i="42" s="1"/>
  <c r="I20" i="42"/>
  <c r="K20" i="42" s="1"/>
  <c r="D30" i="42"/>
  <c r="I30" i="42" s="1"/>
  <c r="D27" i="42"/>
  <c r="I27" i="42" s="1"/>
  <c r="D25" i="42"/>
  <c r="I25" i="42" s="1"/>
  <c r="D26" i="42"/>
  <c r="I26" i="42" s="1"/>
  <c r="D21" i="42"/>
  <c r="I21" i="42" s="1"/>
  <c r="D22" i="42"/>
  <c r="I22" i="42" s="1"/>
  <c r="D29" i="42"/>
  <c r="I29" i="42" s="1"/>
  <c r="D23" i="42"/>
  <c r="I23" i="42" s="1"/>
  <c r="D30" i="46"/>
  <c r="I30" i="46" s="1"/>
  <c r="I19" i="46"/>
  <c r="D20" i="46"/>
  <c r="I20" i="46" s="1"/>
  <c r="D22" i="46"/>
  <c r="I22" i="46" s="1"/>
  <c r="D24" i="46"/>
  <c r="I24" i="46" s="1"/>
  <c r="D21" i="46"/>
  <c r="I21" i="46" s="1"/>
  <c r="D26" i="46"/>
  <c r="I26" i="46" s="1"/>
  <c r="D25" i="46"/>
  <c r="I25" i="46" s="1"/>
  <c r="D27" i="46"/>
  <c r="I27" i="46" s="1"/>
  <c r="D29" i="46"/>
  <c r="I29" i="46" s="1"/>
  <c r="D23" i="46"/>
  <c r="I23" i="46" s="1"/>
  <c r="D28" i="46"/>
  <c r="I28" i="46" s="1"/>
  <c r="A54" i="11"/>
  <c r="A55" i="11" s="1"/>
  <c r="A56" i="11" s="1"/>
  <c r="A57" i="11" s="1"/>
  <c r="A58" i="11" s="1"/>
  <c r="A59" i="11" s="1"/>
  <c r="A60" i="11" s="1"/>
  <c r="A61" i="11" s="1"/>
  <c r="I86" i="11"/>
  <c r="A86" i="13"/>
  <c r="A87" i="13" s="1"/>
  <c r="A88" i="13" s="1"/>
  <c r="G21" i="13"/>
  <c r="L20" i="42" l="1"/>
  <c r="I32" i="42"/>
  <c r="D31" i="46"/>
  <c r="I31" i="46"/>
  <c r="K19" i="46"/>
  <c r="M19" i="46"/>
  <c r="D32" i="42"/>
  <c r="N20" i="42"/>
  <c r="K21" i="42" s="1"/>
  <c r="L21" i="42" s="1"/>
  <c r="A62" i="11"/>
  <c r="A89" i="13"/>
  <c r="A90" i="13" s="1"/>
  <c r="A91" i="13" s="1"/>
  <c r="A92" i="13" s="1"/>
  <c r="N19" i="46" l="1"/>
  <c r="N21" i="42"/>
  <c r="A63" i="11"/>
  <c r="A93" i="13"/>
  <c r="A94" i="13" s="1"/>
  <c r="A95" i="13" s="1"/>
  <c r="A96" i="13" s="1"/>
  <c r="K20" i="46" l="1"/>
  <c r="M20" i="46" s="1"/>
  <c r="K22" i="42"/>
  <c r="L22" i="42" s="1"/>
  <c r="A64" i="11"/>
  <c r="I64" i="11"/>
  <c r="I66" i="11"/>
  <c r="A97" i="13"/>
  <c r="A98" i="13" s="1"/>
  <c r="A99" i="13" s="1"/>
  <c r="A100" i="13" s="1"/>
  <c r="N20" i="46" l="1"/>
  <c r="N22" i="42"/>
  <c r="K23" i="42" s="1"/>
  <c r="A65" i="11"/>
  <c r="A66" i="11" s="1"/>
  <c r="I133" i="11" s="1"/>
  <c r="I156" i="11"/>
  <c r="A101" i="13"/>
  <c r="A102" i="13" s="1"/>
  <c r="G23" i="13" s="1"/>
  <c r="K21" i="46" l="1"/>
  <c r="M21" i="46" s="1"/>
  <c r="L23" i="42"/>
  <c r="N23" i="42" s="1"/>
  <c r="K24" i="42" s="1"/>
  <c r="N21" i="46" l="1"/>
  <c r="L24" i="42"/>
  <c r="N24" i="42" s="1"/>
  <c r="K22" i="46" l="1"/>
  <c r="K25" i="42"/>
  <c r="L25" i="42" s="1"/>
  <c r="N25" i="42" s="1"/>
  <c r="M22" i="46" l="1"/>
  <c r="N22" i="46" s="1"/>
  <c r="K26" i="42"/>
  <c r="L26" i="42" s="1"/>
  <c r="N26" i="42" s="1"/>
  <c r="K27" i="42" s="1"/>
  <c r="K23" i="46" l="1"/>
  <c r="L27" i="42"/>
  <c r="N27" i="42" s="1"/>
  <c r="K28" i="42" s="1"/>
  <c r="M23" i="46" l="1"/>
  <c r="N23" i="46" s="1"/>
  <c r="L28" i="42"/>
  <c r="N28" i="42" s="1"/>
  <c r="K29" i="42" s="1"/>
  <c r="K24" i="46" l="1"/>
  <c r="M24" i="46" s="1"/>
  <c r="N24" i="46" s="1"/>
  <c r="K25" i="46" s="1"/>
  <c r="L29" i="42"/>
  <c r="N29" i="42" s="1"/>
  <c r="K30" i="42" s="1"/>
  <c r="M25" i="46" l="1"/>
  <c r="N25" i="46" s="1"/>
  <c r="L30" i="42"/>
  <c r="N30" i="42" s="1"/>
  <c r="K31" i="42" s="1"/>
  <c r="K26" i="46" l="1"/>
  <c r="M26" i="46" s="1"/>
  <c r="N26" i="46" s="1"/>
  <c r="K27" i="46" s="1"/>
  <c r="L31" i="42"/>
  <c r="L32" i="42" s="1"/>
  <c r="M27" i="46" l="1"/>
  <c r="N27" i="46" s="1"/>
  <c r="N31" i="42"/>
  <c r="K28" i="46" l="1"/>
  <c r="M28" i="46" s="1"/>
  <c r="N28" i="46" s="1"/>
  <c r="C43" i="15" l="1"/>
  <c r="E43" i="16" s="1"/>
  <c r="E20" i="16"/>
  <c r="K29" i="46"/>
  <c r="M29" i="46" s="1"/>
  <c r="C28" i="15"/>
  <c r="E28" i="16" l="1"/>
  <c r="C49" i="15"/>
  <c r="E49" i="16" s="1"/>
  <c r="N29" i="46"/>
  <c r="C53" i="15" l="1"/>
  <c r="E53" i="16" s="1"/>
  <c r="K30" i="46"/>
  <c r="M30" i="46" s="1"/>
  <c r="M31" i="46" s="1"/>
  <c r="N30" i="46" l="1"/>
  <c r="C19" i="44" s="1"/>
  <c r="C20" i="16" l="1"/>
  <c r="G20" i="16" s="1"/>
  <c r="C23" i="44"/>
  <c r="C42" i="44"/>
  <c r="C27" i="44" l="1"/>
  <c r="C24" i="16"/>
  <c r="G24" i="16" s="1"/>
  <c r="C43" i="16"/>
  <c r="C28" i="16" l="1"/>
  <c r="G28" i="16" s="1"/>
  <c r="C48" i="44"/>
  <c r="C52" i="44" s="1"/>
  <c r="C53" i="16" s="1"/>
  <c r="G53" i="16" s="1"/>
  <c r="D18" i="22"/>
  <c r="G43" i="16"/>
  <c r="C49" i="16" l="1"/>
  <c r="G49" i="16" s="1"/>
  <c r="D13" i="1"/>
  <c r="D19" i="22"/>
  <c r="D20" i="22" s="1"/>
  <c r="D21" i="22" s="1"/>
  <c r="D22" i="22" s="1"/>
  <c r="D23" i="22" s="1"/>
  <c r="D24" i="22" s="1"/>
  <c r="D25" i="22" s="1"/>
  <c r="D26" i="22" s="1"/>
  <c r="D27" i="22" s="1"/>
  <c r="D28" i="22" s="1"/>
  <c r="D29" i="22" s="1"/>
  <c r="F18" i="22"/>
  <c r="G18" i="22"/>
  <c r="D78" i="22" l="1"/>
  <c r="H18" i="22"/>
  <c r="F19" i="22" s="1"/>
  <c r="G19" i="22" s="1"/>
  <c r="H19" i="22" s="1"/>
  <c r="F20" i="22" s="1"/>
  <c r="G20" i="22" s="1"/>
  <c r="H20" i="22" s="1"/>
  <c r="F21" i="22" s="1"/>
  <c r="G21" i="22" l="1"/>
  <c r="H21" i="22" s="1"/>
  <c r="F22" i="22" s="1"/>
  <c r="G22" i="22" s="1"/>
  <c r="H22" i="22" s="1"/>
  <c r="F23" i="22" s="1"/>
  <c r="G23" i="22" s="1"/>
  <c r="H23" i="22" s="1"/>
  <c r="F24" i="22" s="1"/>
  <c r="G24" i="22" s="1"/>
  <c r="H24" i="22" s="1"/>
  <c r="F25" i="22" s="1"/>
  <c r="G25" i="22" s="1"/>
  <c r="H25" i="22" s="1"/>
  <c r="F26" i="22" l="1"/>
  <c r="G26" i="22" s="1"/>
  <c r="H26" i="22" s="1"/>
  <c r="F27" i="22" l="1"/>
  <c r="G27" i="22" s="1"/>
  <c r="H27" i="22" l="1"/>
  <c r="F28" i="22" s="1"/>
  <c r="G28" i="22" s="1"/>
  <c r="H28" i="22" s="1"/>
  <c r="F29" i="22" l="1"/>
  <c r="G29" i="22" s="1"/>
  <c r="H29" i="22" s="1"/>
  <c r="F30" i="22" s="1"/>
  <c r="G30" i="22" s="1"/>
  <c r="H30" i="22" l="1"/>
  <c r="F31" i="22" s="1"/>
  <c r="G31" i="22" l="1"/>
  <c r="H31" i="22" s="1"/>
  <c r="F32" i="22" l="1"/>
  <c r="G32" i="22" l="1"/>
  <c r="H32" i="22" s="1"/>
  <c r="F33" i="22" l="1"/>
  <c r="G33" i="22" l="1"/>
  <c r="H33" i="22" s="1"/>
  <c r="F34" i="22" l="1"/>
  <c r="G34" i="22" l="1"/>
  <c r="H34" i="22" s="1"/>
  <c r="F35" i="22" l="1"/>
  <c r="G35" i="22" l="1"/>
  <c r="H35" i="22" s="1"/>
  <c r="F36" i="22" l="1"/>
  <c r="G36" i="22" l="1"/>
  <c r="H36" i="22" s="1"/>
  <c r="F37" i="22" l="1"/>
  <c r="G37" i="22" l="1"/>
  <c r="H37" i="22" s="1"/>
  <c r="F38" i="22" l="1"/>
  <c r="G38" i="22" l="1"/>
  <c r="H38" i="22" s="1"/>
  <c r="F39" i="22" l="1"/>
  <c r="G39" i="22" l="1"/>
  <c r="H39" i="22" s="1"/>
  <c r="G14" i="1"/>
  <c r="G15" i="1" s="1"/>
  <c r="G16" i="1" s="1"/>
  <c r="G17" i="1" s="1"/>
  <c r="G18" i="1" s="1"/>
  <c r="G19" i="1" s="1"/>
  <c r="G20" i="1" s="1"/>
  <c r="G21" i="1" s="1"/>
  <c r="A14" i="1"/>
  <c r="A15" i="1" s="1"/>
  <c r="A16" i="1" s="1"/>
  <c r="A17" i="1" s="1"/>
  <c r="A18" i="1" s="1"/>
  <c r="A19" i="1" s="1"/>
  <c r="A20" i="1" s="1"/>
  <c r="A21" i="1" s="1"/>
  <c r="F40" i="22" l="1"/>
  <c r="G40" i="22" l="1"/>
  <c r="H40" i="22" s="1"/>
  <c r="F41" i="22" l="1"/>
  <c r="G41" i="22" s="1"/>
  <c r="H41" i="22" l="1"/>
  <c r="F42" i="22" l="1"/>
  <c r="G42" i="22" l="1"/>
  <c r="H42" i="22" s="1"/>
  <c r="F43" i="22" l="1"/>
  <c r="G43" i="22" s="1"/>
  <c r="H43" i="22" s="1"/>
  <c r="F44" i="22" l="1"/>
  <c r="G44" i="22" s="1"/>
  <c r="H44" i="22" s="1"/>
  <c r="F45" i="22" l="1"/>
  <c r="G45" i="22" s="1"/>
  <c r="H45" i="22" s="1"/>
  <c r="F46" i="22" l="1"/>
  <c r="G46" i="22" s="1"/>
  <c r="H46" i="22" s="1"/>
  <c r="F47" i="22" l="1"/>
  <c r="G47" i="22" s="1"/>
  <c r="H47" i="22" s="1"/>
  <c r="F48" i="22" l="1"/>
  <c r="G48" i="22" s="1"/>
  <c r="H48" i="22" s="1"/>
  <c r="F49" i="22" l="1"/>
  <c r="G49" i="22" s="1"/>
  <c r="H49" i="22" s="1"/>
  <c r="F50" i="22" l="1"/>
  <c r="G50" i="22" s="1"/>
  <c r="H50" i="22" l="1"/>
  <c r="F51" i="22" l="1"/>
  <c r="G51" i="22" s="1"/>
  <c r="H51" i="22" s="1"/>
  <c r="F52" i="22" l="1"/>
  <c r="G52" i="22" s="1"/>
  <c r="H52" i="22" s="1"/>
  <c r="F53" i="22" l="1"/>
  <c r="G53" i="22" s="1"/>
  <c r="H53" i="22" s="1"/>
  <c r="F54" i="22" l="1"/>
  <c r="G54" i="22" s="1"/>
  <c r="H54" i="22" l="1"/>
  <c r="F55" i="22" l="1"/>
  <c r="G55" i="22" l="1"/>
  <c r="H55" i="22" s="1"/>
  <c r="F56" i="22" s="1"/>
  <c r="G56" i="22" l="1"/>
  <c r="H56" i="22" s="1"/>
  <c r="F57" i="22" s="1"/>
  <c r="G57" i="22" l="1"/>
  <c r="H57" i="22" s="1"/>
  <c r="F58" i="22" l="1"/>
  <c r="G58" i="22" s="1"/>
  <c r="H58" i="22" s="1"/>
  <c r="F59" i="22" l="1"/>
  <c r="G59" i="22" s="1"/>
  <c r="H59" i="22" s="1"/>
  <c r="F60" i="22" l="1"/>
  <c r="G60" i="22" s="1"/>
  <c r="H60" i="22" l="1"/>
  <c r="F61" i="22" l="1"/>
  <c r="G61" i="22" s="1"/>
  <c r="H61" i="22" s="1"/>
  <c r="F62" i="22" s="1"/>
  <c r="G62" i="22" l="1"/>
  <c r="H62" i="22" s="1"/>
  <c r="F63" i="22" l="1"/>
  <c r="G63" i="22" s="1"/>
  <c r="H63" i="22" l="1"/>
  <c r="F64" i="22" l="1"/>
  <c r="G64" i="22" s="1"/>
  <c r="H64" i="22" s="1"/>
  <c r="F65" i="22" l="1"/>
  <c r="G65" i="22" l="1"/>
  <c r="H65" i="22" l="1"/>
  <c r="F66" i="22" l="1"/>
  <c r="G66" i="22" s="1"/>
  <c r="H66" i="22" s="1"/>
  <c r="F67" i="22" s="1"/>
  <c r="G67" i="22" l="1"/>
  <c r="H67" i="22" s="1"/>
  <c r="F68" i="22" s="1"/>
  <c r="G68" i="22" l="1"/>
  <c r="H68" i="22" s="1"/>
  <c r="F69" i="22" l="1"/>
  <c r="G69" i="22" l="1"/>
  <c r="H69" i="22" s="1"/>
  <c r="F70" i="22" s="1"/>
  <c r="G70" i="22" l="1"/>
  <c r="H70" i="22" s="1"/>
  <c r="F71" i="22" l="1"/>
  <c r="G71" i="22" s="1"/>
  <c r="H71" i="22" l="1"/>
  <c r="F72" i="22" l="1"/>
  <c r="G72" i="22" s="1"/>
  <c r="H72" i="22" s="1"/>
  <c r="F73" i="22" l="1"/>
  <c r="G73" i="22" s="1"/>
  <c r="H73" i="22" s="1"/>
  <c r="F74" i="22" l="1"/>
  <c r="G74" i="22" s="1"/>
  <c r="H74" i="22" s="1"/>
  <c r="F75" i="22" l="1"/>
  <c r="G75" i="22" s="1"/>
  <c r="H75" i="22" s="1"/>
  <c r="F76" i="22" l="1"/>
  <c r="G76" i="22" s="1"/>
  <c r="H76" i="22" s="1"/>
  <c r="F77" i="22" l="1"/>
  <c r="G77" i="22" s="1"/>
  <c r="H77" i="22" l="1"/>
  <c r="G78" i="22"/>
  <c r="D15" i="1" s="1"/>
  <c r="D17" i="1" s="1"/>
  <c r="D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E44" authorId="0" shapeId="0" xr:uid="{1A761C72-FD84-4A8D-B401-D4358DEC7A19}">
      <text>
        <r>
          <rPr>
            <sz val="9"/>
            <color indexed="81"/>
            <rFont val="Tahoma"/>
            <family val="2"/>
          </rPr>
          <t>Note: this cost adj per tab Pg8.1 was separately calculated and was not included in the FERC Audit adj tab in Pg8.2. This is being included here to calculate the current adj. needed.</t>
        </r>
      </text>
    </comment>
    <comment ref="E49" authorId="0" shapeId="0" xr:uid="{84158973-65E7-4552-A4D9-99A9E9E23774}">
      <text>
        <r>
          <rPr>
            <sz val="9"/>
            <color indexed="81"/>
            <rFont val="Tahoma"/>
            <family val="2"/>
          </rPr>
          <t>Note: this is to calculate the current adj only for the $612 * 10.29% = $63 diff. for A&amp;G ($48,519 from  tab pg8.2 As Filed Stmt AH FERC  Adj less $48,385 = $63)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E45" authorId="0" shapeId="0" xr:uid="{9DA46E82-4995-41FB-AC12-5719C800C988}">
      <text>
        <r>
          <rPr>
            <sz val="9"/>
            <color indexed="81"/>
            <rFont val="Tahoma"/>
            <family val="2"/>
          </rPr>
          <t>Note: This no. was in the July posting. The final Oct filing no. is on tab Pg8.1 at $16,552.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A1" authorId="0" shapeId="0" xr:uid="{72062488-63E7-46FF-8595-F9237C7CD4E7}">
      <text>
        <r>
          <rPr>
            <sz val="9"/>
            <color indexed="81"/>
            <rFont val="Tahoma"/>
            <family val="2"/>
          </rPr>
          <t>Note: Col. (f) in this tab was before the final adj shown in tab Pg8.4 in the Oct filing and not used in the Rev Stmt AH on Pg8.</t>
        </r>
      </text>
    </comment>
  </commentList>
</comments>
</file>

<file path=xl/sharedStrings.xml><?xml version="1.0" encoding="utf-8"?>
<sst xmlns="http://schemas.openxmlformats.org/spreadsheetml/2006/main" count="2268" uniqueCount="721">
  <si>
    <t>San Diego Gas &amp; Electric Company</t>
  </si>
  <si>
    <t>($1,000)</t>
  </si>
  <si>
    <t>Line</t>
  </si>
  <si>
    <t>Description</t>
  </si>
  <si>
    <t>Amounts</t>
  </si>
  <si>
    <t>Reference</t>
  </si>
  <si>
    <t>No.</t>
  </si>
  <si>
    <t>B</t>
  </si>
  <si>
    <t>Interest Expense</t>
  </si>
  <si>
    <t>Total</t>
  </si>
  <si>
    <t>(a)</t>
  </si>
  <si>
    <t xml:space="preserve"> </t>
  </si>
  <si>
    <t>A</t>
  </si>
  <si>
    <t>C = A - B</t>
  </si>
  <si>
    <t>Difference</t>
  </si>
  <si>
    <t>Incr (Decr)</t>
  </si>
  <si>
    <t>√</t>
  </si>
  <si>
    <t>Transmission Related A&amp;G Expense</t>
  </si>
  <si>
    <t>CPUC Intervenor Funding Expense - Transmission</t>
  </si>
  <si>
    <t>Shall be Zero</t>
  </si>
  <si>
    <t>Transmission Related Electric Miscellaneous Intangible Plant</t>
  </si>
  <si>
    <t>Transmission Related General Plant</t>
  </si>
  <si>
    <t>Net Transmission Plant</t>
  </si>
  <si>
    <t>Cost Adjustment Workpapers</t>
  </si>
  <si>
    <t>SAN DIEGO GAS &amp; ELECTRIC COMPANY</t>
  </si>
  <si>
    <t>Statement AH</t>
  </si>
  <si>
    <t>Operation and Maintenance Expenses</t>
  </si>
  <si>
    <t>FERC Form 1</t>
  </si>
  <si>
    <t>Page; Line; Col.</t>
  </si>
  <si>
    <t>Adjustments to Per Book Transmission O&amp;M Expense:</t>
  </si>
  <si>
    <t>Adjustments to Per Book A&amp;G Expense:</t>
  </si>
  <si>
    <t xml:space="preserve">   Abandoned Projects</t>
  </si>
  <si>
    <t xml:space="preserve">   CPUC energy efficiency programs</t>
  </si>
  <si>
    <t xml:space="preserve">   CPUC Intervenor Funding Expense - Distribution</t>
  </si>
  <si>
    <t xml:space="preserve">   CPUC reimbursement fees</t>
  </si>
  <si>
    <t xml:space="preserve">   Injuries &amp; Damages</t>
  </si>
  <si>
    <t xml:space="preserve">   General Advertising Expenses </t>
  </si>
  <si>
    <t xml:space="preserve">   Franchise Requirements</t>
  </si>
  <si>
    <t xml:space="preserve">   Hazardous substances - Hazardous Substance Cleanup Cost Account</t>
  </si>
  <si>
    <t xml:space="preserve">   Litigation expenses - Litigation Cost Memorandum Account (LCMA)</t>
  </si>
  <si>
    <t xml:space="preserve">   Other A&amp;G Exclusion Adjustments</t>
  </si>
  <si>
    <t>Less: Property Insurance (Due to different allocation factor)</t>
  </si>
  <si>
    <t>Transmission Wages and Salaries Allocation Factor</t>
  </si>
  <si>
    <t>Property Insurance Allocated to Transmission, General, and Common Plant</t>
  </si>
  <si>
    <t>Derivation of Transmission Plant Property Insurance Allocation Factor:</t>
  </si>
  <si>
    <t>Transmission Plant &amp; Incentive Transmission Plant</t>
  </si>
  <si>
    <t xml:space="preserve">Transmission Related Common Plant </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</si>
  <si>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</si>
  <si>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</si>
  <si>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</si>
  <si>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</si>
  <si>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</si>
  <si>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</si>
  <si>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</si>
  <si>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</si>
  <si>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</si>
  <si>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(b)</t>
  </si>
  <si>
    <t>(c) = (a) - (b)</t>
  </si>
  <si>
    <t>(e) = (c) + (d)</t>
  </si>
  <si>
    <t>FERC</t>
  </si>
  <si>
    <t>Excluded</t>
  </si>
  <si>
    <t>Revised</t>
  </si>
  <si>
    <t>Acct</t>
  </si>
  <si>
    <t>Per Books</t>
  </si>
  <si>
    <t>Expenses</t>
  </si>
  <si>
    <t>Adjusted</t>
  </si>
  <si>
    <t>Rents</t>
  </si>
  <si>
    <t>Total Excluded Expenses</t>
  </si>
  <si>
    <t>Administrative &amp; General Expenses</t>
  </si>
  <si>
    <t xml:space="preserve">A&amp;G </t>
  </si>
  <si>
    <t>Administrative &amp; General</t>
  </si>
  <si>
    <t>A&amp;G Salaries</t>
  </si>
  <si>
    <t>Form 1; Page 323; Line 181</t>
  </si>
  <si>
    <t>Office Supplies &amp; Expenses</t>
  </si>
  <si>
    <t>Form 1; Page 323; Line 182</t>
  </si>
  <si>
    <t>Less: Administrative Expenses Transferred-Credit</t>
  </si>
  <si>
    <t>Form 1; Page 323; Line 183</t>
  </si>
  <si>
    <t>Outside Services Employed</t>
  </si>
  <si>
    <t>Form 1; Page 323; Line 184</t>
  </si>
  <si>
    <t>Property Insurance</t>
  </si>
  <si>
    <t>Form 1; Page 323; Line 185</t>
  </si>
  <si>
    <t>Injuries &amp; Damages</t>
  </si>
  <si>
    <t>Form 1; Page 323; Line 186</t>
  </si>
  <si>
    <t>Form 1; Page 323; Line 187</t>
  </si>
  <si>
    <t xml:space="preserve">Franchise Requirements </t>
  </si>
  <si>
    <t>Form 1; Page 323; Line 188</t>
  </si>
  <si>
    <t>Form 1; Page 323; Line 189</t>
  </si>
  <si>
    <t>Less: Duplicate Charges (Company Energy Use)</t>
  </si>
  <si>
    <t>Form 1; Page 323; Line 190</t>
  </si>
  <si>
    <t>General Advertising Expenses</t>
  </si>
  <si>
    <t>Form 1; Page 323; Line 191</t>
  </si>
  <si>
    <t>Miscellaneous General Expenses</t>
  </si>
  <si>
    <t>Form 1; Page 323; Line 192</t>
  </si>
  <si>
    <t>Form 1; Page 323; Line 193</t>
  </si>
  <si>
    <t>Maintenance of General Plant</t>
  </si>
  <si>
    <t>Form 1; Page 323; Line 196</t>
  </si>
  <si>
    <t>Total Administrative &amp; General Expenses</t>
  </si>
  <si>
    <t>Excluded Expenses:</t>
  </si>
  <si>
    <t>CPUC energy efficiency programs</t>
  </si>
  <si>
    <t>CPUC Intervenor Funding Expense - Distribution</t>
  </si>
  <si>
    <t xml:space="preserve">CPUC reimbursement fees  </t>
  </si>
  <si>
    <t>Litigation expenses - Litigation Cost Memorandum Account (LCMA)</t>
  </si>
  <si>
    <t xml:space="preserve">CPUC energy efficiency programs  </t>
  </si>
  <si>
    <t>Abandoned Projects</t>
  </si>
  <si>
    <t xml:space="preserve">Hazardous Substances-Hazardous Substance Cleanup Cost Account </t>
  </si>
  <si>
    <t>Statement AL</t>
  </si>
  <si>
    <t>Working Capital</t>
  </si>
  <si>
    <t>Working</t>
  </si>
  <si>
    <t>13-Months</t>
  </si>
  <si>
    <t>Cash</t>
  </si>
  <si>
    <t>Average Balance</t>
  </si>
  <si>
    <r>
      <t xml:space="preserve">A. Plant Materials and Operating Supplies </t>
    </r>
    <r>
      <rPr>
        <b/>
        <vertAlign val="superscript"/>
        <sz val="12"/>
        <rFont val="Times New Roman"/>
        <family val="1"/>
      </rPr>
      <t>1</t>
    </r>
  </si>
  <si>
    <t>450.1; Sch. Pg. 227; 12; c</t>
  </si>
  <si>
    <t>Transmission Plant Allocation Factor</t>
  </si>
  <si>
    <t xml:space="preserve">     Transmission Related Materials and Supplies </t>
  </si>
  <si>
    <r>
      <t xml:space="preserve">B. Prepayments </t>
    </r>
    <r>
      <rPr>
        <b/>
        <vertAlign val="superscript"/>
        <sz val="12"/>
        <rFont val="Times New Roman"/>
        <family val="1"/>
      </rPr>
      <t>1</t>
    </r>
  </si>
  <si>
    <t>450.1; Sch. Pg. 110; 57; c</t>
  </si>
  <si>
    <t xml:space="preserve">     Transmission Related Prepayments </t>
  </si>
  <si>
    <t>C. Derivation of Transmission Related Cash Working Capital - Retail:</t>
  </si>
  <si>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</si>
  <si>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</si>
  <si>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</si>
  <si>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</si>
  <si>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</si>
  <si>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FERC Method = 1/8 of O&amp;M Expense</t>
  </si>
  <si>
    <t xml:space="preserve">     Transmission Related Cash Working Capital - Retail Customers</t>
  </si>
  <si>
    <t>The balances for Materials &amp; Supplies and Prepayments are derived based on a 13-month average balance.</t>
  </si>
  <si>
    <t>Statement AV</t>
  </si>
  <si>
    <t>Cost of Capital and Fair Rate of Return</t>
  </si>
  <si>
    <t>Long-Term Debt Component - Denominator:</t>
  </si>
  <si>
    <t>Bonds (Acct 221)</t>
  </si>
  <si>
    <t>112; 18; c</t>
  </si>
  <si>
    <t>Less: Reacquired Bonds (Acct 222)</t>
  </si>
  <si>
    <t>112; 19; c</t>
  </si>
  <si>
    <t>Other Long-Term Debt (Acct 224)</t>
  </si>
  <si>
    <t>112; 21; c</t>
  </si>
  <si>
    <t>Unamortized Premium on Long-Term Debt (Acct 225)</t>
  </si>
  <si>
    <t>112; 22; c</t>
  </si>
  <si>
    <t>Less: Unamortized Discount on Long-Term Debt-Debit (Acct 226)</t>
  </si>
  <si>
    <t>112; 23; c</t>
  </si>
  <si>
    <t xml:space="preserve">     LTD = Long Term Debt</t>
  </si>
  <si>
    <t>Long-Term Debt Component - Numerator:</t>
  </si>
  <si>
    <t>Interest on Long-Term Debt (Acct 427)</t>
  </si>
  <si>
    <t>117; 62; c</t>
  </si>
  <si>
    <t>Amort. of Debt Disc. and Expense (Acct 428)</t>
  </si>
  <si>
    <t>117; 63; c</t>
  </si>
  <si>
    <t>Amortization of Loss on Reacquired Debt (Acct 428.1)</t>
  </si>
  <si>
    <t>117; 64; c</t>
  </si>
  <si>
    <t>Less: Amort. of Premium on Debt-Credit (Acct 429)</t>
  </si>
  <si>
    <t>117; 65; c</t>
  </si>
  <si>
    <t>Less: Amortization of Gain on Reacquired Debt-Credit (Acct 429.1)</t>
  </si>
  <si>
    <t>117; 66; c</t>
  </si>
  <si>
    <t xml:space="preserve">     i = LTD interest</t>
  </si>
  <si>
    <t>Cost of Long-Term Debt:</t>
  </si>
  <si>
    <t>Preferred Equity Component:</t>
  </si>
  <si>
    <t>PF = Preferred Stock (Acct 204)</t>
  </si>
  <si>
    <t>112; 3; c</t>
  </si>
  <si>
    <t>d(pf) = Total Dividends Declared-Preferred Stocks (Acct 437)</t>
  </si>
  <si>
    <t>118; 29; c</t>
  </si>
  <si>
    <t xml:space="preserve">     Cost of Preferred Equity</t>
  </si>
  <si>
    <t>Common Equity Component:</t>
  </si>
  <si>
    <t>Proprietary Capital</t>
  </si>
  <si>
    <t>112; 16; c</t>
  </si>
  <si>
    <t>Less: Preferred Stock (Acct 204)</t>
  </si>
  <si>
    <t>Less: Unappropriated Undistributed Subsidiary Earnings (Acct 216.1)</t>
  </si>
  <si>
    <t>112; 12; c</t>
  </si>
  <si>
    <t>Accumulated Other Comprehensive Income (Acct 219)</t>
  </si>
  <si>
    <t>112; 15; c</t>
  </si>
  <si>
    <t xml:space="preserve">     CS = Common Stock</t>
  </si>
  <si>
    <t>TO5 Offer of Settlement; Section II.A.1.5.1</t>
  </si>
  <si>
    <t>(c)</t>
  </si>
  <si>
    <t>(d) = (b) x (c)</t>
  </si>
  <si>
    <t>Cap. Struct.</t>
  </si>
  <si>
    <t>Cost of</t>
  </si>
  <si>
    <t>Weighted</t>
  </si>
  <si>
    <t>Weighted Cost of Capital:</t>
  </si>
  <si>
    <r>
      <t xml:space="preserve">Amounts </t>
    </r>
    <r>
      <rPr>
        <b/>
        <vertAlign val="superscript"/>
        <sz val="12"/>
        <rFont val="Times New Roman"/>
        <family val="1"/>
      </rPr>
      <t>1</t>
    </r>
  </si>
  <si>
    <t>Ratio</t>
  </si>
  <si>
    <t>Capital</t>
  </si>
  <si>
    <t>Cost of Capital</t>
  </si>
  <si>
    <t>Long-Term Debt</t>
  </si>
  <si>
    <t>Preferred Equity</t>
  </si>
  <si>
    <t>Common Equity</t>
  </si>
  <si>
    <t xml:space="preserve">     Total Capital</t>
  </si>
  <si>
    <t>Cost of Equity Component (Preferred &amp; Common):</t>
  </si>
  <si>
    <t>Amount is based upon December 31 balances.</t>
  </si>
  <si>
    <t>Incentive Weighted Cost of Capital:</t>
  </si>
  <si>
    <t>Incentive Cost of Equity Component (Preferred &amp; Common):</t>
  </si>
  <si>
    <t>Where:</t>
  </si>
  <si>
    <t xml:space="preserve">     A = Sum of Preferred Stock and Return on Equity Component</t>
  </si>
  <si>
    <t xml:space="preserve">     B = Transmission Total Federal Tax Adjustments</t>
  </si>
  <si>
    <t xml:space="preserve">     C = Equity AFUDC Component of Transmission Depreciation Expense</t>
  </si>
  <si>
    <t xml:space="preserve">     D = Transmission Rate Base</t>
  </si>
  <si>
    <t xml:space="preserve">     FT = Federal Income Tax Rate for Rate Effective Period</t>
  </si>
  <si>
    <t>Federal Income Tax Rate</t>
  </si>
  <si>
    <t>Federal Income Tax    =    (((A) + (C / D)) * FT) - (B / D)</t>
  </si>
  <si>
    <t>Federal Income Tax Expense</t>
  </si>
  <si>
    <t xml:space="preserve">                                                         (1 - FT)</t>
  </si>
  <si>
    <t>B. State Income Tax Component:</t>
  </si>
  <si>
    <t xml:space="preserve">     B = Equity AFUDC Component of Transmission Depreciation Expense</t>
  </si>
  <si>
    <t xml:space="preserve">     C = Transmission Rate Base</t>
  </si>
  <si>
    <t xml:space="preserve">     FT = Federal Income Tax Expense</t>
  </si>
  <si>
    <t xml:space="preserve">     ST = State Income Tax Rate for Rate Effective Period</t>
  </si>
  <si>
    <t>8.84%</t>
  </si>
  <si>
    <t>State Income Tax Rate</t>
  </si>
  <si>
    <t>State Income Tax    =    ((A) + (B / C) + Federal Income Tax)*(ST)</t>
  </si>
  <si>
    <t>State Income Tax Expense</t>
  </si>
  <si>
    <t xml:space="preserve">                                                               (1 - ST)</t>
  </si>
  <si>
    <t>C. Total Federal &amp; State Income Tax Rate:</t>
  </si>
  <si>
    <t>D. Total Weighted Cost of Capital:</t>
  </si>
  <si>
    <t xml:space="preserve">     D = Incentive ROE Project Transmission Rate Base</t>
  </si>
  <si>
    <t xml:space="preserve">Federal Income Tax    =    (((A) + (C / D)) * FT) - (B / D) </t>
  </si>
  <si>
    <t xml:space="preserve">Federal Income Tax Expense </t>
  </si>
  <si>
    <t xml:space="preserve">     C = Incentive ROE Project Transmission Rate Base</t>
  </si>
  <si>
    <t>D. Total Incentive Weighted Cost of Capital:</t>
  </si>
  <si>
    <t>Total Annual Costs Citizens' Share of the SX-PQ Underground Line Segment - Before Interest</t>
  </si>
  <si>
    <t>CITIZENS' SHARE OF THE SX-PQ UNDERGROUND LINE SEGMENT</t>
  </si>
  <si>
    <t>Summary of Cost Components</t>
  </si>
  <si>
    <t>Description of Annual Costs</t>
  </si>
  <si>
    <t>Section 1 - Direct Maintenance Expense Cost Component</t>
  </si>
  <si>
    <t>Section 2 - Non-Direct Expense Cost Component</t>
  </si>
  <si>
    <t>Section 3 - Cost Component Containing Other Specific Expenses</t>
  </si>
  <si>
    <t>Section 4 - True-Up Adjustment Cost Component (Over)/Undercollection</t>
  </si>
  <si>
    <t>Section 5 - Interest True-Up Adjustment Cost Component</t>
  </si>
  <si>
    <t>Subtotal Annual Costs</t>
  </si>
  <si>
    <t>Other Adjustments</t>
  </si>
  <si>
    <t>Total Annual Costs</t>
  </si>
  <si>
    <t>Description of Monthly Costs</t>
  </si>
  <si>
    <t>Total Monthly Costs</t>
  </si>
  <si>
    <t>Number of Months in Base Period</t>
  </si>
  <si>
    <t xml:space="preserve">Total Annual Costs Adjustment </t>
  </si>
  <si>
    <t xml:space="preserve">Section 2 - Non-Direct Expense Cost Component </t>
  </si>
  <si>
    <t>A. Non-Direct Annual Carrying Charge Percentages</t>
  </si>
  <si>
    <t>Transmission Related O&amp;M Expense</t>
  </si>
  <si>
    <t>Transmission Related Property Tax Expense</t>
  </si>
  <si>
    <t>Transmission Related Payroll Tax Expense</t>
  </si>
  <si>
    <t>Transmission Related Working Capital Revenue</t>
  </si>
  <si>
    <t>Transmission Related General &amp; Common Plant Revenue</t>
  </si>
  <si>
    <t xml:space="preserve">     Subtotal Annual Carrying Charge Rate</t>
  </si>
  <si>
    <t>Transmission Related Municipal Franchise Fees Expense</t>
  </si>
  <si>
    <t xml:space="preserve">     Total Annual Carrying Charge Rate</t>
  </si>
  <si>
    <t>B. Derivation of Non-Direct Expense</t>
  </si>
  <si>
    <t>Lease Agreement</t>
  </si>
  <si>
    <t>Total Annual Carrying Charge Rate</t>
  </si>
  <si>
    <t xml:space="preserve">     Total Non-Direct Expense</t>
  </si>
  <si>
    <t>A. Transmission Related O&amp;M Expense</t>
  </si>
  <si>
    <t>Transmission O&amp;M Expense</t>
  </si>
  <si>
    <t xml:space="preserve">     Transmission O&amp;M Expense Carrying Charge Percentage</t>
  </si>
  <si>
    <t>B. Transmission Related A&amp;G Expense</t>
  </si>
  <si>
    <t>Total Transmission Related A&amp;G Expense Including Property Ins.</t>
  </si>
  <si>
    <t xml:space="preserve">     Transmission Related A&amp;G Carrying Charge Percentage</t>
  </si>
  <si>
    <t>C. Transmission Related Property Tax Expense</t>
  </si>
  <si>
    <t xml:space="preserve">     Transmission Related Property Tax Carrying Charge Percentage</t>
  </si>
  <si>
    <t>D. Transmission Related Payroll Tax Expense</t>
  </si>
  <si>
    <t xml:space="preserve">     Transmission Related Payroll Tax Carrying Charge Percentage</t>
  </si>
  <si>
    <t>E. Transmission Related Working Capital Revenue</t>
  </si>
  <si>
    <t>Transmission Related M&amp;S Allocated to Transmission</t>
  </si>
  <si>
    <t>Transmission Related Prepayments Allocated to Transmission</t>
  </si>
  <si>
    <t>Transmission Related Working Cash</t>
  </si>
  <si>
    <t xml:space="preserve">     Total Transmission Related Working Capital</t>
  </si>
  <si>
    <t>Cost of Capital Rate</t>
  </si>
  <si>
    <t>Transmission Working Capital Revenue</t>
  </si>
  <si>
    <t xml:space="preserve">     Transmission Related Working Capital Revenue Carrying Charge Percentage</t>
  </si>
  <si>
    <t>F. Transmission Related General &amp; Common Plant Revenue</t>
  </si>
  <si>
    <t>Net Transmission Related General Plant</t>
  </si>
  <si>
    <t>Net Transmission Related Common Plant</t>
  </si>
  <si>
    <t>Total Net Transmission Related General and Common Plant</t>
  </si>
  <si>
    <t>Transmission Related General and Common Return and Associated Income Taxes</t>
  </si>
  <si>
    <t>Transmission Related General and Common Depreciation Expense</t>
  </si>
  <si>
    <t>Total Transmission Related General and Common Plant Revenues</t>
  </si>
  <si>
    <t xml:space="preserve">     Total Transmission Related General and Common Plant Carrying Charge Percentage</t>
  </si>
  <si>
    <t>Col. 1</t>
  </si>
  <si>
    <t>Col. 2</t>
  </si>
  <si>
    <t>Col. 3</t>
  </si>
  <si>
    <t>Col. 4</t>
  </si>
  <si>
    <t>Col. 5</t>
  </si>
  <si>
    <t>Col. 6</t>
  </si>
  <si>
    <t>Calculations:</t>
  </si>
  <si>
    <t>Cumulative</t>
  </si>
  <si>
    <t>Monthly</t>
  </si>
  <si>
    <t>Overcollection (-) or</t>
  </si>
  <si>
    <t>Undercollection (+)</t>
  </si>
  <si>
    <t>Interest</t>
  </si>
  <si>
    <t>in Revenue</t>
  </si>
  <si>
    <t>Month</t>
  </si>
  <si>
    <t>Year</t>
  </si>
  <si>
    <t>wo Interest</t>
  </si>
  <si>
    <t>with Interest</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</si>
  <si>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</si>
  <si>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</si>
  <si>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</si>
  <si>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</si>
  <si>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</si>
  <si>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</si>
  <si>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</si>
  <si>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</si>
  <si>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</si>
  <si>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</si>
  <si>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</si>
  <si>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</si>
  <si>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Rates specified on the FERC website pursuant to Section 35.19a of the Commission regulation.</t>
  </si>
  <si>
    <t>Derivation of Direct Maintenance Expense:</t>
  </si>
  <si>
    <t>Total Direct Maintenance Cost</t>
  </si>
  <si>
    <t>Derivation of Non-Direct Transmission Operation and Maintenance Expense:</t>
  </si>
  <si>
    <t>Total Non-Direct Transmission O&amp;M Expense</t>
  </si>
  <si>
    <t xml:space="preserve">   Scheduling, System Control &amp; Dispatch Services</t>
  </si>
  <si>
    <t xml:space="preserve">   Reliability, Planning &amp; Standards Development</t>
  </si>
  <si>
    <t xml:space="preserve">   Station Expenses</t>
  </si>
  <si>
    <t xml:space="preserve">   Overhead Line Expense</t>
  </si>
  <si>
    <t xml:space="preserve">   Transmission of Electricity by Others</t>
  </si>
  <si>
    <t xml:space="preserve">   Miscellaneous Transmission Expense </t>
  </si>
  <si>
    <t xml:space="preserve">   Maintenance of Station Equipment</t>
  </si>
  <si>
    <t xml:space="preserve">   Maintenance of Overhead Lines</t>
  </si>
  <si>
    <t xml:space="preserve">   Maintenance of Underground Lines</t>
  </si>
  <si>
    <t xml:space="preserve">   Other Transmission Non-Direct O&amp;M Exclusion Adjustments </t>
  </si>
  <si>
    <t>Negative of AH-2; Line 41; Col. b</t>
  </si>
  <si>
    <t xml:space="preserve">   Other Cost Adjustments</t>
  </si>
  <si>
    <t xml:space="preserve">     Total Non-Direct Adjusted Transmission O&amp;M Expenses </t>
  </si>
  <si>
    <t>Derivation of Non-Direct Administrative and General Expense:</t>
  </si>
  <si>
    <t>Total Non-Direct Administrative &amp; General Expense</t>
  </si>
  <si>
    <t xml:space="preserve">     Total Adjusted Non-Direct A&amp;G Expenses Including Property Insurance</t>
  </si>
  <si>
    <t>Total Adjusted Non-Direct A&amp;G Expenses Excluding Property Insurance</t>
  </si>
  <si>
    <t>Transmission Related Non-Direct Administrative &amp; General Expenses</t>
  </si>
  <si>
    <t xml:space="preserve">     Transmission Related Non-Direct A&amp;G Expense Including Property Insurance Expense</t>
  </si>
  <si>
    <r>
      <t xml:space="preserve">Transmission Property Insurance and Tax Allocation Factor </t>
    </r>
    <r>
      <rPr>
        <b/>
        <vertAlign val="superscript"/>
        <sz val="12"/>
        <rFont val="Times New Roman"/>
        <family val="1"/>
      </rPr>
      <t>1</t>
    </r>
  </si>
  <si>
    <t xml:space="preserve">Add / (Deduct) </t>
  </si>
  <si>
    <t>A&amp;G Cost Adj</t>
  </si>
  <si>
    <t>Employee Pensions &amp; Benefits</t>
  </si>
  <si>
    <t xml:space="preserve">Regulatory Commission Expenses  </t>
  </si>
  <si>
    <r>
      <t xml:space="preserve">Transmission Related A&amp;G Expenses Charged to Citizens </t>
    </r>
    <r>
      <rPr>
        <b/>
        <vertAlign val="superscript"/>
        <sz val="12"/>
        <rFont val="Times New Roman"/>
        <family val="1"/>
      </rPr>
      <t>1</t>
    </r>
  </si>
  <si>
    <t>Total Adjusted Administrative &amp; General Expenses</t>
  </si>
  <si>
    <t>Account 7000722, which was created to track Citizens SX-PQ A&amp;G Expense.</t>
  </si>
  <si>
    <t>SAN DIEGO GAS AND ELECTRIC COMPANY</t>
  </si>
  <si>
    <t>Incentive Return on Common Equity:</t>
  </si>
  <si>
    <r>
      <t xml:space="preserve">Cost of Capital Rate </t>
    </r>
    <r>
      <rPr>
        <u/>
        <vertAlign val="subscript"/>
        <sz val="12"/>
        <rFont val="Times New Roman"/>
        <family val="1"/>
      </rPr>
      <t>(COCR)</t>
    </r>
    <r>
      <rPr>
        <u/>
        <sz val="12"/>
        <rFont val="Times New Roman"/>
        <family val="1"/>
      </rPr>
      <t xml:space="preserve"> Calculation:</t>
    </r>
  </si>
  <si>
    <t>a. Federal Income Tax Component:</t>
  </si>
  <si>
    <r>
      <t xml:space="preserve">     C = Equity AFUDC Component of Transmission Depreciation Expense </t>
    </r>
    <r>
      <rPr>
        <b/>
        <vertAlign val="superscript"/>
        <sz val="12"/>
        <rFont val="Times New Roman"/>
        <family val="1"/>
      </rPr>
      <t>1</t>
    </r>
  </si>
  <si>
    <r>
      <t xml:space="preserve">E. Cost of Capital Rate </t>
    </r>
    <r>
      <rPr>
        <u/>
        <vertAlign val="subscript"/>
        <sz val="12"/>
        <rFont val="Times New Roman"/>
        <family val="1"/>
      </rPr>
      <t>(COCR)</t>
    </r>
    <r>
      <rPr>
        <u/>
        <sz val="12"/>
        <rFont val="Times New Roman"/>
        <family val="1"/>
      </rPr>
      <t>:</t>
    </r>
  </si>
  <si>
    <t>Citizens portion of Equity AFUDC totaling $56K is embedded in the Equity AFUDC component of Transmission Depreciation expense.</t>
  </si>
  <si>
    <r>
      <t xml:space="preserve">Incentive Cost of Capital Rate </t>
    </r>
    <r>
      <rPr>
        <u/>
        <vertAlign val="subscript"/>
        <sz val="12"/>
        <rFont val="Times New Roman"/>
        <family val="1"/>
      </rPr>
      <t>(ICOCR)</t>
    </r>
    <r>
      <rPr>
        <u/>
        <sz val="12"/>
        <rFont val="Times New Roman"/>
        <family val="1"/>
      </rPr>
      <t xml:space="preserve"> Calculation:</t>
    </r>
  </si>
  <si>
    <r>
      <t xml:space="preserve">E. Incentive Cost of Capital Rate </t>
    </r>
    <r>
      <rPr>
        <u/>
        <vertAlign val="subscript"/>
        <sz val="12"/>
        <rFont val="Times New Roman"/>
        <family val="1"/>
      </rPr>
      <t>(ICOCR)</t>
    </r>
    <r>
      <rPr>
        <u/>
        <sz val="12"/>
        <rFont val="Times New Roman"/>
        <family val="1"/>
      </rPr>
      <t>:</t>
    </r>
  </si>
  <si>
    <t xml:space="preserve">Total Monthly Costs Adjustment </t>
  </si>
  <si>
    <r>
      <t>Return on Common Equity:</t>
    </r>
    <r>
      <rPr>
        <sz val="12"/>
        <rFont val="Times New Roman"/>
        <family val="1"/>
      </rPr>
      <t xml:space="preserve"> </t>
    </r>
    <r>
      <rPr>
        <vertAlign val="superscript"/>
        <sz val="12"/>
        <color rgb="FFFF0000"/>
        <rFont val="Times New Roman"/>
        <family val="1"/>
      </rPr>
      <t>2</t>
    </r>
  </si>
  <si>
    <t xml:space="preserve">Derivation of End Use Transmission Rate Base </t>
  </si>
  <si>
    <t>A. Derivation of Transmission Rate Base:</t>
  </si>
  <si>
    <t>Net Transmission Plant:</t>
  </si>
  <si>
    <t>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</si>
  <si>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</si>
  <si>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</si>
  <si>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</si>
  <si>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</si>
  <si>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</si>
  <si>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</si>
  <si>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</si>
  <si>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Related Accum. Def. Inc. Taxes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</si>
  <si>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</si>
  <si>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</si>
  <si>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</si>
  <si>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</si>
  <si>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</si>
  <si>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</si>
  <si>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 xml:space="preserve">     Total Working Capital</t>
  </si>
  <si>
    <t>Other Regulatory Assets/Liabilities</t>
  </si>
  <si>
    <t xml:space="preserve">     Total Transmission Rate Base</t>
  </si>
  <si>
    <r>
      <t>B. Incentive ROE Project Transmission Rate Base:</t>
    </r>
    <r>
      <rPr>
        <sz val="12"/>
        <rFont val="Times New Roman"/>
        <family val="1"/>
      </rPr>
      <t xml:space="preserve"> </t>
    </r>
  </si>
  <si>
    <t>Net Incentive Transmission Plant</t>
  </si>
  <si>
    <t xml:space="preserve">Incentive Transmission Plant Accum. Def. Income Taxes </t>
  </si>
  <si>
    <t xml:space="preserve">     Total Incentive ROE Project Transmission Rate Base</t>
  </si>
  <si>
    <r>
      <t>C. Incentive Transmission Plant Abandoned Project Rate Base:</t>
    </r>
    <r>
      <rPr>
        <sz val="12"/>
        <rFont val="Times New Roman"/>
        <family val="1"/>
      </rPr>
      <t xml:space="preserve"> </t>
    </r>
  </si>
  <si>
    <t>Incentive Transmission Plant Abandoned Project Cost</t>
  </si>
  <si>
    <t>Incentive Transmission Plant Abandoned Project Cost Accum. Def. Inc. Taxes</t>
  </si>
  <si>
    <t xml:space="preserve">     Total Incentive Transmission Plant Abandoned Project Cost Rate Base</t>
  </si>
  <si>
    <t>D. Incentive Transmission Construction Work In Progress</t>
  </si>
  <si>
    <t>A. Derivation of Net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</si>
  <si>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</si>
  <si>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</si>
  <si>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</si>
  <si>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</si>
  <si>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</si>
  <si>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Electric Misc. Intangible Plant Amortization Reserve</t>
  </si>
  <si>
    <t>Transmission Related General Plant Depr Reserve</t>
  </si>
  <si>
    <t>Transmission Related Common Plant Depr Reserve</t>
  </si>
  <si>
    <t xml:space="preserve">     Total Transmission Related Depreciation Reserve</t>
  </si>
  <si>
    <t>B. Incentive Project Net Transmission Plant:</t>
  </si>
  <si>
    <t>Incentive Transmission Plant</t>
  </si>
  <si>
    <t>Incentive Transmission Plant Depreciation Reserve</t>
  </si>
  <si>
    <t xml:space="preserve">     Total Net Incentive Transmission Plant</t>
  </si>
  <si>
    <t>Sum Lines 3 and 5</t>
  </si>
  <si>
    <t>Line 7 / Line 9</t>
  </si>
  <si>
    <t>Total Citizens' Annual Prior Year Cost of Service</t>
  </si>
  <si>
    <t>Total Citizens' Monthly Prior Year Cost of Service</t>
  </si>
  <si>
    <t>Citizens' Lease Payment</t>
  </si>
  <si>
    <t>Citizens' Financed Transmission Projects:</t>
  </si>
  <si>
    <t xml:space="preserve">Citizens' Share of the SX-PQ Underground Line Segment  </t>
  </si>
  <si>
    <t>Page 2; Line 17; Col. C</t>
  </si>
  <si>
    <t>= Col. 2 - Col. 6</t>
  </si>
  <si>
    <t>See Footnote 2</t>
  </si>
  <si>
    <t>See Footnote 3</t>
  </si>
  <si>
    <t>= Col. 4 + Col. 5</t>
  </si>
  <si>
    <r>
      <t xml:space="preserve">Rate </t>
    </r>
    <r>
      <rPr>
        <b/>
        <vertAlign val="superscript"/>
        <sz val="12"/>
        <rFont val="Times New Roman"/>
        <family val="1"/>
      </rPr>
      <t>1</t>
    </r>
  </si>
  <si>
    <t>Derived using the prior month balance in Column 6 plus the current month balance in Column 2.</t>
  </si>
  <si>
    <t>Interest is calculated using an average of beginning and ending balances: 1) in month 1, the average is 1/2 of balance in Column 2; and 2) in subsequent</t>
  </si>
  <si>
    <t>months is the average of prior month balance in Column 6 and the current month balance in Column 4.</t>
  </si>
  <si>
    <t>Section 1; Page 1; Line 17</t>
  </si>
  <si>
    <t>Sum Lines 1, 3, 5</t>
  </si>
  <si>
    <t>Section 5; Page Interest TU (CY); Col. 6; Line 20</t>
  </si>
  <si>
    <t>Sum Lines 7, 9, 11</t>
  </si>
  <si>
    <t>Line 13 + Line 15</t>
  </si>
  <si>
    <t>Line 4 / Line 1</t>
  </si>
  <si>
    <t>Line 9 / Line 1</t>
  </si>
  <si>
    <t>Line 14 / Line 1</t>
  </si>
  <si>
    <t>Statement AK; Line 28</t>
  </si>
  <si>
    <t>Line 19 / Line 1</t>
  </si>
  <si>
    <t>Sum Lines 25 thru 27</t>
  </si>
  <si>
    <t>Line 28 x Line 30</t>
  </si>
  <si>
    <t>Line 32 / Line 1</t>
  </si>
  <si>
    <t>Line 37 + Line 39</t>
  </si>
  <si>
    <t>Line 30</t>
  </si>
  <si>
    <t>Line 41 * Line 43</t>
  </si>
  <si>
    <t>Line 45 + Line 47</t>
  </si>
  <si>
    <t>Line 49 / Line 1</t>
  </si>
  <si>
    <t>AH-1; Line 48</t>
  </si>
  <si>
    <t>AH-2; Line 37; Col. a</t>
  </si>
  <si>
    <t>Negative of AH-2; Line 42; Col. b</t>
  </si>
  <si>
    <t>Negative of AH-2; Line 43; Col. b</t>
  </si>
  <si>
    <t>Negative of AH-2; Line 44; Col. b</t>
  </si>
  <si>
    <t>Negative of AH-2; Line 45; Col. b</t>
  </si>
  <si>
    <t>Negative of AH-2; Line 46; Col. b</t>
  </si>
  <si>
    <t>Negative of AH-2; Line 52; Col. b</t>
  </si>
  <si>
    <t>Negative of AH-2; Line 53; Col. b</t>
  </si>
  <si>
    <t>Negative of AH-2; Line 54; Col. b</t>
  </si>
  <si>
    <t>Negative of AH-2; Line 55; Col. b</t>
  </si>
  <si>
    <t>Statement AI; Line 17</t>
  </si>
  <si>
    <t>Statement AD; Line 25</t>
  </si>
  <si>
    <t>Statement AD; Line 29</t>
  </si>
  <si>
    <t>Statement AD; Line 31</t>
  </si>
  <si>
    <t>Statement AD; Line 1</t>
  </si>
  <si>
    <t>Statement AD; Line 7</t>
  </si>
  <si>
    <t>Statement AD; Line 9</t>
  </si>
  <si>
    <t>Statement AD; Line 17</t>
  </si>
  <si>
    <t>Statement AD; Line 19</t>
  </si>
  <si>
    <t>AL-1; Line 18</t>
  </si>
  <si>
    <t>Statement AD; Line 35</t>
  </si>
  <si>
    <t>Line 1 x Line 3</t>
  </si>
  <si>
    <t>AL-2; Line 18</t>
  </si>
  <si>
    <t>Line 3 x Line 7</t>
  </si>
  <si>
    <t>Negative of Statement AH; Line 25</t>
  </si>
  <si>
    <t>Sum Lines 12 thru 14</t>
  </si>
  <si>
    <t>Line 15 x Line 17</t>
  </si>
  <si>
    <t>Negative of Statement AR; Line 11</t>
  </si>
  <si>
    <t>AV-2A; Line 40</t>
  </si>
  <si>
    <t>Statement AD; Line 11</t>
  </si>
  <si>
    <t>Statement AD; Line 27</t>
  </si>
  <si>
    <t>Sum Lines 2 thru 5</t>
  </si>
  <si>
    <t>Statement AE; Line 1</t>
  </si>
  <si>
    <t>Statement AE; Line 11</t>
  </si>
  <si>
    <t>Statement AE; Line 13</t>
  </si>
  <si>
    <t>Statement AE; Line 15</t>
  </si>
  <si>
    <t>Sum Lines 9 thru 12</t>
  </si>
  <si>
    <t>Page 2; Line 16</t>
  </si>
  <si>
    <t>Page 2; Line 17</t>
  </si>
  <si>
    <t>Page 2; Line 18</t>
  </si>
  <si>
    <t>Page 2; Line 19</t>
  </si>
  <si>
    <t>Statement AG; Line 1</t>
  </si>
  <si>
    <t>Statement Misc.; Line 3</t>
  </si>
  <si>
    <t>Line 9 + Line 10</t>
  </si>
  <si>
    <t>Statement AF; Line 11</t>
  </si>
  <si>
    <t>Line 14 + Line 15</t>
  </si>
  <si>
    <t>Sum Lines 19 thru 21</t>
  </si>
  <si>
    <t>Statement Misc.; Line 5</t>
  </si>
  <si>
    <t>Sum Lines 6, 11, 16, 22, 24</t>
  </si>
  <si>
    <t>Line 29 + Line 30</t>
  </si>
  <si>
    <t>Line 34 + Line 35</t>
  </si>
  <si>
    <t>Used to allocate property insurance in conformance with the TO5 Formula Rate Mechanism.</t>
  </si>
  <si>
    <t>Page 3 and Page 4, Line 1</t>
  </si>
  <si>
    <t>Page 3 and Page 4, Line 3</t>
  </si>
  <si>
    <t>Page 3 and Page 4, Line 5</t>
  </si>
  <si>
    <t>Page 3 and Page 4, Line 9</t>
  </si>
  <si>
    <t>Page 3 and Page 4, Line 11</t>
  </si>
  <si>
    <t>Page 3 and Page 4, Line 15</t>
  </si>
  <si>
    <t>Page 3 and Page 4, Line 20</t>
  </si>
  <si>
    <t>Page 3 and Page 4, Line 22</t>
  </si>
  <si>
    <t>Page 3 and Page 4, Line 24</t>
  </si>
  <si>
    <t>Page 3 and Page 4, Line 28</t>
  </si>
  <si>
    <t>Page 3 and Page 4, Line 30</t>
  </si>
  <si>
    <t>Page 3 and Page 4, Line 32</t>
  </si>
  <si>
    <t>Page 3 and Page 4, Line 38</t>
  </si>
  <si>
    <t>Derivation of Other Adjustments Applicable to Appendix XII Cycle 4</t>
  </si>
  <si>
    <t>Other Cost Adjustments due to Appendix XII Cycle 4 Cost Adjustments Calculation:</t>
  </si>
  <si>
    <t>Revised - Appendix XII Cycle 4</t>
  </si>
  <si>
    <t xml:space="preserve"> 12 Months Ending December 31, 2020</t>
  </si>
  <si>
    <t>CEMA Costs</t>
  </si>
  <si>
    <t>WMPMA Costs</t>
  </si>
  <si>
    <r>
      <t xml:space="preserve">Other Exclusion - 3P Adjustment </t>
    </r>
    <r>
      <rPr>
        <b/>
        <vertAlign val="superscript"/>
        <sz val="12"/>
        <rFont val="Times New Roman"/>
        <family val="1"/>
      </rPr>
      <t>2</t>
    </r>
  </si>
  <si>
    <r>
      <t xml:space="preserve">Other Exclusion - FERC Audit Adjustment (Finding #3) </t>
    </r>
    <r>
      <rPr>
        <b/>
        <vertAlign val="superscript"/>
        <sz val="12"/>
        <rFont val="Times New Roman"/>
        <family val="1"/>
      </rPr>
      <t>3</t>
    </r>
  </si>
  <si>
    <r>
      <t xml:space="preserve">Other Exclusion - FERC Audit Adjustment (Finding #8) </t>
    </r>
    <r>
      <rPr>
        <b/>
        <vertAlign val="superscript"/>
        <sz val="12"/>
        <rFont val="Times New Roman"/>
        <family val="1"/>
      </rPr>
      <t>3</t>
    </r>
  </si>
  <si>
    <t>Customer Information System</t>
  </si>
  <si>
    <r>
      <t xml:space="preserve">Other Exclusion - FERC Audit Adjustment (Finding #5) </t>
    </r>
    <r>
      <rPr>
        <b/>
        <vertAlign val="superscript"/>
        <sz val="12"/>
        <rFont val="Times New Roman"/>
        <family val="1"/>
      </rPr>
      <t>3</t>
    </r>
  </si>
  <si>
    <r>
      <t xml:space="preserve">2019 Abandoned Projects Correction </t>
    </r>
    <r>
      <rPr>
        <b/>
        <vertAlign val="superscript"/>
        <sz val="12"/>
        <rFont val="Times New Roman"/>
        <family val="1"/>
      </rPr>
      <t>4</t>
    </r>
  </si>
  <si>
    <t>2</t>
  </si>
  <si>
    <t>Represents reclassification of 2018 and 2019 3P (People, Process, Priorities) project costs from O&amp;M FERC Accounts 560, 566, 580, and 588 to A&amp;G FERC</t>
  </si>
  <si>
    <t>Account 923, in 2020. Entries are excluded here and reflected as an "Other Adjustments" in Cycle 4 (see separate Cost Adjustment workpapers).</t>
  </si>
  <si>
    <t>3</t>
  </si>
  <si>
    <t>Adjusting journal entries related to prior year O&amp;M and A&amp;G costs (2016 - 2019) that resulted from the 2020 FERC Audit are excluded from Appendix XII Cycle 4.</t>
  </si>
  <si>
    <t>The impacts of the adjusting entries is reflected in the per book amount and were excluded from the adjusted 2020 total. The impact of FERC Audit adjustments</t>
  </si>
  <si>
    <t>and corresponding refunds will be accounted for in a separate refund analysis filed with FERC.</t>
  </si>
  <si>
    <t>4</t>
  </si>
  <si>
    <t>Represents reclassification of 2019 abandoned project costs from A&amp;G FERC Account 930.2 to FERC Account 426.5. Entry is excluded here and reflected as</t>
  </si>
  <si>
    <t>an "Other Adjustments" in Cycle 4 (see separate Cost Adjustment workpapers).</t>
  </si>
  <si>
    <t>Add back of credit balance included in FERC account 930.2 related to electric vehicles or clean transportation initiatives which is a balancing account.</t>
  </si>
  <si>
    <t>Not Applicable to 2020 Base Period</t>
  </si>
  <si>
    <t>Statement AH; Line 17</t>
  </si>
  <si>
    <t>Base Period &amp; True-Up Period 12 - Months Ending December 31, 2020</t>
  </si>
  <si>
    <t>Derivation of Interest Expense on Other Adjustments Applicable to Appendix XII Cycle 4</t>
  </si>
  <si>
    <t>Removal of EPRI dues from Appendix XII Cycle 4 per response to Six Cities protest.</t>
  </si>
  <si>
    <t>This amount represents the Non-Direct A&amp;G expenses billed to Citizens in , which is added back to derive Total Adjusted A&amp;G Expenses in SAP</t>
  </si>
  <si>
    <r>
      <t>(d)</t>
    </r>
    <r>
      <rPr>
        <b/>
        <vertAlign val="superscript"/>
        <sz val="12"/>
        <rFont val="Times New Roman"/>
        <family val="1"/>
      </rPr>
      <t xml:space="preserve"> </t>
    </r>
  </si>
  <si>
    <t>DERIVATION OF CITIZENS' TRUE-UP ADJUSTMENT -  (OVER) / UNDERCOLLECTION</t>
  </si>
  <si>
    <t>Col. 7</t>
  </si>
  <si>
    <t>Col. 8</t>
  </si>
  <si>
    <t>Col. 9</t>
  </si>
  <si>
    <t>Col. 10</t>
  </si>
  <si>
    <t>Col. 11</t>
  </si>
  <si>
    <t>Prior</t>
  </si>
  <si>
    <t>Adjusted Monthly</t>
  </si>
  <si>
    <t>True-Up</t>
  </si>
  <si>
    <t>Prior Other</t>
  </si>
  <si>
    <r>
      <t>Cost of Service</t>
    </r>
    <r>
      <rPr>
        <sz val="12"/>
        <rFont val="Times New Roman"/>
        <family val="1"/>
      </rPr>
      <t xml:space="preserve"> </t>
    </r>
    <r>
      <rPr>
        <b/>
        <vertAlign val="superscript"/>
        <sz val="12"/>
        <rFont val="Times New Roman"/>
        <family val="1"/>
      </rPr>
      <t>1</t>
    </r>
  </si>
  <si>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</si>
  <si>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</si>
  <si>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Adjustments</t>
    </r>
    <r>
      <rPr>
        <b/>
        <sz val="12"/>
        <rFont val="Times New Roman"/>
        <family val="1"/>
      </rPr>
      <t xml:space="preserve"> </t>
    </r>
    <r>
      <rPr>
        <b/>
        <vertAlign val="superscript"/>
        <sz val="12"/>
        <rFont val="Times New Roman"/>
        <family val="1"/>
      </rPr>
      <t>4</t>
    </r>
  </si>
  <si>
    <t>Revenues</t>
  </si>
  <si>
    <r>
      <t>Rate</t>
    </r>
    <r>
      <rPr>
        <b/>
        <sz val="12"/>
        <rFont val="Times New Roman"/>
        <family val="1"/>
      </rPr>
      <t xml:space="preserve"> </t>
    </r>
    <r>
      <rPr>
        <b/>
        <vertAlign val="superscript"/>
        <sz val="12"/>
        <rFont val="Times New Roman"/>
        <family val="1"/>
      </rPr>
      <t>5</t>
    </r>
  </si>
  <si>
    <t>Monthly True-Up Cost of Service comprises Sections 1 thru 3 Direct Maintenance, Non-Direct Expense, and Other Specific Expenses Cost Components.</t>
  </si>
  <si>
    <t>Monthly True-Up Revenues comprises the prior cycle costs applicable to the true-up period.</t>
  </si>
  <si>
    <t>Adjustment to back-out the applicable prior year true-up and interest true-up adjustments that are included in the recorded monthly true-up revenues in Column 3.</t>
  </si>
  <si>
    <t>Adjustment to back-out Other Adjustments from a prior year which would be included in the recorded monthly true-up revenues in Column 3. Such adjustments include, but are not limited to, error adjustments and out-of-cycle recovery or refunds ordered by the</t>
  </si>
  <si>
    <t>Commission for a previous year.</t>
  </si>
  <si>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</si>
  <si>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</si>
  <si>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(f)</t>
  </si>
  <si>
    <t>(g) = (e) + (f)</t>
  </si>
  <si>
    <t>Addtl A&amp;G</t>
  </si>
  <si>
    <r>
      <t xml:space="preserve">Other Exclusion - FERC Audit Adjustment (Finding #7) </t>
    </r>
    <r>
      <rPr>
        <b/>
        <vertAlign val="superscript"/>
        <sz val="12"/>
        <rFont val="Times New Roman"/>
        <family val="1"/>
      </rPr>
      <t>3</t>
    </r>
  </si>
  <si>
    <t>Reversal of A&amp;G exclusion on FERC Audit Finding #7 in the originally filed TO5 Cycle 4 filing. The total amount that should have been excluded in 2020 A&amp;G for the 2016 to 2019 is shown in footnote 7.</t>
  </si>
  <si>
    <t>w/o Interest</t>
  </si>
  <si>
    <t>Pg9.2 Rev AH-3; Line 21; Col. a</t>
  </si>
  <si>
    <t>Represents FERC Audit adjusting entry on Finding #7 - accounting for donations &amp; lobbying expenses related to prior year A&amp;G costs (2016 - 2019) credited in the 2020 balances that was missed in prior year cost adjustment filings</t>
  </si>
  <si>
    <t>resulting from the 2020 FERC Audit that should be added back in the TO5 Cycle 4 A&amp;G. The impact of FERC audit adjustments and corresponding refunds will be accounted for in a separate FERC Audit refund analysis files with FERC.</t>
  </si>
  <si>
    <t>Adj</t>
  </si>
  <si>
    <t>A&amp;G</t>
  </si>
  <si>
    <t>Posted FERC Interest rates</t>
  </si>
  <si>
    <t xml:space="preserve">   Other Cost Adjustments (included in Appendix XII Cycle 4; ER23-110)</t>
  </si>
  <si>
    <t>True-Up Period - January 1, 2020 to December 31, 2020</t>
  </si>
  <si>
    <t>CEMA/WMPMA exclusion corrections</t>
  </si>
  <si>
    <t>2020 CEMA/WMPMA exclusion corrections.</t>
  </si>
  <si>
    <t>Pg9 Rev Stmt AL; Line 19</t>
  </si>
  <si>
    <t>Pg12 Rev AV-4; Page 1; Line 26</t>
  </si>
  <si>
    <t>Pg5 Rev Section 2; Page 1; Line 25</t>
  </si>
  <si>
    <t>Pg7 Rev Section 4; Page TU; Col. 11; Line 21</t>
  </si>
  <si>
    <t>Rate Effective Period January 1, 2022 to December 31, 2022</t>
  </si>
  <si>
    <t>Pg8.2 Negative of Rev AH-3; Line 60; Col. a</t>
  </si>
  <si>
    <t xml:space="preserve">Pg8.2 Negative of Rev AH-3; Sum Lines 27, 31, 37, 44, 48, 54, 63; Col. a </t>
  </si>
  <si>
    <t>Pg8.2 Negative of Rev AH-3; Line 56; Col. a</t>
  </si>
  <si>
    <t>Pg8.2 Negative of Rev AH-3; Line 57; Col. a</t>
  </si>
  <si>
    <t>Pg8.2 Negative of Rev AH-3; Line 53; Col. a</t>
  </si>
  <si>
    <t>Pg8.2 Negative of Rev AH-3; Line 59; Col. b</t>
  </si>
  <si>
    <t xml:space="preserve">Pg8.2 Negative of Rev AH-3; Line 55; Col. a   </t>
  </si>
  <si>
    <t>Pg8.2 Negative of Rev AH-3; Sum Lines 28, 29, 32, 33, 35, 38, 39, 40, 41, 42, 45, 46, 49, 50, 58, 62; Col. a and Line 35; Col. b</t>
  </si>
  <si>
    <t>Pg8.2 Rev AH-3; Line 23; Col. d</t>
  </si>
  <si>
    <t>Pg8.2 Rev AH-3; Line 23; Col. f</t>
  </si>
  <si>
    <t>Pg8.2 Negative of Rev AH-3; Line 64; Col. a</t>
  </si>
  <si>
    <t>Pg8.2 Negative of Rev AH-3; Line 52; Col. b</t>
  </si>
  <si>
    <t>Pg8.2 Negative of Rev AH-3; Line 7; Col. c</t>
  </si>
  <si>
    <r>
      <t xml:space="preserve">Appendix XII Cycle 7 Annual Informational Filing </t>
    </r>
    <r>
      <rPr>
        <b/>
        <vertAlign val="superscript"/>
        <sz val="14"/>
        <color theme="1"/>
        <rFont val="Times New Roman"/>
        <family val="1"/>
      </rPr>
      <t>1</t>
    </r>
  </si>
  <si>
    <t>As Filed - Appendix XII Cycle 4 ER22-133, ER23-110 and ER24-175</t>
  </si>
  <si>
    <t xml:space="preserve">Appendix XII Cycle 7 Annual Informational Filing </t>
  </si>
  <si>
    <t>Appendix XII Cycle 7 Annual Informational Filing</t>
  </si>
  <si>
    <t>(h)</t>
  </si>
  <si>
    <t>This is to correct the overallocation of duplicate charges credit for company energy use in FERC Account no. 929.</t>
  </si>
  <si>
    <r>
      <t xml:space="preserve">Other Exclusion - FERC Audit Adjustment (Finding #7) </t>
    </r>
    <r>
      <rPr>
        <vertAlign val="superscript"/>
        <sz val="12"/>
        <rFont val="Times New Roman"/>
        <family val="1"/>
      </rPr>
      <t>3</t>
    </r>
  </si>
  <si>
    <r>
      <t xml:space="preserve">Other Exclusion - 3P Adjustment </t>
    </r>
    <r>
      <rPr>
        <vertAlign val="superscript"/>
        <sz val="12"/>
        <rFont val="Times New Roman"/>
        <family val="1"/>
      </rPr>
      <t>2</t>
    </r>
  </si>
  <si>
    <r>
      <t xml:space="preserve">Other Exclusion - FERC Audit Adjustment (Finding #3) </t>
    </r>
    <r>
      <rPr>
        <vertAlign val="superscript"/>
        <sz val="12"/>
        <rFont val="Times New Roman"/>
        <family val="1"/>
      </rPr>
      <t>3</t>
    </r>
  </si>
  <si>
    <r>
      <t xml:space="preserve">Other Exclusion - FERC Audit Adjustment (Finding #8) </t>
    </r>
    <r>
      <rPr>
        <vertAlign val="superscript"/>
        <sz val="12"/>
        <rFont val="Times New Roman"/>
        <family val="1"/>
      </rPr>
      <t>3</t>
    </r>
  </si>
  <si>
    <r>
      <t xml:space="preserve">Other Exclusion - FERC Audit Adjustment (Finding #5) </t>
    </r>
    <r>
      <rPr>
        <vertAlign val="superscript"/>
        <sz val="12"/>
        <rFont val="Times New Roman"/>
        <family val="1"/>
      </rPr>
      <t>3</t>
    </r>
  </si>
  <si>
    <r>
      <t xml:space="preserve">2019 Abandoned Projects Correction </t>
    </r>
    <r>
      <rPr>
        <vertAlign val="superscript"/>
        <sz val="12"/>
        <rFont val="Times New Roman"/>
        <family val="1"/>
      </rPr>
      <t>4</t>
    </r>
  </si>
  <si>
    <t>Sum Lines 20 thru 35</t>
  </si>
  <si>
    <t>Line 36 + Line 37</t>
  </si>
  <si>
    <t>Line 38 x Line 39</t>
  </si>
  <si>
    <t>Sum Lines 45 thru 48</t>
  </si>
  <si>
    <t>Line 45 Above</t>
  </si>
  <si>
    <t>Sum Lines 51 thru 58</t>
  </si>
  <si>
    <t>Line 49 / Line 59</t>
  </si>
  <si>
    <t>Negative of Line 37 x Line 61</t>
  </si>
  <si>
    <t>Line 40 + Line 41</t>
  </si>
  <si>
    <t>Estimated FERC Interest rates</t>
  </si>
  <si>
    <t>Page 14 Line 69; Col. 5</t>
  </si>
  <si>
    <t xml:space="preserve">   Other Cost Adjustments (incl. in Appendix XII Cycle 5; ER23-110)</t>
  </si>
  <si>
    <t xml:space="preserve">   Other Cost Adjustments (incl. in Appendix XII Cycle 6; ER24-175)</t>
  </si>
  <si>
    <t>(i) = (g) + (h)</t>
  </si>
  <si>
    <t xml:space="preserve">FERC Audit </t>
  </si>
  <si>
    <t>Adj A&amp;G</t>
  </si>
  <si>
    <t>Adj.</t>
  </si>
  <si>
    <t>with FERC Audit Adj</t>
  </si>
  <si>
    <t>Items in bold have changed due to various FERC Audit adj. compared to Appendix XII Cycle 4 filing per ER22-133, cost adj. incl. in Appendix XII Cycle 5 per ER23-110 and Appendix XII Cycle 6 July Posting's cost adjustments.</t>
  </si>
  <si>
    <t>FERC Audit Adjustment - Compliance Finding #3 - Allocation of overhead costs to CWIP.</t>
  </si>
  <si>
    <t>(k) = (i) - (j)</t>
  </si>
  <si>
    <r>
      <t xml:space="preserve">Duplicate Charges (Company Energy Use) </t>
    </r>
    <r>
      <rPr>
        <b/>
        <vertAlign val="superscript"/>
        <sz val="12"/>
        <rFont val="Times New Roman"/>
        <family val="1"/>
      </rPr>
      <t>11</t>
    </r>
  </si>
  <si>
    <t>Sum Lines 5 thru 16</t>
  </si>
  <si>
    <t xml:space="preserve">   Other Cost Adjustments (included in Appendix XII Cycle 6; July posting)</t>
  </si>
  <si>
    <t xml:space="preserve">   FERC Audit Adjustments</t>
  </si>
  <si>
    <t>Pg14.4 Rev AH-3; Line 23; Col. h</t>
  </si>
  <si>
    <t>Pg11 Statement AD; Line 25</t>
  </si>
  <si>
    <t>Pg11 Statement AD; Line 29</t>
  </si>
  <si>
    <t>Pg11 Statement AD; Line 31</t>
  </si>
  <si>
    <t>Pg11 Statement AD; Line 1</t>
  </si>
  <si>
    <t>Pg11 Statement AD; Line 7</t>
  </si>
  <si>
    <t>Pg11 Statement AD; Line 9</t>
  </si>
  <si>
    <t>Pg11 Statement AD; Line 17</t>
  </si>
  <si>
    <t>Pg11 Statement AD; Line 19</t>
  </si>
  <si>
    <t xml:space="preserve">Items in bold have changed due to various FERC Audit adj. compared to Appendix XII Cycle 4 filing per ER22-133, cost adj. incl. in Appendix XII Cycle 5 per ER23-110 and Appendix XII </t>
  </si>
  <si>
    <t>Cycle 6 July Posting's cost adjustments.</t>
  </si>
  <si>
    <t>Sum Lines 20 thru 36</t>
  </si>
  <si>
    <t>Adj A&amp;G with</t>
  </si>
  <si>
    <t>FERC Audit Adj</t>
  </si>
  <si>
    <t>Pg11 Rev Statement AD; Line 35</t>
  </si>
  <si>
    <t>Pg14 Rev Stmt AH; Line 42</t>
  </si>
  <si>
    <t>Pg13 Rev Statement AF; Line 7</t>
  </si>
  <si>
    <t>Pg17 Rev Statement AL; Line 5</t>
  </si>
  <si>
    <t>Pg17 Rev Statement AL; Line 9</t>
  </si>
  <si>
    <t>Pg17 Rev Stmt AL; Line 19</t>
  </si>
  <si>
    <t xml:space="preserve">Items in bold have changed due to various FERC Audit adj. compared to Appendix XII Cycle 4 filing per ER22-133, cost adj. incl. in Appendix XII Cycle 5 per ER23-110 </t>
  </si>
  <si>
    <t>and Appendix XII Cycle 6 July Posting's cost adjustments.</t>
  </si>
  <si>
    <t>Pg11 Rev Statement AD; Line 11</t>
  </si>
  <si>
    <t>Pg11 Rev Statement AD; Line 27</t>
  </si>
  <si>
    <t>Pg11 Rev Statement AD; Line 29</t>
  </si>
  <si>
    <t>Pg11 Rev Statement AD; Line 31</t>
  </si>
  <si>
    <t>Pg12 Rev Statement AE; Line 1</t>
  </si>
  <si>
    <t>Pg12 Rev Statement AE; Line 11</t>
  </si>
  <si>
    <t>Pg12 Rev Statement AE; Line 13</t>
  </si>
  <si>
    <t>Pg12 Rev Statement AE; Line 15</t>
  </si>
  <si>
    <t>Line 2 Minus Line 9</t>
  </si>
  <si>
    <t>Line 3 Minus Line 10</t>
  </si>
  <si>
    <t>Line 4 Minus Line 11</t>
  </si>
  <si>
    <t>Line 5 Minus Line 12</t>
  </si>
  <si>
    <t>Sum Lines 16 thru 19</t>
  </si>
  <si>
    <t>Line 23 Minus Line 24</t>
  </si>
  <si>
    <t>Pg22 Rev AV-4; Page 1; Line 26</t>
  </si>
  <si>
    <t xml:space="preserve">Items in bold have changed due to various FERC Audit adj. compared to Appendix XII Cycle 4 filing per ER22-133, cost adj. incl. in Appendix XII Cycle 5 per ER23-110 and </t>
  </si>
  <si>
    <t>Appendix XII Cycle 6 July Posting's cost adjustments.</t>
  </si>
  <si>
    <t xml:space="preserve">Items in bold have changed due to various FERC Audit adj. compared to Appendix XII Cycle 4 filing per ER22-133, cost adj. incl. in Appendix XII Cycle 5 per ER23-110  </t>
  </si>
  <si>
    <t>Pg22 Rev AV-4; Line 6</t>
  </si>
  <si>
    <t>Pg16 Rev Statement AK; Line 17</t>
  </si>
  <si>
    <t>Pg22 Rev AV-4; Line 4</t>
  </si>
  <si>
    <t>Pg22 Rev AV-4; Line 5</t>
  </si>
  <si>
    <t>Pg15 Rev Statement AJ; Line 17</t>
  </si>
  <si>
    <t>Pg9 Rev Section 3; Page 1; Line 31</t>
  </si>
  <si>
    <t>Pg10 Rev Section 4; Page TU; Col. 11; Line 21</t>
  </si>
  <si>
    <t>Pg18 Rev Stmt AV; Page 2; Line 31</t>
  </si>
  <si>
    <t>Pg11 Rev Stmt AV; Page 2; Line 31</t>
  </si>
  <si>
    <t>Source: As Filed Appendix XII Cycle 4; Rev AV-4 in FERC Audit Adj; ER24-175</t>
  </si>
  <si>
    <t>Source: As Filed Appendix XII Cycle 4; Rev Stmt AV in FERC Audit Adj; ER24-175</t>
  </si>
  <si>
    <t>Source: As Filed Appendix XII Cycle 4; Rev Stmt AL in FERC Audit Adj; ER24-175</t>
  </si>
  <si>
    <t>Source: As Filed Appendix XII Cycle 4; Rev AH-3 in FERC Audit Adj; ER24-175</t>
  </si>
  <si>
    <t>Source: As Filed Appendix XII Cycle 4; Rev Stmt AH in FERC Audit Adj; ER24-175</t>
  </si>
  <si>
    <t>Source: As Filed Appendix XII Cycle 4; Rev Summary of Cost Components in FERC Audit Adj; ER24-175</t>
  </si>
  <si>
    <t>Source: As Filed Appendix XII Cycle 4; Rev Sec 2-Non-Dir Exp in FERC Audit Adj; ER24-175</t>
  </si>
  <si>
    <t>Source: As Filed Appendix XII Cycle 4; Rev Sec 4-TU in FERC Audit Adj; ER24-175</t>
  </si>
  <si>
    <r>
      <t xml:space="preserve">(h) </t>
    </r>
    <r>
      <rPr>
        <b/>
        <vertAlign val="superscript"/>
        <sz val="12"/>
        <rFont val="Times New Roman"/>
        <family val="1"/>
      </rPr>
      <t>10</t>
    </r>
  </si>
  <si>
    <r>
      <t xml:space="preserve">(j) </t>
    </r>
    <r>
      <rPr>
        <b/>
        <vertAlign val="superscript"/>
        <sz val="12"/>
        <rFont val="Times New Roman"/>
        <family val="1"/>
      </rPr>
      <t>11</t>
    </r>
  </si>
  <si>
    <t xml:space="preserve">   FERC Audit Adjustments (incl. in Appendix XII Cycle 6; ER24-175)</t>
  </si>
  <si>
    <t>Pg9 Rev Statement AL; Line 5</t>
  </si>
  <si>
    <t>Pg9 Rev Statement AL; Line 9</t>
  </si>
  <si>
    <t>Rev AH-3; Line 23; Col. a</t>
  </si>
  <si>
    <t>Source: As Filed Appendix XII Cycle 4; Stmt AH in Oct Filing; ER24-175</t>
  </si>
  <si>
    <t>Sum Lines 5 thru 17</t>
  </si>
  <si>
    <t>Sum Lines 20 thru 34</t>
  </si>
  <si>
    <t>Line 35 + Line 36</t>
  </si>
  <si>
    <t>Line 37 x Line 38</t>
  </si>
  <si>
    <t>Negative of Line 36 x Line 60</t>
  </si>
  <si>
    <t>Line 39 + Line 40</t>
  </si>
  <si>
    <t>Sum Lines 44 thru 47</t>
  </si>
  <si>
    <t>Line 44 Above</t>
  </si>
  <si>
    <t>Sum Lines 50 thru 57</t>
  </si>
  <si>
    <t>Line 48 / Line 58</t>
  </si>
  <si>
    <t>Items in BOLD have changed due to A&amp;G adj. missed in prior cost adj. and CEMA/WMPMA exclusion corrections compared to the original SX-PQ Appendix XII Cycle 4</t>
  </si>
  <si>
    <t>per ER22-133 and cost adj. incl. in Appendix XII Cycle 5 per ER23-110.</t>
  </si>
  <si>
    <t>Items in BOLD have changed due to A&amp;G adj. missed in prior cost adj. and CEMA/WMPMA exclusion corrections compared to the original SX-PQ Appendix XII Cycle 4 per ER22-133 and cost adj. incl. in Appendix XII Cycle 5 per ER23-110.</t>
  </si>
  <si>
    <t>Source: As Filed Appendix XII Cycle 4; Rev AH-3 in Oct Filing; ER24-175</t>
  </si>
  <si>
    <t>Negative of Rev AH-3; Line 63; Col. a</t>
  </si>
  <si>
    <t xml:space="preserve">Negative of Rev AH-3; Sum Lines 27, 31, 38, 46, 50, 56, 67; Col. a </t>
  </si>
  <si>
    <t>Negative of Rev AH-3; Line 58; Col. a</t>
  </si>
  <si>
    <t>Negative of Rev AH-3; Line 59; Col. a</t>
  </si>
  <si>
    <t>Negative of Rev AH-3; Line 55; Col. a</t>
  </si>
  <si>
    <t>Negative of Rev AH-3; Line 62; Col. b</t>
  </si>
  <si>
    <t>Negative of Rev AH-3; Line 54; Col. b</t>
  </si>
  <si>
    <t>Negative of Rev AH-3; Line 68; Col. a</t>
  </si>
  <si>
    <t xml:space="preserve">Negative of Rev AH-3; Line 57; Col. a   </t>
  </si>
  <si>
    <t>Negative of Pg8.3 Rev AH-3; Line 20; Col. j</t>
  </si>
  <si>
    <t>Negative of Rev AH-3; Sum Lines 28, 29, 32, 33, 39, 40, 41, 42, 43, 47, 48, 51, 52, 60, 65, 66; Col. a and Line 36; Col. b</t>
  </si>
  <si>
    <t>Rev AH-3; Line 23; Col. d</t>
  </si>
  <si>
    <t>Rev AH-3; Line 23; Col. f</t>
  </si>
  <si>
    <t>Rev AH-3; Line 23; Col. h</t>
  </si>
  <si>
    <t xml:space="preserve">         Other Cost Adj (already incl. in prior cost adj per tab Pg8.1)</t>
  </si>
  <si>
    <t xml:space="preserve">         Other Cost Adj (already incl. in prior cost adj per tab Pg8.2)</t>
  </si>
  <si>
    <t>Line 34</t>
  </si>
  <si>
    <t>Pg8.2 As Filed Stmt AH FERC Adj; Line 34</t>
  </si>
  <si>
    <t>Line 37 thru Line 40</t>
  </si>
  <si>
    <t>Line 41 x Line 42</t>
  </si>
  <si>
    <t>Negative of Line 38 x Line 64</t>
  </si>
  <si>
    <t>Line 43 + Line 44</t>
  </si>
  <si>
    <t>Sum Lines 48thru 51</t>
  </si>
  <si>
    <t>Line 48 Above</t>
  </si>
  <si>
    <t>Sum Lines 54 thru 61</t>
  </si>
  <si>
    <t>Line 52 / Line 62</t>
  </si>
  <si>
    <t>Pg8 Rev Stmt AH; Line 45</t>
  </si>
  <si>
    <t xml:space="preserve">Section C.6a of the Protocols provides a mechanism for SDG&amp;E to correct errors that affected the Appendix XII costs in a previous Informational Filing. In this </t>
  </si>
  <si>
    <t>Energy Use)" Credit accounted for in FERC account 929. This error understated the Citizens Share of the SX-PQ Underground Line Segment in the previous</t>
  </si>
  <si>
    <t>Appendix XII Cycle 7 Informational Filing, SDG&amp;E is correcting Appendix XII Cycle 4 for approximately $2K for the over-allocation of "Duplicate Charges (Company</t>
  </si>
  <si>
    <t>Appendix XII Cycle 4 filing causing its correction in the Appendix XII Cycle 7 Annual Informational Filing.</t>
  </si>
  <si>
    <t>Items in BOLD have changed to correct the over-allocation of "Duplicate Charges (Company Energy Use)" Credit in FERC Account no. 929.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</si>
</sst>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4">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
    <numFmt numFmtId="167" formatCode="#,##0.0_);\(#,##0.0\)"/>
    <numFmt numFmtId="168" formatCode="0.0000%"/>
    <numFmt numFmtId="169" formatCode="0.000000"/>
    <numFmt numFmtId="170" formatCode="_(&quot;$&quot;* #,##0.000_);_(&quot;$&quot;* \(#,##0.000\);_(&quot;$&quot;* &quot;-&quot;??_);_(@_)"/>
    <numFmt numFmtId="171" formatCode="_(* #,##0.000_);_(* \(#,##0.000\);_(* &quot;-&quot;??_);_(@_)"/>
    <numFmt numFmtId="172" formatCode="0_);\(0\)"/>
    <numFmt numFmtId="173" formatCode="0.0%"/>
    <numFmt numFmtId="174" formatCode="_(&quot;$&quot;* #,##0,_);_(&quot;$&quot;* \(#,##0,\);_(&quot;$&quot;* &quot;-&quot;??_);_(@_)"/>
    <numFmt numFmtId="175" formatCode="&quot;$&quot;#,##0,_);[Red]\(&quot;$&quot;#,##0,\)"/>
    <numFmt numFmtId="176" formatCode="00000"/>
    <numFmt numFmtId="177" formatCode="_(* #,##0.000000000000000_);_(* \(#,##0.000000000000000\);_(* &quot;-&quot;??_);_(@_)"/>
    <numFmt numFmtId="178" formatCode="&quot;$&quot;#,##0"/>
    <numFmt numFmtId="179" formatCode="_(&quot;$&quot;* #,##0.0_);_(&quot;$&quot;* \(#,##0.0\);_(&quot;$&quot;* &quot;-&quot;??_);_(@_)"/>
    <numFmt numFmtId="180" formatCode="_(* #,##0.0_);_(* \(#,##0.0\);_(* &quot;-&quot;??_);_(@_)"/>
    <numFmt numFmtId="181" formatCode="0.000"/>
  </numFmts>
  <fonts count="35" x14ac:knownFonts="1">
    <font>
      <sz val="11"/>
      <color theme="1"/>
      <name val="Calibri"/>
      <family val="2"/>
      <scheme val="minor"/>
    </font>
    <font>
      <sz val="11"/>
      <color theme="1"/>
      <name val="Calibri"/>
      <family val="2"/>
      <scheme val="minor"/>
    </font>
    <font>
      <b/>
      <sz val="14"/>
      <color theme="1"/>
      <name val="Times New Roman"/>
      <family val="1"/>
    </font>
    <font>
      <b/>
      <sz val="12"/>
      <color theme="1"/>
      <name val="Times New Roman"/>
      <family val="1"/>
    </font>
    <font>
      <b/>
      <vertAlign val="superscript"/>
      <sz val="14"/>
      <color theme="1"/>
      <name val="Times New Roman"/>
      <family val="1"/>
    </font>
    <font>
      <b/>
      <sz val="12"/>
      <name val="Times New Roman"/>
      <family val="1"/>
    </font>
    <font>
      <b/>
      <sz val="12"/>
      <name val="Arial"/>
      <family val="2"/>
    </font>
    <font>
      <sz val="12"/>
      <color theme="1"/>
      <name val="Times New Roman"/>
      <family val="1"/>
    </font>
    <font>
      <b/>
      <u/>
      <sz val="12"/>
      <color theme="1"/>
      <name val="Times New Roman"/>
      <family val="1"/>
    </font>
    <font>
      <sz val="12"/>
      <name val="Times New Roman"/>
      <family val="1"/>
    </font>
    <font>
      <b/>
      <sz val="12"/>
      <color rgb="FFFF0000"/>
      <name val="Times New Roman"/>
      <family val="1"/>
    </font>
    <font>
      <b/>
      <vertAlign val="superscript"/>
      <sz val="11"/>
      <color theme="1"/>
      <name val="Times New Roman"/>
      <family val="1"/>
    </font>
    <font>
      <sz val="12"/>
      <color rgb="FFFF0000"/>
      <name val="Times New Roman"/>
      <family val="1"/>
    </font>
    <font>
      <sz val="10"/>
      <name val="Arial"/>
      <family val="2"/>
    </font>
    <font>
      <b/>
      <vertAlign val="superscript"/>
      <sz val="12"/>
      <name val="Times New Roman"/>
      <family val="1"/>
    </font>
    <font>
      <sz val="11"/>
      <name val="Times New Roman"/>
      <family val="1"/>
    </font>
    <font>
      <b/>
      <sz val="11"/>
      <name val="Times New Roman"/>
      <family val="1"/>
    </font>
    <font>
      <b/>
      <u/>
      <sz val="12"/>
      <name val="Times New Roman"/>
      <family val="1"/>
    </font>
    <font>
      <b/>
      <sz val="12"/>
      <name val="Calibri"/>
      <family val="2"/>
    </font>
    <font>
      <u/>
      <sz val="12"/>
      <name val="Times New Roman"/>
      <family val="1"/>
    </font>
    <font>
      <b/>
      <i/>
      <u/>
      <sz val="12"/>
      <name val="Times New Roman"/>
      <family val="1"/>
    </font>
    <font>
      <sz val="12"/>
      <color rgb="FF0000FF"/>
      <name val="Times New Roman"/>
      <family val="1"/>
    </font>
    <font>
      <strike/>
      <sz val="12"/>
      <name val="Times New Roman"/>
      <family val="1"/>
    </font>
    <font>
      <b/>
      <vertAlign val="superscript"/>
      <sz val="12"/>
      <color rgb="FFFF0000"/>
      <name val="Times New Roman"/>
      <family val="1"/>
    </font>
    <font>
      <u/>
      <vertAlign val="subscript"/>
      <sz val="12"/>
      <name val="Times New Roman"/>
      <family val="1"/>
    </font>
    <font>
      <sz val="12"/>
      <color theme="1"/>
      <name val="Calibri"/>
      <family val="2"/>
      <scheme val="minor"/>
    </font>
    <font>
      <sz val="8"/>
      <name val="Courier"/>
      <family val="3"/>
    </font>
    <font>
      <b/>
      <u val="singleAccounting"/>
      <sz val="12"/>
      <color rgb="FFFF0000"/>
      <name val="Times New Roman"/>
      <family val="1"/>
    </font>
    <font>
      <b/>
      <u/>
      <sz val="12"/>
      <color rgb="FFFF0000"/>
      <name val="Times New Roman"/>
      <family val="1"/>
    </font>
    <font>
      <b/>
      <vertAlign val="superscript"/>
      <sz val="13"/>
      <name val="Times New Roman"/>
      <family val="1"/>
    </font>
    <font>
      <vertAlign val="superscript"/>
      <sz val="12"/>
      <color rgb="FFFF0000"/>
      <name val="Times New Roman"/>
      <family val="1"/>
    </font>
    <font>
      <b/>
      <vertAlign val="superscript"/>
      <sz val="11"/>
      <name val="Times New Roman"/>
      <family val="1"/>
    </font>
    <font>
      <sz val="12"/>
      <name val="Calibri"/>
      <family val="2"/>
    </font>
    <font>
      <vertAlign val="superscript"/>
      <sz val="12"/>
      <name val="Times New Roman"/>
      <family val="1"/>
    </font>
    <font>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s>
  <borders count="37">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indexed="64"/>
      </right>
      <top/>
      <bottom/>
      <diagonal/>
    </border>
    <border>
      <left/>
      <right style="thin">
        <color indexed="64"/>
      </right>
      <top style="thin">
        <color indexed="64"/>
      </top>
      <bottom/>
      <diagonal/>
    </border>
    <border>
      <left style="medium">
        <color indexed="64"/>
      </left>
      <right style="thin">
        <color auto="1"/>
      </right>
      <top/>
      <bottom style="medium">
        <color indexed="64"/>
      </bottom>
      <diagonal/>
    </border>
    <border>
      <left/>
      <right style="thin">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medium">
        <color auto="1"/>
      </bottom>
      <diagonal/>
    </border>
    <border>
      <left/>
      <right/>
      <top style="double">
        <color indexed="64"/>
      </top>
      <bottom style="medium">
        <color indexed="64"/>
      </bottom>
      <diagonal/>
    </border>
    <border>
      <left/>
      <right/>
      <top/>
      <bottom style="thin">
        <color indexed="8"/>
      </bottom>
      <diagonal/>
    </border>
    <border>
      <left/>
      <right/>
      <top/>
      <bottom style="thin">
        <color auto="1"/>
      </bottom>
      <diagonal/>
    </border>
    <border>
      <left/>
      <right/>
      <top style="thin">
        <color theme="1"/>
      </top>
      <bottom/>
      <diagonal/>
    </border>
    <border>
      <left/>
      <right/>
      <top/>
      <bottom style="thin">
        <color theme="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auto="1"/>
      </top>
      <bottom/>
      <diagonal/>
    </border>
  </borders>
  <cellStyleXfs count="3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 fillId="0" borderId="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44" fontId="25" fillId="0" borderId="0" applyFont="0" applyFill="0" applyBorder="0" applyAlignment="0" applyProtection="0"/>
    <xf numFmtId="43" fontId="13" fillId="0" borderId="0" applyFont="0" applyFill="0" applyBorder="0" applyAlignment="0" applyProtection="0"/>
    <xf numFmtId="0" fontId="26" fillId="0" borderId="0"/>
    <xf numFmtId="9" fontId="13" fillId="0" borderId="0" applyFont="0" applyFill="0" applyBorder="0" applyAlignment="0" applyProtection="0"/>
    <xf numFmtId="0" fontId="1" fillId="0" borderId="0"/>
    <xf numFmtId="0" fontId="13" fillId="0" borderId="0"/>
    <xf numFmtId="0" fontId="1"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 fillId="0" borderId="0"/>
    <xf numFmtId="0" fontId="13" fillId="0" borderId="0"/>
    <xf numFmtId="44" fontId="13" fillId="0" borderId="0" applyFont="0" applyFill="0" applyBorder="0" applyAlignment="0" applyProtection="0"/>
    <xf numFmtId="43" fontId="13" fillId="0" borderId="0" applyFont="0" applyFill="0" applyBorder="0" applyAlignment="0" applyProtection="0"/>
    <xf numFmtId="0" fontId="1" fillId="0" borderId="0"/>
  </cellStyleXfs>
  <cellXfs count="800">
    <xf numFmtId="0" fontId="0" fillId="0" borderId="0" xfId="0"/>
    <xf numFmtId="0" fontId="1" fillId="0" borderId="0" xfId="4"/>
    <xf numFmtId="0" fontId="2" fillId="0" borderId="0" xfId="4" applyFont="1" applyAlignment="1">
      <alignment horizontal="centerContinuous" vertical="justify"/>
    </xf>
    <xf numFmtId="0" fontId="3" fillId="0" borderId="0" xfId="4" applyFont="1" applyAlignment="1">
      <alignment horizontal="centerContinuous" vertical="justify"/>
    </xf>
    <xf numFmtId="0" fontId="6" fillId="0" borderId="0" xfId="0" applyFont="1"/>
    <xf numFmtId="0" fontId="7" fillId="0" borderId="0" xfId="4" applyFont="1"/>
    <xf numFmtId="0" fontId="8" fillId="0" borderId="0" xfId="4" quotePrefix="1" applyFont="1" applyAlignment="1">
      <alignment horizontal="center"/>
    </xf>
    <xf numFmtId="0" fontId="8" fillId="0" borderId="0" xfId="4" applyFont="1"/>
    <xf numFmtId="0" fontId="9" fillId="0" borderId="0" xfId="0" applyFont="1" applyAlignment="1">
      <alignment horizontal="center"/>
    </xf>
    <xf numFmtId="0" fontId="8" fillId="0" borderId="0" xfId="4" applyFont="1" applyAlignment="1">
      <alignment horizontal="center"/>
    </xf>
    <xf numFmtId="0" fontId="3" fillId="0" borderId="0" xfId="4" applyFont="1" applyAlignment="1">
      <alignment horizontal="center"/>
    </xf>
    <xf numFmtId="0" fontId="9" fillId="0" borderId="1" xfId="0" applyFont="1" applyBorder="1" applyAlignment="1">
      <alignment horizontal="center"/>
    </xf>
    <xf numFmtId="0" fontId="7" fillId="0" borderId="0" xfId="4" applyFont="1" applyAlignment="1">
      <alignment horizontal="center"/>
    </xf>
    <xf numFmtId="0" fontId="10" fillId="0" borderId="0" xfId="4" applyFont="1" applyAlignment="1">
      <alignment horizontal="center"/>
    </xf>
    <xf numFmtId="164" fontId="7" fillId="0" borderId="0" xfId="5" applyNumberFormat="1" applyFont="1"/>
    <xf numFmtId="165" fontId="7" fillId="0" borderId="0" xfId="6" applyNumberFormat="1" applyFont="1"/>
    <xf numFmtId="165" fontId="7" fillId="0" borderId="0" xfId="6" applyNumberFormat="1" applyFont="1" applyBorder="1"/>
    <xf numFmtId="0" fontId="11" fillId="0" borderId="0" xfId="4" applyFont="1" applyAlignment="1">
      <alignment horizontal="center"/>
    </xf>
    <xf numFmtId="0" fontId="9" fillId="0" borderId="0" xfId="0" applyFont="1"/>
    <xf numFmtId="37" fontId="9" fillId="0" borderId="0" xfId="0" applyNumberFormat="1" applyFont="1"/>
    <xf numFmtId="164" fontId="9" fillId="0" borderId="0" xfId="0" applyNumberFormat="1" applyFont="1"/>
    <xf numFmtId="167" fontId="5" fillId="0" borderId="0" xfId="0" applyNumberFormat="1" applyFont="1" applyAlignment="1">
      <alignment horizontal="center" wrapText="1"/>
    </xf>
    <xf numFmtId="0" fontId="5" fillId="0" borderId="0" xfId="0" applyFont="1"/>
    <xf numFmtId="0" fontId="16" fillId="0" borderId="0" xfId="0" applyFont="1" applyAlignment="1">
      <alignment horizontal="center"/>
    </xf>
    <xf numFmtId="0" fontId="9" fillId="0" borderId="0" xfId="0" applyFont="1" applyAlignment="1">
      <alignment horizontal="left"/>
    </xf>
    <xf numFmtId="0" fontId="18" fillId="0" borderId="0" xfId="0" applyFont="1" applyAlignment="1">
      <alignment horizontal="center"/>
    </xf>
    <xf numFmtId="165" fontId="9" fillId="0" borderId="0" xfId="1" applyNumberFormat="1" applyFont="1"/>
    <xf numFmtId="0" fontId="19" fillId="0" borderId="0" xfId="0" applyFont="1" applyAlignment="1">
      <alignment horizontal="left"/>
    </xf>
    <xf numFmtId="165" fontId="9" fillId="0" borderId="0" xfId="0" applyNumberFormat="1" applyFont="1"/>
    <xf numFmtId="165" fontId="9" fillId="0" borderId="0" xfId="1" applyNumberFormat="1" applyFont="1" applyFill="1" applyBorder="1"/>
    <xf numFmtId="165" fontId="9" fillId="0" borderId="0" xfId="1" applyNumberFormat="1" applyFont="1" applyBorder="1"/>
    <xf numFmtId="164" fontId="9" fillId="0" borderId="0" xfId="2" applyNumberFormat="1" applyFont="1" applyFill="1" applyBorder="1"/>
    <xf numFmtId="165" fontId="9" fillId="2" borderId="1" xfId="1" applyNumberFormat="1" applyFont="1" applyFill="1" applyBorder="1" applyAlignment="1">
      <alignment horizontal="right" vertical="center"/>
    </xf>
    <xf numFmtId="0" fontId="9" fillId="0" borderId="0" xfId="2" applyNumberFormat="1" applyFont="1" applyAlignment="1">
      <alignment horizontal="center" vertical="center"/>
    </xf>
    <xf numFmtId="164" fontId="9" fillId="2" borderId="0" xfId="2" applyNumberFormat="1" applyFont="1" applyFill="1" applyAlignment="1">
      <alignment horizontal="right" vertical="center"/>
    </xf>
    <xf numFmtId="165" fontId="9" fillId="2" borderId="0" xfId="1" applyNumberFormat="1" applyFont="1" applyFill="1" applyAlignment="1">
      <alignment vertical="center"/>
    </xf>
    <xf numFmtId="165" fontId="9" fillId="0" borderId="0" xfId="1" applyNumberFormat="1" applyFont="1" applyFill="1" applyAlignment="1">
      <alignment horizontal="right" vertical="center"/>
    </xf>
    <xf numFmtId="164" fontId="9" fillId="0" borderId="0" xfId="2" applyNumberFormat="1" applyFont="1" applyFill="1" applyBorder="1" applyAlignment="1">
      <alignment vertical="center"/>
    </xf>
    <xf numFmtId="165" fontId="9" fillId="0" borderId="0" xfId="1"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right" vertical="center"/>
    </xf>
    <xf numFmtId="165" fontId="9" fillId="0" borderId="0" xfId="0" applyNumberFormat="1" applyFont="1" applyAlignment="1">
      <alignment horizontal="center" vertical="center"/>
    </xf>
    <xf numFmtId="15" fontId="9" fillId="0" borderId="0" xfId="0" applyNumberFormat="1" applyFont="1" applyAlignment="1">
      <alignment horizontal="center" vertical="center"/>
    </xf>
    <xf numFmtId="0" fontId="19" fillId="0" borderId="0" xfId="0" applyFont="1" applyAlignment="1">
      <alignment vertical="center"/>
    </xf>
    <xf numFmtId="164" fontId="9" fillId="3" borderId="0" xfId="2" applyNumberFormat="1" applyFont="1" applyFill="1" applyBorder="1" applyAlignment="1" applyProtection="1">
      <alignment vertical="center"/>
      <protection locked="0"/>
    </xf>
    <xf numFmtId="0" fontId="9" fillId="0" borderId="0" xfId="0" applyFont="1" applyAlignment="1">
      <alignment horizontal="left" vertical="center"/>
    </xf>
    <xf numFmtId="164" fontId="9" fillId="0" borderId="0" xfId="2" applyNumberFormat="1" applyFont="1" applyFill="1" applyAlignment="1" applyProtection="1">
      <alignment vertical="center"/>
      <protection locked="0"/>
    </xf>
    <xf numFmtId="165" fontId="9" fillId="3" borderId="0" xfId="1" applyNumberFormat="1" applyFont="1" applyFill="1" applyBorder="1" applyAlignment="1" applyProtection="1">
      <alignment vertical="center"/>
      <protection locked="0"/>
    </xf>
    <xf numFmtId="165" fontId="9" fillId="3" borderId="0" xfId="1" applyNumberFormat="1" applyFont="1" applyFill="1" applyBorder="1" applyAlignment="1">
      <alignment vertical="center"/>
    </xf>
    <xf numFmtId="165" fontId="9" fillId="0" borderId="0" xfId="1" applyNumberFormat="1" applyFont="1" applyBorder="1" applyAlignment="1" applyProtection="1">
      <alignment vertical="center"/>
      <protection locked="0"/>
    </xf>
    <xf numFmtId="0" fontId="9" fillId="0" borderId="0" xfId="0" applyFont="1" applyAlignment="1">
      <alignment horizontal="center" vertical="center" wrapText="1"/>
    </xf>
    <xf numFmtId="165" fontId="9" fillId="0" borderId="0" xfId="0" applyNumberFormat="1" applyFont="1" applyAlignment="1">
      <alignment vertical="center"/>
    </xf>
    <xf numFmtId="164" fontId="5" fillId="0" borderId="0" xfId="2" applyNumberFormat="1" applyFont="1" applyFill="1" applyBorder="1" applyAlignment="1" applyProtection="1">
      <alignment vertical="center"/>
      <protection locked="0"/>
    </xf>
    <xf numFmtId="164" fontId="5" fillId="0" borderId="17" xfId="2" applyNumberFormat="1" applyFont="1" applyBorder="1" applyAlignment="1">
      <alignment horizontal="right" vertical="center"/>
    </xf>
    <xf numFmtId="0" fontId="5" fillId="0" borderId="0" xfId="0" applyFont="1" applyAlignment="1">
      <alignment horizontal="left" vertical="center"/>
    </xf>
    <xf numFmtId="164" fontId="9" fillId="0" borderId="0" xfId="2" applyNumberFormat="1" applyFont="1" applyBorder="1" applyAlignment="1">
      <alignment horizontal="right" vertical="center"/>
    </xf>
    <xf numFmtId="5" fontId="9" fillId="0" borderId="0" xfId="0" applyNumberFormat="1" applyFont="1" applyAlignment="1">
      <alignment horizontal="right" vertical="center"/>
    </xf>
    <xf numFmtId="165" fontId="9" fillId="4" borderId="0" xfId="1" applyNumberFormat="1" applyFont="1" applyFill="1" applyAlignment="1">
      <alignment horizontal="right" vertical="center"/>
    </xf>
    <xf numFmtId="165" fontId="9" fillId="2" borderId="0" xfId="1" applyNumberFormat="1" applyFont="1" applyFill="1" applyAlignment="1">
      <alignment horizontal="right" vertical="center"/>
    </xf>
    <xf numFmtId="0" fontId="9" fillId="0" borderId="0" xfId="2" applyNumberFormat="1" applyFont="1" applyFill="1" applyAlignment="1">
      <alignment horizontal="center" vertical="center"/>
    </xf>
    <xf numFmtId="164" fontId="9" fillId="0" borderId="15" xfId="2" applyNumberFormat="1" applyFont="1" applyBorder="1" applyAlignment="1">
      <alignment horizontal="right" vertical="center"/>
    </xf>
    <xf numFmtId="164" fontId="9" fillId="0" borderId="0" xfId="2" applyNumberFormat="1" applyFont="1" applyFill="1" applyAlignment="1">
      <alignment vertical="center"/>
    </xf>
    <xf numFmtId="5" fontId="9" fillId="0" borderId="0" xfId="11" applyNumberFormat="1" applyFont="1" applyAlignment="1">
      <alignment horizontal="center" vertical="center"/>
    </xf>
    <xf numFmtId="164" fontId="9" fillId="0" borderId="15" xfId="2" applyNumberFormat="1" applyFont="1" applyBorder="1" applyAlignment="1">
      <alignment vertical="center"/>
    </xf>
    <xf numFmtId="5" fontId="9" fillId="0" borderId="0" xfId="0" applyNumberFormat="1" applyFont="1" applyAlignment="1" applyProtection="1">
      <alignment vertical="center"/>
      <protection locked="0"/>
    </xf>
    <xf numFmtId="10" fontId="9" fillId="0" borderId="2" xfId="2" applyNumberFormat="1" applyFont="1" applyBorder="1" applyAlignment="1">
      <alignment horizontal="right" vertical="center"/>
    </xf>
    <xf numFmtId="164" fontId="9" fillId="0" borderId="0" xfId="0" applyNumberFormat="1" applyFont="1" applyAlignment="1" applyProtection="1">
      <alignment horizontal="right" vertical="center"/>
      <protection locked="0"/>
    </xf>
    <xf numFmtId="0" fontId="18" fillId="0" borderId="10" xfId="0" applyFont="1" applyBorder="1" applyAlignment="1">
      <alignment horizontal="center"/>
    </xf>
    <xf numFmtId="0" fontId="14" fillId="0" borderId="0" xfId="0" applyFont="1" applyAlignment="1">
      <alignment horizontal="center" vertical="center"/>
    </xf>
    <xf numFmtId="0" fontId="9" fillId="0" borderId="0" xfId="0" quotePrefix="1" applyFont="1" applyAlignment="1">
      <alignment horizontal="center" vertical="center"/>
    </xf>
    <xf numFmtId="0" fontId="5" fillId="0" borderId="19" xfId="0" quotePrefix="1" applyFont="1" applyBorder="1" applyAlignment="1">
      <alignment horizontal="center"/>
    </xf>
    <xf numFmtId="0" fontId="5" fillId="0" borderId="21" xfId="0" applyFont="1" applyBorder="1" applyAlignment="1">
      <alignment horizontal="center"/>
    </xf>
    <xf numFmtId="0" fontId="9" fillId="0" borderId="11" xfId="0" applyFont="1" applyBorder="1" applyAlignment="1">
      <alignment horizontal="center" vertical="center"/>
    </xf>
    <xf numFmtId="164" fontId="9" fillId="0" borderId="13" xfId="2" applyNumberFormat="1" applyFont="1" applyFill="1" applyBorder="1" applyAlignment="1">
      <alignment vertical="center"/>
    </xf>
    <xf numFmtId="165" fontId="9" fillId="0" borderId="13" xfId="1" applyNumberFormat="1" applyFont="1" applyFill="1" applyBorder="1" applyAlignment="1">
      <alignment vertical="center"/>
    </xf>
    <xf numFmtId="165" fontId="9" fillId="0" borderId="0" xfId="1" applyNumberFormat="1" applyFont="1" applyFill="1" applyBorder="1" applyAlignment="1">
      <alignment vertical="center"/>
    </xf>
    <xf numFmtId="165" fontId="9" fillId="0" borderId="21" xfId="1" applyNumberFormat="1" applyFont="1" applyFill="1" applyBorder="1" applyAlignment="1">
      <alignment vertical="center"/>
    </xf>
    <xf numFmtId="164" fontId="5" fillId="0" borderId="0" xfId="2" applyNumberFormat="1" applyFont="1" applyFill="1" applyBorder="1" applyAlignment="1">
      <alignment vertical="center"/>
    </xf>
    <xf numFmtId="164" fontId="5" fillId="0" borderId="21" xfId="2" applyNumberFormat="1" applyFont="1" applyFill="1" applyBorder="1" applyAlignment="1">
      <alignment vertical="center"/>
    </xf>
    <xf numFmtId="164" fontId="5" fillId="0" borderId="13" xfId="2" applyNumberFormat="1" applyFont="1" applyFill="1" applyBorder="1" applyAlignment="1">
      <alignment vertical="center"/>
    </xf>
    <xf numFmtId="164" fontId="5" fillId="0" borderId="14" xfId="2" applyNumberFormat="1" applyFont="1" applyFill="1" applyBorder="1" applyAlignment="1">
      <alignment vertical="center"/>
    </xf>
    <xf numFmtId="0" fontId="18" fillId="0" borderId="25" xfId="0" applyFont="1" applyBorder="1" applyAlignment="1">
      <alignment horizontal="center"/>
    </xf>
    <xf numFmtId="164" fontId="5" fillId="0" borderId="26" xfId="2" applyNumberFormat="1" applyFont="1" applyFill="1" applyBorder="1" applyAlignment="1">
      <alignment vertical="center"/>
    </xf>
    <xf numFmtId="0" fontId="9" fillId="0" borderId="3" xfId="0" applyFont="1" applyBorder="1" applyAlignment="1">
      <alignment vertical="center"/>
    </xf>
    <xf numFmtId="165" fontId="9" fillId="0" borderId="1" xfId="1" applyNumberFormat="1" applyFont="1" applyFill="1" applyBorder="1" applyAlignment="1">
      <alignment vertical="center"/>
    </xf>
    <xf numFmtId="37" fontId="9" fillId="0" borderId="0" xfId="0" applyNumberFormat="1" applyFont="1" applyAlignment="1">
      <alignment horizontal="center" vertical="center"/>
    </xf>
    <xf numFmtId="37" fontId="9" fillId="0" borderId="0" xfId="0" applyNumberFormat="1" applyFont="1" applyAlignment="1">
      <alignment vertical="center"/>
    </xf>
    <xf numFmtId="37" fontId="9" fillId="0" borderId="3" xfId="0" applyNumberFormat="1" applyFont="1" applyBorder="1" applyAlignment="1">
      <alignment vertical="center"/>
    </xf>
    <xf numFmtId="37" fontId="5" fillId="0" borderId="18" xfId="0" applyNumberFormat="1" applyFont="1" applyBorder="1" applyAlignment="1">
      <alignment horizontal="center" vertical="center"/>
    </xf>
    <xf numFmtId="37" fontId="5" fillId="0" borderId="6" xfId="0" applyNumberFormat="1" applyFont="1" applyBorder="1" applyAlignment="1">
      <alignment vertical="center"/>
    </xf>
    <xf numFmtId="37" fontId="5" fillId="0" borderId="12" xfId="0" quotePrefix="1" applyNumberFormat="1" applyFont="1" applyBorder="1" applyAlignment="1">
      <alignment horizontal="center" vertical="center"/>
    </xf>
    <xf numFmtId="37" fontId="5" fillId="0" borderId="6" xfId="0" quotePrefix="1" applyNumberFormat="1" applyFont="1" applyBorder="1" applyAlignment="1">
      <alignment horizontal="center" vertical="center"/>
    </xf>
    <xf numFmtId="37" fontId="5" fillId="0" borderId="5" xfId="0" quotePrefix="1" applyNumberFormat="1" applyFont="1" applyBorder="1" applyAlignment="1">
      <alignment horizontal="center" vertical="center"/>
    </xf>
    <xf numFmtId="37" fontId="5" fillId="0" borderId="20" xfId="0" applyNumberFormat="1" applyFont="1" applyBorder="1" applyAlignment="1">
      <alignment horizontal="center" vertical="center"/>
    </xf>
    <xf numFmtId="37" fontId="5" fillId="0" borderId="0" xfId="0" applyNumberFormat="1" applyFont="1" applyAlignment="1">
      <alignment vertical="center"/>
    </xf>
    <xf numFmtId="37" fontId="5" fillId="0" borderId="13" xfId="16" applyNumberFormat="1" applyFont="1" applyBorder="1" applyAlignment="1">
      <alignment horizontal="center" vertical="center"/>
    </xf>
    <xf numFmtId="37" fontId="5" fillId="0" borderId="0" xfId="16" applyNumberFormat="1" applyFont="1" applyAlignment="1">
      <alignment horizontal="center" vertical="center"/>
    </xf>
    <xf numFmtId="37" fontId="5" fillId="0" borderId="11" xfId="0" quotePrefix="1" applyNumberFormat="1" applyFont="1" applyBorder="1" applyAlignment="1">
      <alignment horizontal="center" vertical="center"/>
    </xf>
    <xf numFmtId="37" fontId="5" fillId="0" borderId="23" xfId="0" applyNumberFormat="1" applyFont="1" applyBorder="1" applyAlignment="1">
      <alignment horizontal="center" vertical="center"/>
    </xf>
    <xf numFmtId="37" fontId="5" fillId="0" borderId="3" xfId="0" applyNumberFormat="1" applyFont="1" applyBorder="1" applyAlignment="1">
      <alignment horizontal="center" vertical="center"/>
    </xf>
    <xf numFmtId="37" fontId="5" fillId="0" borderId="9" xfId="16" applyNumberFormat="1" applyFont="1" applyBorder="1" applyAlignment="1">
      <alignment horizontal="center" vertical="center"/>
    </xf>
    <xf numFmtId="37" fontId="5" fillId="0" borderId="3" xfId="16" applyNumberFormat="1" applyFont="1" applyBorder="1" applyAlignment="1">
      <alignment horizontal="center" vertical="center"/>
    </xf>
    <xf numFmtId="0" fontId="5" fillId="0" borderId="24" xfId="0" applyFont="1" applyBorder="1" applyAlignment="1">
      <alignment horizontal="center"/>
    </xf>
    <xf numFmtId="37" fontId="5" fillId="0" borderId="8" xfId="0" applyNumberFormat="1" applyFont="1" applyBorder="1" applyAlignment="1">
      <alignment horizontal="center" vertical="center"/>
    </xf>
    <xf numFmtId="37" fontId="9" fillId="0" borderId="20" xfId="0" applyNumberFormat="1" applyFont="1" applyBorder="1" applyAlignment="1">
      <alignment horizontal="center" vertical="center"/>
    </xf>
    <xf numFmtId="37" fontId="20" fillId="0" borderId="0" xfId="0" applyNumberFormat="1" applyFont="1" applyAlignment="1">
      <alignment vertical="center"/>
    </xf>
    <xf numFmtId="37" fontId="9" fillId="0" borderId="13" xfId="16" applyNumberFormat="1" applyFont="1" applyBorder="1" applyAlignment="1">
      <alignment horizontal="center" vertical="center"/>
    </xf>
    <xf numFmtId="37" fontId="9" fillId="0" borderId="0" xfId="16" applyNumberFormat="1" applyFont="1" applyAlignment="1">
      <alignment horizontal="center" vertical="center"/>
    </xf>
    <xf numFmtId="37" fontId="9" fillId="0" borderId="12" xfId="16" applyNumberFormat="1" applyFont="1" applyBorder="1" applyAlignment="1">
      <alignment horizontal="center" vertical="center"/>
    </xf>
    <xf numFmtId="37" fontId="9" fillId="0" borderId="11" xfId="16" applyNumberFormat="1" applyFont="1" applyBorder="1" applyAlignment="1">
      <alignment horizontal="center" vertical="center"/>
    </xf>
    <xf numFmtId="37" fontId="9" fillId="0" borderId="0" xfId="0" applyNumberFormat="1" applyFont="1" applyAlignment="1">
      <alignment horizontal="left" vertical="center"/>
    </xf>
    <xf numFmtId="43" fontId="9" fillId="0" borderId="0" xfId="1" applyFont="1" applyAlignment="1">
      <alignment vertical="center"/>
    </xf>
    <xf numFmtId="39" fontId="9" fillId="0" borderId="0" xfId="0" applyNumberFormat="1" applyFont="1" applyAlignment="1">
      <alignment vertical="center"/>
    </xf>
    <xf numFmtId="43" fontId="9" fillId="0" borderId="0" xfId="1" applyFont="1" applyFill="1" applyAlignment="1">
      <alignment vertical="center"/>
    </xf>
    <xf numFmtId="165" fontId="9" fillId="0" borderId="13" xfId="1" applyNumberFormat="1" applyFont="1" applyFill="1" applyBorder="1" applyAlignment="1">
      <alignment horizontal="right" vertical="center"/>
    </xf>
    <xf numFmtId="165" fontId="5" fillId="0" borderId="21" xfId="1" applyNumberFormat="1" applyFont="1" applyFill="1" applyBorder="1"/>
    <xf numFmtId="43" fontId="9" fillId="0" borderId="0" xfId="1" applyFont="1" applyBorder="1" applyAlignment="1">
      <alignment vertical="center"/>
    </xf>
    <xf numFmtId="37" fontId="9" fillId="0" borderId="13" xfId="0" applyNumberFormat="1" applyFont="1" applyBorder="1" applyAlignment="1">
      <alignment vertical="center"/>
    </xf>
    <xf numFmtId="37" fontId="9" fillId="0" borderId="11" xfId="0" applyNumberFormat="1" applyFont="1" applyBorder="1" applyAlignment="1">
      <alignment vertical="center"/>
    </xf>
    <xf numFmtId="164" fontId="5" fillId="0" borderId="14" xfId="2" applyNumberFormat="1" applyFont="1" applyBorder="1" applyAlignment="1">
      <alignment vertical="center"/>
    </xf>
    <xf numFmtId="37" fontId="9" fillId="0" borderId="11" xfId="0" applyNumberFormat="1" applyFont="1" applyBorder="1" applyAlignment="1">
      <alignment horizontal="center" vertical="center"/>
    </xf>
    <xf numFmtId="37" fontId="9" fillId="0" borderId="23" xfId="0" applyNumberFormat="1" applyFont="1" applyBorder="1" applyAlignment="1">
      <alignment vertical="center"/>
    </xf>
    <xf numFmtId="37" fontId="9" fillId="0" borderId="9" xfId="1" applyNumberFormat="1" applyFont="1" applyBorder="1" applyAlignment="1">
      <alignment vertical="center"/>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37" fontId="9" fillId="0" borderId="8" xfId="0" applyNumberFormat="1" applyFont="1" applyBorder="1" applyAlignment="1">
      <alignment vertical="center"/>
    </xf>
    <xf numFmtId="37" fontId="17" fillId="0" borderId="10" xfId="0" applyNumberFormat="1" applyFont="1" applyBorder="1" applyAlignment="1">
      <alignment horizontal="left" vertical="center"/>
    </xf>
    <xf numFmtId="37" fontId="9" fillId="0" borderId="10" xfId="11" applyNumberFormat="1" applyFont="1" applyBorder="1" applyAlignment="1">
      <alignment horizontal="center"/>
    </xf>
    <xf numFmtId="37" fontId="9" fillId="0" borderId="0" xfId="0" applyNumberFormat="1" applyFont="1" applyAlignment="1">
      <alignment vertical="top"/>
    </xf>
    <xf numFmtId="37" fontId="21" fillId="0" borderId="0" xfId="0" applyNumberFormat="1" applyFont="1"/>
    <xf numFmtId="37" fontId="10" fillId="0" borderId="0" xfId="0" applyNumberFormat="1" applyFont="1" applyAlignment="1">
      <alignment horizontal="right" vertical="center"/>
    </xf>
    <xf numFmtId="37" fontId="9" fillId="0" borderId="10" xfId="11" applyNumberFormat="1" applyFont="1" applyBorder="1" applyAlignment="1">
      <alignment horizontal="center" vertical="top"/>
    </xf>
    <xf numFmtId="167" fontId="9" fillId="0" borderId="10" xfId="11" applyNumberFormat="1" applyFont="1" applyBorder="1" applyAlignment="1">
      <alignment horizontal="center" wrapText="1"/>
    </xf>
    <xf numFmtId="37" fontId="9" fillId="0" borderId="0" xfId="0" applyNumberFormat="1" applyFont="1" applyAlignment="1">
      <alignment wrapText="1"/>
    </xf>
    <xf numFmtId="37" fontId="9" fillId="0" borderId="10" xfId="17" applyNumberFormat="1" applyFont="1" applyBorder="1" applyAlignment="1">
      <alignment horizontal="center" vertical="center"/>
    </xf>
    <xf numFmtId="37" fontId="9" fillId="0" borderId="0" xfId="0" applyNumberFormat="1" applyFont="1" applyAlignment="1">
      <alignment vertical="center" wrapText="1"/>
    </xf>
    <xf numFmtId="37" fontId="9" fillId="0" borderId="10" xfId="0" applyNumberFormat="1" applyFont="1" applyBorder="1" applyAlignment="1">
      <alignment vertical="center"/>
    </xf>
    <xf numFmtId="37" fontId="5" fillId="0" borderId="0" xfId="0" applyNumberFormat="1" applyFont="1" applyAlignment="1">
      <alignment horizontal="left" vertical="center"/>
    </xf>
    <xf numFmtId="164" fontId="5" fillId="0" borderId="0" xfId="2" applyNumberFormat="1" applyFont="1" applyBorder="1" applyAlignment="1">
      <alignment vertical="center"/>
    </xf>
    <xf numFmtId="37" fontId="9" fillId="0" borderId="7" xfId="0" applyNumberFormat="1" applyFont="1" applyBorder="1" applyAlignment="1">
      <alignment vertical="center"/>
    </xf>
    <xf numFmtId="37" fontId="9" fillId="0" borderId="3" xfId="0" applyNumberFormat="1" applyFont="1" applyBorder="1" applyAlignment="1">
      <alignment horizontal="left" vertical="center"/>
    </xf>
    <xf numFmtId="167" fontId="9" fillId="0" borderId="0" xfId="0" applyNumberFormat="1" applyFont="1" applyAlignment="1">
      <alignment vertical="center"/>
    </xf>
    <xf numFmtId="37" fontId="14" fillId="0" borderId="0" xfId="0" applyNumberFormat="1" applyFont="1" applyAlignment="1">
      <alignment horizontal="center" vertical="center"/>
    </xf>
    <xf numFmtId="0" fontId="9" fillId="0" borderId="0" xfId="11" applyFont="1" applyAlignment="1">
      <alignment vertical="center"/>
    </xf>
    <xf numFmtId="0" fontId="12" fillId="0" borderId="0" xfId="11" applyFont="1" applyAlignment="1">
      <alignment horizontal="center" vertical="center"/>
    </xf>
    <xf numFmtId="0" fontId="5" fillId="0" borderId="0" xfId="11" applyFont="1" applyAlignment="1">
      <alignment vertical="center"/>
    </xf>
    <xf numFmtId="5" fontId="5" fillId="0" borderId="0" xfId="11" applyNumberFormat="1" applyFont="1" applyAlignment="1" applyProtection="1">
      <alignment horizontal="center" vertical="center"/>
      <protection locked="0"/>
    </xf>
    <xf numFmtId="5" fontId="9" fillId="0" borderId="0" xfId="11" applyNumberFormat="1" applyFont="1" applyAlignment="1" applyProtection="1">
      <alignment vertical="center"/>
      <protection locked="0"/>
    </xf>
    <xf numFmtId="5" fontId="9" fillId="0" borderId="0" xfId="11" applyNumberFormat="1" applyFont="1" applyAlignment="1" applyProtection="1">
      <alignment horizontal="center" vertical="center"/>
      <protection locked="0"/>
    </xf>
    <xf numFmtId="10" fontId="9" fillId="0" borderId="0" xfId="11" applyNumberFormat="1" applyFont="1" applyAlignment="1" applyProtection="1">
      <alignment vertical="center"/>
      <protection locked="0"/>
    </xf>
    <xf numFmtId="10" fontId="9" fillId="0" borderId="0" xfId="11" applyNumberFormat="1" applyFont="1" applyAlignment="1" applyProtection="1">
      <alignment horizontal="center" vertical="center"/>
      <protection locked="0"/>
    </xf>
    <xf numFmtId="0" fontId="19" fillId="0" borderId="0" xfId="11" applyFont="1" applyAlignment="1">
      <alignment vertical="center"/>
    </xf>
    <xf numFmtId="164" fontId="9" fillId="0" borderId="0" xfId="2" applyNumberFormat="1" applyFont="1" applyBorder="1" applyAlignment="1">
      <alignment vertical="center"/>
    </xf>
    <xf numFmtId="0" fontId="9" fillId="0" borderId="0" xfId="11" applyFont="1" applyAlignment="1">
      <alignment horizontal="left" vertical="center"/>
    </xf>
    <xf numFmtId="0" fontId="14" fillId="0" borderId="0" xfId="11" quotePrefix="1" applyFont="1" applyAlignment="1">
      <alignment horizontal="center" vertical="center"/>
    </xf>
    <xf numFmtId="0" fontId="9" fillId="0" borderId="0" xfId="0" applyFont="1" applyAlignment="1">
      <alignment vertical="center" wrapText="1"/>
    </xf>
    <xf numFmtId="164" fontId="9" fillId="3" borderId="0" xfId="2" applyNumberFormat="1" applyFont="1" applyFill="1" applyAlignment="1" applyProtection="1">
      <alignment vertical="center"/>
      <protection locked="0"/>
    </xf>
    <xf numFmtId="165" fontId="9" fillId="3" borderId="0" xfId="1" applyNumberFormat="1" applyFont="1" applyFill="1" applyAlignment="1" applyProtection="1">
      <alignment vertical="center"/>
      <protection locked="0"/>
    </xf>
    <xf numFmtId="164" fontId="9" fillId="0" borderId="17" xfId="2" applyNumberFormat="1" applyFont="1" applyBorder="1" applyAlignment="1">
      <alignment vertical="center"/>
    </xf>
    <xf numFmtId="0" fontId="22" fillId="0" borderId="0" xfId="0" applyFont="1" applyAlignment="1">
      <alignment horizontal="center" vertical="center" wrapText="1"/>
    </xf>
    <xf numFmtId="164" fontId="9" fillId="0" borderId="16" xfId="2" applyNumberFormat="1" applyFont="1" applyBorder="1" applyAlignment="1" applyProtection="1">
      <alignment vertical="center"/>
      <protection locked="0"/>
    </xf>
    <xf numFmtId="164" fontId="9" fillId="0" borderId="0" xfId="2" applyNumberFormat="1" applyFont="1" applyBorder="1" applyAlignment="1" applyProtection="1">
      <alignment vertical="center"/>
      <protection locked="0"/>
    </xf>
    <xf numFmtId="10" fontId="9" fillId="0" borderId="2" xfId="3" applyNumberFormat="1" applyFont="1" applyBorder="1" applyAlignment="1">
      <alignment horizontal="right" vertical="center"/>
    </xf>
    <xf numFmtId="10" fontId="9" fillId="0" borderId="0" xfId="3" applyNumberFormat="1" applyFont="1" applyBorder="1" applyAlignment="1">
      <alignment horizontal="right" vertical="center"/>
    </xf>
    <xf numFmtId="165" fontId="9" fillId="0" borderId="0" xfId="1" applyNumberFormat="1" applyFont="1" applyFill="1" applyAlignment="1" applyProtection="1">
      <alignment vertical="center"/>
      <protection locked="0"/>
    </xf>
    <xf numFmtId="164" fontId="9" fillId="0" borderId="15" xfId="2" applyNumberFormat="1" applyFont="1" applyBorder="1" applyAlignment="1" applyProtection="1">
      <alignment vertical="center"/>
    </xf>
    <xf numFmtId="164" fontId="9" fillId="0" borderId="0" xfId="2" applyNumberFormat="1" applyFont="1" applyBorder="1" applyAlignment="1" applyProtection="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10" fontId="9" fillId="3" borderId="2" xfId="3" applyNumberFormat="1" applyFont="1" applyFill="1" applyBorder="1" applyAlignment="1">
      <alignment vertical="center"/>
    </xf>
    <xf numFmtId="10" fontId="9" fillId="0" borderId="0" xfId="3" applyNumberFormat="1" applyFont="1" applyFill="1" applyAlignment="1">
      <alignment horizontal="right" vertical="center"/>
    </xf>
    <xf numFmtId="10" fontId="9" fillId="0" borderId="0" xfId="0" applyNumberFormat="1" applyFont="1" applyAlignment="1">
      <alignment horizontal="right" vertical="center"/>
    </xf>
    <xf numFmtId="10" fontId="9" fillId="0" borderId="0" xfId="3" applyNumberFormat="1" applyFont="1" applyAlignment="1">
      <alignment horizontal="right" vertical="center"/>
    </xf>
    <xf numFmtId="165" fontId="9" fillId="0" borderId="0" xfId="1" applyNumberFormat="1" applyFont="1" applyFill="1" applyAlignment="1">
      <alignment vertical="center"/>
    </xf>
    <xf numFmtId="10" fontId="9" fillId="0" borderId="0" xfId="0" applyNumberFormat="1" applyFont="1" applyAlignment="1">
      <alignment vertical="center"/>
    </xf>
    <xf numFmtId="164" fontId="9" fillId="0" borderId="15" xfId="0" applyNumberFormat="1" applyFont="1" applyBorder="1" applyAlignment="1">
      <alignment vertical="center"/>
    </xf>
    <xf numFmtId="10" fontId="9" fillId="0" borderId="2" xfId="3" applyNumberFormat="1" applyFont="1" applyFill="1" applyBorder="1" applyAlignment="1">
      <alignment horizontal="right" vertical="center"/>
    </xf>
    <xf numFmtId="10" fontId="9" fillId="4" borderId="0" xfId="0" applyNumberFormat="1" applyFont="1" applyFill="1" applyAlignment="1">
      <alignment horizontal="right" vertical="center"/>
    </xf>
    <xf numFmtId="10" fontId="9" fillId="0" borderId="0" xfId="3" applyNumberFormat="1" applyFont="1" applyFill="1" applyBorder="1" applyAlignment="1">
      <alignment horizontal="right" vertical="center"/>
    </xf>
    <xf numFmtId="5" fontId="9" fillId="0" borderId="0" xfId="0" applyNumberFormat="1" applyFont="1" applyAlignment="1">
      <alignment horizontal="center" vertical="center" wrapText="1"/>
    </xf>
    <xf numFmtId="0" fontId="19" fillId="0" borderId="3" xfId="0" applyFont="1" applyBorder="1" applyAlignment="1">
      <alignment vertical="center"/>
    </xf>
    <xf numFmtId="0" fontId="23" fillId="0" borderId="0" xfId="0" applyFont="1" applyAlignment="1">
      <alignment horizontal="center" vertical="center"/>
    </xf>
    <xf numFmtId="5" fontId="9" fillId="0" borderId="0" xfId="0" applyNumberFormat="1" applyFont="1" applyAlignment="1" applyProtection="1">
      <alignment horizontal="center" vertical="center"/>
      <protection locked="0"/>
    </xf>
    <xf numFmtId="0" fontId="17" fillId="0" borderId="0" xfId="0" applyFont="1" applyAlignment="1">
      <alignment vertical="center"/>
    </xf>
    <xf numFmtId="169" fontId="9" fillId="0" borderId="0" xfId="0" applyNumberFormat="1" applyFont="1" applyAlignment="1">
      <alignment horizontal="center" vertical="center" wrapText="1"/>
    </xf>
    <xf numFmtId="10" fontId="9" fillId="2" borderId="0" xfId="3" applyNumberFormat="1" applyFont="1" applyFill="1" applyAlignment="1">
      <alignment horizontal="right" vertical="center"/>
    </xf>
    <xf numFmtId="164" fontId="9" fillId="2" borderId="0" xfId="2" applyNumberFormat="1" applyFont="1" applyFill="1" applyAlignment="1">
      <alignment horizontal="center" vertical="center"/>
    </xf>
    <xf numFmtId="164" fontId="9" fillId="3" borderId="0" xfId="2" applyNumberFormat="1" applyFont="1" applyFill="1" applyAlignment="1">
      <alignment horizontal="center" vertical="center"/>
    </xf>
    <xf numFmtId="1" fontId="5" fillId="0" borderId="0" xfId="0" applyNumberFormat="1" applyFont="1" applyAlignment="1">
      <alignment horizontal="center" vertical="center"/>
    </xf>
    <xf numFmtId="164" fontId="5" fillId="2" borderId="0" xfId="2" applyNumberFormat="1" applyFont="1" applyFill="1" applyAlignment="1">
      <alignment horizontal="right" vertical="center"/>
    </xf>
    <xf numFmtId="10" fontId="9" fillId="0" borderId="0" xfId="3" applyNumberFormat="1" applyFont="1" applyAlignment="1">
      <alignment vertical="center"/>
    </xf>
    <xf numFmtId="0" fontId="17" fillId="0" borderId="0" xfId="0" applyFont="1" applyAlignment="1">
      <alignment horizontal="center" vertical="center"/>
    </xf>
    <xf numFmtId="168" fontId="9" fillId="0" borderId="0" xfId="3" applyNumberFormat="1" applyFont="1" applyAlignment="1">
      <alignment horizontal="right" vertical="center"/>
    </xf>
    <xf numFmtId="168" fontId="5" fillId="0" borderId="0" xfId="3" applyNumberFormat="1" applyFont="1" applyAlignment="1">
      <alignment vertical="center"/>
    </xf>
    <xf numFmtId="0" fontId="9" fillId="0" borderId="0" xfId="0" quotePrefix="1" applyFont="1" applyAlignment="1">
      <alignment vertical="center"/>
    </xf>
    <xf numFmtId="169" fontId="9" fillId="0" borderId="0" xfId="0" applyNumberFormat="1" applyFont="1" applyAlignment="1">
      <alignment horizontal="center" vertical="center"/>
    </xf>
    <xf numFmtId="169" fontId="5" fillId="0" borderId="0" xfId="0" applyNumberFormat="1" applyFont="1" applyAlignment="1">
      <alignment horizontal="center" vertical="center" wrapText="1"/>
    </xf>
    <xf numFmtId="169" fontId="5" fillId="0" borderId="0" xfId="0" applyNumberFormat="1" applyFont="1" applyAlignment="1">
      <alignment horizontal="center" vertical="center"/>
    </xf>
    <xf numFmtId="0" fontId="5" fillId="0" borderId="0" xfId="0" applyFont="1" applyAlignment="1">
      <alignment horizontal="center" vertical="center" wrapText="1"/>
    </xf>
    <xf numFmtId="164" fontId="9" fillId="0" borderId="0" xfId="2" applyNumberFormat="1" applyFont="1" applyFill="1" applyAlignment="1">
      <alignment horizontal="center" vertical="center"/>
    </xf>
    <xf numFmtId="164" fontId="5" fillId="0" borderId="0" xfId="2" applyNumberFormat="1" applyFont="1" applyFill="1" applyAlignment="1">
      <alignment horizontal="right" vertical="center"/>
    </xf>
    <xf numFmtId="168" fontId="9" fillId="0" borderId="0" xfId="3" applyNumberFormat="1" applyFont="1" applyFill="1" applyAlignment="1">
      <alignment horizontal="right" vertical="center"/>
    </xf>
    <xf numFmtId="9" fontId="9" fillId="0" borderId="0" xfId="3" applyFont="1" applyAlignment="1">
      <alignment horizontal="right" vertical="center"/>
    </xf>
    <xf numFmtId="168" fontId="9" fillId="0" borderId="0" xfId="3" applyNumberFormat="1" applyFont="1" applyBorder="1" applyAlignment="1">
      <alignment horizontal="right" vertical="center"/>
    </xf>
    <xf numFmtId="168" fontId="9" fillId="0" borderId="2" xfId="3" applyNumberFormat="1" applyFont="1" applyBorder="1" applyAlignment="1">
      <alignment horizontal="right" vertical="center"/>
    </xf>
    <xf numFmtId="168" fontId="5" fillId="0" borderId="0" xfId="3" applyNumberFormat="1" applyFont="1" applyAlignment="1">
      <alignment horizontal="center" vertical="center"/>
    </xf>
    <xf numFmtId="164" fontId="9" fillId="4" borderId="0" xfId="2" applyNumberFormat="1" applyFont="1" applyFill="1" applyAlignment="1">
      <alignment horizontal="right" vertical="center"/>
    </xf>
    <xf numFmtId="168" fontId="5" fillId="0" borderId="0" xfId="0" applyNumberFormat="1" applyFont="1" applyAlignment="1">
      <alignment horizontal="right" vertical="center"/>
    </xf>
    <xf numFmtId="5" fontId="5" fillId="0" borderId="0" xfId="0" applyNumberFormat="1" applyFont="1" applyAlignment="1" applyProtection="1">
      <alignment horizontal="center" vertical="center"/>
      <protection locked="0"/>
    </xf>
    <xf numFmtId="5" fontId="9" fillId="0" borderId="0" xfId="0" applyNumberFormat="1" applyFont="1" applyAlignment="1" applyProtection="1">
      <alignment horizontal="right" vertical="center"/>
      <protection locked="0"/>
    </xf>
    <xf numFmtId="168" fontId="9" fillId="0" borderId="2" xfId="0" applyNumberFormat="1" applyFont="1" applyBorder="1" applyAlignment="1">
      <alignment horizontal="right" vertical="center"/>
    </xf>
    <xf numFmtId="0" fontId="2" fillId="0" borderId="0" xfId="4" applyFont="1" applyAlignment="1">
      <alignment horizontal="centerContinuous" vertical="center"/>
    </xf>
    <xf numFmtId="165" fontId="7" fillId="0" borderId="0" xfId="1" applyNumberFormat="1" applyFont="1"/>
    <xf numFmtId="0" fontId="2" fillId="0" borderId="0" xfId="4" applyFont="1" applyAlignment="1">
      <alignment horizontal="centerContinuous"/>
    </xf>
    <xf numFmtId="0" fontId="7" fillId="0" borderId="0" xfId="4" applyFont="1" applyAlignment="1">
      <alignment horizontal="left"/>
    </xf>
    <xf numFmtId="0" fontId="5" fillId="0" borderId="0" xfId="0" applyFont="1" applyAlignment="1">
      <alignment horizontal="center"/>
    </xf>
    <xf numFmtId="0" fontId="5" fillId="0" borderId="0" xfId="11" applyFont="1" applyAlignment="1">
      <alignment horizontal="center" vertical="center"/>
    </xf>
    <xf numFmtId="0" fontId="7" fillId="0" borderId="0" xfId="4" applyFont="1" applyAlignment="1">
      <alignment wrapText="1"/>
    </xf>
    <xf numFmtId="0" fontId="9" fillId="0" borderId="0" xfId="19" applyFont="1" applyAlignment="1">
      <alignment horizontal="center" vertical="center"/>
    </xf>
    <xf numFmtId="0" fontId="5" fillId="0" borderId="0" xfId="11" applyFont="1" applyAlignment="1">
      <alignment horizontal="center"/>
    </xf>
    <xf numFmtId="0" fontId="5" fillId="0" borderId="0" xfId="11" applyFont="1"/>
    <xf numFmtId="0" fontId="5" fillId="0" borderId="3" xfId="11" applyFont="1" applyBorder="1"/>
    <xf numFmtId="0" fontId="9" fillId="0" borderId="11" xfId="11" applyFont="1" applyBorder="1" applyAlignment="1">
      <alignment horizontal="center" vertical="center"/>
    </xf>
    <xf numFmtId="0" fontId="5" fillId="0" borderId="18" xfId="11" applyFont="1" applyBorder="1" applyAlignment="1">
      <alignment horizontal="center"/>
    </xf>
    <xf numFmtId="0" fontId="5" fillId="0" borderId="12" xfId="11" applyFont="1" applyBorder="1" applyAlignment="1">
      <alignment horizontal="center"/>
    </xf>
    <xf numFmtId="0" fontId="5" fillId="0" borderId="5" xfId="11" applyFont="1" applyBorder="1" applyAlignment="1">
      <alignment horizontal="center"/>
    </xf>
    <xf numFmtId="0" fontId="9" fillId="0" borderId="10" xfId="11" applyFont="1" applyBorder="1" applyAlignment="1">
      <alignment horizontal="center" vertical="center"/>
    </xf>
    <xf numFmtId="0" fontId="5" fillId="0" borderId="1" xfId="11" applyFont="1" applyBorder="1" applyAlignment="1">
      <alignment horizontal="center"/>
    </xf>
    <xf numFmtId="0" fontId="5" fillId="0" borderId="22" xfId="11" applyFont="1" applyBorder="1"/>
    <xf numFmtId="10" fontId="5" fillId="0" borderId="13" xfId="20" applyNumberFormat="1" applyFont="1" applyBorder="1" applyAlignment="1">
      <alignment horizontal="center"/>
    </xf>
    <xf numFmtId="10" fontId="5" fillId="0" borderId="0" xfId="20" applyNumberFormat="1" applyFont="1" applyFill="1" applyBorder="1" applyAlignment="1">
      <alignment horizontal="center"/>
    </xf>
    <xf numFmtId="10" fontId="5" fillId="0" borderId="0" xfId="20" applyNumberFormat="1" applyFont="1" applyBorder="1" applyAlignment="1">
      <alignment horizontal="center"/>
    </xf>
    <xf numFmtId="0" fontId="9" fillId="0" borderId="21" xfId="11" applyFont="1" applyBorder="1" applyAlignment="1">
      <alignment horizontal="left"/>
    </xf>
    <xf numFmtId="164" fontId="9" fillId="2" borderId="13" xfId="21" applyNumberFormat="1" applyFont="1" applyFill="1" applyBorder="1" applyAlignment="1">
      <alignment horizontal="right" vertical="center"/>
    </xf>
    <xf numFmtId="164" fontId="9" fillId="0" borderId="0" xfId="21" applyNumberFormat="1" applyFont="1" applyFill="1" applyBorder="1" applyAlignment="1">
      <alignment horizontal="right" vertical="center"/>
    </xf>
    <xf numFmtId="41" fontId="9" fillId="0" borderId="0" xfId="13" applyNumberFormat="1" applyFont="1" applyBorder="1" applyAlignment="1">
      <alignment horizontal="center"/>
    </xf>
    <xf numFmtId="0" fontId="9" fillId="0" borderId="21" xfId="11" applyFont="1" applyBorder="1"/>
    <xf numFmtId="164" fontId="9" fillId="0" borderId="13" xfId="11" applyNumberFormat="1" applyFont="1" applyBorder="1" applyAlignment="1">
      <alignment horizontal="right" vertical="center"/>
    </xf>
    <xf numFmtId="164" fontId="9" fillId="0" borderId="0" xfId="11" applyNumberFormat="1" applyFont="1" applyAlignment="1">
      <alignment horizontal="right" vertical="center"/>
    </xf>
    <xf numFmtId="43" fontId="5" fillId="0" borderId="0" xfId="11" applyNumberFormat="1" applyFont="1" applyAlignment="1">
      <alignment horizontal="center"/>
    </xf>
    <xf numFmtId="0" fontId="9" fillId="0" borderId="0" xfId="11" applyFont="1" applyAlignment="1">
      <alignment horizontal="left"/>
    </xf>
    <xf numFmtId="165" fontId="9" fillId="0" borderId="0" xfId="1" applyNumberFormat="1" applyFont="1" applyFill="1" applyBorder="1" applyAlignment="1">
      <alignment horizontal="right" vertical="center"/>
    </xf>
    <xf numFmtId="0" fontId="5" fillId="0" borderId="0" xfId="11" applyFont="1" applyAlignment="1">
      <alignment horizontal="left"/>
    </xf>
    <xf numFmtId="0" fontId="5" fillId="0" borderId="21" xfId="11" applyFont="1" applyBorder="1" applyAlignment="1">
      <alignment horizontal="left" indent="2"/>
    </xf>
    <xf numFmtId="41" fontId="9" fillId="0" borderId="0" xfId="13" applyNumberFormat="1" applyFont="1" applyFill="1" applyBorder="1" applyAlignment="1">
      <alignment horizontal="center"/>
    </xf>
    <xf numFmtId="0" fontId="5" fillId="0" borderId="21" xfId="11" applyFont="1" applyBorder="1" applyAlignment="1">
      <alignment horizontal="left"/>
    </xf>
    <xf numFmtId="41" fontId="5" fillId="0" borderId="0" xfId="13" applyNumberFormat="1" applyFont="1" applyBorder="1" applyAlignment="1">
      <alignment horizontal="left"/>
    </xf>
    <xf numFmtId="41" fontId="5" fillId="0" borderId="0" xfId="13" applyNumberFormat="1" applyFont="1" applyFill="1" applyBorder="1" applyAlignment="1">
      <alignment horizontal="left"/>
    </xf>
    <xf numFmtId="164" fontId="9" fillId="0" borderId="13" xfId="11" applyNumberFormat="1" applyFont="1" applyBorder="1" applyAlignment="1">
      <alignment vertical="center"/>
    </xf>
    <xf numFmtId="164" fontId="9" fillId="0" borderId="0" xfId="11" applyNumberFormat="1" applyFont="1" applyAlignment="1">
      <alignment vertical="center"/>
    </xf>
    <xf numFmtId="0" fontId="10" fillId="0" borderId="0" xfId="11" applyFont="1" applyAlignment="1">
      <alignment horizontal="left"/>
    </xf>
    <xf numFmtId="170" fontId="5" fillId="0" borderId="13" xfId="11" applyNumberFormat="1" applyFont="1" applyBorder="1" applyAlignment="1">
      <alignment vertical="center"/>
    </xf>
    <xf numFmtId="170" fontId="5" fillId="0" borderId="0" xfId="11" applyNumberFormat="1" applyFont="1" applyAlignment="1">
      <alignment vertical="center"/>
    </xf>
    <xf numFmtId="164" fontId="5" fillId="0" borderId="14" xfId="21" applyNumberFormat="1" applyFont="1" applyBorder="1" applyAlignment="1">
      <alignment horizontal="right" vertical="center"/>
    </xf>
    <xf numFmtId="9" fontId="9" fillId="0" borderId="0" xfId="3" applyFont="1"/>
    <xf numFmtId="0" fontId="5" fillId="0" borderId="24" xfId="11" applyFont="1" applyBorder="1"/>
    <xf numFmtId="0" fontId="5" fillId="0" borderId="9" xfId="11" applyFont="1" applyBorder="1"/>
    <xf numFmtId="0" fontId="9" fillId="0" borderId="3" xfId="19" applyFont="1" applyBorder="1"/>
    <xf numFmtId="44" fontId="5" fillId="0" borderId="3" xfId="11" applyNumberFormat="1" applyFont="1" applyBorder="1"/>
    <xf numFmtId="0" fontId="5" fillId="0" borderId="21" xfId="11" applyFont="1" applyBorder="1" applyAlignment="1">
      <alignment horizontal="center"/>
    </xf>
    <xf numFmtId="0" fontId="5" fillId="0" borderId="21" xfId="11" applyFont="1" applyBorder="1"/>
    <xf numFmtId="170" fontId="9" fillId="0" borderId="13" xfId="21" applyNumberFormat="1" applyFont="1" applyFill="1" applyBorder="1" applyAlignment="1">
      <alignment horizontal="right"/>
    </xf>
    <xf numFmtId="170" fontId="9" fillId="0" borderId="0" xfId="21" applyNumberFormat="1" applyFont="1" applyFill="1" applyBorder="1" applyAlignment="1">
      <alignment horizontal="right"/>
    </xf>
    <xf numFmtId="170" fontId="9" fillId="0" borderId="13" xfId="11" applyNumberFormat="1" applyFont="1" applyBorder="1" applyAlignment="1">
      <alignment horizontal="right"/>
    </xf>
    <xf numFmtId="170" fontId="9" fillId="0" borderId="0" xfId="11" applyNumberFormat="1" applyFont="1" applyAlignment="1">
      <alignment horizontal="right"/>
    </xf>
    <xf numFmtId="0" fontId="9" fillId="0" borderId="0" xfId="11" applyFont="1" applyAlignment="1">
      <alignment horizontal="center"/>
    </xf>
    <xf numFmtId="171" fontId="5" fillId="0" borderId="13" xfId="1" applyNumberFormat="1" applyFont="1" applyFill="1" applyBorder="1" applyAlignment="1">
      <alignment horizontal="right"/>
    </xf>
    <xf numFmtId="165" fontId="9" fillId="0" borderId="13" xfId="1" applyNumberFormat="1" applyFont="1" applyBorder="1" applyAlignment="1">
      <alignment horizontal="right"/>
    </xf>
    <xf numFmtId="165" fontId="9" fillId="0" borderId="0" xfId="1" applyNumberFormat="1" applyFont="1" applyFill="1" applyBorder="1" applyAlignment="1">
      <alignment horizontal="right"/>
    </xf>
    <xf numFmtId="43" fontId="9" fillId="0" borderId="0" xfId="11" applyNumberFormat="1" applyFont="1" applyAlignment="1">
      <alignment horizontal="center"/>
    </xf>
    <xf numFmtId="171" fontId="9" fillId="0" borderId="0" xfId="1" applyNumberFormat="1" applyFont="1" applyFill="1" applyBorder="1" applyAlignment="1">
      <alignment horizontal="right"/>
    </xf>
    <xf numFmtId="165" fontId="9" fillId="0" borderId="13" xfId="1" applyNumberFormat="1" applyFont="1" applyFill="1" applyBorder="1" applyAlignment="1">
      <alignment horizontal="right"/>
    </xf>
    <xf numFmtId="170" fontId="5" fillId="0" borderId="13" xfId="2" applyNumberFormat="1" applyFont="1" applyFill="1" applyBorder="1" applyAlignment="1">
      <alignment horizontal="right"/>
    </xf>
    <xf numFmtId="41" fontId="5" fillId="0" borderId="0" xfId="13" applyNumberFormat="1" applyFont="1" applyBorder="1" applyAlignment="1">
      <alignment horizontal="center"/>
    </xf>
    <xf numFmtId="171" fontId="9" fillId="0" borderId="13" xfId="1" applyNumberFormat="1" applyFont="1" applyFill="1" applyBorder="1" applyAlignment="1">
      <alignment horizontal="right"/>
    </xf>
    <xf numFmtId="165" fontId="9" fillId="0" borderId="13" xfId="1" applyNumberFormat="1" applyFont="1" applyBorder="1"/>
    <xf numFmtId="41" fontId="5" fillId="0" borderId="0" xfId="13" applyNumberFormat="1" applyFont="1" applyFill="1" applyBorder="1" applyAlignment="1">
      <alignment horizontal="center"/>
    </xf>
    <xf numFmtId="170" fontId="5" fillId="0" borderId="14" xfId="2" applyNumberFormat="1" applyFont="1" applyFill="1" applyBorder="1"/>
    <xf numFmtId="170" fontId="5" fillId="0" borderId="13" xfId="14" applyNumberFormat="1" applyFont="1" applyBorder="1"/>
    <xf numFmtId="170" fontId="5" fillId="0" borderId="0" xfId="14" applyNumberFormat="1" applyFont="1" applyFill="1" applyBorder="1"/>
    <xf numFmtId="41" fontId="5" fillId="0" borderId="0" xfId="13" applyNumberFormat="1" applyFont="1" applyFill="1" applyBorder="1"/>
    <xf numFmtId="165" fontId="9" fillId="0" borderId="0" xfId="22" applyNumberFormat="1" applyFont="1" applyFill="1" applyBorder="1"/>
    <xf numFmtId="165" fontId="5" fillId="0" borderId="0" xfId="14" applyNumberFormat="1" applyFont="1" applyFill="1" applyBorder="1"/>
    <xf numFmtId="164" fontId="5" fillId="0" borderId="14" xfId="21" applyNumberFormat="1" applyFont="1" applyBorder="1" applyAlignment="1">
      <alignment horizontal="right"/>
    </xf>
    <xf numFmtId="165" fontId="5" fillId="0" borderId="9" xfId="14" applyNumberFormat="1" applyFont="1" applyBorder="1"/>
    <xf numFmtId="165" fontId="5" fillId="0" borderId="3" xfId="14" applyNumberFormat="1" applyFont="1" applyFill="1" applyBorder="1"/>
    <xf numFmtId="0" fontId="5" fillId="0" borderId="3" xfId="11" applyFont="1" applyBorder="1" applyAlignment="1">
      <alignment horizontal="center"/>
    </xf>
    <xf numFmtId="165" fontId="9" fillId="0" borderId="1" xfId="1" applyNumberFormat="1" applyFont="1" applyFill="1" applyBorder="1" applyAlignment="1">
      <alignment horizontal="right" vertical="center"/>
    </xf>
    <xf numFmtId="164" fontId="9" fillId="0" borderId="0" xfId="2" applyNumberFormat="1" applyFont="1" applyFill="1" applyBorder="1" applyAlignment="1">
      <alignment horizontal="right" vertical="center"/>
    </xf>
    <xf numFmtId="164" fontId="9" fillId="2" borderId="0" xfId="21" applyNumberFormat="1" applyFont="1" applyFill="1" applyBorder="1" applyAlignment="1">
      <alignment horizontal="right" vertical="center"/>
    </xf>
    <xf numFmtId="165" fontId="9" fillId="2" borderId="0" xfId="1" applyNumberFormat="1" applyFont="1" applyFill="1" applyAlignment="1">
      <alignment horizontal="right"/>
    </xf>
    <xf numFmtId="165" fontId="9" fillId="2" borderId="0" xfId="1" applyNumberFormat="1" applyFont="1" applyFill="1" applyAlignment="1">
      <alignment horizontal="center"/>
    </xf>
    <xf numFmtId="165" fontId="9" fillId="3" borderId="1" xfId="1" applyNumberFormat="1" applyFont="1" applyFill="1" applyBorder="1" applyAlignment="1">
      <alignment vertical="center"/>
    </xf>
    <xf numFmtId="164" fontId="9" fillId="0" borderId="0" xfId="21" applyNumberFormat="1" applyFont="1" applyBorder="1" applyAlignment="1">
      <alignment horizontal="right" vertical="center"/>
    </xf>
    <xf numFmtId="164" fontId="9" fillId="0" borderId="2" xfId="21" applyNumberFormat="1" applyFont="1" applyBorder="1" applyAlignment="1">
      <alignment horizontal="right" vertical="center"/>
    </xf>
    <xf numFmtId="0" fontId="0" fillId="0" borderId="3" xfId="0" applyBorder="1"/>
    <xf numFmtId="0" fontId="15" fillId="0" borderId="3" xfId="0" applyFont="1" applyBorder="1" applyAlignment="1">
      <alignment horizontal="center"/>
    </xf>
    <xf numFmtId="0" fontId="5" fillId="0" borderId="4" xfId="11" applyFont="1" applyBorder="1" applyAlignment="1">
      <alignment horizontal="center"/>
    </xf>
    <xf numFmtId="0" fontId="5" fillId="0" borderId="17" xfId="11" applyFont="1" applyBorder="1"/>
    <xf numFmtId="0" fontId="9" fillId="0" borderId="0" xfId="11" applyFont="1"/>
    <xf numFmtId="0" fontId="5" fillId="0" borderId="0" xfId="11" applyFont="1" applyAlignment="1">
      <alignment horizontal="left" indent="2"/>
    </xf>
    <xf numFmtId="0" fontId="5" fillId="0" borderId="0" xfId="11" applyFont="1" applyAlignment="1">
      <alignment horizontal="center" vertical="center" wrapText="1"/>
    </xf>
    <xf numFmtId="0" fontId="5" fillId="0" borderId="28" xfId="11" applyFont="1" applyBorder="1"/>
    <xf numFmtId="167" fontId="5" fillId="0" borderId="0" xfId="11" applyNumberFormat="1" applyFont="1" applyAlignment="1">
      <alignment horizontal="center" wrapText="1"/>
    </xf>
    <xf numFmtId="0" fontId="5" fillId="0" borderId="0" xfId="11" applyFont="1" applyAlignment="1">
      <alignment horizontal="center" wrapText="1"/>
    </xf>
    <xf numFmtId="171" fontId="5" fillId="0" borderId="0" xfId="1" applyNumberFormat="1" applyFont="1" applyFill="1" applyBorder="1" applyAlignment="1">
      <alignment horizontal="right"/>
    </xf>
    <xf numFmtId="165" fontId="9" fillId="0" borderId="0" xfId="1" applyNumberFormat="1" applyFont="1" applyBorder="1" applyAlignment="1">
      <alignment horizontal="right"/>
    </xf>
    <xf numFmtId="170" fontId="5" fillId="0" borderId="0" xfId="2" applyNumberFormat="1" applyFont="1" applyFill="1" applyBorder="1" applyAlignment="1">
      <alignment horizontal="right"/>
    </xf>
    <xf numFmtId="170" fontId="5" fillId="0" borderId="0" xfId="2" applyNumberFormat="1" applyFont="1" applyFill="1" applyBorder="1"/>
    <xf numFmtId="170" fontId="5" fillId="0" borderId="0" xfId="14" applyNumberFormat="1" applyFont="1" applyBorder="1"/>
    <xf numFmtId="171" fontId="9" fillId="0" borderId="0" xfId="1" applyNumberFormat="1" applyFont="1" applyAlignment="1">
      <alignment horizontal="right"/>
    </xf>
    <xf numFmtId="171" fontId="9" fillId="0" borderId="1" xfId="1" applyNumberFormat="1" applyFont="1" applyFill="1" applyBorder="1" applyAlignment="1">
      <alignment horizontal="right"/>
    </xf>
    <xf numFmtId="171" fontId="9" fillId="0" borderId="0" xfId="1" applyNumberFormat="1" applyFont="1" applyAlignment="1">
      <alignment horizontal="center"/>
    </xf>
    <xf numFmtId="170" fontId="9" fillId="0" borderId="0" xfId="2" applyNumberFormat="1" applyFont="1" applyFill="1" applyBorder="1"/>
    <xf numFmtId="170" fontId="9" fillId="0" borderId="0" xfId="2" applyNumberFormat="1" applyFont="1" applyFill="1" applyBorder="1" applyAlignment="1">
      <alignment horizontal="right"/>
    </xf>
    <xf numFmtId="165" fontId="5" fillId="0" borderId="3" xfId="14" applyNumberFormat="1" applyFont="1" applyBorder="1"/>
    <xf numFmtId="165" fontId="9" fillId="3" borderId="1" xfId="22" applyNumberFormat="1" applyFont="1" applyFill="1" applyBorder="1"/>
    <xf numFmtId="165" fontId="9" fillId="0" borderId="1" xfId="22" applyNumberFormat="1" applyFont="1" applyFill="1" applyBorder="1"/>
    <xf numFmtId="0" fontId="5" fillId="0" borderId="0" xfId="23" applyFont="1" applyAlignment="1">
      <alignment horizontal="center" vertical="center"/>
    </xf>
    <xf numFmtId="0" fontId="5" fillId="0" borderId="0" xfId="23" applyFont="1"/>
    <xf numFmtId="0" fontId="9" fillId="0" borderId="0" xfId="19" applyFont="1"/>
    <xf numFmtId="49" fontId="5" fillId="0" borderId="0" xfId="11" applyNumberFormat="1" applyFont="1" applyAlignment="1">
      <alignment horizontal="center" vertical="center"/>
    </xf>
    <xf numFmtId="0" fontId="9" fillId="0" borderId="0" xfId="19" applyFont="1" applyAlignment="1">
      <alignment vertical="center"/>
    </xf>
    <xf numFmtId="0" fontId="9" fillId="0" borderId="0" xfId="23" applyFont="1" applyAlignment="1">
      <alignment horizontal="center" vertical="center"/>
    </xf>
    <xf numFmtId="0" fontId="9" fillId="0" borderId="29" xfId="23" applyFont="1" applyBorder="1" applyAlignment="1">
      <alignment horizontal="center"/>
    </xf>
    <xf numFmtId="166" fontId="9" fillId="0" borderId="0" xfId="23" applyNumberFormat="1" applyFont="1" applyAlignment="1">
      <alignment horizontal="right"/>
    </xf>
    <xf numFmtId="0" fontId="17" fillId="0" borderId="0" xfId="23" applyFont="1"/>
    <xf numFmtId="0" fontId="9" fillId="0" borderId="0" xfId="23" applyFont="1"/>
    <xf numFmtId="0" fontId="9" fillId="0" borderId="0" xfId="23" applyFont="1" applyAlignment="1">
      <alignment vertical="center"/>
    </xf>
    <xf numFmtId="0" fontId="9" fillId="0" borderId="0" xfId="23" applyFont="1" applyAlignment="1">
      <alignment horizontal="center"/>
    </xf>
    <xf numFmtId="0" fontId="5" fillId="0" borderId="0" xfId="23" applyFont="1" applyAlignment="1">
      <alignment vertical="center"/>
    </xf>
    <xf numFmtId="166" fontId="9" fillId="0" borderId="0" xfId="23" applyNumberFormat="1" applyFont="1" applyAlignment="1">
      <alignment horizontal="right" vertical="center"/>
    </xf>
    <xf numFmtId="10" fontId="9" fillId="2" borderId="0" xfId="23" applyNumberFormat="1" applyFont="1" applyFill="1" applyAlignment="1">
      <alignment horizontal="right" vertical="center"/>
    </xf>
    <xf numFmtId="10" fontId="9" fillId="0" borderId="0" xfId="23" applyNumberFormat="1" applyFont="1" applyAlignment="1">
      <alignment horizontal="right"/>
    </xf>
    <xf numFmtId="166" fontId="9" fillId="0" borderId="0" xfId="23" applyNumberFormat="1" applyFont="1" applyAlignment="1">
      <alignment vertical="center"/>
    </xf>
    <xf numFmtId="166" fontId="9" fillId="0" borderId="0" xfId="23" applyNumberFormat="1" applyFont="1"/>
    <xf numFmtId="10" fontId="9" fillId="2" borderId="0" xfId="23" applyNumberFormat="1" applyFont="1" applyFill="1" applyAlignment="1">
      <alignment vertical="center"/>
    </xf>
    <xf numFmtId="0" fontId="5" fillId="0" borderId="0" xfId="23" applyFont="1" applyProtection="1">
      <protection locked="0"/>
    </xf>
    <xf numFmtId="0" fontId="5" fillId="0" borderId="0" xfId="23" applyFont="1" applyAlignment="1" applyProtection="1">
      <alignment vertical="center"/>
      <protection locked="0"/>
    </xf>
    <xf numFmtId="166" fontId="9" fillId="0" borderId="17" xfId="23" applyNumberFormat="1" applyFont="1" applyBorder="1" applyAlignment="1" applyProtection="1">
      <alignment horizontal="right" vertical="center"/>
      <protection locked="0"/>
    </xf>
    <xf numFmtId="166" fontId="9" fillId="0" borderId="0" xfId="23" applyNumberFormat="1" applyFont="1" applyAlignment="1" applyProtection="1">
      <alignment horizontal="right"/>
      <protection locked="0"/>
    </xf>
    <xf numFmtId="166" fontId="9" fillId="0" borderId="0" xfId="23" quotePrefix="1" applyNumberFormat="1" applyFont="1" applyAlignment="1">
      <alignment horizontal="right" vertical="center"/>
    </xf>
    <xf numFmtId="166" fontId="9" fillId="0" borderId="0" xfId="23" quotePrefix="1" applyNumberFormat="1" applyFont="1" applyAlignment="1">
      <alignment horizontal="right"/>
    </xf>
    <xf numFmtId="168" fontId="9" fillId="3" borderId="0" xfId="23" applyNumberFormat="1" applyFont="1" applyFill="1" applyAlignment="1">
      <alignment horizontal="right" vertical="center"/>
    </xf>
    <xf numFmtId="10" fontId="9" fillId="0" borderId="0" xfId="3" quotePrefix="1" applyNumberFormat="1" applyFont="1" applyBorder="1" applyAlignment="1">
      <alignment horizontal="right"/>
    </xf>
    <xf numFmtId="166" fontId="5" fillId="0" borderId="17" xfId="23" quotePrefix="1" applyNumberFormat="1" applyFont="1" applyBorder="1" applyAlignment="1">
      <alignment horizontal="right" vertical="center"/>
    </xf>
    <xf numFmtId="166" fontId="5" fillId="0" borderId="0" xfId="23" quotePrefix="1" applyNumberFormat="1" applyFont="1" applyAlignment="1">
      <alignment horizontal="right"/>
    </xf>
    <xf numFmtId="0" fontId="17" fillId="0" borderId="0" xfId="23" applyFont="1" applyAlignment="1">
      <alignment vertical="center"/>
    </xf>
    <xf numFmtId="164" fontId="9" fillId="3" borderId="0" xfId="13" applyNumberFormat="1" applyFont="1" applyFill="1" applyAlignment="1" applyProtection="1">
      <alignment vertical="center"/>
      <protection locked="0"/>
    </xf>
    <xf numFmtId="10" fontId="17" fillId="0" borderId="17" xfId="23" applyNumberFormat="1" applyFont="1" applyBorder="1" applyAlignment="1">
      <alignment horizontal="right" vertical="center"/>
    </xf>
    <xf numFmtId="10" fontId="17" fillId="0" borderId="0" xfId="23" applyNumberFormat="1" applyFont="1" applyAlignment="1">
      <alignment horizontal="right"/>
    </xf>
    <xf numFmtId="164" fontId="9" fillId="0" borderId="0" xfId="2" applyNumberFormat="1" applyFont="1" applyBorder="1" applyAlignment="1">
      <alignment horizontal="right"/>
    </xf>
    <xf numFmtId="164" fontId="5" fillId="0" borderId="0" xfId="2" applyNumberFormat="1" applyFont="1" applyBorder="1" applyAlignment="1">
      <alignment horizontal="right"/>
    </xf>
    <xf numFmtId="0" fontId="5" fillId="0" borderId="0" xfId="23" applyFont="1" applyAlignment="1">
      <alignment horizontal="left" vertical="center"/>
    </xf>
    <xf numFmtId="172" fontId="9" fillId="0" borderId="0" xfId="23" applyNumberFormat="1" applyFont="1" applyAlignment="1">
      <alignment horizontal="left"/>
    </xf>
    <xf numFmtId="164" fontId="9" fillId="2" borderId="0" xfId="2" applyNumberFormat="1" applyFont="1" applyFill="1" applyBorder="1" applyAlignment="1" applyProtection="1">
      <alignment horizontal="right" vertical="center"/>
      <protection locked="0"/>
    </xf>
    <xf numFmtId="0" fontId="17" fillId="0" borderId="0" xfId="23" applyFont="1" applyAlignment="1">
      <alignment horizontal="center" vertical="center"/>
    </xf>
    <xf numFmtId="0" fontId="17" fillId="0" borderId="0" xfId="23" applyFont="1" applyAlignment="1">
      <alignment horizontal="center"/>
    </xf>
    <xf numFmtId="10" fontId="9" fillId="0" borderId="0" xfId="3" applyNumberFormat="1" applyFont="1"/>
    <xf numFmtId="164" fontId="9" fillId="0" borderId="0" xfId="13" applyNumberFormat="1" applyFont="1" applyFill="1" applyBorder="1" applyAlignment="1" applyProtection="1">
      <alignment vertical="center"/>
      <protection locked="0"/>
    </xf>
    <xf numFmtId="164" fontId="9" fillId="0" borderId="0" xfId="13" applyNumberFormat="1" applyFont="1" applyFill="1" applyBorder="1" applyProtection="1">
      <protection locked="0"/>
    </xf>
    <xf numFmtId="5" fontId="9" fillId="0" borderId="0" xfId="23" applyNumberFormat="1" applyFont="1" applyAlignment="1" applyProtection="1">
      <alignment horizontal="right" vertical="center"/>
      <protection locked="0"/>
    </xf>
    <xf numFmtId="5" fontId="9" fillId="0" borderId="0" xfId="23" applyNumberFormat="1" applyFont="1" applyAlignment="1" applyProtection="1">
      <alignment horizontal="right"/>
      <protection locked="0"/>
    </xf>
    <xf numFmtId="5" fontId="5" fillId="0" borderId="0" xfId="23" applyNumberFormat="1" applyFont="1" applyAlignment="1" applyProtection="1">
      <alignment horizontal="right" vertical="center"/>
      <protection locked="0"/>
    </xf>
    <xf numFmtId="5" fontId="5" fillId="0" borderId="0" xfId="23" applyNumberFormat="1" applyFont="1" applyAlignment="1" applyProtection="1">
      <alignment horizontal="right"/>
      <protection locked="0"/>
    </xf>
    <xf numFmtId="0" fontId="5" fillId="0" borderId="0" xfId="23" applyFont="1" applyAlignment="1">
      <alignment horizontal="left"/>
    </xf>
    <xf numFmtId="164" fontId="5" fillId="2" borderId="30" xfId="23" applyNumberFormat="1" applyFont="1" applyFill="1" applyBorder="1" applyAlignment="1" applyProtection="1">
      <alignment horizontal="right" vertical="center"/>
      <protection locked="0"/>
    </xf>
    <xf numFmtId="0" fontId="9" fillId="0" borderId="0" xfId="23" applyFont="1" applyAlignment="1">
      <alignment horizontal="left"/>
    </xf>
    <xf numFmtId="10" fontId="9" fillId="0" borderId="0" xfId="24" applyNumberFormat="1" applyFont="1" applyBorder="1" applyAlignment="1">
      <alignment horizontal="right" vertical="center"/>
    </xf>
    <xf numFmtId="10" fontId="5" fillId="0" borderId="0" xfId="24" applyNumberFormat="1" applyFont="1" applyBorder="1" applyAlignment="1">
      <alignment horizontal="right"/>
    </xf>
    <xf numFmtId="10" fontId="5" fillId="0" borderId="0" xfId="20" applyNumberFormat="1" applyFont="1" applyBorder="1" applyAlignment="1">
      <alignment vertical="center"/>
    </xf>
    <xf numFmtId="10" fontId="5" fillId="0" borderId="0" xfId="20" applyNumberFormat="1" applyFont="1" applyBorder="1"/>
    <xf numFmtId="164" fontId="9" fillId="2" borderId="30" xfId="23" applyNumberFormat="1" applyFont="1" applyFill="1" applyBorder="1" applyAlignment="1" applyProtection="1">
      <alignment horizontal="right" vertical="center"/>
      <protection locked="0"/>
    </xf>
    <xf numFmtId="10" fontId="5" fillId="0" borderId="0" xfId="24" applyNumberFormat="1" applyFont="1" applyAlignment="1" applyProtection="1">
      <alignment horizontal="right" vertical="center"/>
    </xf>
    <xf numFmtId="10" fontId="5" fillId="0" borderId="0" xfId="24" applyNumberFormat="1" applyFont="1" applyAlignment="1" applyProtection="1">
      <alignment horizontal="right"/>
    </xf>
    <xf numFmtId="0" fontId="19" fillId="0" borderId="0" xfId="23" applyFont="1"/>
    <xf numFmtId="164" fontId="9" fillId="2" borderId="0" xfId="23" applyNumberFormat="1" applyFont="1" applyFill="1" applyAlignment="1" applyProtection="1">
      <alignment horizontal="right" vertical="center"/>
      <protection locked="0"/>
    </xf>
    <xf numFmtId="165" fontId="9" fillId="2" borderId="0" xfId="1" applyNumberFormat="1" applyFont="1" applyFill="1" applyBorder="1" applyAlignment="1" applyProtection="1">
      <alignment horizontal="right" vertical="center"/>
      <protection locked="0"/>
    </xf>
    <xf numFmtId="165" fontId="5" fillId="2" borderId="0" xfId="1" applyNumberFormat="1" applyFont="1" applyFill="1" applyBorder="1" applyAlignment="1" applyProtection="1">
      <alignment horizontal="right" vertical="center"/>
      <protection locked="0"/>
    </xf>
    <xf numFmtId="164" fontId="5" fillId="0" borderId="31" xfId="23" applyNumberFormat="1" applyFont="1" applyBorder="1" applyAlignment="1" applyProtection="1">
      <alignment horizontal="right" vertical="center"/>
      <protection locked="0"/>
    </xf>
    <xf numFmtId="164" fontId="5" fillId="0" borderId="0" xfId="23" applyNumberFormat="1" applyFont="1" applyAlignment="1" applyProtection="1">
      <alignment horizontal="right" vertical="center"/>
      <protection locked="0"/>
    </xf>
    <xf numFmtId="164" fontId="5" fillId="0" borderId="0" xfId="23" applyNumberFormat="1" applyFont="1" applyAlignment="1" applyProtection="1">
      <alignment horizontal="right"/>
      <protection locked="0"/>
    </xf>
    <xf numFmtId="168" fontId="9" fillId="2" borderId="0" xfId="20" applyNumberFormat="1" applyFont="1" applyFill="1" applyBorder="1" applyAlignment="1">
      <alignment horizontal="right" vertical="center"/>
    </xf>
    <xf numFmtId="10" fontId="9" fillId="0" borderId="0" xfId="24" applyNumberFormat="1" applyFont="1" applyBorder="1" applyAlignment="1">
      <alignment horizontal="right"/>
    </xf>
    <xf numFmtId="0" fontId="10" fillId="0" borderId="0" xfId="23" applyFont="1"/>
    <xf numFmtId="0" fontId="12" fillId="0" borderId="0" xfId="19" applyFont="1"/>
    <xf numFmtId="165" fontId="9" fillId="2" borderId="32" xfId="1" applyNumberFormat="1" applyFont="1" applyFill="1" applyBorder="1" applyAlignment="1">
      <alignment horizontal="center" vertical="center"/>
    </xf>
    <xf numFmtId="0" fontId="12" fillId="0" borderId="0" xfId="0" applyFont="1"/>
    <xf numFmtId="165" fontId="27" fillId="0" borderId="0" xfId="14" applyNumberFormat="1" applyFont="1" applyBorder="1" applyAlignment="1">
      <alignment vertical="center"/>
    </xf>
    <xf numFmtId="165" fontId="27" fillId="0" borderId="0" xfId="14" applyNumberFormat="1" applyFont="1" applyBorder="1"/>
    <xf numFmtId="164" fontId="9" fillId="0" borderId="0" xfId="21" applyNumberFormat="1" applyFont="1" applyAlignment="1">
      <alignment vertical="center"/>
    </xf>
    <xf numFmtId="164" fontId="10" fillId="0" borderId="0" xfId="21" applyNumberFormat="1" applyFont="1"/>
    <xf numFmtId="0" fontId="12" fillId="0" borderId="0" xfId="23" applyFont="1"/>
    <xf numFmtId="164" fontId="12" fillId="0" borderId="0" xfId="21" applyNumberFormat="1" applyFont="1" applyAlignment="1">
      <alignment vertical="center"/>
    </xf>
    <xf numFmtId="0" fontId="12" fillId="0" borderId="0" xfId="23" applyFont="1" applyAlignment="1">
      <alignment horizontal="center"/>
    </xf>
    <xf numFmtId="168" fontId="9" fillId="0" borderId="30" xfId="3" applyNumberFormat="1" applyFont="1" applyFill="1" applyBorder="1" applyAlignment="1">
      <alignment vertical="center"/>
    </xf>
    <xf numFmtId="10" fontId="28" fillId="0" borderId="0" xfId="20" applyNumberFormat="1" applyFont="1" applyBorder="1" applyAlignment="1" applyProtection="1">
      <alignment vertical="center"/>
    </xf>
    <xf numFmtId="10" fontId="28" fillId="0" borderId="0" xfId="20" applyNumberFormat="1" applyFont="1" applyBorder="1" applyProtection="1"/>
    <xf numFmtId="164" fontId="10" fillId="0" borderId="0" xfId="21" applyNumberFormat="1" applyFont="1" applyBorder="1" applyAlignment="1">
      <alignment horizontal="right"/>
    </xf>
    <xf numFmtId="164" fontId="12" fillId="0" borderId="0" xfId="21" applyNumberFormat="1" applyFont="1" applyBorder="1" applyAlignment="1">
      <alignment horizontal="right" vertical="center"/>
    </xf>
    <xf numFmtId="164" fontId="9" fillId="2" borderId="30" xfId="2" applyNumberFormat="1" applyFont="1" applyFill="1" applyBorder="1" applyAlignment="1">
      <alignment horizontal="right" vertical="center"/>
    </xf>
    <xf numFmtId="0" fontId="10" fillId="0" borderId="0" xfId="23" applyFont="1" applyAlignment="1">
      <alignment vertical="center"/>
    </xf>
    <xf numFmtId="10" fontId="9" fillId="0" borderId="2" xfId="24" applyNumberFormat="1" applyFont="1" applyBorder="1" applyAlignment="1">
      <alignment horizontal="right" vertical="center"/>
    </xf>
    <xf numFmtId="10" fontId="10" fillId="0" borderId="0" xfId="24" applyNumberFormat="1" applyFont="1" applyBorder="1" applyAlignment="1">
      <alignment horizontal="right"/>
    </xf>
    <xf numFmtId="10" fontId="5" fillId="0" borderId="0" xfId="20" applyNumberFormat="1" applyFont="1"/>
    <xf numFmtId="0" fontId="17" fillId="0" borderId="0" xfId="0" quotePrefix="1" applyFont="1" applyAlignment="1">
      <alignment horizontal="center" vertical="center"/>
    </xf>
    <xf numFmtId="1" fontId="9" fillId="0" borderId="0" xfId="11" applyNumberFormat="1" applyFont="1" applyAlignment="1">
      <alignment horizontal="center" vertical="center"/>
    </xf>
    <xf numFmtId="0" fontId="9" fillId="0" borderId="30" xfId="11" applyFont="1" applyBorder="1" applyAlignment="1">
      <alignment horizontal="left" vertical="center"/>
    </xf>
    <xf numFmtId="1" fontId="9" fillId="0" borderId="30" xfId="11" applyNumberFormat="1" applyFont="1" applyBorder="1" applyAlignment="1">
      <alignment horizontal="center" vertical="center"/>
    </xf>
    <xf numFmtId="165" fontId="9" fillId="0" borderId="30" xfId="1" applyNumberFormat="1" applyFont="1" applyFill="1" applyBorder="1" applyAlignment="1">
      <alignment vertical="center"/>
    </xf>
    <xf numFmtId="165" fontId="9" fillId="0" borderId="30" xfId="1" applyNumberFormat="1" applyFont="1" applyFill="1" applyBorder="1" applyAlignment="1">
      <alignment horizontal="right" vertical="center"/>
    </xf>
    <xf numFmtId="175" fontId="9" fillId="0" borderId="0" xfId="0" applyNumberFormat="1" applyFont="1" applyAlignment="1">
      <alignment vertical="center"/>
    </xf>
    <xf numFmtId="0" fontId="14" fillId="0" borderId="0" xfId="26" quotePrefix="1" applyFont="1" applyAlignment="1">
      <alignment horizontal="center" vertical="center"/>
    </xf>
    <xf numFmtId="0" fontId="9" fillId="0" borderId="30" xfId="0" applyFont="1" applyBorder="1" applyAlignment="1">
      <alignment horizontal="center" vertical="center"/>
    </xf>
    <xf numFmtId="15" fontId="9" fillId="0" borderId="30" xfId="0" applyNumberFormat="1" applyFont="1" applyBorder="1" applyAlignment="1">
      <alignment horizontal="center" vertical="center"/>
    </xf>
    <xf numFmtId="0" fontId="19" fillId="0" borderId="0" xfId="11" applyFont="1"/>
    <xf numFmtId="0" fontId="19" fillId="0" borderId="0" xfId="11" applyFont="1" applyAlignment="1">
      <alignment horizontal="left"/>
    </xf>
    <xf numFmtId="5" fontId="9" fillId="0" borderId="0" xfId="0" applyNumberFormat="1" applyFont="1" applyAlignment="1">
      <alignment horizontal="left" vertical="center"/>
    </xf>
    <xf numFmtId="165" fontId="5" fillId="3" borderId="30" xfId="1" applyNumberFormat="1" applyFont="1" applyFill="1" applyBorder="1" applyAlignment="1" applyProtection="1">
      <alignment vertical="center"/>
      <protection locked="0"/>
    </xf>
    <xf numFmtId="165" fontId="9" fillId="3" borderId="30" xfId="1" applyNumberFormat="1" applyFont="1" applyFill="1" applyBorder="1" applyAlignment="1" applyProtection="1">
      <alignment vertical="center"/>
      <protection locked="0"/>
    </xf>
    <xf numFmtId="10" fontId="9" fillId="2" borderId="30" xfId="0" applyNumberFormat="1" applyFont="1" applyFill="1" applyBorder="1" applyAlignment="1">
      <alignment horizontal="right" vertical="center"/>
    </xf>
    <xf numFmtId="165" fontId="9" fillId="0" borderId="30" xfId="1" applyNumberFormat="1" applyFont="1" applyFill="1" applyBorder="1" applyAlignment="1" applyProtection="1">
      <alignment vertical="center"/>
      <protection locked="0"/>
    </xf>
    <xf numFmtId="164" fontId="5" fillId="0" borderId="2" xfId="2" applyNumberFormat="1" applyFont="1" applyFill="1" applyBorder="1" applyAlignment="1">
      <alignment horizontal="right" vertical="center"/>
    </xf>
    <xf numFmtId="165" fontId="9" fillId="2" borderId="30" xfId="1" applyNumberFormat="1" applyFont="1" applyFill="1" applyBorder="1" applyAlignment="1" applyProtection="1">
      <alignment horizontal="right" vertical="center"/>
    </xf>
    <xf numFmtId="165" fontId="9" fillId="2" borderId="30" xfId="1" applyNumberFormat="1" applyFont="1" applyFill="1" applyBorder="1" applyAlignment="1">
      <alignment vertical="center"/>
    </xf>
    <xf numFmtId="0" fontId="5" fillId="0" borderId="30" xfId="0" applyFont="1" applyBorder="1" applyAlignment="1">
      <alignment horizontal="center" vertical="center"/>
    </xf>
    <xf numFmtId="165" fontId="9" fillId="0" borderId="33" xfId="1" applyNumberFormat="1" applyFont="1" applyFill="1" applyBorder="1" applyAlignment="1">
      <alignment vertical="center"/>
    </xf>
    <xf numFmtId="165" fontId="9" fillId="0" borderId="35" xfId="1" applyNumberFormat="1" applyFont="1" applyFill="1" applyBorder="1" applyAlignment="1">
      <alignment vertical="center"/>
    </xf>
    <xf numFmtId="165" fontId="9" fillId="0" borderId="34" xfId="1" applyNumberFormat="1" applyFont="1" applyFill="1" applyBorder="1" applyAlignment="1">
      <alignment vertical="center"/>
    </xf>
    <xf numFmtId="165" fontId="9" fillId="0" borderId="30" xfId="1" applyNumberFormat="1" applyFont="1" applyFill="1" applyBorder="1"/>
    <xf numFmtId="0" fontId="9" fillId="0" borderId="0" xfId="25" applyFont="1"/>
    <xf numFmtId="0" fontId="14" fillId="0" borderId="10" xfId="25" applyFont="1" applyBorder="1" applyAlignment="1">
      <alignment horizontal="center"/>
    </xf>
    <xf numFmtId="0" fontId="14" fillId="0" borderId="0" xfId="11" applyFont="1" applyAlignment="1">
      <alignment horizontal="center" vertical="center"/>
    </xf>
    <xf numFmtId="0" fontId="5" fillId="0" borderId="21" xfId="0" applyFont="1" applyBorder="1" applyAlignment="1">
      <alignment horizontal="center" vertical="center"/>
    </xf>
    <xf numFmtId="37" fontId="5" fillId="0" borderId="13" xfId="16" applyNumberFormat="1" applyFont="1" applyBorder="1" applyAlignment="1">
      <alignment horizontal="left" vertical="center"/>
    </xf>
    <xf numFmtId="164" fontId="5" fillId="0" borderId="13" xfId="2" applyNumberFormat="1" applyFont="1" applyBorder="1" applyAlignment="1">
      <alignment vertical="center"/>
    </xf>
    <xf numFmtId="37" fontId="9" fillId="0" borderId="0" xfId="1" applyNumberFormat="1" applyFont="1" applyBorder="1" applyAlignment="1">
      <alignment vertical="center"/>
    </xf>
    <xf numFmtId="37" fontId="9" fillId="0" borderId="0" xfId="1" applyNumberFormat="1" applyFont="1" applyFill="1" applyBorder="1" applyAlignment="1">
      <alignment vertical="center"/>
    </xf>
    <xf numFmtId="37" fontId="5" fillId="0" borderId="0" xfId="0" applyNumberFormat="1" applyFont="1" applyAlignment="1">
      <alignment horizontal="right" vertical="center"/>
    </xf>
    <xf numFmtId="37" fontId="5" fillId="0" borderId="11" xfId="0" applyNumberFormat="1" applyFont="1" applyBorder="1" applyAlignment="1">
      <alignment vertical="center"/>
    </xf>
    <xf numFmtId="43" fontId="10" fillId="0" borderId="0" xfId="1" applyFont="1" applyAlignment="1">
      <alignment horizontal="right" vertical="center"/>
    </xf>
    <xf numFmtId="164" fontId="5" fillId="0" borderId="2" xfId="2" applyNumberFormat="1" applyFont="1" applyBorder="1" applyAlignment="1">
      <alignment vertical="center"/>
    </xf>
    <xf numFmtId="0" fontId="23" fillId="0" borderId="10" xfId="25" applyFont="1" applyBorder="1" applyAlignment="1">
      <alignment horizontal="center"/>
    </xf>
    <xf numFmtId="37" fontId="5" fillId="0" borderId="0" xfId="28" applyNumberFormat="1" applyFont="1" applyAlignment="1" applyProtection="1">
      <alignment horizontal="center" vertical="center"/>
      <protection locked="0"/>
    </xf>
    <xf numFmtId="37" fontId="5" fillId="0" borderId="0" xfId="28" applyNumberFormat="1" applyFont="1" applyAlignment="1">
      <alignment vertical="center"/>
    </xf>
    <xf numFmtId="15" fontId="9" fillId="0" borderId="30" xfId="11" applyNumberFormat="1" applyFont="1" applyBorder="1" applyAlignment="1">
      <alignment horizontal="center" vertical="center"/>
    </xf>
    <xf numFmtId="0" fontId="9" fillId="0" borderId="30" xfId="11" applyFont="1" applyBorder="1" applyAlignment="1">
      <alignment horizontal="center" vertical="center"/>
    </xf>
    <xf numFmtId="164" fontId="9" fillId="0" borderId="0" xfId="13" applyNumberFormat="1" applyFont="1" applyBorder="1" applyAlignment="1" applyProtection="1">
      <alignment vertical="center"/>
      <protection locked="0"/>
    </xf>
    <xf numFmtId="10" fontId="9" fillId="2" borderId="30" xfId="11" applyNumberFormat="1" applyFont="1" applyFill="1" applyBorder="1" applyAlignment="1" applyProtection="1">
      <alignment horizontal="right" vertical="center"/>
      <protection locked="0"/>
    </xf>
    <xf numFmtId="164" fontId="9" fillId="0" borderId="0" xfId="13" applyNumberFormat="1" applyFont="1" applyBorder="1" applyAlignment="1" applyProtection="1">
      <alignment horizontal="right" vertical="center"/>
      <protection locked="0"/>
    </xf>
    <xf numFmtId="164" fontId="9" fillId="0" borderId="2" xfId="13" applyNumberFormat="1" applyFont="1" applyBorder="1" applyAlignment="1" applyProtection="1">
      <alignment horizontal="right" vertical="center"/>
      <protection locked="0"/>
    </xf>
    <xf numFmtId="165" fontId="9" fillId="0" borderId="0" xfId="29" applyNumberFormat="1" applyFont="1" applyBorder="1" applyAlignment="1">
      <alignment vertical="center"/>
    </xf>
    <xf numFmtId="164" fontId="9" fillId="0" borderId="0" xfId="13" applyNumberFormat="1" applyFont="1" applyBorder="1" applyAlignment="1">
      <alignment vertical="center"/>
    </xf>
    <xf numFmtId="164" fontId="9" fillId="3" borderId="30" xfId="13" applyNumberFormat="1" applyFont="1" applyFill="1" applyBorder="1" applyAlignment="1" applyProtection="1">
      <alignment horizontal="center" vertical="center"/>
      <protection locked="0"/>
    </xf>
    <xf numFmtId="165" fontId="9" fillId="0" borderId="0" xfId="29" applyNumberFormat="1" applyFont="1" applyBorder="1" applyAlignment="1" applyProtection="1">
      <alignment vertical="center"/>
      <protection locked="0"/>
    </xf>
    <xf numFmtId="165" fontId="9" fillId="0" borderId="0" xfId="29" applyNumberFormat="1" applyFont="1" applyAlignment="1" applyProtection="1">
      <alignment vertical="center"/>
      <protection locked="0"/>
    </xf>
    <xf numFmtId="165" fontId="5" fillId="2" borderId="0" xfId="29" applyNumberFormat="1" applyFont="1" applyFill="1" applyBorder="1" applyAlignment="1" applyProtection="1">
      <alignment horizontal="right" vertical="center"/>
      <protection locked="0"/>
    </xf>
    <xf numFmtId="165" fontId="9" fillId="0" borderId="0" xfId="29" applyNumberFormat="1" applyFont="1" applyFill="1" applyBorder="1" applyAlignment="1" applyProtection="1">
      <alignment vertical="center"/>
      <protection locked="0"/>
    </xf>
    <xf numFmtId="165" fontId="9" fillId="2" borderId="30" xfId="1" applyNumberFormat="1" applyFont="1" applyFill="1" applyBorder="1" applyAlignment="1" applyProtection="1">
      <alignment vertical="center"/>
      <protection locked="0"/>
    </xf>
    <xf numFmtId="0" fontId="12" fillId="0" borderId="0" xfId="11" applyFont="1" applyAlignment="1">
      <alignment vertical="center"/>
    </xf>
    <xf numFmtId="164" fontId="5" fillId="0" borderId="0" xfId="13" applyNumberFormat="1" applyFont="1" applyAlignment="1">
      <alignment horizontal="right" vertical="center"/>
    </xf>
    <xf numFmtId="10" fontId="9" fillId="3" borderId="30" xfId="30" applyNumberFormat="1" applyFont="1" applyFill="1" applyBorder="1" applyAlignment="1">
      <alignment vertical="center"/>
    </xf>
    <xf numFmtId="10" fontId="9" fillId="0" borderId="0" xfId="30" applyNumberFormat="1" applyFont="1" applyBorder="1" applyAlignment="1">
      <alignment vertical="center"/>
    </xf>
    <xf numFmtId="164" fontId="5" fillId="0" borderId="2" xfId="13" applyNumberFormat="1" applyFont="1" applyBorder="1" applyAlignment="1" applyProtection="1">
      <alignment horizontal="right" vertical="center"/>
      <protection locked="0"/>
    </xf>
    <xf numFmtId="0" fontId="9" fillId="0" borderId="0" xfId="31" applyFont="1" applyAlignment="1">
      <alignment vertical="center"/>
    </xf>
    <xf numFmtId="0" fontId="5" fillId="0" borderId="0" xfId="32" applyFont="1" applyAlignment="1">
      <alignment horizontal="left" vertical="center"/>
    </xf>
    <xf numFmtId="0" fontId="9" fillId="0" borderId="30" xfId="0" applyFont="1" applyBorder="1" applyAlignment="1">
      <alignment horizontal="center" vertical="center" wrapText="1"/>
    </xf>
    <xf numFmtId="164" fontId="9" fillId="3" borderId="30" xfId="2" applyNumberFormat="1" applyFont="1" applyFill="1" applyBorder="1" applyAlignment="1" applyProtection="1">
      <alignment vertical="center"/>
      <protection locked="0"/>
    </xf>
    <xf numFmtId="44" fontId="9" fillId="0" borderId="0" xfId="0" applyNumberFormat="1" applyFont="1" applyAlignment="1">
      <alignment vertical="center"/>
    </xf>
    <xf numFmtId="10" fontId="9" fillId="0" borderId="30" xfId="3" applyNumberFormat="1" applyFont="1" applyFill="1" applyBorder="1" applyAlignment="1">
      <alignment horizontal="right" vertical="center"/>
    </xf>
    <xf numFmtId="10" fontId="9" fillId="0" borderId="30" xfId="3" applyNumberFormat="1" applyFont="1" applyBorder="1" applyAlignment="1">
      <alignment horizontal="right" vertical="center"/>
    </xf>
    <xf numFmtId="176" fontId="9" fillId="0" borderId="3" xfId="3" applyNumberFormat="1" applyFont="1" applyBorder="1" applyAlignment="1">
      <alignment horizontal="right" vertical="center"/>
    </xf>
    <xf numFmtId="10" fontId="9" fillId="4" borderId="2" xfId="3" applyNumberFormat="1" applyFont="1" applyFill="1" applyBorder="1" applyAlignment="1">
      <alignment vertical="center"/>
    </xf>
    <xf numFmtId="164" fontId="9" fillId="4" borderId="0" xfId="2" applyNumberFormat="1" applyFont="1" applyFill="1" applyAlignment="1">
      <alignment vertical="center"/>
    </xf>
    <xf numFmtId="10" fontId="9" fillId="4" borderId="0" xfId="3" applyNumberFormat="1" applyFont="1" applyFill="1" applyAlignment="1">
      <alignment horizontal="right" vertical="center"/>
    </xf>
    <xf numFmtId="165" fontId="9" fillId="4" borderId="0" xfId="1" applyNumberFormat="1" applyFont="1" applyFill="1" applyAlignment="1">
      <alignment vertical="center"/>
    </xf>
    <xf numFmtId="10" fontId="9" fillId="4" borderId="30" xfId="3" applyNumberFormat="1" applyFont="1" applyFill="1" applyBorder="1" applyAlignment="1">
      <alignment horizontal="right" vertical="center"/>
    </xf>
    <xf numFmtId="10" fontId="9" fillId="4" borderId="0" xfId="0" applyNumberFormat="1" applyFont="1" applyFill="1" applyAlignment="1">
      <alignment vertical="center"/>
    </xf>
    <xf numFmtId="9" fontId="9" fillId="3" borderId="30" xfId="3" applyFont="1" applyFill="1" applyBorder="1" applyAlignment="1">
      <alignment horizontal="right" vertical="center"/>
    </xf>
    <xf numFmtId="0" fontId="9" fillId="3" borderId="30" xfId="3" applyNumberFormat="1" applyFont="1" applyFill="1" applyBorder="1" applyAlignment="1">
      <alignment horizontal="right" vertical="center"/>
    </xf>
    <xf numFmtId="168" fontId="9" fillId="0" borderId="30" xfId="3" applyNumberFormat="1" applyFont="1" applyBorder="1" applyAlignment="1">
      <alignment horizontal="right" vertical="center"/>
    </xf>
    <xf numFmtId="168" fontId="9" fillId="2" borderId="30" xfId="3" applyNumberFormat="1" applyFont="1" applyFill="1" applyBorder="1" applyAlignment="1">
      <alignment horizontal="right" vertical="center"/>
    </xf>
    <xf numFmtId="0" fontId="14" fillId="0" borderId="0" xfId="0" applyFont="1" applyAlignment="1">
      <alignment horizontal="center"/>
    </xf>
    <xf numFmtId="0" fontId="9" fillId="0" borderId="0" xfId="0" applyFont="1" applyAlignment="1">
      <alignment horizontal="right" vertical="center" wrapText="1"/>
    </xf>
    <xf numFmtId="164" fontId="9" fillId="4" borderId="0" xfId="2" applyNumberFormat="1" applyFont="1" applyFill="1" applyAlignment="1">
      <alignment horizontal="center" vertical="center"/>
    </xf>
    <xf numFmtId="9" fontId="9" fillId="2" borderId="30" xfId="3" applyFont="1" applyFill="1" applyBorder="1" applyAlignment="1">
      <alignment horizontal="right" vertical="center"/>
    </xf>
    <xf numFmtId="10" fontId="9" fillId="2" borderId="30" xfId="3" applyNumberFormat="1" applyFont="1" applyFill="1" applyBorder="1" applyAlignment="1">
      <alignment horizontal="right" vertical="center"/>
    </xf>
    <xf numFmtId="168" fontId="9" fillId="2" borderId="30" xfId="0" applyNumberFormat="1" applyFont="1" applyFill="1" applyBorder="1" applyAlignment="1">
      <alignment horizontal="right" vertical="center"/>
    </xf>
    <xf numFmtId="43" fontId="7" fillId="0" borderId="0" xfId="4" applyNumberFormat="1" applyFont="1"/>
    <xf numFmtId="165" fontId="7" fillId="0" borderId="30" xfId="1" applyNumberFormat="1" applyFont="1" applyBorder="1"/>
    <xf numFmtId="0" fontId="5" fillId="0" borderId="0" xfId="11" applyFont="1" applyAlignment="1">
      <alignment horizontal="right"/>
    </xf>
    <xf numFmtId="0" fontId="5" fillId="0" borderId="0" xfId="23"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37" fontId="5" fillId="0" borderId="0" xfId="0" applyNumberFormat="1" applyFont="1" applyAlignment="1">
      <alignment horizontal="center" vertical="center"/>
    </xf>
    <xf numFmtId="0" fontId="9" fillId="0" borderId="0" xfId="11" applyFont="1" applyAlignment="1">
      <alignment horizontal="center" vertical="center"/>
    </xf>
    <xf numFmtId="0" fontId="5" fillId="0" borderId="34" xfId="11" applyFont="1" applyBorder="1" applyAlignment="1">
      <alignment horizontal="center"/>
    </xf>
    <xf numFmtId="0" fontId="5" fillId="0" borderId="33" xfId="11" applyFont="1" applyBorder="1" applyAlignment="1">
      <alignment horizontal="center"/>
    </xf>
    <xf numFmtId="0" fontId="5" fillId="0" borderId="30" xfId="11" applyFont="1" applyBorder="1" applyAlignment="1">
      <alignment horizontal="center"/>
    </xf>
    <xf numFmtId="165" fontId="9" fillId="2" borderId="33" xfId="1" applyNumberFormat="1" applyFont="1" applyFill="1" applyBorder="1" applyAlignment="1">
      <alignment horizontal="right" vertical="center"/>
    </xf>
    <xf numFmtId="165" fontId="9" fillId="3" borderId="33" xfId="1" applyNumberFormat="1" applyFont="1" applyFill="1" applyBorder="1" applyAlignment="1">
      <alignment vertical="center"/>
    </xf>
    <xf numFmtId="171" fontId="9" fillId="0" borderId="33" xfId="1" applyNumberFormat="1" applyFont="1" applyFill="1" applyBorder="1" applyAlignment="1">
      <alignment horizontal="right"/>
    </xf>
    <xf numFmtId="165" fontId="9" fillId="3" borderId="33" xfId="22" applyNumberFormat="1" applyFont="1" applyFill="1" applyBorder="1"/>
    <xf numFmtId="10" fontId="9" fillId="0" borderId="30" xfId="3" quotePrefix="1" applyNumberFormat="1" applyFont="1" applyBorder="1" applyAlignment="1">
      <alignment horizontal="right" vertical="center"/>
    </xf>
    <xf numFmtId="165" fontId="29" fillId="0" borderId="21" xfId="1" applyNumberFormat="1" applyFont="1" applyFill="1" applyBorder="1" applyAlignment="1">
      <alignment vertical="center"/>
    </xf>
    <xf numFmtId="164" fontId="5" fillId="0" borderId="2" xfId="2" applyNumberFormat="1" applyFont="1" applyFill="1" applyBorder="1" applyAlignment="1">
      <alignment vertical="center"/>
    </xf>
    <xf numFmtId="0" fontId="5" fillId="0" borderId="0" xfId="11" applyFont="1" applyAlignment="1">
      <alignment horizontal="right" vertical="center"/>
    </xf>
    <xf numFmtId="0" fontId="5" fillId="0" borderId="0" xfId="0" applyFont="1" applyAlignment="1">
      <alignment horizontal="right" vertical="center" wrapText="1"/>
    </xf>
    <xf numFmtId="164" fontId="5" fillId="0" borderId="0" xfId="13" quotePrefix="1" applyNumberFormat="1" applyFont="1" applyFill="1" applyBorder="1" applyAlignment="1">
      <alignment horizontal="right"/>
    </xf>
    <xf numFmtId="0" fontId="7" fillId="0" borderId="0" xfId="0" applyFont="1"/>
    <xf numFmtId="0" fontId="5" fillId="0" borderId="0" xfId="11" quotePrefix="1" applyFont="1" applyAlignment="1">
      <alignment horizontal="center"/>
    </xf>
    <xf numFmtId="167" fontId="5" fillId="0" borderId="0" xfId="11" applyNumberFormat="1" applyFont="1" applyAlignment="1">
      <alignment horizontal="center"/>
    </xf>
    <xf numFmtId="5" fontId="9" fillId="0" borderId="30" xfId="11" applyNumberFormat="1" applyFont="1" applyBorder="1" applyAlignment="1">
      <alignment horizontal="center"/>
    </xf>
    <xf numFmtId="0" fontId="9" fillId="0" borderId="30" xfId="11" applyFont="1" applyBorder="1" applyAlignment="1">
      <alignment horizontal="center"/>
    </xf>
    <xf numFmtId="0" fontId="5" fillId="0" borderId="0" xfId="11" applyFont="1" applyAlignment="1" applyProtection="1">
      <alignment horizontal="center"/>
      <protection locked="0"/>
    </xf>
    <xf numFmtId="0" fontId="17" fillId="0" borderId="0" xfId="11" applyFont="1" applyAlignment="1">
      <alignment horizontal="left"/>
    </xf>
    <xf numFmtId="164" fontId="9" fillId="2" borderId="0" xfId="13" applyNumberFormat="1" applyFont="1" applyFill="1" applyBorder="1" applyAlignment="1" applyProtection="1">
      <alignment horizontal="right" vertical="center"/>
      <protection locked="0"/>
    </xf>
    <xf numFmtId="164" fontId="9" fillId="0" borderId="0" xfId="13" applyNumberFormat="1" applyFont="1" applyFill="1" applyBorder="1" applyAlignment="1" applyProtection="1">
      <alignment horizontal="right"/>
      <protection locked="0"/>
    </xf>
    <xf numFmtId="165" fontId="9" fillId="2" borderId="0" xfId="29" applyNumberFormat="1" applyFont="1" applyFill="1" applyBorder="1" applyAlignment="1" applyProtection="1">
      <alignment horizontal="right" vertical="center"/>
      <protection locked="0"/>
    </xf>
    <xf numFmtId="165" fontId="9" fillId="0" borderId="0" xfId="29" applyNumberFormat="1" applyFont="1" applyFill="1" applyBorder="1" applyAlignment="1" applyProtection="1">
      <alignment horizontal="right"/>
      <protection locked="0"/>
    </xf>
    <xf numFmtId="165" fontId="9" fillId="2" borderId="30" xfId="29" applyNumberFormat="1" applyFont="1" applyFill="1" applyBorder="1" applyAlignment="1" applyProtection="1">
      <alignment horizontal="right" vertical="center"/>
      <protection locked="0"/>
    </xf>
    <xf numFmtId="164" fontId="9" fillId="0" borderId="16" xfId="13" applyNumberFormat="1" applyFont="1" applyFill="1" applyBorder="1" applyAlignment="1" applyProtection="1">
      <alignment horizontal="right" vertical="center"/>
    </xf>
    <xf numFmtId="164" fontId="5" fillId="0" borderId="0" xfId="13" applyNumberFormat="1" applyFont="1" applyFill="1" applyBorder="1" applyAlignment="1" applyProtection="1">
      <alignment horizontal="right"/>
    </xf>
    <xf numFmtId="165" fontId="5" fillId="0" borderId="0" xfId="29" applyNumberFormat="1" applyFont="1" applyFill="1" applyAlignment="1" applyProtection="1">
      <alignment horizontal="center" vertical="center"/>
    </xf>
    <xf numFmtId="165" fontId="5" fillId="0" borderId="0" xfId="29" applyNumberFormat="1" applyFont="1" applyFill="1" applyAlignment="1" applyProtection="1">
      <alignment horizontal="center"/>
    </xf>
    <xf numFmtId="164" fontId="9" fillId="2" borderId="0" xfId="13" applyNumberFormat="1" applyFont="1" applyFill="1" applyBorder="1" applyAlignment="1" applyProtection="1">
      <alignment horizontal="center" vertical="center"/>
    </xf>
    <xf numFmtId="43" fontId="9" fillId="2" borderId="0" xfId="29" applyFont="1" applyFill="1" applyBorder="1" applyAlignment="1" applyProtection="1">
      <alignment horizontal="center" vertical="center"/>
    </xf>
    <xf numFmtId="164" fontId="9" fillId="0" borderId="16" xfId="13" applyNumberFormat="1" applyFont="1" applyFill="1" applyBorder="1" applyAlignment="1" applyProtection="1">
      <alignment horizontal="center" vertical="center"/>
    </xf>
    <xf numFmtId="164" fontId="5" fillId="0" borderId="0" xfId="13" applyNumberFormat="1" applyFont="1" applyFill="1" applyBorder="1" applyAlignment="1" applyProtection="1">
      <alignment horizontal="center"/>
    </xf>
    <xf numFmtId="164" fontId="5" fillId="0" borderId="0" xfId="13" quotePrefix="1" applyNumberFormat="1" applyFont="1" applyFill="1" applyBorder="1" applyAlignment="1">
      <alignment horizontal="right" vertical="center"/>
    </xf>
    <xf numFmtId="164" fontId="9" fillId="2" borderId="0" xfId="13" applyNumberFormat="1" applyFont="1" applyFill="1" applyBorder="1" applyAlignment="1" applyProtection="1">
      <alignment horizontal="right" vertical="center"/>
    </xf>
    <xf numFmtId="43" fontId="9" fillId="2" borderId="0" xfId="29" applyFont="1" applyFill="1" applyBorder="1" applyAlignment="1" applyProtection="1">
      <alignment horizontal="right" vertical="center"/>
    </xf>
    <xf numFmtId="165" fontId="5" fillId="0" borderId="0" xfId="29" applyNumberFormat="1" applyFont="1" applyFill="1" applyAlignment="1" applyProtection="1">
      <alignment horizontal="right" vertical="center"/>
    </xf>
    <xf numFmtId="165" fontId="5" fillId="0" borderId="0" xfId="29" applyNumberFormat="1" applyFont="1" applyFill="1" applyAlignment="1" applyProtection="1">
      <alignment horizontal="right"/>
    </xf>
    <xf numFmtId="165" fontId="5" fillId="2" borderId="30" xfId="29" applyNumberFormat="1" applyFont="1" applyFill="1" applyBorder="1" applyAlignment="1" applyProtection="1">
      <alignment horizontal="right" vertical="center"/>
      <protection locked="0"/>
    </xf>
    <xf numFmtId="164" fontId="5" fillId="0" borderId="16" xfId="13" applyNumberFormat="1" applyFont="1" applyFill="1" applyBorder="1" applyAlignment="1" applyProtection="1">
      <alignment horizontal="right" vertical="center"/>
    </xf>
    <xf numFmtId="165" fontId="5" fillId="0" borderId="0" xfId="29" applyNumberFormat="1" applyFont="1" applyFill="1" applyBorder="1" applyAlignment="1" applyProtection="1">
      <alignment horizontal="center" vertical="center"/>
    </xf>
    <xf numFmtId="165" fontId="5" fillId="0" borderId="0" xfId="29" applyNumberFormat="1" applyFont="1" applyFill="1" applyBorder="1" applyAlignment="1" applyProtection="1">
      <alignment horizontal="center"/>
    </xf>
    <xf numFmtId="165" fontId="5" fillId="2" borderId="30" xfId="29" applyNumberFormat="1" applyFont="1" applyFill="1" applyBorder="1" applyAlignment="1" applyProtection="1">
      <alignment horizontal="center" vertical="center"/>
    </xf>
    <xf numFmtId="164" fontId="5" fillId="0" borderId="2" xfId="13" applyNumberFormat="1" applyFont="1" applyFill="1" applyBorder="1" applyAlignment="1" applyProtection="1">
      <alignment horizontal="right" vertical="center"/>
    </xf>
    <xf numFmtId="164" fontId="5" fillId="0" borderId="0" xfId="13" applyNumberFormat="1" applyFont="1" applyFill="1" applyBorder="1" applyAlignment="1" applyProtection="1">
      <alignment horizontal="right" vertical="center"/>
    </xf>
    <xf numFmtId="164" fontId="9" fillId="4" borderId="0" xfId="13" applyNumberFormat="1" applyFont="1" applyFill="1" applyBorder="1" applyAlignment="1" applyProtection="1">
      <alignment horizontal="right" vertical="center"/>
    </xf>
    <xf numFmtId="164" fontId="9" fillId="0" borderId="0" xfId="13" applyNumberFormat="1" applyFont="1" applyFill="1" applyBorder="1" applyAlignment="1" applyProtection="1">
      <alignment horizontal="right"/>
    </xf>
    <xf numFmtId="165" fontId="9" fillId="4" borderId="0" xfId="29" applyNumberFormat="1" applyFont="1" applyFill="1" applyBorder="1" applyAlignment="1" applyProtection="1">
      <alignment horizontal="right" vertical="center"/>
    </xf>
    <xf numFmtId="165" fontId="9" fillId="4" borderId="30" xfId="29" applyNumberFormat="1" applyFont="1" applyFill="1" applyBorder="1" applyAlignment="1" applyProtection="1">
      <alignment horizontal="right" vertical="center"/>
    </xf>
    <xf numFmtId="164" fontId="9" fillId="4" borderId="2" xfId="13" applyNumberFormat="1" applyFont="1" applyFill="1" applyBorder="1" applyAlignment="1" applyProtection="1">
      <alignment horizontal="right" vertical="center"/>
    </xf>
    <xf numFmtId="164" fontId="9" fillId="2" borderId="0" xfId="13" applyNumberFormat="1" applyFont="1" applyFill="1" applyAlignment="1" applyProtection="1">
      <alignment horizontal="right" vertical="center"/>
    </xf>
    <xf numFmtId="6" fontId="5" fillId="0" borderId="0" xfId="11" applyNumberFormat="1" applyFont="1"/>
    <xf numFmtId="0" fontId="9" fillId="0" borderId="0" xfId="33" applyFont="1"/>
    <xf numFmtId="165" fontId="9" fillId="2" borderId="0" xfId="29" applyNumberFormat="1" applyFont="1" applyFill="1" applyAlignment="1" applyProtection="1">
      <alignment horizontal="right" vertical="center"/>
    </xf>
    <xf numFmtId="10" fontId="5" fillId="0" borderId="0" xfId="30" applyNumberFormat="1" applyFont="1"/>
    <xf numFmtId="165" fontId="9" fillId="2" borderId="30" xfId="29" applyNumberFormat="1" applyFont="1" applyFill="1" applyBorder="1" applyAlignment="1" applyProtection="1">
      <alignment horizontal="right" vertical="center"/>
    </xf>
    <xf numFmtId="167" fontId="5" fillId="0" borderId="0" xfId="11" applyNumberFormat="1" applyFont="1" applyAlignment="1">
      <alignment horizontal="center" vertical="center"/>
    </xf>
    <xf numFmtId="6" fontId="9" fillId="0" borderId="0" xfId="11" applyNumberFormat="1" applyFont="1"/>
    <xf numFmtId="164" fontId="9" fillId="0" borderId="0" xfId="13" applyNumberFormat="1" applyFont="1" applyFill="1" applyAlignment="1" applyProtection="1">
      <alignment horizontal="right" vertical="center"/>
    </xf>
    <xf numFmtId="164" fontId="9" fillId="0" borderId="0" xfId="13" applyNumberFormat="1" applyFont="1" applyFill="1" applyAlignment="1" applyProtection="1">
      <alignment horizontal="right"/>
    </xf>
    <xf numFmtId="165" fontId="9" fillId="0" borderId="0" xfId="29" applyNumberFormat="1" applyFont="1" applyFill="1" applyAlignment="1" applyProtection="1">
      <alignment horizontal="right" vertical="center"/>
    </xf>
    <xf numFmtId="165" fontId="9" fillId="0" borderId="0" xfId="29" applyNumberFormat="1" applyFont="1" applyFill="1" applyAlignment="1" applyProtection="1">
      <alignment horizontal="right"/>
    </xf>
    <xf numFmtId="165" fontId="9" fillId="0" borderId="30" xfId="29" applyNumberFormat="1" applyFont="1" applyFill="1" applyBorder="1" applyAlignment="1" applyProtection="1">
      <alignment horizontal="right" vertical="center"/>
    </xf>
    <xf numFmtId="165" fontId="9" fillId="0" borderId="0" xfId="29" applyNumberFormat="1" applyFont="1" applyFill="1" applyBorder="1" applyAlignment="1" applyProtection="1">
      <alignment horizontal="right"/>
    </xf>
    <xf numFmtId="164" fontId="9" fillId="0" borderId="15" xfId="13" applyNumberFormat="1" applyFont="1" applyFill="1" applyBorder="1" applyAlignment="1" applyProtection="1">
      <alignment horizontal="right" vertical="center"/>
    </xf>
    <xf numFmtId="164" fontId="9" fillId="0" borderId="2" xfId="13" applyNumberFormat="1" applyFont="1" applyFill="1" applyBorder="1" applyAlignment="1" applyProtection="1">
      <alignment horizontal="right" vertical="center"/>
    </xf>
    <xf numFmtId="0" fontId="7" fillId="0" borderId="0" xfId="0" applyFont="1" applyAlignment="1">
      <alignment horizontal="center" vertical="center"/>
    </xf>
    <xf numFmtId="0" fontId="3" fillId="0" borderId="0" xfId="4" applyFont="1" applyAlignment="1">
      <alignment horizontal="left"/>
    </xf>
    <xf numFmtId="165" fontId="9" fillId="3" borderId="30" xfId="1" applyNumberFormat="1" applyFont="1" applyFill="1" applyBorder="1" applyAlignment="1">
      <alignment vertical="center"/>
    </xf>
    <xf numFmtId="0" fontId="16" fillId="0" borderId="1" xfId="0" applyFont="1" applyBorder="1" applyAlignment="1">
      <alignment horizontal="center"/>
    </xf>
    <xf numFmtId="0" fontId="9" fillId="0" borderId="10" xfId="11" applyFont="1" applyBorder="1" applyAlignment="1">
      <alignment horizontal="center"/>
    </xf>
    <xf numFmtId="0" fontId="9" fillId="0" borderId="11" xfId="11" applyFont="1" applyBorder="1" applyAlignment="1">
      <alignment horizont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5" fillId="0" borderId="30" xfId="11" applyFont="1" applyBorder="1" applyAlignment="1">
      <alignment horizontal="center" vertical="center"/>
    </xf>
    <xf numFmtId="0" fontId="3" fillId="0" borderId="30" xfId="0" applyFont="1" applyBorder="1" applyAlignment="1">
      <alignment horizontal="center" vertical="center"/>
    </xf>
    <xf numFmtId="165" fontId="7" fillId="0" borderId="0" xfId="1" applyNumberFormat="1" applyFont="1" applyFill="1" applyBorder="1" applyAlignment="1">
      <alignment vertical="center"/>
    </xf>
    <xf numFmtId="10" fontId="9" fillId="3" borderId="0" xfId="3" applyNumberFormat="1" applyFont="1" applyFill="1" applyBorder="1"/>
    <xf numFmtId="10" fontId="7" fillId="0" borderId="0" xfId="3" applyNumberFormat="1" applyFont="1" applyAlignment="1">
      <alignment vertical="center"/>
    </xf>
    <xf numFmtId="165" fontId="7" fillId="0" borderId="30" xfId="1" applyNumberFormat="1" applyFont="1" applyFill="1" applyBorder="1" applyAlignment="1">
      <alignment vertical="center"/>
    </xf>
    <xf numFmtId="10" fontId="9" fillId="3" borderId="30" xfId="3" applyNumberFormat="1" applyFont="1" applyFill="1" applyBorder="1"/>
    <xf numFmtId="174" fontId="7" fillId="0" borderId="0" xfId="2" applyNumberFormat="1" applyFont="1" applyAlignment="1">
      <alignment vertical="center"/>
    </xf>
    <xf numFmtId="174" fontId="9" fillId="0" borderId="0" xfId="2" applyNumberFormat="1" applyFont="1" applyFill="1" applyAlignment="1">
      <alignment vertical="center"/>
    </xf>
    <xf numFmtId="175" fontId="7" fillId="0" borderId="0" xfId="0" applyNumberFormat="1" applyFont="1" applyAlignment="1">
      <alignment vertical="center"/>
    </xf>
    <xf numFmtId="0" fontId="0" fillId="0" borderId="0" xfId="0" applyAlignment="1">
      <alignment vertical="center"/>
    </xf>
    <xf numFmtId="0" fontId="3" fillId="0" borderId="0" xfId="0" applyFont="1" applyAlignment="1">
      <alignment vertical="center"/>
    </xf>
    <xf numFmtId="170" fontId="3" fillId="0" borderId="2" xfId="2" applyNumberFormat="1" applyFont="1" applyBorder="1"/>
    <xf numFmtId="164" fontId="9" fillId="0" borderId="2" xfId="21" applyNumberFormat="1" applyFont="1" applyBorder="1" applyAlignment="1">
      <alignment horizontal="right"/>
    </xf>
    <xf numFmtId="37" fontId="9" fillId="0" borderId="0" xfId="0" applyNumberFormat="1" applyFont="1" applyAlignment="1">
      <alignment horizontal="right"/>
    </xf>
    <xf numFmtId="37" fontId="9" fillId="0" borderId="30" xfId="0" applyNumberFormat="1" applyFont="1" applyBorder="1" applyAlignment="1">
      <alignment horizontal="right"/>
    </xf>
    <xf numFmtId="165" fontId="9" fillId="0" borderId="0" xfId="1" applyNumberFormat="1" applyFont="1" applyFill="1" applyBorder="1" applyAlignment="1"/>
    <xf numFmtId="165" fontId="9" fillId="0" borderId="0" xfId="1" applyNumberFormat="1" applyFont="1" applyFill="1"/>
    <xf numFmtId="165" fontId="9" fillId="0" borderId="0" xfId="1" applyNumberFormat="1" applyFont="1" applyFill="1" applyBorder="1" applyAlignment="1">
      <alignment vertical="top"/>
    </xf>
    <xf numFmtId="165" fontId="21" fillId="0" borderId="0" xfId="1" applyNumberFormat="1" applyFont="1" applyFill="1" applyBorder="1" applyAlignment="1">
      <alignment vertical="top"/>
    </xf>
    <xf numFmtId="165" fontId="9" fillId="0" borderId="30" xfId="1" applyNumberFormat="1" applyFont="1" applyFill="1" applyBorder="1" applyAlignment="1">
      <alignment vertical="top"/>
    </xf>
    <xf numFmtId="49" fontId="14" fillId="0" borderId="10" xfId="0" applyNumberFormat="1" applyFont="1" applyBorder="1" applyAlignment="1">
      <alignment horizontal="center" vertical="center"/>
    </xf>
    <xf numFmtId="0" fontId="14" fillId="0" borderId="10" xfId="0" applyFont="1" applyBorder="1" applyAlignment="1">
      <alignment horizontal="center" vertical="top"/>
    </xf>
    <xf numFmtId="164" fontId="9" fillId="0" borderId="0" xfId="2" applyNumberFormat="1" applyFont="1" applyBorder="1" applyAlignment="1">
      <alignment horizontal="center" vertical="center"/>
    </xf>
    <xf numFmtId="164" fontId="9" fillId="2" borderId="0" xfId="13" applyNumberFormat="1" applyFont="1" applyFill="1" applyAlignment="1" applyProtection="1">
      <alignment vertical="center"/>
      <protection locked="0"/>
    </xf>
    <xf numFmtId="170" fontId="9" fillId="0" borderId="0" xfId="11" applyNumberFormat="1" applyFont="1" applyAlignment="1">
      <alignment vertical="center"/>
    </xf>
    <xf numFmtId="171" fontId="5" fillId="0" borderId="0" xfId="0" applyNumberFormat="1" applyFont="1" applyAlignment="1">
      <alignment horizontal="center"/>
    </xf>
    <xf numFmtId="170" fontId="5" fillId="0" borderId="0" xfId="0" applyNumberFormat="1" applyFont="1" applyAlignment="1">
      <alignment horizontal="center"/>
    </xf>
    <xf numFmtId="10" fontId="9" fillId="0" borderId="0" xfId="23" applyNumberFormat="1" applyFont="1" applyAlignment="1">
      <alignment horizontal="right" vertical="center"/>
    </xf>
    <xf numFmtId="164" fontId="9" fillId="2" borderId="30" xfId="13" applyNumberFormat="1" applyFont="1" applyFill="1" applyBorder="1" applyAlignment="1" applyProtection="1">
      <alignment vertical="center"/>
      <protection locked="0"/>
    </xf>
    <xf numFmtId="167" fontId="9" fillId="0" borderId="20" xfId="0" applyNumberFormat="1" applyFont="1" applyBorder="1" applyAlignment="1">
      <alignment horizontal="center" vertical="center"/>
    </xf>
    <xf numFmtId="170" fontId="1" fillId="0" borderId="0" xfId="4" applyNumberFormat="1"/>
    <xf numFmtId="174" fontId="7" fillId="0" borderId="0" xfId="2" applyNumberFormat="1" applyFont="1" applyBorder="1" applyAlignment="1">
      <alignment vertical="center"/>
    </xf>
    <xf numFmtId="165" fontId="5" fillId="0" borderId="0" xfId="1" applyNumberFormat="1" applyFont="1" applyFill="1" applyBorder="1" applyAlignment="1">
      <alignment vertical="center"/>
    </xf>
    <xf numFmtId="165" fontId="5" fillId="0" borderId="0" xfId="1" applyNumberFormat="1" applyFont="1" applyFill="1" applyAlignment="1">
      <alignment vertical="center"/>
    </xf>
    <xf numFmtId="0" fontId="5" fillId="0" borderId="0" xfId="0" quotePrefix="1" applyFont="1" applyAlignment="1">
      <alignment horizontal="center"/>
    </xf>
    <xf numFmtId="164" fontId="5" fillId="0" borderId="0" xfId="13" applyNumberFormat="1" applyFont="1" applyBorder="1" applyAlignment="1" applyProtection="1">
      <alignment horizontal="right" vertical="center"/>
      <protection locked="0"/>
    </xf>
    <xf numFmtId="177" fontId="1" fillId="0" borderId="0" xfId="1" applyNumberFormat="1"/>
    <xf numFmtId="165" fontId="5" fillId="0" borderId="13" xfId="1" applyNumberFormat="1" applyFont="1" applyFill="1" applyBorder="1" applyAlignment="1">
      <alignment vertical="center"/>
    </xf>
    <xf numFmtId="37" fontId="10" fillId="0" borderId="0" xfId="0" applyNumberFormat="1" applyFont="1" applyAlignment="1">
      <alignment horizontal="left" vertical="center"/>
    </xf>
    <xf numFmtId="164" fontId="5" fillId="0" borderId="2" xfId="2" applyNumberFormat="1" applyFont="1" applyBorder="1" applyAlignment="1">
      <alignment horizontal="right" vertical="center"/>
    </xf>
    <xf numFmtId="178" fontId="9" fillId="0" borderId="0" xfId="0" applyNumberFormat="1" applyFont="1" applyAlignment="1">
      <alignment vertical="center"/>
    </xf>
    <xf numFmtId="0" fontId="17" fillId="0" borderId="0" xfId="11" applyFont="1" applyAlignment="1">
      <alignment horizontal="center" vertical="center"/>
    </xf>
    <xf numFmtId="10" fontId="9" fillId="3" borderId="0" xfId="3" applyNumberFormat="1" applyFont="1" applyFill="1" applyAlignment="1">
      <alignment horizontal="center" vertical="center"/>
    </xf>
    <xf numFmtId="179" fontId="9" fillId="0" borderId="0" xfId="2" applyNumberFormat="1" applyFont="1" applyAlignment="1">
      <alignment horizontal="right" vertical="center"/>
    </xf>
    <xf numFmtId="165" fontId="9" fillId="0" borderId="0" xfId="1" applyNumberFormat="1" applyFont="1" applyAlignment="1">
      <alignment horizontal="center" vertical="center"/>
    </xf>
    <xf numFmtId="180" fontId="9" fillId="0" borderId="0" xfId="1" applyNumberFormat="1" applyFont="1" applyAlignment="1">
      <alignment horizontal="right" vertical="center"/>
    </xf>
    <xf numFmtId="165" fontId="9" fillId="0" borderId="0" xfId="1" applyNumberFormat="1" applyFont="1" applyAlignment="1">
      <alignment horizontal="right" vertical="center"/>
    </xf>
    <xf numFmtId="173" fontId="9" fillId="0" borderId="0" xfId="3" applyNumberFormat="1" applyFont="1" applyAlignment="1">
      <alignment vertical="center"/>
    </xf>
    <xf numFmtId="10" fontId="9" fillId="3" borderId="30" xfId="3" applyNumberFormat="1" applyFont="1" applyFill="1" applyBorder="1" applyAlignment="1">
      <alignment horizontal="center" vertical="center"/>
    </xf>
    <xf numFmtId="180" fontId="9" fillId="0" borderId="30" xfId="1" applyNumberFormat="1" applyFont="1" applyBorder="1" applyAlignment="1">
      <alignment horizontal="right" vertical="center"/>
    </xf>
    <xf numFmtId="164" fontId="9" fillId="0" borderId="15" xfId="2" applyNumberFormat="1" applyFont="1" applyFill="1" applyBorder="1" applyAlignment="1">
      <alignment vertical="center"/>
    </xf>
    <xf numFmtId="180" fontId="9" fillId="0" borderId="15" xfId="1" applyNumberFormat="1" applyFont="1" applyBorder="1" applyAlignment="1">
      <alignment vertical="center"/>
    </xf>
    <xf numFmtId="8" fontId="9" fillId="0" borderId="0" xfId="0" applyNumberFormat="1" applyFont="1" applyAlignment="1">
      <alignment vertical="center"/>
    </xf>
    <xf numFmtId="0" fontId="5" fillId="0" borderId="6" xfId="0" quotePrefix="1" applyFont="1" applyBorder="1" applyAlignment="1">
      <alignment horizontal="center"/>
    </xf>
    <xf numFmtId="0" fontId="5" fillId="0" borderId="3" xfId="0" applyFont="1" applyBorder="1" applyAlignment="1">
      <alignment horizontal="center"/>
    </xf>
    <xf numFmtId="0" fontId="5" fillId="0" borderId="6" xfId="0" quotePrefix="1" applyFont="1" applyBorder="1" applyAlignment="1">
      <alignment horizontal="left"/>
    </xf>
    <xf numFmtId="0" fontId="5" fillId="0" borderId="0" xfId="0" applyFont="1" applyAlignment="1">
      <alignment horizontal="left"/>
    </xf>
    <xf numFmtId="0" fontId="5" fillId="0" borderId="3" xfId="0" applyFont="1" applyBorder="1" applyAlignment="1">
      <alignment horizontal="left"/>
    </xf>
    <xf numFmtId="165" fontId="31" fillId="0" borderId="0" xfId="1" applyNumberFormat="1" applyFont="1" applyFill="1" applyBorder="1" applyAlignment="1">
      <alignment horizontal="left" vertical="center"/>
    </xf>
    <xf numFmtId="0" fontId="5" fillId="0" borderId="12" xfId="0" quotePrefix="1" applyFont="1" applyBorder="1" applyAlignment="1">
      <alignment horizontal="center"/>
    </xf>
    <xf numFmtId="0" fontId="5" fillId="0" borderId="13" xfId="0" applyFont="1" applyBorder="1" applyAlignment="1">
      <alignment horizontal="center"/>
    </xf>
    <xf numFmtId="0" fontId="5" fillId="0" borderId="9" xfId="0" applyFont="1" applyBorder="1" applyAlignment="1">
      <alignment horizontal="center"/>
    </xf>
    <xf numFmtId="165" fontId="29" fillId="0" borderId="0" xfId="1" applyNumberFormat="1" applyFont="1" applyFill="1" applyBorder="1" applyAlignment="1">
      <alignment vertical="center"/>
    </xf>
    <xf numFmtId="165" fontId="31" fillId="0" borderId="21" xfId="1" applyNumberFormat="1" applyFont="1" applyFill="1" applyBorder="1" applyAlignment="1">
      <alignment vertical="center"/>
    </xf>
    <xf numFmtId="37" fontId="5" fillId="0" borderId="0" xfId="0" applyNumberFormat="1" applyFont="1" applyAlignment="1">
      <alignment vertical="top"/>
    </xf>
    <xf numFmtId="165" fontId="5" fillId="0" borderId="0" xfId="1" applyNumberFormat="1" applyFont="1" applyFill="1" applyBorder="1" applyAlignment="1">
      <alignment vertical="top"/>
    </xf>
    <xf numFmtId="165" fontId="5" fillId="0" borderId="0" xfId="0" applyNumberFormat="1" applyFont="1" applyAlignment="1">
      <alignment vertical="center"/>
    </xf>
    <xf numFmtId="37" fontId="31" fillId="0" borderId="0" xfId="0" applyNumberFormat="1" applyFont="1" applyAlignment="1">
      <alignment vertical="center"/>
    </xf>
    <xf numFmtId="10" fontId="5" fillId="0" borderId="0" xfId="23" applyNumberFormat="1" applyFont="1" applyAlignment="1">
      <alignment horizontal="right" vertical="center"/>
    </xf>
    <xf numFmtId="10" fontId="5" fillId="0" borderId="2" xfId="23" quotePrefix="1" applyNumberFormat="1" applyFont="1" applyBorder="1" applyAlignment="1">
      <alignment horizontal="right" vertical="center"/>
    </xf>
    <xf numFmtId="165" fontId="5" fillId="2" borderId="13" xfId="1" applyNumberFormat="1" applyFont="1" applyFill="1" applyBorder="1" applyAlignment="1">
      <alignment horizontal="right" vertical="center"/>
    </xf>
    <xf numFmtId="164" fontId="5" fillId="0" borderId="13" xfId="2" applyNumberFormat="1" applyFont="1" applyFill="1" applyBorder="1" applyAlignment="1">
      <alignment horizontal="right" vertical="center"/>
    </xf>
    <xf numFmtId="164" fontId="5" fillId="0" borderId="15" xfId="2" applyNumberFormat="1" applyFont="1" applyFill="1" applyBorder="1" applyAlignment="1">
      <alignment vertical="center"/>
    </xf>
    <xf numFmtId="164" fontId="5" fillId="0" borderId="0" xfId="2" applyNumberFormat="1" applyFont="1" applyFill="1" applyAlignment="1">
      <alignment vertical="center"/>
    </xf>
    <xf numFmtId="165" fontId="5" fillId="0" borderId="30" xfId="1" applyNumberFormat="1" applyFont="1" applyFill="1" applyBorder="1" applyAlignment="1">
      <alignment vertical="center"/>
    </xf>
    <xf numFmtId="164" fontId="5" fillId="0" borderId="0" xfId="2" applyNumberFormat="1" applyFont="1" applyAlignment="1">
      <alignment horizontal="center" vertical="center"/>
    </xf>
    <xf numFmtId="165" fontId="5" fillId="0" borderId="0" xfId="1" applyNumberFormat="1" applyFont="1" applyAlignment="1">
      <alignment horizontal="center" vertical="center"/>
    </xf>
    <xf numFmtId="165" fontId="5" fillId="0" borderId="0" xfId="1" applyNumberFormat="1" applyFont="1" applyAlignment="1">
      <alignment horizontal="right" vertical="center"/>
    </xf>
    <xf numFmtId="165" fontId="5" fillId="0" borderId="30" xfId="1" applyNumberFormat="1" applyFont="1" applyFill="1" applyBorder="1" applyAlignment="1">
      <alignment horizontal="right" vertical="center"/>
    </xf>
    <xf numFmtId="0" fontId="18" fillId="0" borderId="0" xfId="0" applyFont="1" applyAlignment="1">
      <alignment horizontal="right"/>
    </xf>
    <xf numFmtId="165" fontId="5" fillId="0" borderId="30" xfId="1" applyNumberFormat="1" applyFont="1" applyBorder="1" applyAlignment="1">
      <alignment horizontal="center" vertical="center"/>
    </xf>
    <xf numFmtId="164" fontId="5" fillId="0" borderId="32" xfId="23" applyNumberFormat="1" applyFont="1" applyBorder="1" applyAlignment="1" applyProtection="1">
      <alignment horizontal="right" vertical="center"/>
      <protection locked="0"/>
    </xf>
    <xf numFmtId="0" fontId="7" fillId="3" borderId="0" xfId="0" applyFont="1" applyFill="1" applyAlignment="1">
      <alignment horizontal="center" vertical="center"/>
    </xf>
    <xf numFmtId="0" fontId="7" fillId="3" borderId="0" xfId="0" applyFont="1" applyFill="1" applyAlignment="1">
      <alignment vertical="center"/>
    </xf>
    <xf numFmtId="37" fontId="5" fillId="0" borderId="0" xfId="0" applyNumberFormat="1" applyFont="1"/>
    <xf numFmtId="37" fontId="14" fillId="0" borderId="0" xfId="0" applyNumberFormat="1" applyFont="1" applyAlignment="1">
      <alignment vertical="center"/>
    </xf>
    <xf numFmtId="165" fontId="31" fillId="0" borderId="21" xfId="1" applyNumberFormat="1" applyFont="1" applyFill="1" applyBorder="1" applyAlignment="1">
      <alignment horizontal="left" vertical="center"/>
    </xf>
    <xf numFmtId="0" fontId="31" fillId="0" borderId="10" xfId="0" applyFont="1" applyBorder="1" applyAlignment="1">
      <alignment horizontal="center" vertical="top"/>
    </xf>
    <xf numFmtId="0" fontId="32" fillId="0" borderId="25" xfId="0" applyFont="1" applyBorder="1" applyAlignment="1">
      <alignment horizontal="center"/>
    </xf>
    <xf numFmtId="0" fontId="32" fillId="0" borderId="0" xfId="0" applyFont="1" applyAlignment="1">
      <alignment horizontal="center"/>
    </xf>
    <xf numFmtId="165" fontId="5" fillId="2" borderId="0" xfId="1" applyNumberFormat="1" applyFont="1" applyFill="1" applyAlignment="1">
      <alignment vertical="center"/>
    </xf>
    <xf numFmtId="180" fontId="5" fillId="0" borderId="15" xfId="1" applyNumberFormat="1" applyFont="1" applyBorder="1" applyAlignment="1">
      <alignment vertical="center"/>
    </xf>
    <xf numFmtId="164" fontId="5" fillId="0" borderId="0" xfId="2" applyNumberFormat="1" applyFont="1" applyAlignment="1">
      <alignment horizontal="right" vertical="center"/>
    </xf>
    <xf numFmtId="10" fontId="5" fillId="2" borderId="0" xfId="23" applyNumberFormat="1" applyFont="1" applyFill="1" applyAlignment="1">
      <alignment horizontal="right" vertical="center"/>
    </xf>
    <xf numFmtId="10" fontId="5" fillId="0" borderId="0" xfId="24" applyNumberFormat="1" applyFont="1" applyBorder="1" applyAlignment="1">
      <alignment horizontal="right" vertical="center"/>
    </xf>
    <xf numFmtId="165" fontId="9" fillId="0" borderId="1" xfId="1" applyNumberFormat="1" applyFont="1" applyFill="1" applyBorder="1" applyAlignment="1">
      <alignment horizontal="right"/>
    </xf>
    <xf numFmtId="181" fontId="9" fillId="0" borderId="0" xfId="0" applyNumberFormat="1" applyFont="1"/>
    <xf numFmtId="164" fontId="5" fillId="0" borderId="0" xfId="2" applyNumberFormat="1" applyFont="1" applyAlignment="1">
      <alignment vertical="center"/>
    </xf>
    <xf numFmtId="0" fontId="18" fillId="0" borderId="26" xfId="0" applyFont="1" applyBorder="1" applyAlignment="1">
      <alignment horizontal="center"/>
    </xf>
    <xf numFmtId="37" fontId="9" fillId="0" borderId="0" xfId="0" applyNumberFormat="1" applyFont="1" applyAlignment="1">
      <alignment horizontal="right" vertical="center"/>
    </xf>
    <xf numFmtId="164" fontId="9" fillId="0" borderId="0" xfId="0" applyNumberFormat="1" applyFont="1" applyAlignment="1">
      <alignment vertical="center"/>
    </xf>
    <xf numFmtId="43" fontId="9" fillId="0" borderId="0" xfId="0" applyNumberFormat="1" applyFont="1" applyAlignment="1">
      <alignment vertical="center"/>
    </xf>
    <xf numFmtId="37" fontId="5" fillId="0" borderId="0" xfId="11" applyNumberFormat="1" applyFont="1" applyAlignment="1">
      <alignment vertical="center"/>
    </xf>
    <xf numFmtId="0" fontId="9" fillId="0" borderId="0" xfId="17" applyFont="1" applyAlignment="1">
      <alignment horizontal="left" vertical="center"/>
    </xf>
    <xf numFmtId="1" fontId="9" fillId="0" borderId="0" xfId="17" applyNumberFormat="1" applyFont="1" applyAlignment="1">
      <alignment horizontal="center" vertical="center"/>
    </xf>
    <xf numFmtId="165" fontId="9" fillId="0" borderId="0" xfId="1" applyNumberFormat="1" applyFont="1" applyBorder="1" applyAlignment="1">
      <alignment horizontal="center" vertical="center"/>
    </xf>
    <xf numFmtId="10" fontId="12" fillId="5" borderId="0" xfId="3" applyNumberFormat="1" applyFont="1" applyFill="1" applyBorder="1"/>
    <xf numFmtId="0" fontId="9" fillId="0" borderId="30" xfId="17" applyFont="1" applyBorder="1" applyAlignment="1">
      <alignment horizontal="left" vertical="center"/>
    </xf>
    <xf numFmtId="1" fontId="9" fillId="0" borderId="30" xfId="17" applyNumberFormat="1" applyFont="1" applyBorder="1" applyAlignment="1">
      <alignment horizontal="center" vertical="center"/>
    </xf>
    <xf numFmtId="0" fontId="7" fillId="0" borderId="30" xfId="0" applyFont="1" applyBorder="1" applyAlignment="1">
      <alignment vertical="center"/>
    </xf>
    <xf numFmtId="10" fontId="12" fillId="5" borderId="30" xfId="3" applyNumberFormat="1" applyFont="1" applyFill="1" applyBorder="1"/>
    <xf numFmtId="0" fontId="7" fillId="5" borderId="0" xfId="0" applyFont="1" applyFill="1" applyAlignment="1">
      <alignment horizontal="center" vertical="center"/>
    </xf>
    <xf numFmtId="0" fontId="7" fillId="5" borderId="0" xfId="0" applyFont="1" applyFill="1" applyAlignment="1">
      <alignment vertical="center"/>
    </xf>
    <xf numFmtId="44" fontId="7" fillId="0" borderId="0" xfId="2" applyFont="1" applyFill="1" applyBorder="1" applyAlignment="1">
      <alignment vertical="center"/>
    </xf>
    <xf numFmtId="43" fontId="7" fillId="0" borderId="0" xfId="1" applyFont="1" applyFill="1" applyBorder="1" applyAlignment="1">
      <alignment vertical="center"/>
    </xf>
    <xf numFmtId="43" fontId="7" fillId="0" borderId="30" xfId="1" applyFont="1" applyFill="1" applyBorder="1" applyAlignment="1">
      <alignment vertical="center"/>
    </xf>
    <xf numFmtId="37" fontId="5" fillId="0" borderId="10" xfId="11" applyNumberFormat="1" applyFont="1" applyBorder="1" applyAlignment="1">
      <alignment horizontal="center"/>
    </xf>
    <xf numFmtId="0" fontId="5" fillId="0" borderId="0" xfId="0" quotePrefix="1" applyFont="1" applyAlignment="1">
      <alignment horizontal="center" vertical="center"/>
    </xf>
    <xf numFmtId="0" fontId="5" fillId="0" borderId="0" xfId="0" applyFont="1" applyAlignment="1">
      <alignment horizontal="center" wrapText="1"/>
    </xf>
    <xf numFmtId="0" fontId="5" fillId="0" borderId="21" xfId="0" applyFont="1" applyBorder="1" applyAlignment="1">
      <alignment horizontal="center" wrapText="1"/>
    </xf>
    <xf numFmtId="0" fontId="14" fillId="0" borderId="0" xfId="0" applyFont="1" applyAlignment="1">
      <alignment vertical="center"/>
    </xf>
    <xf numFmtId="164" fontId="5" fillId="0" borderId="0" xfId="0" applyNumberFormat="1" applyFont="1" applyAlignment="1">
      <alignment vertical="center"/>
    </xf>
    <xf numFmtId="165" fontId="5" fillId="4" borderId="0" xfId="1" applyNumberFormat="1" applyFont="1" applyFill="1" applyAlignment="1">
      <alignment horizontal="right" vertical="center"/>
    </xf>
    <xf numFmtId="165" fontId="5" fillId="2" borderId="0" xfId="1" applyNumberFormat="1" applyFont="1" applyFill="1" applyAlignment="1">
      <alignment horizontal="right" vertical="center"/>
    </xf>
    <xf numFmtId="165" fontId="5" fillId="2" borderId="30" xfId="1" applyNumberFormat="1" applyFont="1" applyFill="1" applyBorder="1" applyAlignment="1" applyProtection="1">
      <alignment horizontal="right" vertical="center"/>
    </xf>
    <xf numFmtId="164" fontId="5" fillId="0" borderId="15" xfId="2" applyNumberFormat="1" applyFont="1" applyBorder="1" applyAlignment="1">
      <alignment horizontal="right" vertical="center"/>
    </xf>
    <xf numFmtId="165" fontId="5" fillId="0" borderId="0" xfId="1" applyNumberFormat="1" applyFont="1" applyAlignment="1">
      <alignment vertical="center"/>
    </xf>
    <xf numFmtId="165" fontId="5" fillId="2" borderId="30" xfId="1" applyNumberFormat="1" applyFont="1" applyFill="1" applyBorder="1" applyAlignment="1">
      <alignment vertical="center"/>
    </xf>
    <xf numFmtId="164" fontId="5" fillId="0" borderId="15" xfId="2" applyNumberFormat="1" applyFont="1" applyBorder="1" applyAlignment="1">
      <alignment vertical="center"/>
    </xf>
    <xf numFmtId="5" fontId="5" fillId="0" borderId="0" xfId="0" applyNumberFormat="1" applyFont="1" applyAlignment="1" applyProtection="1">
      <alignment vertical="center"/>
      <protection locked="0"/>
    </xf>
    <xf numFmtId="10" fontId="5" fillId="0" borderId="2" xfId="2" applyNumberFormat="1" applyFont="1" applyBorder="1" applyAlignment="1">
      <alignment horizontal="right" vertical="center"/>
    </xf>
    <xf numFmtId="10" fontId="5" fillId="2" borderId="30" xfId="11" applyNumberFormat="1" applyFont="1" applyFill="1" applyBorder="1" applyAlignment="1" applyProtection="1">
      <alignment horizontal="right" vertical="center"/>
      <protection locked="0"/>
    </xf>
    <xf numFmtId="164" fontId="5" fillId="2" borderId="0" xfId="13" applyNumberFormat="1" applyFont="1" applyFill="1" applyBorder="1" applyAlignment="1" applyProtection="1">
      <alignment horizontal="right" vertical="center"/>
      <protection locked="0"/>
    </xf>
    <xf numFmtId="164" fontId="5" fillId="2" borderId="0" xfId="13" applyNumberFormat="1" applyFont="1" applyFill="1" applyBorder="1" applyAlignment="1" applyProtection="1">
      <alignment horizontal="right" vertical="center"/>
    </xf>
    <xf numFmtId="164" fontId="5" fillId="2" borderId="0" xfId="13" applyNumberFormat="1" applyFont="1" applyFill="1" applyAlignment="1" applyProtection="1">
      <alignment horizontal="right" vertical="center"/>
    </xf>
    <xf numFmtId="165" fontId="5" fillId="2" borderId="0" xfId="29" applyNumberFormat="1" applyFont="1" applyFill="1" applyAlignment="1" applyProtection="1">
      <alignment horizontal="right" vertical="center"/>
    </xf>
    <xf numFmtId="165" fontId="5" fillId="2" borderId="30" xfId="29" applyNumberFormat="1" applyFont="1" applyFill="1" applyBorder="1" applyAlignment="1" applyProtection="1">
      <alignment horizontal="right" vertical="center"/>
    </xf>
    <xf numFmtId="164" fontId="5" fillId="0" borderId="0" xfId="13" applyNumberFormat="1" applyFont="1" applyFill="1" applyAlignment="1" applyProtection="1">
      <alignment horizontal="right" vertical="center"/>
    </xf>
    <xf numFmtId="165" fontId="5" fillId="0" borderId="30" xfId="29" applyNumberFormat="1" applyFont="1" applyFill="1" applyBorder="1" applyAlignment="1" applyProtection="1">
      <alignment horizontal="right" vertical="center"/>
    </xf>
    <xf numFmtId="164" fontId="5" fillId="0" borderId="15" xfId="13" applyNumberFormat="1" applyFont="1" applyFill="1" applyBorder="1" applyAlignment="1" applyProtection="1">
      <alignment horizontal="right" vertical="center"/>
    </xf>
    <xf numFmtId="168" fontId="5" fillId="0" borderId="0" xfId="3" applyNumberFormat="1" applyFont="1" applyAlignment="1">
      <alignment horizontal="right" vertical="center"/>
    </xf>
    <xf numFmtId="164" fontId="5" fillId="2" borderId="0" xfId="2" applyNumberFormat="1" applyFont="1" applyFill="1" applyBorder="1" applyAlignment="1" applyProtection="1">
      <alignment horizontal="right" vertical="center"/>
      <protection locked="0"/>
    </xf>
    <xf numFmtId="164" fontId="5" fillId="2" borderId="0" xfId="23" applyNumberFormat="1" applyFont="1" applyFill="1" applyAlignment="1" applyProtection="1">
      <alignment horizontal="right" vertical="center"/>
      <protection locked="0"/>
    </xf>
    <xf numFmtId="164" fontId="5" fillId="2" borderId="0" xfId="2" applyNumberFormat="1" applyFont="1" applyFill="1" applyAlignment="1">
      <alignment horizontal="center" vertical="center"/>
    </xf>
    <xf numFmtId="0" fontId="10" fillId="0" borderId="0" xfId="19" applyFont="1"/>
    <xf numFmtId="165" fontId="5" fillId="2" borderId="32" xfId="1" applyNumberFormat="1" applyFont="1" applyFill="1" applyBorder="1" applyAlignment="1">
      <alignment horizontal="center" vertical="center"/>
    </xf>
    <xf numFmtId="164" fontId="5" fillId="0" borderId="0" xfId="21" applyNumberFormat="1" applyFont="1" applyAlignment="1">
      <alignment vertical="center"/>
    </xf>
    <xf numFmtId="0" fontId="12" fillId="0" borderId="0" xfId="35" applyFont="1"/>
    <xf numFmtId="164" fontId="5" fillId="0" borderId="0" xfId="21" applyNumberFormat="1" applyFont="1" applyBorder="1" applyAlignment="1">
      <alignment horizontal="right" vertical="center"/>
    </xf>
    <xf numFmtId="164" fontId="5" fillId="2" borderId="30"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44" fontId="9" fillId="0" borderId="0" xfId="0" applyNumberFormat="1" applyFont="1"/>
    <xf numFmtId="37" fontId="5" fillId="0" borderId="3" xfId="0" applyNumberFormat="1" applyFont="1" applyBorder="1" applyAlignment="1">
      <alignment vertical="center"/>
    </xf>
    <xf numFmtId="37" fontId="5" fillId="0" borderId="0" xfId="1" applyNumberFormat="1" applyFont="1" applyBorder="1" applyAlignment="1">
      <alignment vertical="center"/>
    </xf>
    <xf numFmtId="37" fontId="9" fillId="0" borderId="36" xfId="0" applyNumberFormat="1" applyFont="1" applyBorder="1" applyAlignment="1">
      <alignment vertical="center"/>
    </xf>
    <xf numFmtId="37" fontId="9" fillId="0" borderId="0" xfId="0" applyNumberFormat="1" applyFont="1" applyAlignment="1">
      <alignment horizontal="center"/>
    </xf>
    <xf numFmtId="37" fontId="5" fillId="0" borderId="20" xfId="0" applyNumberFormat="1" applyFont="1" applyBorder="1" applyAlignment="1">
      <alignment horizontal="center"/>
    </xf>
    <xf numFmtId="37" fontId="5" fillId="0" borderId="13" xfId="16" applyNumberFormat="1" applyFont="1" applyBorder="1" applyAlignment="1">
      <alignment horizontal="center"/>
    </xf>
    <xf numFmtId="37" fontId="5" fillId="0" borderId="0" xfId="0" applyNumberFormat="1" applyFont="1" applyAlignment="1">
      <alignment horizontal="center"/>
    </xf>
    <xf numFmtId="37" fontId="5" fillId="0" borderId="0" xfId="16" applyNumberFormat="1" applyFont="1" applyAlignment="1">
      <alignment horizontal="center"/>
    </xf>
    <xf numFmtId="37" fontId="5" fillId="0" borderId="11" xfId="0" quotePrefix="1" applyNumberFormat="1" applyFont="1" applyBorder="1" applyAlignment="1">
      <alignment horizontal="center"/>
    </xf>
    <xf numFmtId="167" fontId="5" fillId="0" borderId="20" xfId="0" applyNumberFormat="1" applyFont="1" applyBorder="1" applyAlignment="1">
      <alignment horizontal="center" vertical="center"/>
    </xf>
    <xf numFmtId="0" fontId="5" fillId="0" borderId="30" xfId="0" applyFont="1" applyBorder="1" applyAlignment="1">
      <alignment vertical="center"/>
    </xf>
    <xf numFmtId="0" fontId="9" fillId="0" borderId="30" xfId="0" applyFont="1" applyBorder="1" applyAlignment="1">
      <alignment vertical="center"/>
    </xf>
    <xf numFmtId="174" fontId="9" fillId="0" borderId="0" xfId="2" applyNumberFormat="1" applyFont="1" applyBorder="1" applyAlignment="1">
      <alignment vertical="center"/>
    </xf>
    <xf numFmtId="0" fontId="18" fillId="0" borderId="30" xfId="0" applyFont="1" applyBorder="1" applyAlignment="1">
      <alignment horizontal="center"/>
    </xf>
    <xf numFmtId="170" fontId="9" fillId="0" borderId="0" xfId="0" applyNumberFormat="1" applyFont="1"/>
    <xf numFmtId="171" fontId="5" fillId="0" borderId="0" xfId="1" applyNumberFormat="1" applyFont="1" applyFill="1" applyBorder="1"/>
    <xf numFmtId="43" fontId="9" fillId="0" borderId="0" xfId="0" applyNumberFormat="1" applyFont="1"/>
    <xf numFmtId="44" fontId="3" fillId="0" borderId="2" xfId="2" applyFont="1" applyFill="1" applyBorder="1" applyAlignment="1">
      <alignment vertical="center"/>
    </xf>
    <xf numFmtId="44" fontId="5" fillId="0" borderId="2" xfId="2" applyFont="1" applyFill="1" applyBorder="1" applyAlignment="1">
      <alignment vertical="center"/>
    </xf>
    <xf numFmtId="43" fontId="5" fillId="0" borderId="30" xfId="1" applyFont="1" applyFill="1" applyBorder="1" applyAlignment="1">
      <alignment horizontal="right" vertical="center"/>
    </xf>
    <xf numFmtId="44" fontId="7" fillId="0" borderId="0" xfId="2" applyFont="1" applyAlignment="1">
      <alignment horizontal="right" vertical="center"/>
    </xf>
    <xf numFmtId="44" fontId="9" fillId="0" borderId="0" xfId="2" applyFont="1" applyFill="1" applyBorder="1" applyAlignment="1">
      <alignment horizontal="right" vertical="center"/>
    </xf>
    <xf numFmtId="43" fontId="9" fillId="0" borderId="0" xfId="1" applyFont="1" applyFill="1" applyBorder="1" applyAlignment="1">
      <alignment horizontal="right" vertical="center"/>
    </xf>
    <xf numFmtId="43" fontId="9" fillId="0" borderId="30" xfId="1" applyFont="1" applyFill="1" applyBorder="1" applyAlignment="1">
      <alignment horizontal="right" vertical="center"/>
    </xf>
    <xf numFmtId="43" fontId="7" fillId="0" borderId="0" xfId="1" applyFont="1" applyAlignment="1">
      <alignment horizontal="right" vertical="center"/>
    </xf>
    <xf numFmtId="43" fontId="7" fillId="0" borderId="0" xfId="1" applyFont="1" applyBorder="1" applyAlignment="1">
      <alignment horizontal="right" vertical="center"/>
    </xf>
    <xf numFmtId="43" fontId="7" fillId="0" borderId="30" xfId="1" applyFont="1" applyBorder="1" applyAlignment="1">
      <alignment horizontal="right" vertical="center"/>
    </xf>
    <xf numFmtId="44" fontId="7" fillId="0" borderId="0" xfId="5" applyFont="1"/>
    <xf numFmtId="43" fontId="7" fillId="0" borderId="1" xfId="6" applyFont="1" applyBorder="1"/>
    <xf numFmtId="44" fontId="3" fillId="0" borderId="0" xfId="2" applyFont="1" applyBorder="1"/>
    <xf numFmtId="44" fontId="7" fillId="0" borderId="0" xfId="2" applyFont="1" applyAlignment="1">
      <alignment horizontal="center" vertical="center"/>
    </xf>
    <xf numFmtId="43" fontId="7" fillId="0" borderId="0" xfId="1" applyFont="1" applyBorder="1" applyAlignment="1">
      <alignment horizontal="center" vertical="center"/>
    </xf>
    <xf numFmtId="43" fontId="7" fillId="0" borderId="30" xfId="1" applyFont="1" applyBorder="1" applyAlignment="1">
      <alignment horizontal="center" vertical="center"/>
    </xf>
    <xf numFmtId="2" fontId="7" fillId="0" borderId="0" xfId="0" applyNumberFormat="1" applyFont="1" applyAlignment="1">
      <alignment vertical="center"/>
    </xf>
    <xf numFmtId="164" fontId="9" fillId="0" borderId="0" xfId="2" applyNumberFormat="1" applyFont="1" applyAlignment="1">
      <alignment horizontal="center" vertical="center"/>
    </xf>
    <xf numFmtId="165" fontId="9" fillId="0" borderId="30" xfId="1" applyNumberFormat="1" applyFont="1" applyBorder="1" applyAlignment="1">
      <alignment horizontal="center" vertical="center"/>
    </xf>
    <xf numFmtId="164" fontId="9" fillId="0" borderId="0" xfId="2" applyNumberFormat="1" applyFont="1" applyAlignment="1">
      <alignment horizontal="right" vertical="center"/>
    </xf>
    <xf numFmtId="165" fontId="5" fillId="2" borderId="0" xfId="1" applyNumberFormat="1" applyFont="1" applyFill="1" applyBorder="1" applyAlignment="1">
      <alignment horizontal="right" vertical="center"/>
    </xf>
    <xf numFmtId="164" fontId="5" fillId="0" borderId="2" xfId="21" applyNumberFormat="1" applyFont="1" applyBorder="1" applyAlignment="1">
      <alignment horizontal="right" vertical="center"/>
    </xf>
    <xf numFmtId="165" fontId="5" fillId="0" borderId="0" xfId="0" applyNumberFormat="1" applyFont="1" applyAlignment="1">
      <alignment horizontal="center"/>
    </xf>
    <xf numFmtId="164" fontId="5" fillId="0" borderId="2" xfId="0" applyNumberFormat="1" applyFont="1" applyBorder="1" applyAlignment="1">
      <alignment horizontal="center"/>
    </xf>
    <xf numFmtId="164" fontId="5" fillId="0" borderId="2" xfId="21" applyNumberFormat="1" applyFont="1" applyBorder="1" applyAlignment="1">
      <alignment horizontal="right"/>
    </xf>
    <xf numFmtId="0" fontId="9" fillId="0" borderId="0" xfId="38" applyFont="1"/>
    <xf numFmtId="0" fontId="7" fillId="0" borderId="0" xfId="38" quotePrefix="1" applyFont="1"/>
    <xf numFmtId="0" fontId="7" fillId="0" borderId="0" xfId="38" applyFont="1"/>
    <xf numFmtId="0" fontId="5" fillId="0" borderId="0" xfId="0" quotePrefix="1" applyFont="1" applyAlignment="1">
      <alignment horizontal="center"/>
    </xf>
    <xf numFmtId="0" fontId="2" fillId="0" borderId="0" xfId="4" applyFont="1" applyAlignment="1">
      <alignment horizontal="center" wrapText="1"/>
    </xf>
    <xf numFmtId="0" fontId="5" fillId="0" borderId="0" xfId="11" applyFont="1" applyAlignment="1">
      <alignment horizontal="center"/>
    </xf>
    <xf numFmtId="6" fontId="5" fillId="0" borderId="0" xfId="11" quotePrefix="1" applyNumberFormat="1" applyFont="1" applyAlignment="1">
      <alignment horizontal="center"/>
    </xf>
    <xf numFmtId="0" fontId="5" fillId="3" borderId="0" xfId="11" applyFont="1" applyFill="1" applyAlignment="1">
      <alignment horizontal="center"/>
    </xf>
    <xf numFmtId="0" fontId="5" fillId="0" borderId="0" xfId="23" applyFont="1" applyAlignment="1" applyProtection="1">
      <alignment horizontal="center"/>
      <protection locked="0"/>
    </xf>
    <xf numFmtId="0" fontId="5" fillId="0" borderId="0" xfId="23" applyFont="1" applyAlignment="1">
      <alignment horizontal="center"/>
    </xf>
    <xf numFmtId="2" fontId="5" fillId="2" borderId="0" xfId="23" applyNumberFormat="1" applyFont="1" applyFill="1" applyAlignment="1">
      <alignment horizontal="center"/>
    </xf>
    <xf numFmtId="49" fontId="5" fillId="0" borderId="0" xfId="11" applyNumberFormat="1" applyFont="1" applyAlignment="1">
      <alignment horizontal="center"/>
    </xf>
    <xf numFmtId="0" fontId="5" fillId="0" borderId="0" xfId="0" applyFont="1" applyAlignment="1">
      <alignment horizontal="center" vertical="center"/>
    </xf>
    <xf numFmtId="0" fontId="5" fillId="3" borderId="0" xfId="25" applyFont="1" applyFill="1" applyAlignment="1">
      <alignment horizontal="center"/>
    </xf>
    <xf numFmtId="0" fontId="5" fillId="0" borderId="0" xfId="0" quotePrefix="1"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vertical="center"/>
    </xf>
    <xf numFmtId="37" fontId="5" fillId="0" borderId="0" xfId="0" applyNumberFormat="1" applyFont="1" applyAlignment="1">
      <alignment horizontal="center" vertical="center"/>
    </xf>
    <xf numFmtId="37" fontId="5" fillId="0" borderId="0" xfId="0" quotePrefix="1" applyNumberFormat="1" applyFont="1" applyAlignment="1">
      <alignment horizontal="center" vertical="center"/>
    </xf>
    <xf numFmtId="0" fontId="5" fillId="0" borderId="0" xfId="11" applyFont="1" applyAlignment="1">
      <alignment horizontal="center" vertical="center"/>
    </xf>
    <xf numFmtId="0" fontId="9" fillId="0" borderId="0" xfId="11" applyFont="1" applyAlignment="1">
      <alignment horizontal="center" vertical="center"/>
    </xf>
    <xf numFmtId="0" fontId="5" fillId="2" borderId="0" xfId="11" applyFont="1" applyFill="1" applyAlignment="1">
      <alignment horizontal="center" vertical="center"/>
    </xf>
    <xf numFmtId="0" fontId="5" fillId="0" borderId="0" xfId="11" quotePrefix="1" applyFont="1" applyAlignment="1">
      <alignment horizontal="center" vertical="center"/>
    </xf>
    <xf numFmtId="0" fontId="5" fillId="2" borderId="0" xfId="11" applyFont="1" applyFill="1" applyAlignment="1">
      <alignment horizontal="center"/>
    </xf>
    <xf numFmtId="0" fontId="5" fillId="2" borderId="0" xfId="11" applyFont="1" applyFill="1"/>
    <xf numFmtId="0" fontId="5" fillId="0" borderId="0" xfId="11" quotePrefix="1" applyFont="1" applyAlignment="1">
      <alignment horizontal="center"/>
    </xf>
    <xf numFmtId="0" fontId="5" fillId="0" borderId="0" xfId="11" applyFont="1"/>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quotePrefix="1" applyFont="1" applyAlignment="1">
      <alignment horizontal="center" vertical="center"/>
    </xf>
  </cellXfs>
  <cellStyles count="39">
    <cellStyle name="Comma" xfId="1" builtinId="3"/>
    <cellStyle name="Comma 2" xfId="9" xr:uid="{E218AF85-C6C9-44D7-9826-DAAE82C52D81}"/>
    <cellStyle name="Comma 2 10 2" xfId="29" xr:uid="{1A440B24-83E7-48A9-BF3F-43DED02E8437}"/>
    <cellStyle name="Comma 2 2" xfId="14" xr:uid="{AF071F67-3B0C-4EA1-BB2D-77CA586E1771}"/>
    <cellStyle name="Comma 4" xfId="6" xr:uid="{B22F5E81-ABE4-4EEE-9861-61D4A72D0EC8}"/>
    <cellStyle name="Comma 79" xfId="22" xr:uid="{70FD1783-1E2A-4A0C-8E08-8B8328F1C457}"/>
    <cellStyle name="Comma 81" xfId="37" xr:uid="{1B45014A-97EA-447A-BDBA-C4E0121279D6}"/>
    <cellStyle name="Currency" xfId="2" builtinId="4"/>
    <cellStyle name="Currency 2" xfId="7" xr:uid="{2FB3A6EC-A591-418E-AE53-135728C8FF55}"/>
    <cellStyle name="Currency 2 2" xfId="13" xr:uid="{BE5CA40B-4EF2-46C0-ACCA-0BF3AC0AF312}"/>
    <cellStyle name="Currency 30" xfId="36" xr:uid="{408B0A0A-B81E-44AB-8E65-E28A65C9135F}"/>
    <cellStyle name="Currency 4" xfId="5" xr:uid="{0A571740-701C-4662-8164-0257FFEF0B5F}"/>
    <cellStyle name="Currency 4 3" xfId="21" xr:uid="{9B1E9624-E95D-4E37-A9D6-EFEB828EBEA8}"/>
    <cellStyle name="Normal" xfId="0" builtinId="0"/>
    <cellStyle name="Normal 10 18" xfId="26" xr:uid="{28E62634-0252-4126-95EF-F50304483256}"/>
    <cellStyle name="Normal 12 3" xfId="34" xr:uid="{F57775A4-F002-494C-8F9A-D8F4A8DA16D4}"/>
    <cellStyle name="Normal 12 4" xfId="32" xr:uid="{E01B4A8D-A77C-4E1B-B7FA-765F95B4B0B3}"/>
    <cellStyle name="Normal 2" xfId="11" xr:uid="{CF6AB890-B773-46E7-BCE6-08FB6AEB0DA0}"/>
    <cellStyle name="Normal 2 2 2" xfId="17" xr:uid="{92A4FFDA-8860-4BAD-9EAB-44F0DE9FCFF8}"/>
    <cellStyle name="Normal 2 2 2 2" xfId="25" xr:uid="{32CDF306-7647-4DCA-AE08-C65B8D466C60}"/>
    <cellStyle name="Normal 2 2 6" xfId="27" xr:uid="{CCAFE435-1243-4CED-981B-645B00CA3137}"/>
    <cellStyle name="Normal 29" xfId="19" xr:uid="{6A52BBCB-32F0-4AFA-B971-925038B08277}"/>
    <cellStyle name="Normal 29 2" xfId="35" xr:uid="{D0AD0B4D-E989-40F3-8569-F0EEF1C74A4D}"/>
    <cellStyle name="Normal 3 2" xfId="18" xr:uid="{03100693-46EF-4B5B-9F9D-D6D3C25C0406}"/>
    <cellStyle name="Normal 3 2 2" xfId="28" xr:uid="{69ED09F3-8154-4E45-BE4C-534C12218F5F}"/>
    <cellStyle name="Normal 4" xfId="4" xr:uid="{43D116BF-F776-4CC1-8D01-7D68022FBD06}"/>
    <cellStyle name="Normal 4 4" xfId="38" xr:uid="{86FCD9F5-D59B-442E-A8FA-B01A9D3DB3B8}"/>
    <cellStyle name="Normal 72" xfId="33" xr:uid="{CEB114C6-1808-46DE-9448-99DA392C50BD}"/>
    <cellStyle name="Normal 8" xfId="12" xr:uid="{58534AD9-7916-478A-A9F1-0462037A1FEC}"/>
    <cellStyle name="Normal 9" xfId="8" xr:uid="{93A86AC0-49E3-4B08-85E9-0569D134CF47}"/>
    <cellStyle name="Normal 9 6" xfId="31" xr:uid="{1BD78D70-AA43-4588-A83F-7E19D6F844BC}"/>
    <cellStyle name="Normal_A&amp;gallc1999" xfId="16" xr:uid="{2FFB1A0F-1F23-429E-960E-C59C7E6D56EA}"/>
    <cellStyle name="Normal_Statement BK (2008)" xfId="23" xr:uid="{CAC8C099-7813-48D2-880B-DED03A5BA36E}"/>
    <cellStyle name="Percent" xfId="3" builtinId="5"/>
    <cellStyle name="Percent 10" xfId="24" xr:uid="{B490E828-D192-4B31-8202-A310DC6CA985}"/>
    <cellStyle name="Percent 2" xfId="10" xr:uid="{68EB3EBF-0DBC-4DCD-9C99-F0A5ACE39AE1}"/>
    <cellStyle name="Percent 2 2 2 5" xfId="30" xr:uid="{7D4F2786-915E-414B-845A-E96F963CFB53}"/>
    <cellStyle name="Percent 2 2 7" xfId="20" xr:uid="{5A9F584C-5A92-4511-A46C-F74B3A7E28AD}"/>
    <cellStyle name="Percent 3" xfId="15" xr:uid="{FBAD6B6B-6164-430F-99AF-69F81C056F17}"/>
  </cellStyles>
  <dxfs count="0"/>
  <tableStyles count="1" defaultTableStyle="TableStyleMedium2" defaultPivotStyle="PivotStyleLight16">
    <tableStyle name="Invisible" pivot="0" table="0" count="0" xr9:uid="{2BA08D4A-A0DB-4B2E-9EB2-55A026BC4F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818832</xdr:colOff>
      <xdr:row>23</xdr:row>
      <xdr:rowOff>47625</xdr:rowOff>
    </xdr:from>
    <xdr:to>
      <xdr:col>12</xdr:col>
      <xdr:colOff>114299</xdr:colOff>
      <xdr:row>24</xdr:row>
      <xdr:rowOff>199230</xdr:rowOff>
    </xdr:to>
    <xdr:sp macro="" textlink="">
      <xdr:nvSpPr>
        <xdr:cNvPr id="2" name="Right Brace 1">
          <a:extLst>
            <a:ext uri="{FF2B5EF4-FFF2-40B4-BE49-F238E27FC236}">
              <a16:creationId xmlns:a16="http://schemas.microsoft.com/office/drawing/2014/main" id="{6491C31A-31A7-45F4-A43D-5CB83E4ECF14}"/>
            </a:ext>
          </a:extLst>
        </xdr:cNvPr>
        <xdr:cNvSpPr/>
      </xdr:nvSpPr>
      <xdr:spPr>
        <a:xfrm>
          <a:off x="11353482" y="5114925"/>
          <a:ext cx="114617" cy="3992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813117</xdr:colOff>
      <xdr:row>11</xdr:row>
      <xdr:rowOff>76200</xdr:rowOff>
    </xdr:from>
    <xdr:to>
      <xdr:col>12</xdr:col>
      <xdr:colOff>123825</xdr:colOff>
      <xdr:row>12</xdr:row>
      <xdr:rowOff>182562</xdr:rowOff>
    </xdr:to>
    <xdr:sp macro="" textlink="">
      <xdr:nvSpPr>
        <xdr:cNvPr id="3" name="Right Brace 2">
          <a:extLst>
            <a:ext uri="{FF2B5EF4-FFF2-40B4-BE49-F238E27FC236}">
              <a16:creationId xmlns:a16="http://schemas.microsoft.com/office/drawing/2014/main" id="{A487A129-2F9E-4F4F-A018-442344169855}"/>
            </a:ext>
          </a:extLst>
        </xdr:cNvPr>
        <xdr:cNvSpPr/>
      </xdr:nvSpPr>
      <xdr:spPr>
        <a:xfrm>
          <a:off x="11347767" y="2381250"/>
          <a:ext cx="129858" cy="35401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814704</xdr:colOff>
      <xdr:row>14</xdr:row>
      <xdr:rowOff>55563</xdr:rowOff>
    </xdr:from>
    <xdr:to>
      <xdr:col>12</xdr:col>
      <xdr:colOff>133349</xdr:colOff>
      <xdr:row>15</xdr:row>
      <xdr:rowOff>206375</xdr:rowOff>
    </xdr:to>
    <xdr:sp macro="" textlink="">
      <xdr:nvSpPr>
        <xdr:cNvPr id="4" name="Right Brace 3">
          <a:extLst>
            <a:ext uri="{FF2B5EF4-FFF2-40B4-BE49-F238E27FC236}">
              <a16:creationId xmlns:a16="http://schemas.microsoft.com/office/drawing/2014/main" id="{5EA4F9FC-38B5-4FF8-86CE-2433EF7EA1FE}"/>
            </a:ext>
          </a:extLst>
        </xdr:cNvPr>
        <xdr:cNvSpPr/>
      </xdr:nvSpPr>
      <xdr:spPr>
        <a:xfrm>
          <a:off x="11349354" y="3065463"/>
          <a:ext cx="137795" cy="3984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1116013</xdr:colOff>
      <xdr:row>24</xdr:row>
      <xdr:rowOff>47625</xdr:rowOff>
    </xdr:from>
    <xdr:to>
      <xdr:col>12</xdr:col>
      <xdr:colOff>71437</xdr:colOff>
      <xdr:row>25</xdr:row>
      <xdr:rowOff>199230</xdr:rowOff>
    </xdr:to>
    <xdr:sp macro="" textlink="">
      <xdr:nvSpPr>
        <xdr:cNvPr id="2" name="Right Brace 1">
          <a:extLst>
            <a:ext uri="{FF2B5EF4-FFF2-40B4-BE49-F238E27FC236}">
              <a16:creationId xmlns:a16="http://schemas.microsoft.com/office/drawing/2014/main" id="{1B9BBFE1-47C6-4A84-AEBC-EAACFD5AE358}"/>
            </a:ext>
          </a:extLst>
        </xdr:cNvPr>
        <xdr:cNvSpPr/>
      </xdr:nvSpPr>
      <xdr:spPr>
        <a:xfrm>
          <a:off x="13247688" y="4987925"/>
          <a:ext cx="126999" cy="3960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1087437</xdr:colOff>
      <xdr:row>12</xdr:row>
      <xdr:rowOff>47625</xdr:rowOff>
    </xdr:from>
    <xdr:to>
      <xdr:col>12</xdr:col>
      <xdr:colOff>39687</xdr:colOff>
      <xdr:row>13</xdr:row>
      <xdr:rowOff>182562</xdr:rowOff>
    </xdr:to>
    <xdr:sp macro="" textlink="">
      <xdr:nvSpPr>
        <xdr:cNvPr id="3" name="Right Brace 2">
          <a:extLst>
            <a:ext uri="{FF2B5EF4-FFF2-40B4-BE49-F238E27FC236}">
              <a16:creationId xmlns:a16="http://schemas.microsoft.com/office/drawing/2014/main" id="{C291A522-E2C0-4D8C-B551-6F6DE2E13776}"/>
            </a:ext>
          </a:extLst>
        </xdr:cNvPr>
        <xdr:cNvSpPr/>
      </xdr:nvSpPr>
      <xdr:spPr>
        <a:xfrm>
          <a:off x="13222287" y="2311400"/>
          <a:ext cx="123825" cy="373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1127125</xdr:colOff>
      <xdr:row>15</xdr:row>
      <xdr:rowOff>55563</xdr:rowOff>
    </xdr:from>
    <xdr:to>
      <xdr:col>12</xdr:col>
      <xdr:colOff>79375</xdr:colOff>
      <xdr:row>16</xdr:row>
      <xdr:rowOff>206375</xdr:rowOff>
    </xdr:to>
    <xdr:sp macro="" textlink="">
      <xdr:nvSpPr>
        <xdr:cNvPr id="4" name="Right Brace 3">
          <a:extLst>
            <a:ext uri="{FF2B5EF4-FFF2-40B4-BE49-F238E27FC236}">
              <a16:creationId xmlns:a16="http://schemas.microsoft.com/office/drawing/2014/main" id="{23DFDE58-BDBC-43E2-96CB-44EA7D7DEB64}"/>
            </a:ext>
          </a:extLst>
        </xdr:cNvPr>
        <xdr:cNvSpPr/>
      </xdr:nvSpPr>
      <xdr:spPr>
        <a:xfrm>
          <a:off x="13265150" y="3008313"/>
          <a:ext cx="123825" cy="38893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1116013</xdr:colOff>
      <xdr:row>24</xdr:row>
      <xdr:rowOff>47625</xdr:rowOff>
    </xdr:from>
    <xdr:to>
      <xdr:col>12</xdr:col>
      <xdr:colOff>71437</xdr:colOff>
      <xdr:row>25</xdr:row>
      <xdr:rowOff>199230</xdr:rowOff>
    </xdr:to>
    <xdr:sp macro="" textlink="">
      <xdr:nvSpPr>
        <xdr:cNvPr id="2" name="Right Brace 1">
          <a:extLst>
            <a:ext uri="{FF2B5EF4-FFF2-40B4-BE49-F238E27FC236}">
              <a16:creationId xmlns:a16="http://schemas.microsoft.com/office/drawing/2014/main" id="{F9D4AF23-5630-4A7C-BE1C-A3A95426D2B4}"/>
            </a:ext>
          </a:extLst>
        </xdr:cNvPr>
        <xdr:cNvSpPr/>
      </xdr:nvSpPr>
      <xdr:spPr>
        <a:xfrm>
          <a:off x="13018453" y="5099685"/>
          <a:ext cx="106044" cy="4030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1087437</xdr:colOff>
      <xdr:row>12</xdr:row>
      <xdr:rowOff>47625</xdr:rowOff>
    </xdr:from>
    <xdr:to>
      <xdr:col>12</xdr:col>
      <xdr:colOff>39687</xdr:colOff>
      <xdr:row>13</xdr:row>
      <xdr:rowOff>182562</xdr:rowOff>
    </xdr:to>
    <xdr:sp macro="" textlink="">
      <xdr:nvSpPr>
        <xdr:cNvPr id="3" name="Right Brace 2">
          <a:extLst>
            <a:ext uri="{FF2B5EF4-FFF2-40B4-BE49-F238E27FC236}">
              <a16:creationId xmlns:a16="http://schemas.microsoft.com/office/drawing/2014/main" id="{78DAAF84-6CD5-4D9D-B264-540FFA060F26}"/>
            </a:ext>
          </a:extLst>
        </xdr:cNvPr>
        <xdr:cNvSpPr/>
      </xdr:nvSpPr>
      <xdr:spPr>
        <a:xfrm>
          <a:off x="12989877" y="2333625"/>
          <a:ext cx="102870" cy="3863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1127125</xdr:colOff>
      <xdr:row>15</xdr:row>
      <xdr:rowOff>55563</xdr:rowOff>
    </xdr:from>
    <xdr:to>
      <xdr:col>12</xdr:col>
      <xdr:colOff>79375</xdr:colOff>
      <xdr:row>16</xdr:row>
      <xdr:rowOff>206375</xdr:rowOff>
    </xdr:to>
    <xdr:sp macro="" textlink="">
      <xdr:nvSpPr>
        <xdr:cNvPr id="4" name="Right Brace 3">
          <a:extLst>
            <a:ext uri="{FF2B5EF4-FFF2-40B4-BE49-F238E27FC236}">
              <a16:creationId xmlns:a16="http://schemas.microsoft.com/office/drawing/2014/main" id="{1BAC2D1E-6353-4E58-A287-2807D36CD829}"/>
            </a:ext>
          </a:extLst>
        </xdr:cNvPr>
        <xdr:cNvSpPr/>
      </xdr:nvSpPr>
      <xdr:spPr>
        <a:xfrm>
          <a:off x="13029565" y="3057843"/>
          <a:ext cx="102870" cy="4022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1531939</xdr:colOff>
      <xdr:row>91</xdr:row>
      <xdr:rowOff>9525</xdr:rowOff>
    </xdr:from>
    <xdr:to>
      <xdr:col>1</xdr:col>
      <xdr:colOff>3581077</xdr:colOff>
      <xdr:row>91</xdr:row>
      <xdr:rowOff>9525</xdr:rowOff>
    </xdr:to>
    <xdr:sp macro="" textlink="">
      <xdr:nvSpPr>
        <xdr:cNvPr id="2" name="Line 1">
          <a:extLst>
            <a:ext uri="{FF2B5EF4-FFF2-40B4-BE49-F238E27FC236}">
              <a16:creationId xmlns:a16="http://schemas.microsoft.com/office/drawing/2014/main" id="{85785083-C743-4C75-A8D3-EB7D271AC262}"/>
            </a:ext>
          </a:extLst>
        </xdr:cNvPr>
        <xdr:cNvSpPr>
          <a:spLocks noChangeShapeType="1"/>
        </xdr:cNvSpPr>
      </xdr:nvSpPr>
      <xdr:spPr bwMode="auto">
        <a:xfrm>
          <a:off x="1897064" y="18456275"/>
          <a:ext cx="2045963" cy="0"/>
        </a:xfrm>
        <a:prstGeom prst="line">
          <a:avLst/>
        </a:prstGeom>
        <a:noFill/>
        <a:ln w="9525">
          <a:solidFill>
            <a:srgbClr val="000000"/>
          </a:solidFill>
          <a:round/>
          <a:headEnd/>
          <a:tailEnd/>
        </a:ln>
      </xdr:spPr>
    </xdr:sp>
    <xdr:clientData/>
  </xdr:twoCellAnchor>
  <xdr:twoCellAnchor>
    <xdr:from>
      <xdr:col>1</xdr:col>
      <xdr:colOff>1389067</xdr:colOff>
      <xdr:row>103</xdr:row>
      <xdr:rowOff>-1</xdr:rowOff>
    </xdr:from>
    <xdr:to>
      <xdr:col>2</xdr:col>
      <xdr:colOff>312424</xdr:colOff>
      <xdr:row>103</xdr:row>
      <xdr:rowOff>7936</xdr:rowOff>
    </xdr:to>
    <xdr:sp macro="" textlink="">
      <xdr:nvSpPr>
        <xdr:cNvPr id="3" name="Line 2">
          <a:extLst>
            <a:ext uri="{FF2B5EF4-FFF2-40B4-BE49-F238E27FC236}">
              <a16:creationId xmlns:a16="http://schemas.microsoft.com/office/drawing/2014/main" id="{833BCBBE-B3FB-4DDC-B12D-3D98A3AB39FE}"/>
            </a:ext>
          </a:extLst>
        </xdr:cNvPr>
        <xdr:cNvSpPr>
          <a:spLocks noChangeShapeType="1"/>
        </xdr:cNvSpPr>
      </xdr:nvSpPr>
      <xdr:spPr bwMode="auto">
        <a:xfrm>
          <a:off x="1751017" y="20850224"/>
          <a:ext cx="2803207" cy="11112"/>
        </a:xfrm>
        <a:prstGeom prst="line">
          <a:avLst/>
        </a:prstGeom>
        <a:noFill/>
        <a:ln w="9525">
          <a:solidFill>
            <a:srgbClr val="000000"/>
          </a:solidFill>
          <a:round/>
          <a:headEnd/>
          <a:tailEnd/>
        </a:ln>
      </xdr:spPr>
    </xdr:sp>
    <xdr:clientData/>
  </xdr:twoCellAnchor>
  <xdr:twoCellAnchor>
    <xdr:from>
      <xdr:col>1</xdr:col>
      <xdr:colOff>1531939</xdr:colOff>
      <xdr:row>137</xdr:row>
      <xdr:rowOff>9525</xdr:rowOff>
    </xdr:from>
    <xdr:to>
      <xdr:col>1</xdr:col>
      <xdr:colOff>3581077</xdr:colOff>
      <xdr:row>137</xdr:row>
      <xdr:rowOff>9525</xdr:rowOff>
    </xdr:to>
    <xdr:sp macro="" textlink="">
      <xdr:nvSpPr>
        <xdr:cNvPr id="4" name="Line 1">
          <a:extLst>
            <a:ext uri="{FF2B5EF4-FFF2-40B4-BE49-F238E27FC236}">
              <a16:creationId xmlns:a16="http://schemas.microsoft.com/office/drawing/2014/main" id="{5D986D62-E78D-4EF9-885C-421024BF0010}"/>
            </a:ext>
          </a:extLst>
        </xdr:cNvPr>
        <xdr:cNvSpPr>
          <a:spLocks noChangeShapeType="1"/>
        </xdr:cNvSpPr>
      </xdr:nvSpPr>
      <xdr:spPr bwMode="auto">
        <a:xfrm>
          <a:off x="1897064" y="27981275"/>
          <a:ext cx="2045963" cy="0"/>
        </a:xfrm>
        <a:prstGeom prst="line">
          <a:avLst/>
        </a:prstGeom>
        <a:noFill/>
        <a:ln w="9525">
          <a:solidFill>
            <a:srgbClr val="000000"/>
          </a:solidFill>
          <a:round/>
          <a:headEnd/>
          <a:tailEnd/>
        </a:ln>
      </xdr:spPr>
    </xdr:sp>
    <xdr:clientData/>
  </xdr:twoCellAnchor>
  <xdr:twoCellAnchor>
    <xdr:from>
      <xdr:col>1</xdr:col>
      <xdr:colOff>1531939</xdr:colOff>
      <xdr:row>137</xdr:row>
      <xdr:rowOff>9525</xdr:rowOff>
    </xdr:from>
    <xdr:to>
      <xdr:col>1</xdr:col>
      <xdr:colOff>3581077</xdr:colOff>
      <xdr:row>137</xdr:row>
      <xdr:rowOff>9525</xdr:rowOff>
    </xdr:to>
    <xdr:sp macro="" textlink="">
      <xdr:nvSpPr>
        <xdr:cNvPr id="5" name="Line 1">
          <a:extLst>
            <a:ext uri="{FF2B5EF4-FFF2-40B4-BE49-F238E27FC236}">
              <a16:creationId xmlns:a16="http://schemas.microsoft.com/office/drawing/2014/main" id="{3225324E-5D81-4AA6-B0A7-1E393B4840EC}"/>
            </a:ext>
          </a:extLst>
        </xdr:cNvPr>
        <xdr:cNvSpPr>
          <a:spLocks noChangeShapeType="1"/>
        </xdr:cNvSpPr>
      </xdr:nvSpPr>
      <xdr:spPr bwMode="auto">
        <a:xfrm>
          <a:off x="1897064" y="27981275"/>
          <a:ext cx="2045963" cy="0"/>
        </a:xfrm>
        <a:prstGeom prst="line">
          <a:avLst/>
        </a:prstGeom>
        <a:noFill/>
        <a:ln w="9525">
          <a:solidFill>
            <a:srgbClr val="000000"/>
          </a:solidFill>
          <a:round/>
          <a:headEnd/>
          <a:tailEnd/>
        </a:ln>
      </xdr:spPr>
    </xdr:sp>
    <xdr:clientData/>
  </xdr:twoCellAnchor>
  <xdr:twoCellAnchor>
    <xdr:from>
      <xdr:col>1</xdr:col>
      <xdr:colOff>1389067</xdr:colOff>
      <xdr:row>149</xdr:row>
      <xdr:rowOff>-1</xdr:rowOff>
    </xdr:from>
    <xdr:to>
      <xdr:col>2</xdr:col>
      <xdr:colOff>312424</xdr:colOff>
      <xdr:row>149</xdr:row>
      <xdr:rowOff>7936</xdr:rowOff>
    </xdr:to>
    <xdr:sp macro="" textlink="">
      <xdr:nvSpPr>
        <xdr:cNvPr id="6" name="Line 2">
          <a:extLst>
            <a:ext uri="{FF2B5EF4-FFF2-40B4-BE49-F238E27FC236}">
              <a16:creationId xmlns:a16="http://schemas.microsoft.com/office/drawing/2014/main" id="{832F951F-1EA7-41C3-96D5-A4E30DC3EC80}"/>
            </a:ext>
          </a:extLst>
        </xdr:cNvPr>
        <xdr:cNvSpPr>
          <a:spLocks noChangeShapeType="1"/>
        </xdr:cNvSpPr>
      </xdr:nvSpPr>
      <xdr:spPr bwMode="auto">
        <a:xfrm>
          <a:off x="1751017" y="30375224"/>
          <a:ext cx="2803207" cy="11112"/>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1531939</xdr:colOff>
      <xdr:row>92</xdr:row>
      <xdr:rowOff>9525</xdr:rowOff>
    </xdr:from>
    <xdr:to>
      <xdr:col>1</xdr:col>
      <xdr:colOff>3581077</xdr:colOff>
      <xdr:row>92</xdr:row>
      <xdr:rowOff>9525</xdr:rowOff>
    </xdr:to>
    <xdr:sp macro="" textlink="">
      <xdr:nvSpPr>
        <xdr:cNvPr id="7" name="Line 1">
          <a:extLst>
            <a:ext uri="{FF2B5EF4-FFF2-40B4-BE49-F238E27FC236}">
              <a16:creationId xmlns:a16="http://schemas.microsoft.com/office/drawing/2014/main" id="{1E751C44-6C52-4F89-A527-FD384B936B7D}"/>
            </a:ext>
          </a:extLst>
        </xdr:cNvPr>
        <xdr:cNvSpPr>
          <a:spLocks noChangeShapeType="1"/>
        </xdr:cNvSpPr>
      </xdr:nvSpPr>
      <xdr:spPr bwMode="auto">
        <a:xfrm>
          <a:off x="1898652" y="18078450"/>
          <a:ext cx="2049138" cy="0"/>
        </a:xfrm>
        <a:prstGeom prst="line">
          <a:avLst/>
        </a:prstGeom>
        <a:noFill/>
        <a:ln w="9525">
          <a:solidFill>
            <a:srgbClr val="000000"/>
          </a:solidFill>
          <a:round/>
          <a:headEnd/>
          <a:tailEnd/>
        </a:ln>
      </xdr:spPr>
    </xdr:sp>
    <xdr:clientData/>
  </xdr:twoCellAnchor>
  <xdr:twoCellAnchor>
    <xdr:from>
      <xdr:col>1</xdr:col>
      <xdr:colOff>1389067</xdr:colOff>
      <xdr:row>104</xdr:row>
      <xdr:rowOff>-1</xdr:rowOff>
    </xdr:from>
    <xdr:to>
      <xdr:col>2</xdr:col>
      <xdr:colOff>312424</xdr:colOff>
      <xdr:row>104</xdr:row>
      <xdr:rowOff>7936</xdr:rowOff>
    </xdr:to>
    <xdr:sp macro="" textlink="">
      <xdr:nvSpPr>
        <xdr:cNvPr id="8" name="Line 2">
          <a:extLst>
            <a:ext uri="{FF2B5EF4-FFF2-40B4-BE49-F238E27FC236}">
              <a16:creationId xmlns:a16="http://schemas.microsoft.com/office/drawing/2014/main" id="{B0587497-528D-4276-B928-2B831E9AF2FE}"/>
            </a:ext>
          </a:extLst>
        </xdr:cNvPr>
        <xdr:cNvSpPr>
          <a:spLocks noChangeShapeType="1"/>
        </xdr:cNvSpPr>
      </xdr:nvSpPr>
      <xdr:spPr bwMode="auto">
        <a:xfrm>
          <a:off x="1755780" y="20416837"/>
          <a:ext cx="2880994" cy="7937"/>
        </a:xfrm>
        <a:prstGeom prst="line">
          <a:avLst/>
        </a:prstGeom>
        <a:noFill/>
        <a:ln w="9525">
          <a:solidFill>
            <a:srgbClr val="000000"/>
          </a:solidFill>
          <a:round/>
          <a:headEnd/>
          <a:tailEnd/>
        </a:ln>
      </xdr:spPr>
    </xdr:sp>
    <xdr:clientData/>
  </xdr:twoCellAnchor>
  <xdr:twoCellAnchor>
    <xdr:from>
      <xdr:col>1</xdr:col>
      <xdr:colOff>1531939</xdr:colOff>
      <xdr:row>139</xdr:row>
      <xdr:rowOff>9525</xdr:rowOff>
    </xdr:from>
    <xdr:to>
      <xdr:col>1</xdr:col>
      <xdr:colOff>3581077</xdr:colOff>
      <xdr:row>139</xdr:row>
      <xdr:rowOff>9525</xdr:rowOff>
    </xdr:to>
    <xdr:sp macro="" textlink="">
      <xdr:nvSpPr>
        <xdr:cNvPr id="9" name="Line 1">
          <a:extLst>
            <a:ext uri="{FF2B5EF4-FFF2-40B4-BE49-F238E27FC236}">
              <a16:creationId xmlns:a16="http://schemas.microsoft.com/office/drawing/2014/main" id="{9F568E25-5F73-4787-B797-ADACBD58443F}"/>
            </a:ext>
          </a:extLst>
        </xdr:cNvPr>
        <xdr:cNvSpPr>
          <a:spLocks noChangeShapeType="1"/>
        </xdr:cNvSpPr>
      </xdr:nvSpPr>
      <xdr:spPr bwMode="auto">
        <a:xfrm>
          <a:off x="1898652" y="26998613"/>
          <a:ext cx="2049138" cy="0"/>
        </a:xfrm>
        <a:prstGeom prst="line">
          <a:avLst/>
        </a:prstGeom>
        <a:noFill/>
        <a:ln w="9525">
          <a:solidFill>
            <a:srgbClr val="000000"/>
          </a:solidFill>
          <a:round/>
          <a:headEnd/>
          <a:tailEnd/>
        </a:ln>
      </xdr:spPr>
    </xdr:sp>
    <xdr:clientData/>
  </xdr:twoCellAnchor>
  <xdr:twoCellAnchor>
    <xdr:from>
      <xdr:col>1</xdr:col>
      <xdr:colOff>1531939</xdr:colOff>
      <xdr:row>139</xdr:row>
      <xdr:rowOff>9525</xdr:rowOff>
    </xdr:from>
    <xdr:to>
      <xdr:col>1</xdr:col>
      <xdr:colOff>3581077</xdr:colOff>
      <xdr:row>139</xdr:row>
      <xdr:rowOff>9525</xdr:rowOff>
    </xdr:to>
    <xdr:sp macro="" textlink="">
      <xdr:nvSpPr>
        <xdr:cNvPr id="10" name="Line 1">
          <a:extLst>
            <a:ext uri="{FF2B5EF4-FFF2-40B4-BE49-F238E27FC236}">
              <a16:creationId xmlns:a16="http://schemas.microsoft.com/office/drawing/2014/main" id="{7F8A05FF-FDB3-45CC-8BBD-0D552E185006}"/>
            </a:ext>
          </a:extLst>
        </xdr:cNvPr>
        <xdr:cNvSpPr>
          <a:spLocks noChangeShapeType="1"/>
        </xdr:cNvSpPr>
      </xdr:nvSpPr>
      <xdr:spPr bwMode="auto">
        <a:xfrm>
          <a:off x="1898652" y="26998613"/>
          <a:ext cx="2049138" cy="0"/>
        </a:xfrm>
        <a:prstGeom prst="line">
          <a:avLst/>
        </a:prstGeom>
        <a:noFill/>
        <a:ln w="9525">
          <a:solidFill>
            <a:srgbClr val="000000"/>
          </a:solidFill>
          <a:round/>
          <a:headEnd/>
          <a:tailEnd/>
        </a:ln>
      </xdr:spPr>
    </xdr:sp>
    <xdr:clientData/>
  </xdr:twoCellAnchor>
  <xdr:twoCellAnchor>
    <xdr:from>
      <xdr:col>1</xdr:col>
      <xdr:colOff>1389067</xdr:colOff>
      <xdr:row>151</xdr:row>
      <xdr:rowOff>-1</xdr:rowOff>
    </xdr:from>
    <xdr:to>
      <xdr:col>2</xdr:col>
      <xdr:colOff>312424</xdr:colOff>
      <xdr:row>151</xdr:row>
      <xdr:rowOff>7936</xdr:rowOff>
    </xdr:to>
    <xdr:sp macro="" textlink="">
      <xdr:nvSpPr>
        <xdr:cNvPr id="11" name="Line 2">
          <a:extLst>
            <a:ext uri="{FF2B5EF4-FFF2-40B4-BE49-F238E27FC236}">
              <a16:creationId xmlns:a16="http://schemas.microsoft.com/office/drawing/2014/main" id="{2586C438-5324-411A-B048-DCE98F9301B9}"/>
            </a:ext>
          </a:extLst>
        </xdr:cNvPr>
        <xdr:cNvSpPr>
          <a:spLocks noChangeShapeType="1"/>
        </xdr:cNvSpPr>
      </xdr:nvSpPr>
      <xdr:spPr bwMode="auto">
        <a:xfrm>
          <a:off x="1755780" y="29332237"/>
          <a:ext cx="2880994" cy="7937"/>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7F4FA-0A0E-40DE-9FDB-A6DFD3FD9E4F}">
  <sheetPr codeName="Sheet1">
    <pageSetUpPr fitToPage="1"/>
  </sheetPr>
  <dimension ref="A2:H41"/>
  <sheetViews>
    <sheetView tabSelected="1" zoomScale="80" zoomScaleNormal="80" workbookViewId="0"/>
  </sheetViews>
  <sheetFormatPr defaultColWidth="9.1796875" defaultRowHeight="14.5" x14ac:dyDescent="0.35"/>
  <cols>
    <col min="1" max="1" width="4.81640625" style="1" bestFit="1" customWidth="1"/>
    <col min="2" max="2" width="78.81640625" style="1" customWidth="1"/>
    <col min="3" max="3" width="1.54296875" style="1" customWidth="1"/>
    <col min="4" max="4" width="20.81640625" style="1" customWidth="1"/>
    <col min="5" max="5" width="1.54296875" style="1" customWidth="1"/>
    <col min="6" max="6" width="40.54296875" style="1" customWidth="1"/>
    <col min="7" max="7" width="4.81640625" style="1" customWidth="1"/>
    <col min="8" max="8" width="21.1796875" style="1" customWidth="1"/>
    <col min="9" max="16384" width="9.1796875" style="1"/>
  </cols>
  <sheetData>
    <row r="2" spans="1:8" ht="17.5" x14ac:dyDescent="0.35">
      <c r="B2" s="2" t="s">
        <v>0</v>
      </c>
      <c r="C2" s="2"/>
      <c r="D2" s="3"/>
      <c r="E2" s="3"/>
      <c r="F2" s="3"/>
    </row>
    <row r="3" spans="1:8" ht="17.5" x14ac:dyDescent="0.35">
      <c r="B3" s="214" t="s">
        <v>393</v>
      </c>
      <c r="C3" s="2"/>
      <c r="D3" s="3"/>
      <c r="E3" s="3"/>
      <c r="F3" s="3"/>
    </row>
    <row r="4" spans="1:8" ht="17.5" x14ac:dyDescent="0.35">
      <c r="B4" s="774" t="s">
        <v>574</v>
      </c>
      <c r="C4" s="774"/>
      <c r="D4" s="774"/>
      <c r="E4" s="774"/>
      <c r="F4" s="774"/>
    </row>
    <row r="5" spans="1:8" ht="17.5" x14ac:dyDescent="0.35">
      <c r="B5" s="216" t="s">
        <v>487</v>
      </c>
      <c r="C5" s="2"/>
      <c r="D5" s="2"/>
      <c r="E5" s="2"/>
      <c r="F5" s="2"/>
    </row>
    <row r="6" spans="1:8" ht="15.5" x14ac:dyDescent="0.35">
      <c r="B6" s="773" t="s">
        <v>1</v>
      </c>
      <c r="C6" s="773"/>
      <c r="D6" s="773"/>
      <c r="E6" s="773"/>
      <c r="F6" s="773"/>
      <c r="G6" s="4"/>
      <c r="H6" s="4"/>
    </row>
    <row r="7" spans="1:8" ht="15.5" x14ac:dyDescent="0.35">
      <c r="B7" s="5"/>
      <c r="C7" s="5"/>
      <c r="D7" s="6"/>
      <c r="E7" s="7"/>
      <c r="F7" s="5"/>
      <c r="G7" s="5"/>
    </row>
    <row r="8" spans="1:8" ht="15.5" x14ac:dyDescent="0.35">
      <c r="A8" s="8" t="s">
        <v>2</v>
      </c>
      <c r="G8" s="8" t="s">
        <v>2</v>
      </c>
    </row>
    <row r="9" spans="1:8" ht="15.5" x14ac:dyDescent="0.35">
      <c r="A9" s="11" t="s">
        <v>6</v>
      </c>
      <c r="B9" s="9" t="s">
        <v>3</v>
      </c>
      <c r="C9" s="9"/>
      <c r="D9" s="9" t="s">
        <v>4</v>
      </c>
      <c r="E9" s="10"/>
      <c r="F9" s="9" t="s">
        <v>5</v>
      </c>
      <c r="G9" s="11" t="s">
        <v>6</v>
      </c>
    </row>
    <row r="10" spans="1:8" ht="15.5" x14ac:dyDescent="0.35">
      <c r="A10" s="8"/>
      <c r="B10" s="5"/>
      <c r="C10" s="5"/>
      <c r="D10" s="12"/>
      <c r="E10" s="12"/>
      <c r="F10" s="12"/>
      <c r="G10" s="8"/>
    </row>
    <row r="11" spans="1:8" ht="15.5" x14ac:dyDescent="0.35">
      <c r="A11" s="8">
        <v>1</v>
      </c>
      <c r="B11" s="7" t="s">
        <v>488</v>
      </c>
      <c r="C11" s="7"/>
      <c r="D11" s="12"/>
      <c r="E11" s="12"/>
      <c r="F11" s="12"/>
      <c r="G11" s="8">
        <v>1</v>
      </c>
    </row>
    <row r="12" spans="1:8" ht="15.5" x14ac:dyDescent="0.35">
      <c r="A12" s="8">
        <f>A11+1</f>
        <v>2</v>
      </c>
      <c r="B12" s="7"/>
      <c r="C12" s="7"/>
      <c r="D12" s="12"/>
      <c r="E12" s="12"/>
      <c r="F12" s="12"/>
      <c r="G12" s="8">
        <f>G11+1</f>
        <v>2</v>
      </c>
    </row>
    <row r="13" spans="1:8" ht="31" x14ac:dyDescent="0.35">
      <c r="A13" s="39">
        <f>A12+1</f>
        <v>3</v>
      </c>
      <c r="B13" s="220" t="s">
        <v>215</v>
      </c>
      <c r="C13" s="13"/>
      <c r="D13" s="755">
        <f>'Pg2 App XII C4 Comparison'!G28</f>
        <v>1.6558852262048731</v>
      </c>
      <c r="E13" s="14"/>
      <c r="F13" s="12" t="s">
        <v>394</v>
      </c>
      <c r="G13" s="39">
        <f>G12+1</f>
        <v>3</v>
      </c>
    </row>
    <row r="14" spans="1:8" ht="15.5" x14ac:dyDescent="0.35">
      <c r="A14" s="8">
        <f t="shared" ref="A14:A21" si="0">A13+1</f>
        <v>4</v>
      </c>
      <c r="B14" s="5"/>
      <c r="C14" s="12"/>
      <c r="D14" s="14"/>
      <c r="E14" s="14"/>
      <c r="F14" s="12"/>
      <c r="G14" s="8">
        <f t="shared" ref="G14:G21" si="1">G13+1</f>
        <v>4</v>
      </c>
    </row>
    <row r="15" spans="1:8" ht="15.5" x14ac:dyDescent="0.35">
      <c r="A15" s="8">
        <f t="shared" si="0"/>
        <v>5</v>
      </c>
      <c r="B15" s="5" t="s">
        <v>8</v>
      </c>
      <c r="C15" s="12"/>
      <c r="D15" s="756">
        <f>'Pg14 Appendix XII C4 Int Calc'!G78</f>
        <v>0.46879879260962026</v>
      </c>
      <c r="E15" s="15"/>
      <c r="F15" s="12" t="s">
        <v>596</v>
      </c>
      <c r="G15" s="8">
        <f t="shared" si="1"/>
        <v>5</v>
      </c>
    </row>
    <row r="16" spans="1:8" ht="15.5" x14ac:dyDescent="0.35">
      <c r="A16" s="8">
        <f t="shared" si="0"/>
        <v>6</v>
      </c>
      <c r="B16" s="5"/>
      <c r="C16" s="12"/>
      <c r="D16" s="16"/>
      <c r="E16" s="16"/>
      <c r="F16" s="12"/>
      <c r="G16" s="8">
        <f t="shared" si="1"/>
        <v>6</v>
      </c>
    </row>
    <row r="17" spans="1:8" ht="15.5" x14ac:dyDescent="0.35">
      <c r="A17" s="8">
        <f t="shared" si="0"/>
        <v>7</v>
      </c>
      <c r="B17" s="566" t="s">
        <v>230</v>
      </c>
      <c r="C17" s="10"/>
      <c r="D17" s="757">
        <f>D13+D15</f>
        <v>2.1246840188144933</v>
      </c>
      <c r="E17" s="14"/>
      <c r="F17" s="12" t="s">
        <v>387</v>
      </c>
      <c r="G17" s="8">
        <f t="shared" si="1"/>
        <v>7</v>
      </c>
      <c r="H17" s="612"/>
    </row>
    <row r="18" spans="1:8" ht="15.5" x14ac:dyDescent="0.35">
      <c r="A18" s="8">
        <f t="shared" si="0"/>
        <v>8</v>
      </c>
      <c r="B18" s="5"/>
      <c r="C18" s="12"/>
      <c r="D18" s="215"/>
      <c r="E18" s="5"/>
      <c r="F18" s="5"/>
      <c r="G18" s="8">
        <f t="shared" si="1"/>
        <v>8</v>
      </c>
    </row>
    <row r="19" spans="1:8" ht="15.5" x14ac:dyDescent="0.35">
      <c r="A19" s="8">
        <f t="shared" si="0"/>
        <v>9</v>
      </c>
      <c r="B19" s="302" t="s">
        <v>229</v>
      </c>
      <c r="C19" s="12"/>
      <c r="D19" s="492">
        <v>12</v>
      </c>
      <c r="E19" s="5"/>
      <c r="F19" s="5"/>
      <c r="G19" s="8">
        <f t="shared" si="1"/>
        <v>9</v>
      </c>
    </row>
    <row r="20" spans="1:8" ht="15.5" x14ac:dyDescent="0.35">
      <c r="A20" s="8">
        <f t="shared" si="0"/>
        <v>10</v>
      </c>
      <c r="B20" s="5"/>
      <c r="C20" s="12"/>
      <c r="D20" s="215"/>
      <c r="E20" s="5"/>
      <c r="F20" s="5"/>
      <c r="G20" s="8">
        <f t="shared" si="1"/>
        <v>10</v>
      </c>
    </row>
    <row r="21" spans="1:8" ht="16" thickBot="1" x14ac:dyDescent="0.4">
      <c r="A21" s="8">
        <f t="shared" si="0"/>
        <v>11</v>
      </c>
      <c r="B21" s="566" t="s">
        <v>341</v>
      </c>
      <c r="C21" s="5"/>
      <c r="D21" s="587">
        <f>D17/12</f>
        <v>0.17705700156787443</v>
      </c>
      <c r="E21" s="5"/>
      <c r="F21" s="12" t="s">
        <v>388</v>
      </c>
      <c r="G21" s="8">
        <f t="shared" si="1"/>
        <v>11</v>
      </c>
      <c r="H21" s="606"/>
    </row>
    <row r="22" spans="1:8" ht="16" thickTop="1" x14ac:dyDescent="0.35">
      <c r="A22" s="8"/>
      <c r="B22" s="217"/>
      <c r="C22" s="5"/>
      <c r="D22" s="491"/>
      <c r="E22" s="5"/>
      <c r="F22" s="5"/>
      <c r="G22" s="5"/>
    </row>
    <row r="23" spans="1:8" ht="15.5" x14ac:dyDescent="0.35">
      <c r="B23" s="5"/>
      <c r="C23" s="5"/>
      <c r="D23" s="5"/>
      <c r="E23" s="5"/>
      <c r="F23" s="5"/>
      <c r="G23" s="5"/>
    </row>
    <row r="24" spans="1:8" ht="17" x14ac:dyDescent="0.35">
      <c r="A24" s="17">
        <v>1</v>
      </c>
      <c r="B24" s="770" t="s">
        <v>716</v>
      </c>
      <c r="C24" s="5"/>
      <c r="D24" s="5"/>
      <c r="E24" s="5"/>
      <c r="F24" s="5"/>
      <c r="G24" s="5"/>
    </row>
    <row r="25" spans="1:8" ht="15.5" x14ac:dyDescent="0.35">
      <c r="B25" s="770" t="s">
        <v>718</v>
      </c>
      <c r="C25" s="5"/>
      <c r="D25" s="5"/>
      <c r="E25" s="5"/>
      <c r="F25" s="5"/>
      <c r="G25" s="5"/>
    </row>
    <row r="26" spans="1:8" ht="15.5" x14ac:dyDescent="0.35">
      <c r="B26" s="771" t="s">
        <v>717</v>
      </c>
      <c r="C26" s="5"/>
      <c r="D26" s="5"/>
      <c r="E26" s="5"/>
      <c r="F26" s="5"/>
      <c r="G26" s="5"/>
    </row>
    <row r="27" spans="1:8" ht="15.5" x14ac:dyDescent="0.35">
      <c r="B27" s="772" t="s">
        <v>719</v>
      </c>
      <c r="C27" s="5"/>
      <c r="D27" s="5"/>
      <c r="E27" s="5"/>
      <c r="F27" s="5"/>
      <c r="G27" s="5"/>
    </row>
    <row r="28" spans="1:8" ht="15.5" x14ac:dyDescent="0.35">
      <c r="B28" s="5"/>
      <c r="C28" s="5"/>
      <c r="D28" s="5"/>
      <c r="E28" s="5"/>
      <c r="F28" s="5"/>
      <c r="G28" s="5"/>
    </row>
    <row r="29" spans="1:8" ht="17" x14ac:dyDescent="0.35">
      <c r="A29" s="17"/>
      <c r="B29" s="5"/>
      <c r="C29" s="5"/>
      <c r="D29" s="5"/>
      <c r="E29" s="5"/>
      <c r="F29" s="5"/>
      <c r="G29" s="5"/>
    </row>
    <row r="30" spans="1:8" ht="15.5" x14ac:dyDescent="0.35">
      <c r="B30" s="5"/>
      <c r="C30" s="5"/>
      <c r="D30" s="5"/>
      <c r="E30" s="5"/>
      <c r="F30" s="5"/>
      <c r="G30" s="5"/>
    </row>
    <row r="31" spans="1:8" ht="15.5" x14ac:dyDescent="0.35">
      <c r="B31" s="5"/>
      <c r="C31" s="5"/>
      <c r="D31" s="5"/>
      <c r="E31" s="5"/>
      <c r="F31" s="5"/>
      <c r="G31" s="5"/>
    </row>
    <row r="32" spans="1:8" ht="15.5" x14ac:dyDescent="0.35">
      <c r="B32" s="5"/>
      <c r="C32" s="5"/>
      <c r="D32" s="5"/>
      <c r="E32" s="5"/>
      <c r="F32" s="5"/>
      <c r="G32" s="5"/>
    </row>
    <row r="33" spans="2:7" ht="15.5" x14ac:dyDescent="0.35">
      <c r="B33" s="5"/>
      <c r="C33" s="5"/>
      <c r="D33" s="5"/>
      <c r="E33" s="5"/>
      <c r="F33" s="5"/>
      <c r="G33" s="5"/>
    </row>
    <row r="34" spans="2:7" ht="15.5" x14ac:dyDescent="0.35">
      <c r="B34" s="5"/>
      <c r="C34" s="5"/>
      <c r="D34" s="5"/>
      <c r="E34" s="5"/>
      <c r="F34" s="5"/>
      <c r="G34" s="5"/>
    </row>
    <row r="35" spans="2:7" ht="15.5" x14ac:dyDescent="0.35">
      <c r="B35" s="5"/>
      <c r="C35" s="5"/>
      <c r="D35" s="5"/>
      <c r="E35" s="5"/>
      <c r="F35" s="5"/>
      <c r="G35" s="5"/>
    </row>
    <row r="36" spans="2:7" ht="15.5" x14ac:dyDescent="0.35">
      <c r="B36" s="5"/>
      <c r="C36" s="5"/>
      <c r="D36" s="5"/>
      <c r="E36" s="5"/>
      <c r="F36" s="5"/>
      <c r="G36" s="5"/>
    </row>
    <row r="37" spans="2:7" ht="15.5" x14ac:dyDescent="0.35">
      <c r="B37" s="5"/>
      <c r="C37" s="5"/>
      <c r="D37" s="5"/>
      <c r="E37" s="5"/>
      <c r="F37" s="5"/>
      <c r="G37" s="5"/>
    </row>
    <row r="38" spans="2:7" ht="15.5" x14ac:dyDescent="0.35">
      <c r="B38" s="5"/>
      <c r="C38" s="5"/>
      <c r="D38" s="5"/>
      <c r="E38" s="5"/>
      <c r="F38" s="5"/>
      <c r="G38" s="5"/>
    </row>
    <row r="39" spans="2:7" ht="15.5" x14ac:dyDescent="0.35">
      <c r="B39" s="5"/>
      <c r="C39" s="5"/>
      <c r="D39" s="5"/>
      <c r="E39" s="5"/>
      <c r="F39" s="5"/>
      <c r="G39" s="5"/>
    </row>
    <row r="40" spans="2:7" ht="15.5" x14ac:dyDescent="0.35">
      <c r="B40" s="5"/>
      <c r="C40" s="5"/>
      <c r="D40" s="5"/>
      <c r="E40" s="5"/>
      <c r="F40" s="5"/>
      <c r="G40" s="5"/>
    </row>
    <row r="41" spans="2:7" ht="15.5" x14ac:dyDescent="0.35">
      <c r="B41" s="5"/>
      <c r="C41" s="5"/>
      <c r="D41" s="5"/>
      <c r="E41" s="5"/>
      <c r="F41" s="5"/>
      <c r="G41" s="5"/>
    </row>
  </sheetData>
  <mergeCells count="2">
    <mergeCell ref="B6:F6"/>
    <mergeCell ref="B4:F4"/>
  </mergeCells>
  <printOptions horizontalCentered="1"/>
  <pageMargins left="0.5" right="0.5" top="0.5" bottom="0.5" header="0.25" footer="0.25"/>
  <pageSetup scale="62" orientation="portrait" r:id="rId1"/>
  <headerFooter scaleWithDoc="0" alignWithMargins="0">
    <oddFooter>&amp;L&amp;F&amp;CPage 1&amp;R&amp;A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8165-74FE-47AB-8B8F-E2AA396941F8}">
  <sheetPr>
    <pageSetUpPr fitToPage="1"/>
  </sheetPr>
  <dimension ref="A1:J77"/>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A1" s="614" t="s">
        <v>674</v>
      </c>
    </row>
    <row r="2" spans="1:8" x14ac:dyDescent="0.35">
      <c r="G2" s="41"/>
      <c r="H2" s="39"/>
    </row>
    <row r="3" spans="1:8" x14ac:dyDescent="0.35">
      <c r="B3" s="782" t="s">
        <v>24</v>
      </c>
      <c r="C3" s="782"/>
      <c r="D3" s="782"/>
      <c r="E3" s="782"/>
      <c r="F3" s="782"/>
      <c r="G3" s="782"/>
      <c r="H3" s="39"/>
    </row>
    <row r="4" spans="1:8" x14ac:dyDescent="0.35">
      <c r="B4" s="782" t="s">
        <v>25</v>
      </c>
      <c r="C4" s="782"/>
      <c r="D4" s="782"/>
      <c r="E4" s="782"/>
      <c r="F4" s="782"/>
      <c r="G4" s="782"/>
      <c r="H4" s="39"/>
    </row>
    <row r="5" spans="1:8" x14ac:dyDescent="0.35">
      <c r="B5" s="782" t="s">
        <v>26</v>
      </c>
      <c r="C5" s="782"/>
      <c r="D5" s="782"/>
      <c r="E5" s="782"/>
      <c r="F5" s="782"/>
      <c r="G5" s="782"/>
      <c r="H5" s="39"/>
    </row>
    <row r="6" spans="1:8" x14ac:dyDescent="0.35">
      <c r="B6" s="785" t="s">
        <v>512</v>
      </c>
      <c r="C6" s="785"/>
      <c r="D6" s="785"/>
      <c r="E6" s="785"/>
      <c r="F6" s="785"/>
      <c r="G6" s="785"/>
      <c r="H6" s="39"/>
    </row>
    <row r="7" spans="1:8" x14ac:dyDescent="0.35">
      <c r="B7" s="784" t="s">
        <v>1</v>
      </c>
      <c r="C7" s="786"/>
      <c r="D7" s="786"/>
      <c r="E7" s="786"/>
      <c r="F7" s="786"/>
      <c r="G7" s="786"/>
      <c r="H7" s="39"/>
    </row>
    <row r="8" spans="1:8" x14ac:dyDescent="0.35">
      <c r="B8" s="39"/>
      <c r="C8" s="39"/>
      <c r="D8" s="39"/>
      <c r="E8" s="42"/>
      <c r="F8" s="42"/>
      <c r="G8" s="39"/>
      <c r="H8" s="39"/>
    </row>
    <row r="9" spans="1:8" x14ac:dyDescent="0.35">
      <c r="A9" s="39" t="s">
        <v>2</v>
      </c>
      <c r="B9" s="495"/>
      <c r="C9" s="39" t="s">
        <v>27</v>
      </c>
      <c r="D9" s="495"/>
      <c r="E9" s="43"/>
      <c r="F9" s="43"/>
      <c r="G9" s="39"/>
      <c r="H9" s="39" t="s">
        <v>2</v>
      </c>
    </row>
    <row r="10" spans="1:8" x14ac:dyDescent="0.35">
      <c r="A10" s="39" t="s">
        <v>6</v>
      </c>
      <c r="C10" s="416" t="s">
        <v>28</v>
      </c>
      <c r="D10" s="495"/>
      <c r="E10" s="417" t="s">
        <v>4</v>
      </c>
      <c r="F10" s="43"/>
      <c r="G10" s="416" t="s">
        <v>5</v>
      </c>
      <c r="H10" s="39" t="s">
        <v>6</v>
      </c>
    </row>
    <row r="11" spans="1:8" x14ac:dyDescent="0.35">
      <c r="C11" s="495"/>
      <c r="D11" s="495"/>
      <c r="E11" s="43"/>
      <c r="F11" s="43"/>
      <c r="G11" s="39"/>
      <c r="H11" s="39"/>
    </row>
    <row r="12" spans="1:8" x14ac:dyDescent="0.35">
      <c r="A12" s="39">
        <v>1</v>
      </c>
      <c r="B12" s="418" t="s">
        <v>301</v>
      </c>
      <c r="C12" s="495"/>
      <c r="D12" s="495"/>
      <c r="E12" s="43"/>
      <c r="F12" s="43"/>
      <c r="G12" s="39"/>
      <c r="H12" s="39">
        <f>A12</f>
        <v>1</v>
      </c>
    </row>
    <row r="13" spans="1:8" x14ac:dyDescent="0.35">
      <c r="A13" s="39">
        <f>+A12+1</f>
        <v>2</v>
      </c>
      <c r="B13" s="302" t="s">
        <v>302</v>
      </c>
      <c r="C13" s="495"/>
      <c r="D13" s="495"/>
      <c r="E13" s="45">
        <v>0</v>
      </c>
      <c r="F13" s="43"/>
      <c r="G13" s="39" t="s">
        <v>421</v>
      </c>
      <c r="H13" s="39">
        <f>H12+1</f>
        <v>2</v>
      </c>
    </row>
    <row r="14" spans="1:8" x14ac:dyDescent="0.35">
      <c r="A14" s="39">
        <f t="shared" ref="A14:A71" si="0">+A13+1</f>
        <v>3</v>
      </c>
      <c r="C14" s="495"/>
      <c r="D14" s="495"/>
      <c r="E14" s="43"/>
      <c r="F14" s="43"/>
      <c r="G14" s="39"/>
      <c r="H14" s="39">
        <f t="shared" ref="H14:H71" si="1">H13+1</f>
        <v>3</v>
      </c>
    </row>
    <row r="15" spans="1:8" x14ac:dyDescent="0.35">
      <c r="A15" s="39">
        <f t="shared" si="0"/>
        <v>4</v>
      </c>
      <c r="B15" s="418" t="s">
        <v>303</v>
      </c>
      <c r="G15" s="39"/>
      <c r="H15" s="39">
        <f t="shared" si="1"/>
        <v>4</v>
      </c>
    </row>
    <row r="16" spans="1:8" x14ac:dyDescent="0.35">
      <c r="A16" s="39">
        <f t="shared" si="0"/>
        <v>5</v>
      </c>
      <c r="B16" s="18" t="s">
        <v>304</v>
      </c>
      <c r="C16" s="39"/>
      <c r="E16" s="45">
        <v>99948.700800000006</v>
      </c>
      <c r="G16" s="39" t="s">
        <v>422</v>
      </c>
      <c r="H16" s="39">
        <f t="shared" si="1"/>
        <v>5</v>
      </c>
    </row>
    <row r="17" spans="1:8" x14ac:dyDescent="0.35">
      <c r="A17" s="39">
        <f t="shared" si="0"/>
        <v>6</v>
      </c>
      <c r="B17" s="24" t="s">
        <v>29</v>
      </c>
      <c r="E17" s="47"/>
      <c r="G17" s="39"/>
      <c r="H17" s="39">
        <f t="shared" si="1"/>
        <v>6</v>
      </c>
    </row>
    <row r="18" spans="1:8" x14ac:dyDescent="0.35">
      <c r="A18" s="39">
        <f t="shared" si="0"/>
        <v>7</v>
      </c>
      <c r="B18" s="18" t="s">
        <v>305</v>
      </c>
      <c r="C18" s="39"/>
      <c r="E18" s="48">
        <v>-5200.3239999999996</v>
      </c>
      <c r="G18" s="39" t="s">
        <v>423</v>
      </c>
      <c r="H18" s="39">
        <f t="shared" si="1"/>
        <v>7</v>
      </c>
    </row>
    <row r="19" spans="1:8" x14ac:dyDescent="0.35">
      <c r="A19" s="39">
        <f t="shared" si="0"/>
        <v>8</v>
      </c>
      <c r="B19" s="18" t="s">
        <v>306</v>
      </c>
      <c r="E19" s="48">
        <v>-2469.29151</v>
      </c>
      <c r="G19" s="39" t="s">
        <v>424</v>
      </c>
      <c r="H19" s="39">
        <f t="shared" si="1"/>
        <v>8</v>
      </c>
    </row>
    <row r="20" spans="1:8" x14ac:dyDescent="0.35">
      <c r="A20" s="39">
        <f t="shared" si="0"/>
        <v>9</v>
      </c>
      <c r="B20" s="302" t="s">
        <v>307</v>
      </c>
      <c r="E20" s="48">
        <v>-6458.357</v>
      </c>
      <c r="G20" s="39" t="s">
        <v>425</v>
      </c>
      <c r="H20" s="39">
        <f t="shared" si="1"/>
        <v>9</v>
      </c>
    </row>
    <row r="21" spans="1:8" x14ac:dyDescent="0.35">
      <c r="A21" s="39">
        <f t="shared" si="0"/>
        <v>10</v>
      </c>
      <c r="B21" s="302" t="s">
        <v>308</v>
      </c>
      <c r="E21" s="48">
        <v>-9764.84</v>
      </c>
      <c r="G21" s="39" t="s">
        <v>426</v>
      </c>
      <c r="H21" s="39">
        <f t="shared" si="1"/>
        <v>10</v>
      </c>
    </row>
    <row r="22" spans="1:8" x14ac:dyDescent="0.35">
      <c r="A22" s="39">
        <f t="shared" si="0"/>
        <v>11</v>
      </c>
      <c r="B22" s="18" t="s">
        <v>309</v>
      </c>
      <c r="E22" s="48">
        <v>0</v>
      </c>
      <c r="G22" s="39" t="s">
        <v>427</v>
      </c>
      <c r="H22" s="39">
        <f t="shared" si="1"/>
        <v>11</v>
      </c>
    </row>
    <row r="23" spans="1:8" x14ac:dyDescent="0.35">
      <c r="A23" s="39">
        <f t="shared" si="0"/>
        <v>12</v>
      </c>
      <c r="B23" s="18" t="s">
        <v>310</v>
      </c>
      <c r="E23" s="48">
        <v>-325.87329000000057</v>
      </c>
      <c r="G23" s="39" t="s">
        <v>428</v>
      </c>
      <c r="H23" s="39">
        <f t="shared" si="1"/>
        <v>12</v>
      </c>
    </row>
    <row r="24" spans="1:8" x14ac:dyDescent="0.35">
      <c r="A24" s="39">
        <f t="shared" si="0"/>
        <v>13</v>
      </c>
      <c r="B24" s="302" t="s">
        <v>311</v>
      </c>
      <c r="E24" s="48">
        <v>-15716.966</v>
      </c>
      <c r="G24" s="39" t="s">
        <v>429</v>
      </c>
      <c r="H24" s="39">
        <f t="shared" si="1"/>
        <v>13</v>
      </c>
    </row>
    <row r="25" spans="1:8" x14ac:dyDescent="0.35">
      <c r="A25" s="39">
        <f t="shared" si="0"/>
        <v>14</v>
      </c>
      <c r="B25" s="302" t="s">
        <v>312</v>
      </c>
      <c r="E25" s="48">
        <v>-26863.351999999999</v>
      </c>
      <c r="G25" s="39" t="s">
        <v>430</v>
      </c>
      <c r="H25" s="39">
        <f t="shared" si="1"/>
        <v>14</v>
      </c>
    </row>
    <row r="26" spans="1:8" x14ac:dyDescent="0.35">
      <c r="A26" s="39">
        <f t="shared" si="0"/>
        <v>15</v>
      </c>
      <c r="B26" s="302" t="s">
        <v>313</v>
      </c>
      <c r="E26" s="48">
        <v>-1113.175</v>
      </c>
      <c r="G26" s="39" t="s">
        <v>431</v>
      </c>
      <c r="H26" s="39">
        <f t="shared" si="1"/>
        <v>15</v>
      </c>
    </row>
    <row r="27" spans="1:8" x14ac:dyDescent="0.35">
      <c r="A27" s="39">
        <f t="shared" si="0"/>
        <v>16</v>
      </c>
      <c r="B27" s="18" t="s">
        <v>314</v>
      </c>
      <c r="E27" s="49">
        <v>1614.6884600000001</v>
      </c>
      <c r="G27" s="39" t="s">
        <v>315</v>
      </c>
      <c r="H27" s="39">
        <f t="shared" si="1"/>
        <v>16</v>
      </c>
    </row>
    <row r="28" spans="1:8" x14ac:dyDescent="0.35">
      <c r="A28" s="39">
        <f t="shared" si="0"/>
        <v>17</v>
      </c>
      <c r="B28" s="18" t="s">
        <v>317</v>
      </c>
      <c r="E28" s="161">
        <f>SUM(E16:E27)</f>
        <v>33651.210460000017</v>
      </c>
      <c r="F28" s="25"/>
      <c r="G28" s="33" t="s">
        <v>675</v>
      </c>
      <c r="H28" s="39">
        <f t="shared" si="1"/>
        <v>17</v>
      </c>
    </row>
    <row r="29" spans="1:8" x14ac:dyDescent="0.35">
      <c r="A29" s="39">
        <f t="shared" si="0"/>
        <v>18</v>
      </c>
      <c r="E29" s="38"/>
      <c r="H29" s="39">
        <f t="shared" si="1"/>
        <v>18</v>
      </c>
    </row>
    <row r="30" spans="1:8" x14ac:dyDescent="0.35">
      <c r="A30" s="39">
        <f t="shared" si="0"/>
        <v>19</v>
      </c>
      <c r="B30" s="419" t="s">
        <v>318</v>
      </c>
      <c r="E30" s="50"/>
      <c r="G30" s="39"/>
      <c r="H30" s="39">
        <f t="shared" si="1"/>
        <v>19</v>
      </c>
    </row>
    <row r="31" spans="1:8" x14ac:dyDescent="0.35">
      <c r="A31" s="39">
        <f t="shared" si="0"/>
        <v>20</v>
      </c>
      <c r="B31" s="24" t="s">
        <v>319</v>
      </c>
      <c r="C31" s="39"/>
      <c r="E31" s="45">
        <v>595154.03483999986</v>
      </c>
      <c r="G31" s="39" t="s">
        <v>546</v>
      </c>
      <c r="H31" s="39">
        <f t="shared" si="1"/>
        <v>20</v>
      </c>
    </row>
    <row r="32" spans="1:8" x14ac:dyDescent="0.35">
      <c r="A32" s="39">
        <f t="shared" si="0"/>
        <v>21</v>
      </c>
      <c r="B32" s="24" t="s">
        <v>30</v>
      </c>
      <c r="E32" s="50" t="s">
        <v>11</v>
      </c>
      <c r="G32" s="39"/>
      <c r="H32" s="39">
        <f t="shared" si="1"/>
        <v>21</v>
      </c>
    </row>
    <row r="33" spans="1:10" x14ac:dyDescent="0.35">
      <c r="A33" s="39">
        <f t="shared" si="0"/>
        <v>22</v>
      </c>
      <c r="B33" s="46" t="s">
        <v>31</v>
      </c>
      <c r="E33" s="48">
        <v>-2360.7200000000003</v>
      </c>
      <c r="G33" s="39" t="s">
        <v>561</v>
      </c>
      <c r="H33" s="39">
        <f t="shared" si="1"/>
        <v>22</v>
      </c>
      <c r="I33" s="420"/>
      <c r="J33" s="52"/>
    </row>
    <row r="34" spans="1:10" ht="31" x14ac:dyDescent="0.35">
      <c r="A34" s="39">
        <f t="shared" si="0"/>
        <v>23</v>
      </c>
      <c r="B34" s="46" t="s">
        <v>32</v>
      </c>
      <c r="E34" s="48">
        <v>555.40800074000003</v>
      </c>
      <c r="G34" s="51" t="s">
        <v>562</v>
      </c>
      <c r="H34" s="39">
        <f t="shared" si="1"/>
        <v>23</v>
      </c>
      <c r="I34" s="420"/>
      <c r="J34" s="52"/>
    </row>
    <row r="35" spans="1:10" x14ac:dyDescent="0.35">
      <c r="A35" s="39">
        <f t="shared" si="0"/>
        <v>24</v>
      </c>
      <c r="B35" s="46" t="s">
        <v>121</v>
      </c>
      <c r="E35" s="48">
        <v>0</v>
      </c>
      <c r="G35" s="39" t="s">
        <v>563</v>
      </c>
      <c r="H35" s="39">
        <f t="shared" si="1"/>
        <v>24</v>
      </c>
    </row>
    <row r="36" spans="1:10" x14ac:dyDescent="0.35">
      <c r="A36" s="39">
        <f t="shared" si="0"/>
        <v>25</v>
      </c>
      <c r="B36" s="46" t="s">
        <v>33</v>
      </c>
      <c r="E36" s="48">
        <v>-2085.1866</v>
      </c>
      <c r="G36" s="39" t="s">
        <v>564</v>
      </c>
      <c r="H36" s="39">
        <f t="shared" si="1"/>
        <v>25</v>
      </c>
      <c r="J36" s="52"/>
    </row>
    <row r="37" spans="1:10" x14ac:dyDescent="0.35">
      <c r="A37" s="39">
        <f t="shared" si="0"/>
        <v>26</v>
      </c>
      <c r="B37" s="46" t="s">
        <v>34</v>
      </c>
      <c r="E37" s="48">
        <v>-13015.817289999999</v>
      </c>
      <c r="G37" s="39" t="s">
        <v>565</v>
      </c>
      <c r="H37" s="39">
        <f t="shared" si="1"/>
        <v>26</v>
      </c>
      <c r="J37" s="52"/>
    </row>
    <row r="38" spans="1:10" x14ac:dyDescent="0.35">
      <c r="A38" s="39">
        <f t="shared" si="0"/>
        <v>27</v>
      </c>
      <c r="B38" s="46" t="s">
        <v>35</v>
      </c>
      <c r="E38" s="48">
        <v>0</v>
      </c>
      <c r="G38" s="598" t="s">
        <v>510</v>
      </c>
      <c r="H38" s="39">
        <f t="shared" si="1"/>
        <v>27</v>
      </c>
      <c r="J38" s="52"/>
    </row>
    <row r="39" spans="1:10" x14ac:dyDescent="0.35">
      <c r="A39" s="39">
        <f t="shared" si="0"/>
        <v>28</v>
      </c>
      <c r="B39" s="46" t="s">
        <v>36</v>
      </c>
      <c r="E39" s="48">
        <v>204.155</v>
      </c>
      <c r="F39" s="25"/>
      <c r="G39" s="51" t="s">
        <v>566</v>
      </c>
      <c r="H39" s="39">
        <f t="shared" si="1"/>
        <v>28</v>
      </c>
      <c r="I39" s="420"/>
    </row>
    <row r="40" spans="1:10" x14ac:dyDescent="0.35">
      <c r="A40" s="39">
        <f t="shared" si="0"/>
        <v>29</v>
      </c>
      <c r="B40" s="46" t="s">
        <v>37</v>
      </c>
      <c r="E40" s="48">
        <v>-130506.76528000001</v>
      </c>
      <c r="G40" s="39" t="s">
        <v>572</v>
      </c>
      <c r="H40" s="39">
        <f t="shared" si="1"/>
        <v>29</v>
      </c>
      <c r="I40" s="420"/>
      <c r="J40" s="52"/>
    </row>
    <row r="41" spans="1:10" x14ac:dyDescent="0.35">
      <c r="A41" s="39">
        <f t="shared" si="0"/>
        <v>30</v>
      </c>
      <c r="B41" s="46" t="s">
        <v>38</v>
      </c>
      <c r="E41" s="48">
        <v>-12.147468914000001</v>
      </c>
      <c r="G41" s="51" t="s">
        <v>571</v>
      </c>
      <c r="H41" s="39">
        <f t="shared" si="1"/>
        <v>30</v>
      </c>
    </row>
    <row r="42" spans="1:10" x14ac:dyDescent="0.35">
      <c r="A42" s="39">
        <f t="shared" si="0"/>
        <v>31</v>
      </c>
      <c r="B42" s="46" t="s">
        <v>39</v>
      </c>
      <c r="E42" s="48">
        <v>-40.544630000000005</v>
      </c>
      <c r="G42" s="51" t="s">
        <v>567</v>
      </c>
      <c r="H42" s="39">
        <f t="shared" si="1"/>
        <v>31</v>
      </c>
    </row>
    <row r="43" spans="1:10" ht="46.5" x14ac:dyDescent="0.35">
      <c r="A43" s="39">
        <f t="shared" si="0"/>
        <v>32</v>
      </c>
      <c r="B43" s="46" t="s">
        <v>40</v>
      </c>
      <c r="E43" s="48">
        <v>-24673.96447250203</v>
      </c>
      <c r="G43" s="51" t="s">
        <v>568</v>
      </c>
      <c r="H43" s="39">
        <f t="shared" si="1"/>
        <v>32</v>
      </c>
    </row>
    <row r="44" spans="1:10" x14ac:dyDescent="0.35">
      <c r="A44" s="39">
        <f t="shared" si="0"/>
        <v>33</v>
      </c>
      <c r="B44" s="40" t="s">
        <v>552</v>
      </c>
      <c r="E44" s="48">
        <v>-90.331999999999994</v>
      </c>
      <c r="F44" s="25"/>
      <c r="G44" s="39" t="s">
        <v>569</v>
      </c>
      <c r="H44" s="39">
        <f t="shared" si="1"/>
        <v>33</v>
      </c>
      <c r="I44" s="52"/>
    </row>
    <row r="45" spans="1:10" x14ac:dyDescent="0.35">
      <c r="A45" s="39">
        <f t="shared" si="0"/>
        <v>34</v>
      </c>
      <c r="B45" s="496" t="s">
        <v>316</v>
      </c>
      <c r="E45" s="421">
        <v>16552.13812</v>
      </c>
      <c r="F45" s="25" t="s">
        <v>16</v>
      </c>
      <c r="G45" s="39" t="s">
        <v>570</v>
      </c>
      <c r="H45" s="39">
        <f t="shared" si="1"/>
        <v>34</v>
      </c>
      <c r="I45" s="52"/>
    </row>
    <row r="46" spans="1:10" x14ac:dyDescent="0.35">
      <c r="A46" s="39">
        <f t="shared" si="0"/>
        <v>35</v>
      </c>
      <c r="B46" s="24" t="s">
        <v>320</v>
      </c>
      <c r="E46" s="53">
        <f>SUM(E31:E45)</f>
        <v>439680.25821932388</v>
      </c>
      <c r="F46" s="25" t="s">
        <v>16</v>
      </c>
      <c r="G46" s="39" t="s">
        <v>676</v>
      </c>
      <c r="H46" s="39">
        <f t="shared" si="1"/>
        <v>35</v>
      </c>
    </row>
    <row r="47" spans="1:10" x14ac:dyDescent="0.35">
      <c r="A47" s="39">
        <f t="shared" si="0"/>
        <v>36</v>
      </c>
      <c r="B47" s="24" t="s">
        <v>41</v>
      </c>
      <c r="E47" s="422">
        <v>-8310.402</v>
      </c>
      <c r="G47" s="39" t="s">
        <v>573</v>
      </c>
      <c r="H47" s="39">
        <f t="shared" si="1"/>
        <v>36</v>
      </c>
    </row>
    <row r="48" spans="1:10" x14ac:dyDescent="0.35">
      <c r="A48" s="39">
        <f t="shared" si="0"/>
        <v>37</v>
      </c>
      <c r="B48" s="24" t="s">
        <v>321</v>
      </c>
      <c r="E48" s="53">
        <f>SUM(E46:E47)</f>
        <v>431369.85621932388</v>
      </c>
      <c r="F48" s="25" t="s">
        <v>16</v>
      </c>
      <c r="G48" s="39" t="s">
        <v>677</v>
      </c>
      <c r="H48" s="39">
        <f t="shared" si="1"/>
        <v>37</v>
      </c>
    </row>
    <row r="49" spans="1:9" x14ac:dyDescent="0.35">
      <c r="A49" s="39">
        <f t="shared" si="0"/>
        <v>38</v>
      </c>
      <c r="B49" s="18" t="s">
        <v>42</v>
      </c>
      <c r="E49" s="423">
        <v>0.10287974321775711</v>
      </c>
      <c r="G49" s="33" t="s">
        <v>432</v>
      </c>
      <c r="H49" s="39">
        <f t="shared" si="1"/>
        <v>38</v>
      </c>
    </row>
    <row r="50" spans="1:9" x14ac:dyDescent="0.35">
      <c r="A50" s="39">
        <f t="shared" si="0"/>
        <v>39</v>
      </c>
      <c r="B50" s="24" t="s">
        <v>322</v>
      </c>
      <c r="E50" s="54">
        <f>E48*E49</f>
        <v>44379.220039724845</v>
      </c>
      <c r="F50" s="25" t="s">
        <v>16</v>
      </c>
      <c r="G50" s="39" t="s">
        <v>678</v>
      </c>
      <c r="H50" s="39">
        <f t="shared" si="1"/>
        <v>39</v>
      </c>
    </row>
    <row r="51" spans="1:9" x14ac:dyDescent="0.35">
      <c r="A51" s="39">
        <f t="shared" si="0"/>
        <v>40</v>
      </c>
      <c r="B51" s="40" t="s">
        <v>43</v>
      </c>
      <c r="E51" s="424">
        <f>E71*(-E47)</f>
        <v>3315.0316733642535</v>
      </c>
      <c r="G51" s="39" t="s">
        <v>679</v>
      </c>
      <c r="H51" s="39">
        <f t="shared" si="1"/>
        <v>40</v>
      </c>
    </row>
    <row r="52" spans="1:9" ht="16" thickBot="1" x14ac:dyDescent="0.4">
      <c r="A52" s="39">
        <f t="shared" si="0"/>
        <v>41</v>
      </c>
      <c r="B52" s="46" t="s">
        <v>323</v>
      </c>
      <c r="E52" s="425">
        <f>E51+E50</f>
        <v>47694.251713089099</v>
      </c>
      <c r="F52" s="25" t="s">
        <v>16</v>
      </c>
      <c r="G52" s="39" t="s">
        <v>680</v>
      </c>
      <c r="H52" s="39">
        <f t="shared" si="1"/>
        <v>41</v>
      </c>
      <c r="I52" s="46"/>
    </row>
    <row r="53" spans="1:9" ht="16" thickTop="1" x14ac:dyDescent="0.35">
      <c r="A53" s="39">
        <f t="shared" si="0"/>
        <v>42</v>
      </c>
      <c r="B53" s="55"/>
      <c r="E53" s="56"/>
      <c r="G53" s="39"/>
      <c r="H53" s="39">
        <f t="shared" si="1"/>
        <v>42</v>
      </c>
    </row>
    <row r="54" spans="1:9" x14ac:dyDescent="0.35">
      <c r="A54" s="39">
        <f t="shared" si="0"/>
        <v>43</v>
      </c>
      <c r="B54" s="27" t="s">
        <v>44</v>
      </c>
      <c r="E54" s="57"/>
      <c r="G54" s="39"/>
      <c r="H54" s="39">
        <f t="shared" si="1"/>
        <v>43</v>
      </c>
    </row>
    <row r="55" spans="1:9" x14ac:dyDescent="0.35">
      <c r="A55" s="39">
        <f t="shared" si="0"/>
        <v>44</v>
      </c>
      <c r="B55" s="24" t="s">
        <v>45</v>
      </c>
      <c r="E55" s="34">
        <v>6659410.4084030753</v>
      </c>
      <c r="G55" s="39" t="s">
        <v>433</v>
      </c>
      <c r="H55" s="39">
        <f t="shared" si="1"/>
        <v>44</v>
      </c>
    </row>
    <row r="56" spans="1:9" x14ac:dyDescent="0.35">
      <c r="A56" s="39">
        <f t="shared" si="0"/>
        <v>45</v>
      </c>
      <c r="B56" s="24" t="s">
        <v>20</v>
      </c>
      <c r="E56" s="58">
        <v>0</v>
      </c>
      <c r="G56" s="39" t="s">
        <v>19</v>
      </c>
      <c r="H56" s="39">
        <f t="shared" si="1"/>
        <v>45</v>
      </c>
    </row>
    <row r="57" spans="1:9" x14ac:dyDescent="0.35">
      <c r="A57" s="39">
        <f t="shared" si="0"/>
        <v>46</v>
      </c>
      <c r="B57" s="24" t="s">
        <v>21</v>
      </c>
      <c r="E57" s="59">
        <v>47368.546650440985</v>
      </c>
      <c r="G57" s="60" t="s">
        <v>434</v>
      </c>
      <c r="H57" s="39">
        <f t="shared" si="1"/>
        <v>46</v>
      </c>
    </row>
    <row r="58" spans="1:9" x14ac:dyDescent="0.35">
      <c r="A58" s="39">
        <f t="shared" si="0"/>
        <v>47</v>
      </c>
      <c r="B58" s="24" t="s">
        <v>46</v>
      </c>
      <c r="E58" s="426">
        <v>117205.19981479381</v>
      </c>
      <c r="G58" s="60" t="s">
        <v>435</v>
      </c>
      <c r="H58" s="39">
        <f t="shared" si="1"/>
        <v>47</v>
      </c>
    </row>
    <row r="59" spans="1:9" ht="16" thickBot="1" x14ac:dyDescent="0.4">
      <c r="A59" s="39">
        <f t="shared" si="0"/>
        <v>48</v>
      </c>
      <c r="B59" s="24" t="s">
        <v>47</v>
      </c>
      <c r="E59" s="61">
        <f>SUM(E55:E58)</f>
        <v>6823984.1548683103</v>
      </c>
      <c r="G59" s="39" t="s">
        <v>681</v>
      </c>
      <c r="H59" s="39">
        <f t="shared" si="1"/>
        <v>48</v>
      </c>
      <c r="I59" s="46"/>
    </row>
    <row r="60" spans="1:9" ht="16" thickTop="1" x14ac:dyDescent="0.35">
      <c r="A60" s="39">
        <f t="shared" si="0"/>
        <v>49</v>
      </c>
      <c r="B60" s="55"/>
      <c r="E60" s="38"/>
      <c r="G60" s="39"/>
      <c r="H60" s="39">
        <f t="shared" si="1"/>
        <v>49</v>
      </c>
    </row>
    <row r="61" spans="1:9" x14ac:dyDescent="0.35">
      <c r="A61" s="39">
        <f t="shared" si="0"/>
        <v>50</v>
      </c>
      <c r="B61" s="24" t="s">
        <v>48</v>
      </c>
      <c r="E61" s="62">
        <f>E55</f>
        <v>6659410.4084030753</v>
      </c>
      <c r="G61" s="63" t="s">
        <v>682</v>
      </c>
      <c r="H61" s="39">
        <f t="shared" si="1"/>
        <v>50</v>
      </c>
    </row>
    <row r="62" spans="1:9" x14ac:dyDescent="0.35">
      <c r="A62" s="39">
        <f t="shared" si="0"/>
        <v>51</v>
      </c>
      <c r="B62" s="24" t="s">
        <v>49</v>
      </c>
      <c r="E62" s="35">
        <v>557045.05025384598</v>
      </c>
      <c r="G62" s="60" t="s">
        <v>436</v>
      </c>
      <c r="H62" s="39">
        <f t="shared" si="1"/>
        <v>51</v>
      </c>
    </row>
    <row r="63" spans="1:9" x14ac:dyDescent="0.35">
      <c r="A63" s="39">
        <f t="shared" si="0"/>
        <v>52</v>
      </c>
      <c r="B63" s="24" t="s">
        <v>50</v>
      </c>
      <c r="E63" s="58">
        <v>0</v>
      </c>
      <c r="G63" s="39" t="s">
        <v>19</v>
      </c>
      <c r="H63" s="39">
        <f t="shared" si="1"/>
        <v>52</v>
      </c>
    </row>
    <row r="64" spans="1:9" x14ac:dyDescent="0.35">
      <c r="A64" s="39">
        <f t="shared" si="0"/>
        <v>53</v>
      </c>
      <c r="B64" s="24" t="s">
        <v>51</v>
      </c>
      <c r="E64" s="35">
        <v>529465.61728230771</v>
      </c>
      <c r="G64" s="60" t="s">
        <v>437</v>
      </c>
      <c r="H64" s="39">
        <f t="shared" si="1"/>
        <v>53</v>
      </c>
    </row>
    <row r="65" spans="1:9" x14ac:dyDescent="0.35">
      <c r="A65" s="39">
        <f t="shared" si="0"/>
        <v>54</v>
      </c>
      <c r="B65" s="24" t="s">
        <v>52</v>
      </c>
      <c r="E65" s="35">
        <v>7761348.9741599998</v>
      </c>
      <c r="G65" s="60" t="s">
        <v>438</v>
      </c>
      <c r="H65" s="39">
        <f t="shared" si="1"/>
        <v>54</v>
      </c>
    </row>
    <row r="66" spans="1:9" x14ac:dyDescent="0.35">
      <c r="A66" s="39">
        <f t="shared" si="0"/>
        <v>55</v>
      </c>
      <c r="B66" s="46" t="s">
        <v>20</v>
      </c>
      <c r="E66" s="58">
        <v>0</v>
      </c>
      <c r="G66" s="39" t="s">
        <v>19</v>
      </c>
      <c r="H66" s="39">
        <f t="shared" si="1"/>
        <v>55</v>
      </c>
    </row>
    <row r="67" spans="1:9" x14ac:dyDescent="0.35">
      <c r="A67" s="39">
        <f t="shared" si="0"/>
        <v>56</v>
      </c>
      <c r="B67" s="24" t="s">
        <v>53</v>
      </c>
      <c r="E67" s="35">
        <v>460426.36935999995</v>
      </c>
      <c r="G67" s="60" t="s">
        <v>439</v>
      </c>
      <c r="H67" s="39">
        <f t="shared" si="1"/>
        <v>56</v>
      </c>
    </row>
    <row r="68" spans="1:9" x14ac:dyDescent="0.35">
      <c r="A68" s="39">
        <f t="shared" si="0"/>
        <v>57</v>
      </c>
      <c r="B68" s="24" t="s">
        <v>54</v>
      </c>
      <c r="E68" s="427">
        <v>1139244.6768331758</v>
      </c>
      <c r="G68" s="60" t="s">
        <v>440</v>
      </c>
      <c r="H68" s="39">
        <f t="shared" si="1"/>
        <v>57</v>
      </c>
    </row>
    <row r="69" spans="1:9" ht="16" thickBot="1" x14ac:dyDescent="0.4">
      <c r="A69" s="39">
        <f t="shared" si="0"/>
        <v>58</v>
      </c>
      <c r="B69" s="24" t="s">
        <v>55</v>
      </c>
      <c r="E69" s="64">
        <f>SUM(E61:E68)</f>
        <v>17106941.096292403</v>
      </c>
      <c r="G69" s="39" t="s">
        <v>683</v>
      </c>
      <c r="H69" s="39">
        <f t="shared" si="1"/>
        <v>58</v>
      </c>
      <c r="I69" s="46"/>
    </row>
    <row r="70" spans="1:9" ht="16" thickTop="1" x14ac:dyDescent="0.35">
      <c r="A70" s="39">
        <f t="shared" si="0"/>
        <v>59</v>
      </c>
      <c r="E70" s="65"/>
      <c r="G70" s="39"/>
      <c r="H70" s="39">
        <f t="shared" si="1"/>
        <v>59</v>
      </c>
    </row>
    <row r="71" spans="1:9" ht="19" thickBot="1" x14ac:dyDescent="0.4">
      <c r="A71" s="39">
        <f t="shared" si="0"/>
        <v>60</v>
      </c>
      <c r="B71" s="24" t="s">
        <v>324</v>
      </c>
      <c r="E71" s="66">
        <f>E59/E69</f>
        <v>0.39890148194566921</v>
      </c>
      <c r="G71" s="39" t="s">
        <v>684</v>
      </c>
      <c r="H71" s="39">
        <f t="shared" si="1"/>
        <v>60</v>
      </c>
      <c r="I71" s="46"/>
    </row>
    <row r="72" spans="1:9" ht="16" thickTop="1" x14ac:dyDescent="0.35">
      <c r="B72" s="46" t="s">
        <v>11</v>
      </c>
      <c r="E72" s="67"/>
      <c r="G72" s="39"/>
      <c r="H72" s="39"/>
    </row>
    <row r="73" spans="1:9" x14ac:dyDescent="0.35">
      <c r="B73" s="46"/>
      <c r="E73" s="67"/>
      <c r="G73" s="39"/>
      <c r="H73" s="39"/>
    </row>
    <row r="74" spans="1:9" x14ac:dyDescent="0.35">
      <c r="A74" s="25" t="s">
        <v>16</v>
      </c>
      <c r="B74" s="22" t="s">
        <v>685</v>
      </c>
      <c r="E74" s="67"/>
      <c r="F74" s="67"/>
      <c r="G74" s="39"/>
      <c r="H74" s="39"/>
    </row>
    <row r="75" spans="1:9" x14ac:dyDescent="0.35">
      <c r="A75" s="25"/>
      <c r="B75" s="22" t="s">
        <v>686</v>
      </c>
      <c r="E75" s="67"/>
      <c r="F75" s="67"/>
      <c r="G75" s="39"/>
      <c r="H75" s="39"/>
    </row>
    <row r="76" spans="1:9" ht="18" x14ac:dyDescent="0.35">
      <c r="A76" s="69">
        <v>1</v>
      </c>
      <c r="B76" s="24" t="s">
        <v>473</v>
      </c>
      <c r="H76" s="39"/>
    </row>
    <row r="77" spans="1:9" x14ac:dyDescent="0.35">
      <c r="B77" s="46"/>
      <c r="E77" s="65"/>
      <c r="F77" s="65"/>
      <c r="G77" s="39"/>
      <c r="H77" s="39"/>
    </row>
  </sheetData>
  <mergeCells count="5">
    <mergeCell ref="B4:G4"/>
    <mergeCell ref="B5:G5"/>
    <mergeCell ref="B6:G6"/>
    <mergeCell ref="B7:G7"/>
    <mergeCell ref="B3:G3"/>
  </mergeCells>
  <printOptions horizontalCentered="1"/>
  <pageMargins left="0.25" right="0.25" top="0.5" bottom="0.5" header="0.35" footer="0.25"/>
  <pageSetup scale="54" orientation="portrait" r:id="rId1"/>
  <headerFooter scaleWithDoc="0" alignWithMargins="0">
    <oddHeader>&amp;C&amp;"Times New Roman,Bold"&amp;6AS FILED STMT AH WITH COST ADJ IN OCT FILING INCL IN APPENDIX XII CYCLE 6 (ER24-175)</oddHeader>
    <oddFooter>&amp;L&amp;F&amp;CPage 8.1&amp;R&amp;A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1563-3368-4082-B0E9-95EFFA3F64F9}">
  <sheetPr>
    <pageSetUpPr fitToPage="1"/>
  </sheetPr>
  <dimension ref="A1:J78"/>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A1" s="614" t="s">
        <v>664</v>
      </c>
      <c r="G1" s="41"/>
      <c r="H1" s="39"/>
    </row>
    <row r="2" spans="1:8" x14ac:dyDescent="0.35">
      <c r="A2" s="614"/>
      <c r="G2" s="41"/>
      <c r="H2" s="39"/>
    </row>
    <row r="3" spans="1:8" x14ac:dyDescent="0.35">
      <c r="B3" s="782" t="s">
        <v>24</v>
      </c>
      <c r="C3" s="782"/>
      <c r="D3" s="782"/>
      <c r="E3" s="782"/>
      <c r="F3" s="782"/>
      <c r="G3" s="782"/>
      <c r="H3" s="39"/>
    </row>
    <row r="4" spans="1:8" x14ac:dyDescent="0.35">
      <c r="B4" s="782" t="s">
        <v>25</v>
      </c>
      <c r="C4" s="782"/>
      <c r="D4" s="782"/>
      <c r="E4" s="782"/>
      <c r="F4" s="782"/>
      <c r="G4" s="782"/>
      <c r="H4" s="39"/>
    </row>
    <row r="5" spans="1:8" x14ac:dyDescent="0.35">
      <c r="B5" s="782" t="s">
        <v>26</v>
      </c>
      <c r="C5" s="782"/>
      <c r="D5" s="782"/>
      <c r="E5" s="782"/>
      <c r="F5" s="782"/>
      <c r="G5" s="782"/>
      <c r="H5" s="39"/>
    </row>
    <row r="6" spans="1:8" x14ac:dyDescent="0.35">
      <c r="B6" s="785" t="s">
        <v>512</v>
      </c>
      <c r="C6" s="785"/>
      <c r="D6" s="785"/>
      <c r="E6" s="785"/>
      <c r="F6" s="785"/>
      <c r="G6" s="785"/>
      <c r="H6" s="39"/>
    </row>
    <row r="7" spans="1:8" x14ac:dyDescent="0.35">
      <c r="B7" s="784" t="s">
        <v>1</v>
      </c>
      <c r="C7" s="786"/>
      <c r="D7" s="786"/>
      <c r="E7" s="786"/>
      <c r="F7" s="786"/>
      <c r="G7" s="786"/>
      <c r="H7" s="39"/>
    </row>
    <row r="8" spans="1:8" x14ac:dyDescent="0.35">
      <c r="B8" s="39"/>
      <c r="C8" s="39"/>
      <c r="D8" s="39"/>
      <c r="E8" s="42"/>
      <c r="F8" s="42"/>
      <c r="G8" s="39"/>
      <c r="H8" s="39"/>
    </row>
    <row r="9" spans="1:8" x14ac:dyDescent="0.35">
      <c r="A9" s="39" t="s">
        <v>2</v>
      </c>
      <c r="B9" s="495"/>
      <c r="C9" s="39" t="s">
        <v>27</v>
      </c>
      <c r="D9" s="495"/>
      <c r="E9" s="43"/>
      <c r="F9" s="43"/>
      <c r="G9" s="39"/>
      <c r="H9" s="39" t="s">
        <v>2</v>
      </c>
    </row>
    <row r="10" spans="1:8" x14ac:dyDescent="0.35">
      <c r="A10" s="39" t="s">
        <v>6</v>
      </c>
      <c r="C10" s="416" t="s">
        <v>28</v>
      </c>
      <c r="D10" s="495"/>
      <c r="E10" s="417" t="s">
        <v>4</v>
      </c>
      <c r="F10" s="43"/>
      <c r="G10" s="416" t="s">
        <v>5</v>
      </c>
      <c r="H10" s="39" t="s">
        <v>6</v>
      </c>
    </row>
    <row r="11" spans="1:8" x14ac:dyDescent="0.35">
      <c r="C11" s="495"/>
      <c r="D11" s="495"/>
      <c r="E11" s="43"/>
      <c r="F11" s="43"/>
      <c r="G11" s="39"/>
      <c r="H11" s="39"/>
    </row>
    <row r="12" spans="1:8" x14ac:dyDescent="0.35">
      <c r="A12" s="39">
        <v>1</v>
      </c>
      <c r="B12" s="418" t="s">
        <v>301</v>
      </c>
      <c r="C12" s="495"/>
      <c r="D12" s="495"/>
      <c r="E12" s="43"/>
      <c r="F12" s="43"/>
      <c r="G12" s="39"/>
      <c r="H12" s="39">
        <f>A12</f>
        <v>1</v>
      </c>
    </row>
    <row r="13" spans="1:8" x14ac:dyDescent="0.35">
      <c r="A13" s="39">
        <f>+A12+1</f>
        <v>2</v>
      </c>
      <c r="B13" s="302" t="s">
        <v>302</v>
      </c>
      <c r="C13" s="495"/>
      <c r="D13" s="495"/>
      <c r="E13" s="45">
        <v>0</v>
      </c>
      <c r="F13" s="43"/>
      <c r="G13" s="39" t="s">
        <v>421</v>
      </c>
      <c r="H13" s="39">
        <f>H12+1</f>
        <v>2</v>
      </c>
    </row>
    <row r="14" spans="1:8" x14ac:dyDescent="0.35">
      <c r="A14" s="39">
        <f t="shared" ref="A14:A72" si="0">+A13+1</f>
        <v>3</v>
      </c>
      <c r="C14" s="495"/>
      <c r="D14" s="495"/>
      <c r="E14" s="43"/>
      <c r="F14" s="43"/>
      <c r="G14" s="39"/>
      <c r="H14" s="39">
        <f t="shared" ref="H14:H72" si="1">H13+1</f>
        <v>3</v>
      </c>
    </row>
    <row r="15" spans="1:8" x14ac:dyDescent="0.35">
      <c r="A15" s="39">
        <f t="shared" si="0"/>
        <v>4</v>
      </c>
      <c r="B15" s="418" t="s">
        <v>303</v>
      </c>
      <c r="G15" s="39"/>
      <c r="H15" s="39">
        <f t="shared" si="1"/>
        <v>4</v>
      </c>
    </row>
    <row r="16" spans="1:8" x14ac:dyDescent="0.35">
      <c r="A16" s="39">
        <f t="shared" si="0"/>
        <v>5</v>
      </c>
      <c r="B16" s="18" t="s">
        <v>304</v>
      </c>
      <c r="C16" s="39"/>
      <c r="E16" s="45">
        <v>99948.700800000006</v>
      </c>
      <c r="G16" s="39" t="s">
        <v>422</v>
      </c>
      <c r="H16" s="39">
        <f t="shared" si="1"/>
        <v>5</v>
      </c>
    </row>
    <row r="17" spans="1:8" x14ac:dyDescent="0.35">
      <c r="A17" s="39">
        <f t="shared" si="0"/>
        <v>6</v>
      </c>
      <c r="B17" s="24" t="s">
        <v>29</v>
      </c>
      <c r="E17" s="47"/>
      <c r="G17" s="39"/>
      <c r="H17" s="39">
        <f t="shared" si="1"/>
        <v>6</v>
      </c>
    </row>
    <row r="18" spans="1:8" x14ac:dyDescent="0.35">
      <c r="A18" s="39">
        <f t="shared" si="0"/>
        <v>7</v>
      </c>
      <c r="B18" s="18" t="s">
        <v>305</v>
      </c>
      <c r="C18" s="39"/>
      <c r="E18" s="48">
        <v>-5200.3239999999996</v>
      </c>
      <c r="G18" s="39" t="s">
        <v>423</v>
      </c>
      <c r="H18" s="39">
        <f t="shared" si="1"/>
        <v>7</v>
      </c>
    </row>
    <row r="19" spans="1:8" x14ac:dyDescent="0.35">
      <c r="A19" s="39">
        <f t="shared" si="0"/>
        <v>8</v>
      </c>
      <c r="B19" s="18" t="s">
        <v>306</v>
      </c>
      <c r="E19" s="48">
        <v>-2469.29151</v>
      </c>
      <c r="G19" s="39" t="s">
        <v>424</v>
      </c>
      <c r="H19" s="39">
        <f t="shared" si="1"/>
        <v>8</v>
      </c>
    </row>
    <row r="20" spans="1:8" x14ac:dyDescent="0.35">
      <c r="A20" s="39">
        <f t="shared" si="0"/>
        <v>9</v>
      </c>
      <c r="B20" s="302" t="s">
        <v>307</v>
      </c>
      <c r="E20" s="48">
        <v>-6458.357</v>
      </c>
      <c r="G20" s="39" t="s">
        <v>425</v>
      </c>
      <c r="H20" s="39">
        <f t="shared" si="1"/>
        <v>9</v>
      </c>
    </row>
    <row r="21" spans="1:8" x14ac:dyDescent="0.35">
      <c r="A21" s="39">
        <f t="shared" si="0"/>
        <v>10</v>
      </c>
      <c r="B21" s="302" t="s">
        <v>308</v>
      </c>
      <c r="E21" s="48">
        <v>-9764.84</v>
      </c>
      <c r="G21" s="39" t="s">
        <v>426</v>
      </c>
      <c r="H21" s="39">
        <f t="shared" si="1"/>
        <v>10</v>
      </c>
    </row>
    <row r="22" spans="1:8" x14ac:dyDescent="0.35">
      <c r="A22" s="39">
        <f t="shared" si="0"/>
        <v>11</v>
      </c>
      <c r="B22" s="18" t="s">
        <v>309</v>
      </c>
      <c r="E22" s="48">
        <v>0</v>
      </c>
      <c r="G22" s="39" t="s">
        <v>427</v>
      </c>
      <c r="H22" s="39">
        <f t="shared" si="1"/>
        <v>11</v>
      </c>
    </row>
    <row r="23" spans="1:8" x14ac:dyDescent="0.35">
      <c r="A23" s="39">
        <f t="shared" si="0"/>
        <v>12</v>
      </c>
      <c r="B23" s="18" t="s">
        <v>310</v>
      </c>
      <c r="E23" s="48">
        <v>-325.87329000000057</v>
      </c>
      <c r="G23" s="39" t="s">
        <v>428</v>
      </c>
      <c r="H23" s="39">
        <f t="shared" si="1"/>
        <v>12</v>
      </c>
    </row>
    <row r="24" spans="1:8" x14ac:dyDescent="0.35">
      <c r="A24" s="39">
        <f t="shared" si="0"/>
        <v>13</v>
      </c>
      <c r="B24" s="302" t="s">
        <v>311</v>
      </c>
      <c r="E24" s="48">
        <v>-15716.966</v>
      </c>
      <c r="G24" s="39" t="s">
        <v>429</v>
      </c>
      <c r="H24" s="39">
        <f t="shared" si="1"/>
        <v>13</v>
      </c>
    </row>
    <row r="25" spans="1:8" x14ac:dyDescent="0.35">
      <c r="A25" s="39">
        <f t="shared" si="0"/>
        <v>14</v>
      </c>
      <c r="B25" s="302" t="s">
        <v>312</v>
      </c>
      <c r="E25" s="48">
        <v>-26863.351999999999</v>
      </c>
      <c r="G25" s="39" t="s">
        <v>430</v>
      </c>
      <c r="H25" s="39">
        <f t="shared" si="1"/>
        <v>14</v>
      </c>
    </row>
    <row r="26" spans="1:8" x14ac:dyDescent="0.35">
      <c r="A26" s="39">
        <f t="shared" si="0"/>
        <v>15</v>
      </c>
      <c r="B26" s="302" t="s">
        <v>313</v>
      </c>
      <c r="E26" s="48">
        <v>-1113.175</v>
      </c>
      <c r="G26" s="39" t="s">
        <v>431</v>
      </c>
      <c r="H26" s="39">
        <f t="shared" si="1"/>
        <v>15</v>
      </c>
    </row>
    <row r="27" spans="1:8" x14ac:dyDescent="0.35">
      <c r="A27" s="39">
        <f t="shared" si="0"/>
        <v>16</v>
      </c>
      <c r="B27" s="18" t="s">
        <v>314</v>
      </c>
      <c r="E27" s="49">
        <v>1614.6884600000001</v>
      </c>
      <c r="G27" s="39" t="s">
        <v>315</v>
      </c>
      <c r="H27" s="39">
        <f t="shared" si="1"/>
        <v>16</v>
      </c>
    </row>
    <row r="28" spans="1:8" x14ac:dyDescent="0.35">
      <c r="A28" s="39">
        <f t="shared" si="0"/>
        <v>17</v>
      </c>
      <c r="B28" s="18" t="s">
        <v>317</v>
      </c>
      <c r="E28" s="161">
        <f>SUM(E16:E27)</f>
        <v>33651.210460000017</v>
      </c>
      <c r="F28" s="25"/>
      <c r="G28" s="33" t="s">
        <v>608</v>
      </c>
      <c r="H28" s="39">
        <f t="shared" si="1"/>
        <v>17</v>
      </c>
    </row>
    <row r="29" spans="1:8" x14ac:dyDescent="0.35">
      <c r="A29" s="39">
        <f t="shared" si="0"/>
        <v>18</v>
      </c>
      <c r="E29" s="38"/>
      <c r="H29" s="39">
        <f t="shared" si="1"/>
        <v>18</v>
      </c>
    </row>
    <row r="30" spans="1:8" x14ac:dyDescent="0.35">
      <c r="A30" s="39">
        <f t="shared" si="0"/>
        <v>19</v>
      </c>
      <c r="B30" s="419" t="s">
        <v>318</v>
      </c>
      <c r="E30" s="50"/>
      <c r="G30" s="39"/>
      <c r="H30" s="39">
        <f t="shared" si="1"/>
        <v>19</v>
      </c>
    </row>
    <row r="31" spans="1:8" x14ac:dyDescent="0.35">
      <c r="A31" s="39">
        <f t="shared" si="0"/>
        <v>20</v>
      </c>
      <c r="B31" s="24" t="s">
        <v>319</v>
      </c>
      <c r="C31" s="39"/>
      <c r="E31" s="45">
        <v>595154.03483999986</v>
      </c>
      <c r="G31" s="39" t="s">
        <v>546</v>
      </c>
      <c r="H31" s="39">
        <f t="shared" si="1"/>
        <v>20</v>
      </c>
    </row>
    <row r="32" spans="1:8" x14ac:dyDescent="0.35">
      <c r="A32" s="39">
        <f t="shared" si="0"/>
        <v>21</v>
      </c>
      <c r="B32" s="24" t="s">
        <v>30</v>
      </c>
      <c r="E32" s="50" t="s">
        <v>11</v>
      </c>
      <c r="G32" s="39"/>
      <c r="H32" s="39">
        <f t="shared" si="1"/>
        <v>21</v>
      </c>
    </row>
    <row r="33" spans="1:10" x14ac:dyDescent="0.35">
      <c r="A33" s="39">
        <f t="shared" si="0"/>
        <v>22</v>
      </c>
      <c r="B33" s="46" t="s">
        <v>31</v>
      </c>
      <c r="E33" s="48">
        <v>-2360.7200000000003</v>
      </c>
      <c r="G33" s="39" t="s">
        <v>561</v>
      </c>
      <c r="H33" s="39">
        <f t="shared" si="1"/>
        <v>22</v>
      </c>
      <c r="I33" s="420"/>
      <c r="J33" s="52"/>
    </row>
    <row r="34" spans="1:10" ht="31" x14ac:dyDescent="0.35">
      <c r="A34" s="39">
        <f t="shared" si="0"/>
        <v>23</v>
      </c>
      <c r="B34" s="46" t="s">
        <v>32</v>
      </c>
      <c r="E34" s="48">
        <v>555.40800074000003</v>
      </c>
      <c r="G34" s="51" t="s">
        <v>562</v>
      </c>
      <c r="H34" s="39">
        <f t="shared" si="1"/>
        <v>23</v>
      </c>
      <c r="I34" s="420"/>
      <c r="J34" s="52"/>
    </row>
    <row r="35" spans="1:10" x14ac:dyDescent="0.35">
      <c r="A35" s="39">
        <f t="shared" si="0"/>
        <v>24</v>
      </c>
      <c r="B35" s="46" t="s">
        <v>121</v>
      </c>
      <c r="E35" s="48">
        <v>0</v>
      </c>
      <c r="G35" s="39" t="s">
        <v>563</v>
      </c>
      <c r="H35" s="39">
        <f t="shared" si="1"/>
        <v>24</v>
      </c>
    </row>
    <row r="36" spans="1:10" x14ac:dyDescent="0.35">
      <c r="A36" s="39">
        <f t="shared" si="0"/>
        <v>25</v>
      </c>
      <c r="B36" s="46" t="s">
        <v>33</v>
      </c>
      <c r="E36" s="48">
        <v>-2085.1866</v>
      </c>
      <c r="G36" s="39" t="s">
        <v>564</v>
      </c>
      <c r="H36" s="39">
        <f t="shared" si="1"/>
        <v>25</v>
      </c>
      <c r="J36" s="52"/>
    </row>
    <row r="37" spans="1:10" x14ac:dyDescent="0.35">
      <c r="A37" s="39">
        <f t="shared" si="0"/>
        <v>26</v>
      </c>
      <c r="B37" s="46" t="s">
        <v>34</v>
      </c>
      <c r="E37" s="48">
        <v>-13015.817289999999</v>
      </c>
      <c r="G37" s="39" t="s">
        <v>565</v>
      </c>
      <c r="H37" s="39">
        <f t="shared" si="1"/>
        <v>26</v>
      </c>
      <c r="J37" s="52"/>
    </row>
    <row r="38" spans="1:10" x14ac:dyDescent="0.35">
      <c r="A38" s="39">
        <f t="shared" si="0"/>
        <v>27</v>
      </c>
      <c r="B38" s="46" t="s">
        <v>35</v>
      </c>
      <c r="E38" s="48">
        <v>0</v>
      </c>
      <c r="G38" s="598" t="s">
        <v>510</v>
      </c>
      <c r="H38" s="39">
        <f t="shared" si="1"/>
        <v>27</v>
      </c>
      <c r="J38" s="52"/>
    </row>
    <row r="39" spans="1:10" x14ac:dyDescent="0.35">
      <c r="A39" s="39">
        <f t="shared" si="0"/>
        <v>28</v>
      </c>
      <c r="B39" s="46" t="s">
        <v>36</v>
      </c>
      <c r="E39" s="48">
        <v>204.155</v>
      </c>
      <c r="F39" s="25"/>
      <c r="G39" s="51" t="s">
        <v>566</v>
      </c>
      <c r="H39" s="39">
        <f t="shared" si="1"/>
        <v>28</v>
      </c>
      <c r="I39" s="420"/>
    </row>
    <row r="40" spans="1:10" x14ac:dyDescent="0.35">
      <c r="A40" s="39">
        <f t="shared" si="0"/>
        <v>29</v>
      </c>
      <c r="B40" s="46" t="s">
        <v>37</v>
      </c>
      <c r="E40" s="48">
        <v>-130506.76528000001</v>
      </c>
      <c r="G40" s="39" t="s">
        <v>572</v>
      </c>
      <c r="H40" s="39">
        <f t="shared" si="1"/>
        <v>29</v>
      </c>
      <c r="I40" s="420"/>
      <c r="J40" s="52"/>
    </row>
    <row r="41" spans="1:10" x14ac:dyDescent="0.35">
      <c r="A41" s="39">
        <f t="shared" si="0"/>
        <v>30</v>
      </c>
      <c r="B41" s="46" t="s">
        <v>38</v>
      </c>
      <c r="E41" s="48">
        <v>-12.147468914000001</v>
      </c>
      <c r="G41" s="51" t="s">
        <v>571</v>
      </c>
      <c r="H41" s="39">
        <f t="shared" si="1"/>
        <v>30</v>
      </c>
    </row>
    <row r="42" spans="1:10" x14ac:dyDescent="0.35">
      <c r="A42" s="39">
        <f t="shared" si="0"/>
        <v>31</v>
      </c>
      <c r="B42" s="46" t="s">
        <v>39</v>
      </c>
      <c r="E42" s="48">
        <v>-40.544630000000005</v>
      </c>
      <c r="G42" s="51" t="s">
        <v>567</v>
      </c>
      <c r="H42" s="39">
        <f t="shared" si="1"/>
        <v>31</v>
      </c>
    </row>
    <row r="43" spans="1:10" ht="46.5" x14ac:dyDescent="0.35">
      <c r="A43" s="39">
        <f t="shared" si="0"/>
        <v>32</v>
      </c>
      <c r="B43" s="46" t="s">
        <v>40</v>
      </c>
      <c r="E43" s="48">
        <v>-24673.96447250203</v>
      </c>
      <c r="G43" s="51" t="s">
        <v>568</v>
      </c>
      <c r="H43" s="39">
        <f t="shared" si="1"/>
        <v>32</v>
      </c>
    </row>
    <row r="44" spans="1:10" x14ac:dyDescent="0.35">
      <c r="A44" s="39">
        <f t="shared" si="0"/>
        <v>33</v>
      </c>
      <c r="B44" s="40" t="s">
        <v>552</v>
      </c>
      <c r="E44" s="48">
        <v>-90.331999999999994</v>
      </c>
      <c r="F44" s="25"/>
      <c r="G44" s="39" t="s">
        <v>569</v>
      </c>
      <c r="H44" s="39">
        <f t="shared" si="1"/>
        <v>33</v>
      </c>
      <c r="I44" s="52"/>
    </row>
    <row r="45" spans="1:10" x14ac:dyDescent="0.35">
      <c r="A45" s="39">
        <f t="shared" si="0"/>
        <v>34</v>
      </c>
      <c r="B45" s="40" t="s">
        <v>609</v>
      </c>
      <c r="E45" s="48">
        <v>18468.096120000002</v>
      </c>
      <c r="G45" s="39" t="s">
        <v>570</v>
      </c>
      <c r="H45" s="39">
        <f t="shared" si="1"/>
        <v>34</v>
      </c>
      <c r="I45" s="52"/>
    </row>
    <row r="46" spans="1:10" x14ac:dyDescent="0.35">
      <c r="A46" s="39">
        <f t="shared" si="0"/>
        <v>35</v>
      </c>
      <c r="B46" s="22" t="s">
        <v>610</v>
      </c>
      <c r="E46" s="421">
        <v>6110</v>
      </c>
      <c r="F46" s="25" t="s">
        <v>16</v>
      </c>
      <c r="G46" s="39" t="s">
        <v>611</v>
      </c>
      <c r="H46" s="39">
        <f t="shared" si="1"/>
        <v>35</v>
      </c>
      <c r="I46" s="52"/>
    </row>
    <row r="47" spans="1:10" x14ac:dyDescent="0.35">
      <c r="A47" s="39">
        <f t="shared" si="0"/>
        <v>36</v>
      </c>
      <c r="B47" s="24" t="s">
        <v>320</v>
      </c>
      <c r="E47" s="53">
        <f>SUM(E31:E46)</f>
        <v>447706.21621932386</v>
      </c>
      <c r="F47" s="25" t="s">
        <v>16</v>
      </c>
      <c r="G47" s="39" t="s">
        <v>586</v>
      </c>
      <c r="H47" s="39">
        <f t="shared" si="1"/>
        <v>36</v>
      </c>
    </row>
    <row r="48" spans="1:10" x14ac:dyDescent="0.35">
      <c r="A48" s="39">
        <f t="shared" si="0"/>
        <v>37</v>
      </c>
      <c r="B48" s="24" t="s">
        <v>41</v>
      </c>
      <c r="E48" s="422">
        <v>-8310.402</v>
      </c>
      <c r="G48" s="39" t="s">
        <v>573</v>
      </c>
      <c r="H48" s="39">
        <f t="shared" si="1"/>
        <v>37</v>
      </c>
    </row>
    <row r="49" spans="1:9" x14ac:dyDescent="0.35">
      <c r="A49" s="39">
        <f t="shared" si="0"/>
        <v>38</v>
      </c>
      <c r="B49" s="24" t="s">
        <v>321</v>
      </c>
      <c r="E49" s="53">
        <f>SUM(E47:E48)</f>
        <v>439395.81421932386</v>
      </c>
      <c r="F49" s="25" t="s">
        <v>16</v>
      </c>
      <c r="G49" s="39" t="s">
        <v>587</v>
      </c>
      <c r="H49" s="39">
        <f t="shared" si="1"/>
        <v>38</v>
      </c>
    </row>
    <row r="50" spans="1:9" x14ac:dyDescent="0.35">
      <c r="A50" s="39">
        <f t="shared" si="0"/>
        <v>39</v>
      </c>
      <c r="B50" s="18" t="s">
        <v>42</v>
      </c>
      <c r="E50" s="423">
        <v>0.10287974321775711</v>
      </c>
      <c r="G50" s="33" t="s">
        <v>432</v>
      </c>
      <c r="H50" s="39">
        <f t="shared" si="1"/>
        <v>39</v>
      </c>
    </row>
    <row r="51" spans="1:9" x14ac:dyDescent="0.35">
      <c r="A51" s="39">
        <f t="shared" si="0"/>
        <v>40</v>
      </c>
      <c r="B51" s="24" t="s">
        <v>322</v>
      </c>
      <c r="E51" s="54">
        <f>E49*E50</f>
        <v>45204.928537841348</v>
      </c>
      <c r="F51" s="25" t="s">
        <v>16</v>
      </c>
      <c r="G51" s="39" t="s">
        <v>588</v>
      </c>
      <c r="H51" s="39">
        <f t="shared" si="1"/>
        <v>40</v>
      </c>
    </row>
    <row r="52" spans="1:9" x14ac:dyDescent="0.35">
      <c r="A52" s="39">
        <f t="shared" si="0"/>
        <v>41</v>
      </c>
      <c r="B52" s="40" t="s">
        <v>43</v>
      </c>
      <c r="E52" s="424">
        <f>E72*(-E48)</f>
        <v>3314.1720474960866</v>
      </c>
      <c r="G52" s="39" t="s">
        <v>593</v>
      </c>
      <c r="H52" s="39">
        <f t="shared" si="1"/>
        <v>41</v>
      </c>
    </row>
    <row r="53" spans="1:9" ht="16" thickBot="1" x14ac:dyDescent="0.4">
      <c r="A53" s="39">
        <f t="shared" si="0"/>
        <v>42</v>
      </c>
      <c r="B53" s="46" t="s">
        <v>323</v>
      </c>
      <c r="E53" s="425">
        <f>E52+E51</f>
        <v>48519.100585337437</v>
      </c>
      <c r="F53" s="25" t="s">
        <v>16</v>
      </c>
      <c r="G53" s="39" t="s">
        <v>594</v>
      </c>
      <c r="H53" s="39">
        <f t="shared" si="1"/>
        <v>42</v>
      </c>
      <c r="I53" s="46"/>
    </row>
    <row r="54" spans="1:9" ht="16" thickTop="1" x14ac:dyDescent="0.35">
      <c r="A54" s="39">
        <f t="shared" si="0"/>
        <v>43</v>
      </c>
      <c r="B54" s="55"/>
      <c r="E54" s="56"/>
      <c r="G54" s="39"/>
      <c r="H54" s="39">
        <f t="shared" si="1"/>
        <v>43</v>
      </c>
    </row>
    <row r="55" spans="1:9" x14ac:dyDescent="0.35">
      <c r="A55" s="39">
        <f t="shared" si="0"/>
        <v>44</v>
      </c>
      <c r="B55" s="27" t="s">
        <v>44</v>
      </c>
      <c r="E55" s="57"/>
      <c r="G55" s="39"/>
      <c r="H55" s="39">
        <f t="shared" si="1"/>
        <v>44</v>
      </c>
    </row>
    <row r="56" spans="1:9" x14ac:dyDescent="0.35">
      <c r="A56" s="39">
        <f t="shared" si="0"/>
        <v>45</v>
      </c>
      <c r="B56" s="24" t="s">
        <v>45</v>
      </c>
      <c r="E56" s="192">
        <v>6655921.0157284606</v>
      </c>
      <c r="F56" s="25" t="s">
        <v>16</v>
      </c>
      <c r="G56" s="39" t="s">
        <v>612</v>
      </c>
      <c r="H56" s="39">
        <f t="shared" si="1"/>
        <v>45</v>
      </c>
    </row>
    <row r="57" spans="1:9" x14ac:dyDescent="0.35">
      <c r="A57" s="39">
        <f t="shared" si="0"/>
        <v>46</v>
      </c>
      <c r="B57" s="24" t="s">
        <v>20</v>
      </c>
      <c r="E57" s="698">
        <v>0</v>
      </c>
      <c r="G57" s="39" t="s">
        <v>19</v>
      </c>
      <c r="H57" s="39">
        <f t="shared" si="1"/>
        <v>46</v>
      </c>
    </row>
    <row r="58" spans="1:9" x14ac:dyDescent="0.35">
      <c r="A58" s="39">
        <f t="shared" si="0"/>
        <v>47</v>
      </c>
      <c r="B58" s="24" t="s">
        <v>21</v>
      </c>
      <c r="E58" s="699">
        <v>47346.684623217821</v>
      </c>
      <c r="F58" s="25" t="s">
        <v>16</v>
      </c>
      <c r="G58" s="60" t="s">
        <v>613</v>
      </c>
      <c r="H58" s="39">
        <f t="shared" si="1"/>
        <v>47</v>
      </c>
    </row>
    <row r="59" spans="1:9" x14ac:dyDescent="0.35">
      <c r="A59" s="39">
        <f t="shared" si="0"/>
        <v>48</v>
      </c>
      <c r="B59" s="24" t="s">
        <v>46</v>
      </c>
      <c r="E59" s="700">
        <v>117174.75292124566</v>
      </c>
      <c r="F59" s="25" t="s">
        <v>16</v>
      </c>
      <c r="G59" s="60" t="s">
        <v>614</v>
      </c>
      <c r="H59" s="39">
        <f t="shared" si="1"/>
        <v>48</v>
      </c>
    </row>
    <row r="60" spans="1:9" ht="16" thickBot="1" x14ac:dyDescent="0.4">
      <c r="A60" s="39">
        <f t="shared" si="0"/>
        <v>49</v>
      </c>
      <c r="B60" s="24" t="s">
        <v>47</v>
      </c>
      <c r="E60" s="701">
        <f>SUM(E56:E59)</f>
        <v>6820442.4532729248</v>
      </c>
      <c r="F60" s="25" t="s">
        <v>16</v>
      </c>
      <c r="G60" s="39" t="s">
        <v>589</v>
      </c>
      <c r="H60" s="39">
        <f t="shared" si="1"/>
        <v>49</v>
      </c>
      <c r="I60" s="46"/>
    </row>
    <row r="61" spans="1:9" ht="16" thickTop="1" x14ac:dyDescent="0.35">
      <c r="A61" s="39">
        <f t="shared" si="0"/>
        <v>50</v>
      </c>
      <c r="B61" s="55"/>
      <c r="E61" s="702"/>
      <c r="G61" s="39"/>
      <c r="H61" s="39">
        <f t="shared" si="1"/>
        <v>50</v>
      </c>
    </row>
    <row r="62" spans="1:9" x14ac:dyDescent="0.35">
      <c r="A62" s="39">
        <f t="shared" si="0"/>
        <v>51</v>
      </c>
      <c r="B62" s="24" t="s">
        <v>48</v>
      </c>
      <c r="E62" s="649">
        <f>E56</f>
        <v>6655921.0157284606</v>
      </c>
      <c r="F62" s="25" t="s">
        <v>16</v>
      </c>
      <c r="G62" s="63" t="s">
        <v>590</v>
      </c>
      <c r="H62" s="39">
        <f t="shared" si="1"/>
        <v>51</v>
      </c>
    </row>
    <row r="63" spans="1:9" x14ac:dyDescent="0.35">
      <c r="A63" s="39">
        <f t="shared" si="0"/>
        <v>52</v>
      </c>
      <c r="B63" s="24" t="s">
        <v>49</v>
      </c>
      <c r="E63" s="666">
        <v>557039.16857076914</v>
      </c>
      <c r="F63" s="25" t="s">
        <v>16</v>
      </c>
      <c r="G63" s="60" t="s">
        <v>615</v>
      </c>
      <c r="H63" s="39">
        <f t="shared" si="1"/>
        <v>52</v>
      </c>
    </row>
    <row r="64" spans="1:9" x14ac:dyDescent="0.35">
      <c r="A64" s="39">
        <f t="shared" si="0"/>
        <v>53</v>
      </c>
      <c r="B64" s="24" t="s">
        <v>50</v>
      </c>
      <c r="E64" s="698">
        <v>0</v>
      </c>
      <c r="G64" s="39" t="s">
        <v>19</v>
      </c>
      <c r="H64" s="39">
        <f t="shared" si="1"/>
        <v>53</v>
      </c>
    </row>
    <row r="65" spans="1:10" x14ac:dyDescent="0.35">
      <c r="A65" s="39">
        <f t="shared" si="0"/>
        <v>54</v>
      </c>
      <c r="B65" s="24" t="s">
        <v>51</v>
      </c>
      <c r="E65" s="666">
        <v>529382.05769538484</v>
      </c>
      <c r="F65" s="25" t="s">
        <v>16</v>
      </c>
      <c r="G65" s="60" t="s">
        <v>616</v>
      </c>
      <c r="H65" s="39">
        <f t="shared" si="1"/>
        <v>54</v>
      </c>
    </row>
    <row r="66" spans="1:10" x14ac:dyDescent="0.35">
      <c r="A66" s="39">
        <f t="shared" si="0"/>
        <v>55</v>
      </c>
      <c r="B66" s="24" t="s">
        <v>52</v>
      </c>
      <c r="E66" s="666">
        <v>7760992.4923949996</v>
      </c>
      <c r="F66" s="25" t="s">
        <v>16</v>
      </c>
      <c r="G66" s="60" t="s">
        <v>617</v>
      </c>
      <c r="H66" s="39">
        <f t="shared" si="1"/>
        <v>55</v>
      </c>
    </row>
    <row r="67" spans="1:10" x14ac:dyDescent="0.35">
      <c r="A67" s="39">
        <f t="shared" si="0"/>
        <v>56</v>
      </c>
      <c r="B67" s="46" t="s">
        <v>20</v>
      </c>
      <c r="E67" s="698">
        <v>0</v>
      </c>
      <c r="G67" s="39" t="s">
        <v>19</v>
      </c>
      <c r="H67" s="39">
        <f t="shared" si="1"/>
        <v>56</v>
      </c>
    </row>
    <row r="68" spans="1:10" x14ac:dyDescent="0.35">
      <c r="A68" s="39">
        <f t="shared" si="0"/>
        <v>57</v>
      </c>
      <c r="B68" s="24" t="s">
        <v>53</v>
      </c>
      <c r="E68" s="666">
        <v>460213.86856500001</v>
      </c>
      <c r="F68" s="25" t="s">
        <v>16</v>
      </c>
      <c r="G68" s="60" t="s">
        <v>618</v>
      </c>
      <c r="H68" s="39">
        <f t="shared" si="1"/>
        <v>57</v>
      </c>
    </row>
    <row r="69" spans="1:10" x14ac:dyDescent="0.35">
      <c r="A69" s="39">
        <f t="shared" si="0"/>
        <v>58</v>
      </c>
      <c r="B69" s="24" t="s">
        <v>54</v>
      </c>
      <c r="E69" s="703">
        <v>1138948.7303951709</v>
      </c>
      <c r="F69" s="25" t="s">
        <v>16</v>
      </c>
      <c r="G69" s="60" t="s">
        <v>619</v>
      </c>
      <c r="H69" s="39">
        <f t="shared" si="1"/>
        <v>58</v>
      </c>
    </row>
    <row r="70" spans="1:10" ht="16" thickBot="1" x14ac:dyDescent="0.4">
      <c r="A70" s="39">
        <f t="shared" si="0"/>
        <v>59</v>
      </c>
      <c r="B70" s="24" t="s">
        <v>55</v>
      </c>
      <c r="E70" s="704">
        <f>SUM(E62:E69)</f>
        <v>17102497.333349787</v>
      </c>
      <c r="F70" s="25" t="s">
        <v>16</v>
      </c>
      <c r="G70" s="39" t="s">
        <v>591</v>
      </c>
      <c r="H70" s="39">
        <f t="shared" si="1"/>
        <v>59</v>
      </c>
      <c r="I70" s="46"/>
      <c r="J70" s="676"/>
    </row>
    <row r="71" spans="1:10" ht="16" thickTop="1" x14ac:dyDescent="0.35">
      <c r="A71" s="39">
        <f t="shared" si="0"/>
        <v>60</v>
      </c>
      <c r="E71" s="705"/>
      <c r="G71" s="39"/>
      <c r="H71" s="39">
        <f t="shared" si="1"/>
        <v>60</v>
      </c>
    </row>
    <row r="72" spans="1:10" ht="19" thickBot="1" x14ac:dyDescent="0.4">
      <c r="A72" s="39">
        <f t="shared" si="0"/>
        <v>61</v>
      </c>
      <c r="B72" s="24" t="s">
        <v>324</v>
      </c>
      <c r="E72" s="706">
        <f>E60/E70</f>
        <v>0.39879804220013504</v>
      </c>
      <c r="F72" s="25" t="s">
        <v>16</v>
      </c>
      <c r="G72" s="39" t="s">
        <v>592</v>
      </c>
      <c r="H72" s="39">
        <f t="shared" si="1"/>
        <v>61</v>
      </c>
      <c r="I72" s="46"/>
    </row>
    <row r="73" spans="1:10" ht="16" thickTop="1" x14ac:dyDescent="0.35">
      <c r="B73" s="46" t="s">
        <v>11</v>
      </c>
      <c r="E73" s="67"/>
      <c r="G73" s="39"/>
      <c r="H73" s="39"/>
    </row>
    <row r="74" spans="1:10" x14ac:dyDescent="0.35">
      <c r="B74" s="46"/>
      <c r="E74" s="67"/>
      <c r="G74" s="39"/>
      <c r="H74" s="39"/>
    </row>
    <row r="75" spans="1:10" x14ac:dyDescent="0.35">
      <c r="A75" s="25" t="s">
        <v>16</v>
      </c>
      <c r="B75" s="22" t="s">
        <v>620</v>
      </c>
      <c r="E75" s="67"/>
      <c r="F75" s="67"/>
      <c r="G75" s="39"/>
      <c r="H75" s="39"/>
    </row>
    <row r="76" spans="1:10" x14ac:dyDescent="0.35">
      <c r="A76" s="25"/>
      <c r="B76" s="22" t="s">
        <v>621</v>
      </c>
      <c r="E76" s="67"/>
      <c r="F76" s="67"/>
      <c r="G76" s="39"/>
      <c r="H76" s="39"/>
    </row>
    <row r="77" spans="1:10" ht="18" x14ac:dyDescent="0.35">
      <c r="A77" s="69">
        <v>1</v>
      </c>
      <c r="B77" s="24" t="s">
        <v>473</v>
      </c>
      <c r="H77" s="39"/>
    </row>
    <row r="78" spans="1:10" x14ac:dyDescent="0.35">
      <c r="B78" s="46"/>
      <c r="E78" s="65"/>
      <c r="F78" s="65"/>
      <c r="G78" s="39"/>
      <c r="H78" s="39"/>
    </row>
  </sheetData>
  <mergeCells count="5">
    <mergeCell ref="B3:G3"/>
    <mergeCell ref="B4:G4"/>
    <mergeCell ref="B5:G5"/>
    <mergeCell ref="B6:G6"/>
    <mergeCell ref="B7:G7"/>
  </mergeCells>
  <printOptions horizontalCentered="1"/>
  <pageMargins left="0.25" right="0.25" top="0.5" bottom="0.5" header="0.35" footer="0.25"/>
  <pageSetup scale="54" orientation="portrait" r:id="rId1"/>
  <headerFooter scaleWithDoc="0" alignWithMargins="0">
    <oddHeader>&amp;C&amp;"Times New Roman,Bold"&amp;6AS FILED STMT AH WITH FERC AUDIT ADJ INCL IN APPENDIX XII CYCLE 6 (ER24-175)</oddHeader>
    <oddFooter>&amp;L&amp;F&amp;CPage 8.2&amp;R&amp;A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DE29-D3FA-43B3-AA39-BF9555090657}">
  <sheetPr>
    <pageSetUpPr fitToPage="1"/>
  </sheetPr>
  <dimension ref="A1:Y121"/>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5" width="11.453125" style="87" bestFit="1" customWidth="1"/>
    <col min="6" max="6" width="13.1796875" style="87" bestFit="1" customWidth="1"/>
    <col min="7" max="7" width="1.54296875" style="87" customWidth="1"/>
    <col min="8" max="8" width="15.453125" style="87" bestFit="1" customWidth="1"/>
    <col min="9" max="9" width="2.81640625" style="87" bestFit="1" customWidth="1"/>
    <col min="10" max="10" width="13.6328125" style="87" bestFit="1" customWidth="1"/>
    <col min="11" max="11" width="2.81640625" style="87" customWidth="1"/>
    <col min="12" max="12" width="11.90625" style="87" bestFit="1" customWidth="1"/>
    <col min="13" max="13" width="3.36328125" style="95" customWidth="1"/>
    <col min="14" max="14" width="13.453125" style="87" bestFit="1" customWidth="1"/>
    <col min="15" max="15" width="12.453125" style="87" bestFit="1" customWidth="1"/>
    <col min="16" max="16" width="2" style="87" bestFit="1" customWidth="1"/>
    <col min="17" max="17" width="16.54296875" style="87" bestFit="1" customWidth="1"/>
    <col min="18" max="18" width="15.453125" style="87" customWidth="1"/>
    <col min="19" max="19" width="2" style="87" bestFit="1" customWidth="1"/>
    <col min="20" max="20" width="12.453125" style="87" bestFit="1" customWidth="1"/>
    <col min="21" max="21" width="34.54296875" style="87" customWidth="1"/>
    <col min="22" max="22" width="5.1796875" style="86" customWidth="1"/>
    <col min="23" max="23" width="4" style="87" customWidth="1"/>
    <col min="24" max="24" width="13.1796875" style="87" bestFit="1" customWidth="1"/>
    <col min="25" max="25" width="9.1796875" style="87"/>
    <col min="26" max="26" width="9.81640625" style="87" customWidth="1"/>
    <col min="27" max="27" width="10" style="87" customWidth="1"/>
    <col min="28" max="16384" width="9.1796875" style="87"/>
  </cols>
  <sheetData>
    <row r="1" spans="1:25" x14ac:dyDescent="0.35">
      <c r="U1" s="41"/>
    </row>
    <row r="2" spans="1:25" x14ac:dyDescent="0.35">
      <c r="B2" s="787" t="s">
        <v>24</v>
      </c>
      <c r="C2" s="787"/>
      <c r="D2" s="787"/>
      <c r="E2" s="787"/>
      <c r="F2" s="787"/>
      <c r="G2" s="787"/>
      <c r="H2" s="787"/>
      <c r="I2" s="787"/>
      <c r="J2" s="787"/>
      <c r="K2" s="787"/>
      <c r="L2" s="787"/>
      <c r="M2" s="787"/>
      <c r="N2" s="787"/>
      <c r="O2" s="787"/>
      <c r="P2" s="787"/>
      <c r="Q2" s="787"/>
      <c r="R2" s="787"/>
      <c r="S2" s="787"/>
      <c r="T2" s="787"/>
      <c r="U2" s="787"/>
      <c r="V2" s="497"/>
    </row>
    <row r="3" spans="1:25" x14ac:dyDescent="0.35">
      <c r="B3" s="787" t="s">
        <v>68</v>
      </c>
      <c r="C3" s="787"/>
      <c r="D3" s="787"/>
      <c r="E3" s="787"/>
      <c r="F3" s="787"/>
      <c r="G3" s="787"/>
      <c r="H3" s="787"/>
      <c r="I3" s="787"/>
      <c r="J3" s="787"/>
      <c r="K3" s="787"/>
      <c r="L3" s="787"/>
      <c r="M3" s="787"/>
      <c r="N3" s="787"/>
      <c r="O3" s="787"/>
      <c r="P3" s="787"/>
      <c r="Q3" s="787"/>
      <c r="R3" s="787"/>
      <c r="S3" s="787"/>
      <c r="T3" s="787"/>
      <c r="U3" s="787"/>
      <c r="V3" s="497"/>
    </row>
    <row r="4" spans="1:25" x14ac:dyDescent="0.35">
      <c r="B4" s="787" t="s">
        <v>490</v>
      </c>
      <c r="C4" s="787"/>
      <c r="D4" s="787"/>
      <c r="E4" s="787"/>
      <c r="F4" s="787"/>
      <c r="G4" s="787"/>
      <c r="H4" s="787"/>
      <c r="I4" s="787"/>
      <c r="J4" s="787"/>
      <c r="K4" s="787"/>
      <c r="L4" s="787"/>
      <c r="M4" s="787"/>
      <c r="N4" s="787"/>
      <c r="O4" s="787"/>
      <c r="P4" s="787"/>
      <c r="Q4" s="787"/>
      <c r="R4" s="787"/>
      <c r="S4" s="787"/>
      <c r="T4" s="787"/>
      <c r="U4" s="787"/>
      <c r="V4" s="497"/>
    </row>
    <row r="5" spans="1:25" x14ac:dyDescent="0.35">
      <c r="B5" s="788" t="s">
        <v>1</v>
      </c>
      <c r="C5" s="788"/>
      <c r="D5" s="788"/>
      <c r="E5" s="788"/>
      <c r="F5" s="788"/>
      <c r="G5" s="788"/>
      <c r="H5" s="788"/>
      <c r="I5" s="788"/>
      <c r="J5" s="788"/>
      <c r="K5" s="788"/>
      <c r="L5" s="788"/>
      <c r="M5" s="788"/>
      <c r="N5" s="788"/>
      <c r="O5" s="788"/>
      <c r="P5" s="788"/>
      <c r="Q5" s="788"/>
      <c r="R5" s="788"/>
      <c r="S5" s="788"/>
      <c r="T5" s="788"/>
      <c r="U5" s="788"/>
      <c r="V5" s="497"/>
    </row>
    <row r="6" spans="1:25" ht="16" thickBot="1" x14ac:dyDescent="0.4">
      <c r="D6" s="88"/>
      <c r="E6" s="88"/>
      <c r="F6" s="88"/>
      <c r="G6" s="88"/>
      <c r="H6" s="88"/>
      <c r="I6" s="88"/>
      <c r="J6" s="88"/>
      <c r="K6" s="88"/>
      <c r="L6" s="88"/>
      <c r="M6" s="728"/>
      <c r="N6" s="88"/>
      <c r="O6" s="88"/>
      <c r="P6" s="88"/>
      <c r="Q6" s="88"/>
      <c r="R6" s="88"/>
      <c r="S6" s="88"/>
      <c r="T6" s="88"/>
      <c r="U6" s="88"/>
      <c r="X6" s="40"/>
    </row>
    <row r="7" spans="1:25" ht="18" x14ac:dyDescent="0.3">
      <c r="A7" s="497"/>
      <c r="B7" s="89"/>
      <c r="C7" s="90"/>
      <c r="D7" s="91" t="s">
        <v>10</v>
      </c>
      <c r="E7" s="92" t="s">
        <v>56</v>
      </c>
      <c r="F7" s="91" t="s">
        <v>57</v>
      </c>
      <c r="G7" s="92"/>
      <c r="H7" s="610" t="s">
        <v>516</v>
      </c>
      <c r="I7" s="71"/>
      <c r="J7" s="71" t="s">
        <v>58</v>
      </c>
      <c r="K7" s="629"/>
      <c r="L7" s="610" t="s">
        <v>540</v>
      </c>
      <c r="M7" s="631"/>
      <c r="N7" s="635" t="s">
        <v>541</v>
      </c>
      <c r="O7" s="629" t="s">
        <v>668</v>
      </c>
      <c r="P7" s="71"/>
      <c r="Q7" s="71" t="s">
        <v>599</v>
      </c>
      <c r="R7" s="629" t="s">
        <v>669</v>
      </c>
      <c r="S7" s="629"/>
      <c r="T7" s="635" t="s">
        <v>606</v>
      </c>
      <c r="U7" s="93"/>
      <c r="V7" s="497"/>
    </row>
    <row r="8" spans="1:25" s="19" customFormat="1" ht="20.5" customHeight="1" x14ac:dyDescent="0.35">
      <c r="A8" s="731" t="s">
        <v>2</v>
      </c>
      <c r="B8" s="732" t="s">
        <v>59</v>
      </c>
      <c r="C8" s="660"/>
      <c r="D8" s="733" t="s">
        <v>9</v>
      </c>
      <c r="E8" s="734" t="s">
        <v>60</v>
      </c>
      <c r="F8" s="733" t="s">
        <v>9</v>
      </c>
      <c r="G8" s="735"/>
      <c r="H8" s="218" t="s">
        <v>325</v>
      </c>
      <c r="I8" s="72"/>
      <c r="J8" s="72" t="s">
        <v>61</v>
      </c>
      <c r="K8" s="218"/>
      <c r="L8" s="218" t="s">
        <v>542</v>
      </c>
      <c r="M8" s="632"/>
      <c r="N8" s="636" t="s">
        <v>65</v>
      </c>
      <c r="O8" s="694" t="s">
        <v>600</v>
      </c>
      <c r="P8" s="695"/>
      <c r="Q8" s="72" t="s">
        <v>623</v>
      </c>
      <c r="R8" s="218" t="s">
        <v>325</v>
      </c>
      <c r="S8" s="218"/>
      <c r="T8" s="636" t="s">
        <v>61</v>
      </c>
      <c r="U8" s="736"/>
      <c r="V8" s="731" t="s">
        <v>2</v>
      </c>
    </row>
    <row r="9" spans="1:25" ht="16" thickBot="1" x14ac:dyDescent="0.35">
      <c r="A9" s="86" t="s">
        <v>6</v>
      </c>
      <c r="B9" s="99" t="s">
        <v>62</v>
      </c>
      <c r="C9" s="100" t="s">
        <v>3</v>
      </c>
      <c r="D9" s="101" t="s">
        <v>63</v>
      </c>
      <c r="E9" s="100" t="s">
        <v>64</v>
      </c>
      <c r="F9" s="101" t="s">
        <v>65</v>
      </c>
      <c r="G9" s="102"/>
      <c r="H9" s="125" t="s">
        <v>326</v>
      </c>
      <c r="I9" s="126"/>
      <c r="J9" s="103" t="s">
        <v>69</v>
      </c>
      <c r="K9" s="630"/>
      <c r="L9" s="125" t="s">
        <v>549</v>
      </c>
      <c r="M9" s="633"/>
      <c r="N9" s="637" t="s">
        <v>550</v>
      </c>
      <c r="O9" s="630" t="s">
        <v>602</v>
      </c>
      <c r="P9" s="103"/>
      <c r="Q9" s="103" t="s">
        <v>624</v>
      </c>
      <c r="R9" s="125" t="s">
        <v>326</v>
      </c>
      <c r="S9" s="125"/>
      <c r="T9" s="637" t="s">
        <v>550</v>
      </c>
      <c r="U9" s="104" t="s">
        <v>5</v>
      </c>
      <c r="V9" s="86" t="s">
        <v>6</v>
      </c>
      <c r="W9" s="86"/>
    </row>
    <row r="10" spans="1:25" x14ac:dyDescent="0.35">
      <c r="B10" s="105"/>
      <c r="C10" s="106" t="s">
        <v>70</v>
      </c>
      <c r="D10" s="437"/>
      <c r="E10" s="437"/>
      <c r="F10" s="107"/>
      <c r="G10" s="108"/>
      <c r="H10" s="108"/>
      <c r="I10" s="108"/>
      <c r="J10" s="109"/>
      <c r="K10" s="108"/>
      <c r="L10" s="108"/>
      <c r="M10" s="97"/>
      <c r="N10" s="107"/>
      <c r="O10" s="108"/>
      <c r="P10" s="108"/>
      <c r="Q10" s="109"/>
      <c r="R10" s="108"/>
      <c r="S10" s="108"/>
      <c r="T10" s="109"/>
      <c r="U10" s="110"/>
    </row>
    <row r="11" spans="1:25" ht="18.5" x14ac:dyDescent="0.35">
      <c r="A11" s="86">
        <v>1</v>
      </c>
      <c r="B11" s="105">
        <v>920</v>
      </c>
      <c r="C11" s="111" t="s">
        <v>71</v>
      </c>
      <c r="D11" s="74">
        <v>46411.108999999997</v>
      </c>
      <c r="E11" s="74">
        <f>E39</f>
        <v>968.08356942399996</v>
      </c>
      <c r="F11" s="74">
        <f>D11-E11</f>
        <v>45443.025430575995</v>
      </c>
      <c r="G11" s="25"/>
      <c r="H11" s="37"/>
      <c r="I11" s="507"/>
      <c r="J11" s="74">
        <f t="shared" ref="J11:J24" si="0">F11+H11</f>
        <v>45443.025430575995</v>
      </c>
      <c r="K11" s="665" t="s">
        <v>16</v>
      </c>
      <c r="L11" s="37">
        <f>L40</f>
        <v>930.25238000000002</v>
      </c>
      <c r="M11" s="662">
        <v>9</v>
      </c>
      <c r="N11" s="74">
        <f>J11+L11</f>
        <v>46373.277810575993</v>
      </c>
      <c r="O11" s="78"/>
      <c r="P11" s="78"/>
      <c r="Q11" s="74">
        <f>N11+O11</f>
        <v>46373.277810575993</v>
      </c>
      <c r="R11" s="37"/>
      <c r="S11" s="37"/>
      <c r="T11" s="74">
        <f>Q11-R11</f>
        <v>46373.277810575993</v>
      </c>
      <c r="U11" s="73" t="s">
        <v>72</v>
      </c>
      <c r="V11" s="86">
        <f>A11</f>
        <v>1</v>
      </c>
      <c r="W11" s="87" t="s">
        <v>11</v>
      </c>
      <c r="X11" s="112"/>
    </row>
    <row r="12" spans="1:25" ht="18.5" x14ac:dyDescent="0.35">
      <c r="A12" s="86">
        <f t="shared" ref="A12:A79" si="1">A11+1</f>
        <v>2</v>
      </c>
      <c r="B12" s="105">
        <v>921</v>
      </c>
      <c r="C12" s="111" t="s">
        <v>73</v>
      </c>
      <c r="D12" s="75">
        <v>28861</v>
      </c>
      <c r="E12" s="76">
        <f>E43</f>
        <v>9375.0137418520007</v>
      </c>
      <c r="F12" s="75">
        <f>D12-E12</f>
        <v>19485.986258147997</v>
      </c>
      <c r="G12" s="25"/>
      <c r="H12" s="76"/>
      <c r="I12" s="507"/>
      <c r="J12" s="75">
        <f t="shared" si="0"/>
        <v>19485.986258147997</v>
      </c>
      <c r="K12" s="665" t="s">
        <v>16</v>
      </c>
      <c r="L12" s="76">
        <v>1717.9580000000001</v>
      </c>
      <c r="M12" s="634">
        <v>7</v>
      </c>
      <c r="N12" s="75">
        <f>J12+L12+L13</f>
        <v>30579.054108147997</v>
      </c>
      <c r="O12" s="608"/>
      <c r="P12" s="608"/>
      <c r="Q12" s="75">
        <f>N12+O12</f>
        <v>30579.054108147997</v>
      </c>
      <c r="R12" s="76"/>
      <c r="S12" s="76"/>
      <c r="T12" s="75">
        <f>Q12-R12</f>
        <v>30579.054108147997</v>
      </c>
      <c r="U12" s="73" t="s">
        <v>74</v>
      </c>
      <c r="V12" s="86">
        <f t="shared" ref="V12:V79" si="2">V11+1</f>
        <v>2</v>
      </c>
      <c r="X12" s="112"/>
      <c r="Y12" s="113"/>
    </row>
    <row r="13" spans="1:25" ht="18.5" x14ac:dyDescent="0.35">
      <c r="A13" s="86">
        <f t="shared" si="1"/>
        <v>3</v>
      </c>
      <c r="B13" s="105">
        <v>921</v>
      </c>
      <c r="C13" s="111" t="s">
        <v>73</v>
      </c>
      <c r="D13" s="75"/>
      <c r="E13" s="76"/>
      <c r="F13" s="75"/>
      <c r="G13" s="25"/>
      <c r="H13" s="76"/>
      <c r="I13" s="507"/>
      <c r="J13" s="75"/>
      <c r="K13" s="665" t="s">
        <v>16</v>
      </c>
      <c r="L13" s="76">
        <f>L45</f>
        <v>9375.1098499999989</v>
      </c>
      <c r="M13" s="662">
        <v>9</v>
      </c>
      <c r="N13" s="75"/>
      <c r="O13" s="608"/>
      <c r="P13" s="608"/>
      <c r="Q13" s="75"/>
      <c r="R13" s="76"/>
      <c r="S13" s="76"/>
      <c r="T13" s="75"/>
      <c r="U13" s="73" t="s">
        <v>74</v>
      </c>
      <c r="V13" s="86">
        <f t="shared" si="2"/>
        <v>3</v>
      </c>
      <c r="X13" s="112"/>
      <c r="Y13" s="113"/>
    </row>
    <row r="14" spans="1:25" ht="16.5" x14ac:dyDescent="0.35">
      <c r="A14" s="86">
        <f t="shared" si="1"/>
        <v>4</v>
      </c>
      <c r="B14" s="105">
        <v>922</v>
      </c>
      <c r="C14" s="111" t="s">
        <v>75</v>
      </c>
      <c r="D14" s="75">
        <v>-18872.382000000001</v>
      </c>
      <c r="E14" s="76">
        <f>E46</f>
        <v>-125.07091</v>
      </c>
      <c r="F14" s="75">
        <f>D14-E14</f>
        <v>-18747.311090000003</v>
      </c>
      <c r="G14" s="76"/>
      <c r="H14" s="76"/>
      <c r="I14" s="77"/>
      <c r="J14" s="75">
        <f t="shared" si="0"/>
        <v>-18747.311090000003</v>
      </c>
      <c r="K14" s="665" t="s">
        <v>16</v>
      </c>
      <c r="L14" s="76">
        <f>L47</f>
        <v>-125.12939</v>
      </c>
      <c r="M14" s="662">
        <v>9</v>
      </c>
      <c r="N14" s="75">
        <f>J14+L14</f>
        <v>-18872.440480000001</v>
      </c>
      <c r="O14" s="76">
        <v>6110</v>
      </c>
      <c r="P14" s="665" t="s">
        <v>16</v>
      </c>
      <c r="Q14" s="75">
        <f>N14+O14</f>
        <v>-12762.440480000001</v>
      </c>
      <c r="R14" s="608"/>
      <c r="S14" s="608"/>
      <c r="T14" s="75">
        <f>Q14-R14</f>
        <v>-12762.440480000001</v>
      </c>
      <c r="U14" s="73" t="s">
        <v>76</v>
      </c>
      <c r="V14" s="86">
        <f t="shared" si="2"/>
        <v>4</v>
      </c>
      <c r="X14" s="112"/>
    </row>
    <row r="15" spans="1:25" ht="18.5" x14ac:dyDescent="0.35">
      <c r="A15" s="86">
        <f t="shared" si="1"/>
        <v>5</v>
      </c>
      <c r="B15" s="105">
        <v>923</v>
      </c>
      <c r="C15" s="111" t="s">
        <v>77</v>
      </c>
      <c r="D15" s="75">
        <v>108535.25900000001</v>
      </c>
      <c r="E15" s="76">
        <f>E53</f>
        <v>12845.547155421998</v>
      </c>
      <c r="F15" s="75">
        <f>D15-E15</f>
        <v>95689.711844578007</v>
      </c>
      <c r="G15" s="25"/>
      <c r="H15" s="76"/>
      <c r="I15" s="507"/>
      <c r="J15" s="75">
        <f t="shared" si="0"/>
        <v>95689.711844578007</v>
      </c>
      <c r="K15" s="665" t="s">
        <v>16</v>
      </c>
      <c r="L15" s="76">
        <v>83.521000000000001</v>
      </c>
      <c r="M15" s="634">
        <v>7</v>
      </c>
      <c r="N15" s="75">
        <f>J15+L15+L16</f>
        <v>97939.248374578005</v>
      </c>
      <c r="O15" s="608"/>
      <c r="P15" s="608"/>
      <c r="Q15" s="75">
        <f>N15+O15</f>
        <v>97939.248374578005</v>
      </c>
      <c r="R15" s="76"/>
      <c r="S15" s="76"/>
      <c r="T15" s="75">
        <f>Q15-R15</f>
        <v>97939.248374578005</v>
      </c>
      <c r="U15" s="73" t="s">
        <v>78</v>
      </c>
      <c r="V15" s="86">
        <f t="shared" si="2"/>
        <v>5</v>
      </c>
      <c r="X15" s="112"/>
    </row>
    <row r="16" spans="1:25" ht="18.5" x14ac:dyDescent="0.35">
      <c r="A16" s="86">
        <f t="shared" si="1"/>
        <v>6</v>
      </c>
      <c r="B16" s="105">
        <v>923</v>
      </c>
      <c r="C16" s="111" t="s">
        <v>77</v>
      </c>
      <c r="D16" s="75"/>
      <c r="E16" s="76"/>
      <c r="F16" s="75"/>
      <c r="G16" s="25"/>
      <c r="H16" s="76"/>
      <c r="I16" s="507"/>
      <c r="J16" s="75"/>
      <c r="K16" s="665" t="s">
        <v>16</v>
      </c>
      <c r="L16" s="76">
        <f>L55</f>
        <v>2166.0155300000001</v>
      </c>
      <c r="M16" s="662">
        <v>9</v>
      </c>
      <c r="N16" s="75"/>
      <c r="O16" s="608"/>
      <c r="P16" s="608"/>
      <c r="Q16" s="75"/>
      <c r="R16" s="76"/>
      <c r="S16" s="76"/>
      <c r="T16" s="75"/>
      <c r="U16" s="73" t="s">
        <v>78</v>
      </c>
      <c r="V16" s="86">
        <f t="shared" si="2"/>
        <v>6</v>
      </c>
      <c r="X16" s="112"/>
    </row>
    <row r="17" spans="1:24" x14ac:dyDescent="0.35">
      <c r="A17" s="86">
        <f t="shared" si="1"/>
        <v>7</v>
      </c>
      <c r="B17" s="105">
        <v>924</v>
      </c>
      <c r="C17" s="111" t="s">
        <v>79</v>
      </c>
      <c r="D17" s="75">
        <v>8310.402</v>
      </c>
      <c r="E17" s="76">
        <v>0</v>
      </c>
      <c r="F17" s="75">
        <f t="shared" ref="F17:F18" si="3">D17-E17</f>
        <v>8310.402</v>
      </c>
      <c r="G17" s="76"/>
      <c r="H17" s="76"/>
      <c r="I17" s="77"/>
      <c r="J17" s="75">
        <f t="shared" si="0"/>
        <v>8310.402</v>
      </c>
      <c r="K17" s="76"/>
      <c r="L17" s="76"/>
      <c r="M17" s="608"/>
      <c r="N17" s="75">
        <f t="shared" ref="N17:N26" si="4">J17+L17</f>
        <v>8310.402</v>
      </c>
      <c r="O17" s="76"/>
      <c r="P17" s="76"/>
      <c r="Q17" s="75">
        <f t="shared" ref="Q17:Q24" si="5">N17+O17</f>
        <v>8310.402</v>
      </c>
      <c r="R17" s="76"/>
      <c r="S17" s="76"/>
      <c r="T17" s="75">
        <f t="shared" ref="T17:T24" si="6">Q17-R17</f>
        <v>8310.402</v>
      </c>
      <c r="U17" s="73" t="s">
        <v>80</v>
      </c>
      <c r="V17" s="86">
        <f t="shared" si="2"/>
        <v>7</v>
      </c>
      <c r="X17" s="112"/>
    </row>
    <row r="18" spans="1:24" ht="18.5" x14ac:dyDescent="0.35">
      <c r="A18" s="86">
        <f t="shared" si="1"/>
        <v>8</v>
      </c>
      <c r="B18" s="105">
        <v>925</v>
      </c>
      <c r="C18" s="111" t="s">
        <v>81</v>
      </c>
      <c r="D18" s="75">
        <v>181130.33900000001</v>
      </c>
      <c r="E18" s="76">
        <f>E58</f>
        <v>1105.1051231060101</v>
      </c>
      <c r="F18" s="75">
        <f t="shared" si="3"/>
        <v>180025.233876894</v>
      </c>
      <c r="G18" s="665" t="s">
        <v>16</v>
      </c>
      <c r="H18" s="37">
        <v>-130.33199999999999</v>
      </c>
      <c r="I18" s="507">
        <v>5</v>
      </c>
      <c r="J18" s="75">
        <f t="shared" si="0"/>
        <v>179894.901876894</v>
      </c>
      <c r="K18" s="665" t="s">
        <v>16</v>
      </c>
      <c r="L18" s="76">
        <f>L59</f>
        <v>746.95546999999988</v>
      </c>
      <c r="M18" s="662">
        <v>9</v>
      </c>
      <c r="N18" s="75">
        <f t="shared" si="4"/>
        <v>180641.85734689399</v>
      </c>
      <c r="O18" s="608"/>
      <c r="P18" s="608"/>
      <c r="Q18" s="75">
        <f t="shared" si="5"/>
        <v>180641.85734689399</v>
      </c>
      <c r="R18" s="76"/>
      <c r="S18" s="76"/>
      <c r="T18" s="75">
        <f t="shared" si="6"/>
        <v>180641.85734689399</v>
      </c>
      <c r="U18" s="73" t="s">
        <v>82</v>
      </c>
      <c r="V18" s="86">
        <f t="shared" si="2"/>
        <v>8</v>
      </c>
      <c r="X18" s="112"/>
    </row>
    <row r="19" spans="1:24" ht="18.5" x14ac:dyDescent="0.35">
      <c r="A19" s="86">
        <f t="shared" si="1"/>
        <v>9</v>
      </c>
      <c r="B19" s="105">
        <v>926</v>
      </c>
      <c r="C19" s="111" t="s">
        <v>327</v>
      </c>
      <c r="D19" s="75">
        <v>62304.38</v>
      </c>
      <c r="E19" s="76">
        <f>E62</f>
        <v>2589.589301958019</v>
      </c>
      <c r="F19" s="75">
        <f>D19-E19</f>
        <v>59714.790698041979</v>
      </c>
      <c r="G19" s="25"/>
      <c r="H19" s="76"/>
      <c r="I19" s="507"/>
      <c r="J19" s="75">
        <f t="shared" si="0"/>
        <v>59714.790698041979</v>
      </c>
      <c r="K19" s="665" t="s">
        <v>16</v>
      </c>
      <c r="L19" s="76">
        <f>L63</f>
        <v>1752.65128</v>
      </c>
      <c r="M19" s="662">
        <v>9</v>
      </c>
      <c r="N19" s="75">
        <f t="shared" si="4"/>
        <v>61467.441978041978</v>
      </c>
      <c r="O19" s="608"/>
      <c r="P19" s="608"/>
      <c r="Q19" s="75">
        <f t="shared" si="5"/>
        <v>61467.441978041978</v>
      </c>
      <c r="R19" s="76"/>
      <c r="S19" s="76"/>
      <c r="T19" s="75">
        <f t="shared" si="6"/>
        <v>61467.441978041978</v>
      </c>
      <c r="U19" s="73" t="s">
        <v>83</v>
      </c>
      <c r="V19" s="86">
        <f t="shared" si="2"/>
        <v>9</v>
      </c>
      <c r="X19" s="114"/>
    </row>
    <row r="20" spans="1:24" x14ac:dyDescent="0.35">
      <c r="A20" s="86">
        <f t="shared" si="1"/>
        <v>10</v>
      </c>
      <c r="B20" s="105">
        <v>927</v>
      </c>
      <c r="C20" s="111" t="s">
        <v>84</v>
      </c>
      <c r="D20" s="75">
        <v>130506.765</v>
      </c>
      <c r="E20" s="76">
        <f>E64</f>
        <v>130506.76528000001</v>
      </c>
      <c r="F20" s="75">
        <f t="shared" ref="F20:F22" si="7">D20-E20</f>
        <v>-2.8000000747852027E-4</v>
      </c>
      <c r="G20" s="76"/>
      <c r="H20" s="76"/>
      <c r="I20" s="77"/>
      <c r="J20" s="75">
        <f t="shared" si="0"/>
        <v>-2.8000000747852027E-4</v>
      </c>
      <c r="K20" s="76"/>
      <c r="L20" s="76"/>
      <c r="M20" s="608"/>
      <c r="N20" s="75">
        <f t="shared" si="4"/>
        <v>-2.8000000747852027E-4</v>
      </c>
      <c r="O20" s="76"/>
      <c r="P20" s="76"/>
      <c r="Q20" s="75">
        <f t="shared" si="5"/>
        <v>-2.8000000747852027E-4</v>
      </c>
      <c r="R20" s="76"/>
      <c r="S20" s="76"/>
      <c r="T20" s="75">
        <f t="shared" si="6"/>
        <v>-2.8000000747852027E-4</v>
      </c>
      <c r="U20" s="73" t="s">
        <v>85</v>
      </c>
      <c r="V20" s="86">
        <f t="shared" si="2"/>
        <v>10</v>
      </c>
      <c r="X20" s="114"/>
    </row>
    <row r="21" spans="1:24" x14ac:dyDescent="0.3">
      <c r="A21" s="86">
        <f t="shared" si="1"/>
        <v>11</v>
      </c>
      <c r="B21" s="105">
        <v>928</v>
      </c>
      <c r="C21" s="111" t="s">
        <v>328</v>
      </c>
      <c r="D21" s="75">
        <v>27995.793000000001</v>
      </c>
      <c r="E21" s="76">
        <f>E70</f>
        <v>16572.369439999999</v>
      </c>
      <c r="F21" s="75">
        <f t="shared" si="7"/>
        <v>11423.423560000003</v>
      </c>
      <c r="G21" s="76"/>
      <c r="H21" s="76"/>
      <c r="I21" s="116"/>
      <c r="J21" s="75">
        <f t="shared" si="0"/>
        <v>11423.423560000003</v>
      </c>
      <c r="K21" s="76"/>
      <c r="L21" s="76"/>
      <c r="M21" s="608"/>
      <c r="N21" s="75">
        <f t="shared" si="4"/>
        <v>11423.423560000003</v>
      </c>
      <c r="O21" s="76"/>
      <c r="P21" s="76"/>
      <c r="Q21" s="75">
        <f t="shared" si="5"/>
        <v>11423.423560000003</v>
      </c>
      <c r="R21" s="76"/>
      <c r="S21" s="76"/>
      <c r="T21" s="75">
        <f t="shared" si="6"/>
        <v>11423.423560000003</v>
      </c>
      <c r="U21" s="73" t="s">
        <v>86</v>
      </c>
      <c r="V21" s="86">
        <f t="shared" si="2"/>
        <v>11</v>
      </c>
      <c r="X21" s="114"/>
    </row>
    <row r="22" spans="1:24" x14ac:dyDescent="0.35">
      <c r="A22" s="86">
        <f t="shared" si="1"/>
        <v>12</v>
      </c>
      <c r="B22" s="94">
        <v>929</v>
      </c>
      <c r="C22" s="111" t="s">
        <v>87</v>
      </c>
      <c r="D22" s="75">
        <v>-2772.7849999999999</v>
      </c>
      <c r="E22" s="76">
        <v>0</v>
      </c>
      <c r="F22" s="75">
        <f t="shared" si="7"/>
        <v>-2772.7849999999999</v>
      </c>
      <c r="G22" s="76"/>
      <c r="H22" s="76"/>
      <c r="I22" s="77"/>
      <c r="J22" s="75">
        <f t="shared" si="0"/>
        <v>-2772.7849999999999</v>
      </c>
      <c r="K22" s="76"/>
      <c r="L22" s="76"/>
      <c r="M22" s="608"/>
      <c r="N22" s="75">
        <f t="shared" si="4"/>
        <v>-2772.7849999999999</v>
      </c>
      <c r="O22" s="76"/>
      <c r="P22" s="76"/>
      <c r="Q22" s="75">
        <f t="shared" si="5"/>
        <v>-2772.7849999999999</v>
      </c>
      <c r="R22" s="702">
        <v>-612.21712000000002</v>
      </c>
      <c r="S22" s="25" t="s">
        <v>16</v>
      </c>
      <c r="T22" s="613">
        <f t="shared" si="6"/>
        <v>-2160.5678799999996</v>
      </c>
      <c r="U22" s="73" t="s">
        <v>88</v>
      </c>
      <c r="V22" s="86">
        <f t="shared" si="2"/>
        <v>12</v>
      </c>
      <c r="X22" s="112"/>
    </row>
    <row r="23" spans="1:24" ht="18.5" x14ac:dyDescent="0.35">
      <c r="A23" s="86">
        <f t="shared" si="1"/>
        <v>13</v>
      </c>
      <c r="B23" s="605">
        <v>930.1</v>
      </c>
      <c r="C23" s="111" t="s">
        <v>89</v>
      </c>
      <c r="D23" s="75">
        <v>-204.155</v>
      </c>
      <c r="E23" s="76">
        <f>E72</f>
        <v>-204.155</v>
      </c>
      <c r="F23" s="75">
        <f>D23-E23</f>
        <v>0</v>
      </c>
      <c r="G23" s="76"/>
      <c r="H23" s="76"/>
      <c r="I23" s="507"/>
      <c r="J23" s="75">
        <f t="shared" si="0"/>
        <v>0</v>
      </c>
      <c r="K23" s="76"/>
      <c r="L23" s="76"/>
      <c r="M23" s="608"/>
      <c r="N23" s="75">
        <f t="shared" si="4"/>
        <v>0</v>
      </c>
      <c r="O23" s="76"/>
      <c r="P23" s="76"/>
      <c r="Q23" s="75">
        <f t="shared" si="5"/>
        <v>0</v>
      </c>
      <c r="R23" s="76"/>
      <c r="S23" s="76"/>
      <c r="T23" s="75">
        <f t="shared" si="6"/>
        <v>0</v>
      </c>
      <c r="U23" s="73" t="s">
        <v>90</v>
      </c>
      <c r="V23" s="86">
        <f t="shared" si="2"/>
        <v>13</v>
      </c>
      <c r="X23" s="112"/>
    </row>
    <row r="24" spans="1:24" ht="18.5" x14ac:dyDescent="0.35">
      <c r="A24" s="86">
        <f t="shared" si="1"/>
        <v>14</v>
      </c>
      <c r="B24" s="605">
        <v>930.2</v>
      </c>
      <c r="C24" s="111" t="s">
        <v>91</v>
      </c>
      <c r="D24" s="75">
        <v>2511.0549999999998</v>
      </c>
      <c r="E24" s="76">
        <f>E76</f>
        <v>217.58000000000015</v>
      </c>
      <c r="F24" s="75">
        <f t="shared" ref="F24" si="8">D24-E24</f>
        <v>2293.4749999999995</v>
      </c>
      <c r="G24" s="665" t="s">
        <v>16</v>
      </c>
      <c r="H24" s="76">
        <v>40</v>
      </c>
      <c r="I24" s="507">
        <v>6</v>
      </c>
      <c r="J24" s="75">
        <f t="shared" si="0"/>
        <v>2333.4749999999995</v>
      </c>
      <c r="K24" s="665" t="s">
        <v>16</v>
      </c>
      <c r="L24" s="76">
        <v>595.57100000000003</v>
      </c>
      <c r="M24" s="639">
        <v>7</v>
      </c>
      <c r="N24" s="75">
        <f>J24+L24+L25</f>
        <v>2238.2789999999995</v>
      </c>
      <c r="O24" s="608"/>
      <c r="P24" s="608"/>
      <c r="Q24" s="75">
        <f t="shared" si="5"/>
        <v>2238.2789999999995</v>
      </c>
      <c r="R24" s="76"/>
      <c r="S24" s="76"/>
      <c r="T24" s="75">
        <f t="shared" si="6"/>
        <v>2238.2789999999995</v>
      </c>
      <c r="U24" s="73" t="s">
        <v>92</v>
      </c>
      <c r="V24" s="86">
        <f t="shared" si="2"/>
        <v>14</v>
      </c>
      <c r="X24" s="117"/>
    </row>
    <row r="25" spans="1:24" ht="18.5" x14ac:dyDescent="0.35">
      <c r="A25" s="86">
        <f t="shared" si="1"/>
        <v>15</v>
      </c>
      <c r="B25" s="605">
        <v>930.2</v>
      </c>
      <c r="C25" s="111" t="s">
        <v>91</v>
      </c>
      <c r="D25" s="75"/>
      <c r="E25" s="76"/>
      <c r="F25" s="75"/>
      <c r="G25" s="25"/>
      <c r="H25" s="76"/>
      <c r="I25" s="638"/>
      <c r="J25" s="613"/>
      <c r="K25" s="665" t="s">
        <v>16</v>
      </c>
      <c r="L25" s="87">
        <v>-690.76700000000005</v>
      </c>
      <c r="M25" s="639">
        <v>8</v>
      </c>
      <c r="N25" s="75"/>
      <c r="O25" s="76"/>
      <c r="P25" s="76"/>
      <c r="Q25" s="75"/>
      <c r="R25" s="76"/>
      <c r="S25" s="76"/>
      <c r="T25" s="75"/>
      <c r="U25" s="73" t="s">
        <v>92</v>
      </c>
      <c r="V25" s="86">
        <f t="shared" si="2"/>
        <v>15</v>
      </c>
      <c r="X25" s="117"/>
    </row>
    <row r="26" spans="1:24" x14ac:dyDescent="0.35">
      <c r="A26" s="86">
        <f t="shared" si="1"/>
        <v>16</v>
      </c>
      <c r="B26" s="105">
        <v>931</v>
      </c>
      <c r="C26" s="111" t="s">
        <v>66</v>
      </c>
      <c r="D26" s="75">
        <v>10939.305</v>
      </c>
      <c r="E26" s="76">
        <v>0</v>
      </c>
      <c r="F26" s="75">
        <f>D26-E26</f>
        <v>10939.305</v>
      </c>
      <c r="G26" s="76"/>
      <c r="H26" s="76"/>
      <c r="I26" s="76"/>
      <c r="J26" s="75">
        <f>F26+H26</f>
        <v>10939.305</v>
      </c>
      <c r="K26" s="76"/>
      <c r="L26" s="76"/>
      <c r="M26" s="608"/>
      <c r="N26" s="75">
        <f t="shared" si="4"/>
        <v>10939.305</v>
      </c>
      <c r="O26" s="76"/>
      <c r="P26" s="76"/>
      <c r="Q26" s="75">
        <f>N26+O26</f>
        <v>10939.305</v>
      </c>
      <c r="R26" s="76"/>
      <c r="S26" s="76"/>
      <c r="T26" s="75">
        <f>Q26-R26</f>
        <v>10939.305</v>
      </c>
      <c r="U26" s="73" t="s">
        <v>93</v>
      </c>
      <c r="V26" s="86">
        <f t="shared" si="2"/>
        <v>16</v>
      </c>
      <c r="X26" s="112"/>
    </row>
    <row r="27" spans="1:24" x14ac:dyDescent="0.35">
      <c r="A27" s="86">
        <f t="shared" si="1"/>
        <v>17</v>
      </c>
      <c r="B27" s="105">
        <v>935</v>
      </c>
      <c r="C27" s="111" t="s">
        <v>94</v>
      </c>
      <c r="D27" s="429">
        <v>9293.2980000000007</v>
      </c>
      <c r="E27" s="412">
        <f>E78</f>
        <v>-1915.2449610859999</v>
      </c>
      <c r="F27" s="429">
        <f>D27-E27</f>
        <v>11208.542961086001</v>
      </c>
      <c r="G27" s="430"/>
      <c r="H27" s="412"/>
      <c r="I27" s="431"/>
      <c r="J27" s="431">
        <f>F27+H27</f>
        <v>11208.542961086001</v>
      </c>
      <c r="K27" s="430"/>
      <c r="L27" s="412"/>
      <c r="M27" s="650"/>
      <c r="N27" s="429">
        <f>J27+L27</f>
        <v>11208.542961086001</v>
      </c>
      <c r="O27" s="412"/>
      <c r="P27" s="412"/>
      <c r="Q27" s="429">
        <f>N27+O27</f>
        <v>11208.542961086001</v>
      </c>
      <c r="R27" s="412"/>
      <c r="S27" s="412"/>
      <c r="T27" s="429">
        <f>Q27-R27</f>
        <v>11208.542961086001</v>
      </c>
      <c r="U27" s="73" t="s">
        <v>95</v>
      </c>
      <c r="V27" s="86">
        <f t="shared" si="2"/>
        <v>17</v>
      </c>
      <c r="W27" s="87" t="s">
        <v>11</v>
      </c>
      <c r="X27" s="112"/>
    </row>
    <row r="28" spans="1:24" x14ac:dyDescent="0.35">
      <c r="A28" s="86">
        <f t="shared" si="1"/>
        <v>18</v>
      </c>
      <c r="B28" s="105"/>
      <c r="D28" s="118"/>
      <c r="F28" s="118"/>
      <c r="J28" s="118"/>
      <c r="N28" s="118"/>
      <c r="Q28" s="730"/>
      <c r="T28" s="118"/>
      <c r="U28" s="119"/>
      <c r="V28" s="86">
        <f t="shared" si="2"/>
        <v>18</v>
      </c>
    </row>
    <row r="29" spans="1:24" ht="16" thickBot="1" x14ac:dyDescent="0.4">
      <c r="A29" s="86">
        <f t="shared" si="1"/>
        <v>19</v>
      </c>
      <c r="B29" s="105"/>
      <c r="C29" s="95" t="s">
        <v>96</v>
      </c>
      <c r="D29" s="120">
        <f>SUM(D11:D27)</f>
        <v>594949.38299999991</v>
      </c>
      <c r="E29" s="83">
        <f>SUM(E11:E27)</f>
        <v>171935.58274067604</v>
      </c>
      <c r="F29" s="81">
        <f>SUM(F11:F27)</f>
        <v>423013.80025932402</v>
      </c>
      <c r="G29" s="664" t="s">
        <v>16</v>
      </c>
      <c r="H29" s="508">
        <f>SUM(H11:H27)</f>
        <v>-90.331999999999994</v>
      </c>
      <c r="I29" s="83"/>
      <c r="J29" s="81">
        <f>SUM(J11:J27)</f>
        <v>422923.46825932397</v>
      </c>
      <c r="K29" s="664" t="s">
        <v>16</v>
      </c>
      <c r="L29" s="508">
        <f>SUM(L11:L27)</f>
        <v>16552.13812</v>
      </c>
      <c r="M29" s="508"/>
      <c r="N29" s="81">
        <f>SUM(N11:N27)</f>
        <v>439475.60637932399</v>
      </c>
      <c r="O29" s="508">
        <f>SUM(O11:O27)</f>
        <v>6110</v>
      </c>
      <c r="P29" s="664" t="s">
        <v>16</v>
      </c>
      <c r="Q29" s="81">
        <f>SUM(Q11:Q27)</f>
        <v>445585.60637932399</v>
      </c>
      <c r="R29" s="508">
        <f>SUM(R11:R27)</f>
        <v>-612.21712000000002</v>
      </c>
      <c r="S29" s="674" t="s">
        <v>16</v>
      </c>
      <c r="T29" s="83">
        <f>SUM(T11:T27)</f>
        <v>446197.82349932392</v>
      </c>
      <c r="U29" s="121" t="str">
        <f>"Sum Lines "&amp;A11&amp;" thru "&amp;A27</f>
        <v>Sum Lines 1 thru 17</v>
      </c>
      <c r="V29" s="86">
        <f t="shared" si="2"/>
        <v>19</v>
      </c>
    </row>
    <row r="30" spans="1:24" ht="16" thickTop="1" x14ac:dyDescent="0.35">
      <c r="A30" s="86">
        <f t="shared" si="1"/>
        <v>20</v>
      </c>
      <c r="B30" s="105"/>
      <c r="C30" s="95"/>
      <c r="D30" s="438"/>
      <c r="E30" s="79"/>
      <c r="F30" s="80"/>
      <c r="G30" s="78"/>
      <c r="H30" s="78"/>
      <c r="I30" s="78"/>
      <c r="J30" s="80"/>
      <c r="K30" s="37"/>
      <c r="L30" s="78"/>
      <c r="M30" s="78"/>
      <c r="N30" s="80"/>
      <c r="O30" s="78"/>
      <c r="P30" s="78"/>
      <c r="Q30" s="80"/>
      <c r="R30" s="78"/>
      <c r="S30" s="78"/>
      <c r="T30" s="80"/>
      <c r="U30" s="121"/>
      <c r="V30" s="86">
        <f t="shared" si="2"/>
        <v>20</v>
      </c>
    </row>
    <row r="31" spans="1:24" ht="18" x14ac:dyDescent="0.35">
      <c r="A31" s="86">
        <f t="shared" si="1"/>
        <v>21</v>
      </c>
      <c r="B31" s="105">
        <v>413</v>
      </c>
      <c r="C31" s="87" t="s">
        <v>329</v>
      </c>
      <c r="D31" s="429">
        <v>204.65183999999999</v>
      </c>
      <c r="E31" s="431">
        <v>0</v>
      </c>
      <c r="F31" s="429">
        <f>D31-E31</f>
        <v>204.65183999999999</v>
      </c>
      <c r="G31" s="430"/>
      <c r="H31" s="412"/>
      <c r="I31" s="412"/>
      <c r="J31" s="429">
        <f>F31+H31</f>
        <v>204.65183999999999</v>
      </c>
      <c r="K31" s="430"/>
      <c r="L31" s="412"/>
      <c r="M31" s="650"/>
      <c r="N31" s="429">
        <f>J31+L31</f>
        <v>204.65183999999999</v>
      </c>
      <c r="O31" s="412"/>
      <c r="P31" s="412"/>
      <c r="Q31" s="429">
        <f>N31+O31</f>
        <v>204.65183999999999</v>
      </c>
      <c r="R31" s="412"/>
      <c r="S31" s="412"/>
      <c r="T31" s="429">
        <f>Q31-R31</f>
        <v>204.65183999999999</v>
      </c>
      <c r="U31" s="121"/>
      <c r="V31" s="86">
        <f t="shared" si="2"/>
        <v>21</v>
      </c>
    </row>
    <row r="32" spans="1:24" x14ac:dyDescent="0.35">
      <c r="A32" s="86">
        <f t="shared" si="1"/>
        <v>22</v>
      </c>
      <c r="B32" s="105"/>
      <c r="C32" s="95"/>
      <c r="D32" s="438"/>
      <c r="E32" s="79"/>
      <c r="F32" s="80"/>
      <c r="G32" s="78"/>
      <c r="H32" s="78"/>
      <c r="I32" s="78"/>
      <c r="J32" s="80"/>
      <c r="K32" s="37"/>
      <c r="L32" s="78"/>
      <c r="M32" s="78"/>
      <c r="N32" s="80"/>
      <c r="O32" s="78"/>
      <c r="P32" s="78"/>
      <c r="Q32" s="80"/>
      <c r="R32" s="78"/>
      <c r="S32" s="78"/>
      <c r="T32" s="80"/>
      <c r="U32" s="121"/>
      <c r="V32" s="86">
        <f t="shared" si="2"/>
        <v>22</v>
      </c>
    </row>
    <row r="33" spans="1:24" ht="16" thickBot="1" x14ac:dyDescent="0.4">
      <c r="A33" s="86">
        <f t="shared" si="1"/>
        <v>23</v>
      </c>
      <c r="B33" s="105"/>
      <c r="C33" s="95" t="s">
        <v>330</v>
      </c>
      <c r="D33" s="120">
        <f>D29+D31</f>
        <v>595154.03483999986</v>
      </c>
      <c r="E33" s="79">
        <f>E29+E31</f>
        <v>171935.58274067604</v>
      </c>
      <c r="F33" s="80">
        <f>F29+F31</f>
        <v>423218.45209932403</v>
      </c>
      <c r="G33" s="664" t="s">
        <v>16</v>
      </c>
      <c r="H33" s="508">
        <f>H29+H31</f>
        <v>-90.331999999999994</v>
      </c>
      <c r="I33" s="83"/>
      <c r="J33" s="81">
        <f>J29+J31</f>
        <v>423128.12009932398</v>
      </c>
      <c r="K33" s="664" t="s">
        <v>16</v>
      </c>
      <c r="L33" s="508">
        <f>L29+L31</f>
        <v>16552.13812</v>
      </c>
      <c r="M33" s="508"/>
      <c r="N33" s="81">
        <f>N29+N31</f>
        <v>439680.25821932399</v>
      </c>
      <c r="O33" s="508">
        <f>O29+O31</f>
        <v>6110</v>
      </c>
      <c r="P33" s="664" t="s">
        <v>16</v>
      </c>
      <c r="Q33" s="81">
        <f>Q29+Q31</f>
        <v>445790.25821932399</v>
      </c>
      <c r="R33" s="508">
        <f>R29+R31</f>
        <v>-612.21712000000002</v>
      </c>
      <c r="S33" s="674" t="s">
        <v>16</v>
      </c>
      <c r="T33" s="83">
        <f>T29+T31</f>
        <v>446402.47533932392</v>
      </c>
      <c r="U33" s="121" t="str">
        <f>"Line "&amp;A29&amp;" + Line "&amp;A31</f>
        <v>Line 19 + Line 21</v>
      </c>
      <c r="V33" s="86">
        <f t="shared" si="2"/>
        <v>23</v>
      </c>
    </row>
    <row r="34" spans="1:24" ht="16.5" thickTop="1" thickBot="1" x14ac:dyDescent="0.4">
      <c r="A34" s="86">
        <f t="shared" si="1"/>
        <v>24</v>
      </c>
      <c r="B34" s="122"/>
      <c r="C34" s="88"/>
      <c r="D34" s="123"/>
      <c r="E34" s="124"/>
      <c r="F34" s="124"/>
      <c r="G34" s="125"/>
      <c r="H34" s="125"/>
      <c r="I34" s="125"/>
      <c r="J34" s="127"/>
      <c r="K34" s="125"/>
      <c r="L34" s="125"/>
      <c r="M34" s="125"/>
      <c r="N34" s="127"/>
      <c r="O34" s="125"/>
      <c r="P34" s="125"/>
      <c r="Q34" s="127"/>
      <c r="R34" s="125"/>
      <c r="S34" s="125"/>
      <c r="T34" s="127"/>
      <c r="U34" s="128"/>
      <c r="V34" s="86">
        <f t="shared" si="2"/>
        <v>24</v>
      </c>
    </row>
    <row r="35" spans="1:24" x14ac:dyDescent="0.35">
      <c r="A35" s="86">
        <f t="shared" si="1"/>
        <v>25</v>
      </c>
      <c r="B35" s="139"/>
      <c r="D35" s="439"/>
      <c r="E35" s="440"/>
      <c r="F35" s="439"/>
      <c r="G35" s="439"/>
      <c r="H35" s="439"/>
      <c r="I35" s="439"/>
      <c r="J35" s="439"/>
      <c r="K35" s="439"/>
      <c r="L35" s="439"/>
      <c r="M35" s="729"/>
      <c r="N35" s="439"/>
      <c r="O35" s="439"/>
      <c r="P35" s="439"/>
      <c r="Q35" s="439"/>
      <c r="R35" s="439"/>
      <c r="S35" s="439"/>
      <c r="T35" s="439"/>
      <c r="U35" s="119"/>
      <c r="V35" s="86">
        <f t="shared" si="2"/>
        <v>25</v>
      </c>
    </row>
    <row r="36" spans="1:24" x14ac:dyDescent="0.35">
      <c r="A36" s="86">
        <f t="shared" si="1"/>
        <v>26</v>
      </c>
      <c r="B36" s="129" t="s">
        <v>97</v>
      </c>
      <c r="C36" s="86"/>
      <c r="D36" s="86"/>
      <c r="E36" s="86"/>
      <c r="F36" s="86"/>
      <c r="G36" s="86"/>
      <c r="H36" s="86"/>
      <c r="I36" s="86"/>
      <c r="J36" s="86"/>
      <c r="K36" s="86"/>
      <c r="L36" s="86"/>
      <c r="M36" s="497"/>
      <c r="N36" s="86"/>
      <c r="O36" s="86"/>
      <c r="P36" s="86"/>
      <c r="Q36" s="86"/>
      <c r="R36" s="86"/>
      <c r="S36" s="86"/>
      <c r="T36" s="86"/>
      <c r="U36" s="119"/>
      <c r="V36" s="86">
        <f t="shared" si="2"/>
        <v>26</v>
      </c>
    </row>
    <row r="37" spans="1:24" x14ac:dyDescent="0.35">
      <c r="A37" s="86">
        <f t="shared" si="1"/>
        <v>27</v>
      </c>
      <c r="B37" s="130">
        <v>920</v>
      </c>
      <c r="C37" s="19" t="s">
        <v>98</v>
      </c>
      <c r="D37" s="31">
        <v>37.830849999999998</v>
      </c>
      <c r="F37" s="86"/>
      <c r="G37" s="86"/>
      <c r="H37" s="86"/>
      <c r="I37" s="86"/>
      <c r="J37" s="86"/>
      <c r="K37" s="86"/>
      <c r="L37" s="86"/>
      <c r="M37" s="497"/>
      <c r="N37" s="86"/>
      <c r="O37" s="86"/>
      <c r="P37" s="86"/>
      <c r="Q37" s="86"/>
      <c r="R37" s="86"/>
      <c r="S37" s="86"/>
      <c r="T37" s="86"/>
      <c r="U37" s="119"/>
      <c r="V37" s="86">
        <f t="shared" si="2"/>
        <v>27</v>
      </c>
    </row>
    <row r="38" spans="1:24" x14ac:dyDescent="0.35">
      <c r="A38" s="86">
        <f t="shared" si="1"/>
        <v>28</v>
      </c>
      <c r="B38" s="130"/>
      <c r="C38" s="19" t="s">
        <v>491</v>
      </c>
      <c r="D38" s="589">
        <v>873.61009352399992</v>
      </c>
      <c r="E38" s="31"/>
      <c r="U38" s="119"/>
      <c r="V38" s="86">
        <f t="shared" si="2"/>
        <v>28</v>
      </c>
      <c r="X38" s="111"/>
    </row>
    <row r="39" spans="1:24" x14ac:dyDescent="0.35">
      <c r="A39" s="86">
        <f t="shared" si="1"/>
        <v>29</v>
      </c>
      <c r="B39" s="130"/>
      <c r="C39" s="19" t="s">
        <v>492</v>
      </c>
      <c r="D39" s="590">
        <v>56.642625899999999</v>
      </c>
      <c r="E39" s="31">
        <f>SUM(D37:D39)</f>
        <v>968.08356942399996</v>
      </c>
      <c r="U39" s="119"/>
      <c r="V39" s="86">
        <f t="shared" si="2"/>
        <v>29</v>
      </c>
    </row>
    <row r="40" spans="1:24" ht="18" x14ac:dyDescent="0.35">
      <c r="A40" s="86">
        <f t="shared" si="1"/>
        <v>30</v>
      </c>
      <c r="B40" s="130"/>
      <c r="C40" s="19" t="s">
        <v>554</v>
      </c>
      <c r="D40" s="589"/>
      <c r="E40" s="31"/>
      <c r="L40" s="675">
        <f>1015.03238-84.78</f>
        <v>930.25238000000002</v>
      </c>
      <c r="M40" s="661">
        <v>9</v>
      </c>
      <c r="U40" s="119"/>
      <c r="V40" s="86">
        <f t="shared" si="2"/>
        <v>30</v>
      </c>
    </row>
    <row r="41" spans="1:24" x14ac:dyDescent="0.35">
      <c r="A41" s="86">
        <f t="shared" si="1"/>
        <v>31</v>
      </c>
      <c r="B41" s="130">
        <v>921</v>
      </c>
      <c r="C41" s="19" t="s">
        <v>98</v>
      </c>
      <c r="D41" s="87">
        <v>-9.620999999999999E-2</v>
      </c>
      <c r="U41" s="119"/>
      <c r="V41" s="86">
        <f t="shared" si="2"/>
        <v>31</v>
      </c>
    </row>
    <row r="42" spans="1:24" x14ac:dyDescent="0.35">
      <c r="A42" s="86">
        <f t="shared" si="1"/>
        <v>32</v>
      </c>
      <c r="B42" s="130"/>
      <c r="C42" s="19" t="s">
        <v>491</v>
      </c>
      <c r="D42" s="589">
        <v>8254.9592088600002</v>
      </c>
      <c r="U42" s="119"/>
      <c r="V42" s="86">
        <f t="shared" si="2"/>
        <v>32</v>
      </c>
    </row>
    <row r="43" spans="1:24" x14ac:dyDescent="0.35">
      <c r="A43" s="86">
        <f t="shared" si="1"/>
        <v>33</v>
      </c>
      <c r="B43" s="130"/>
      <c r="C43" s="19" t="s">
        <v>492</v>
      </c>
      <c r="D43" s="590">
        <v>1120.1507429919998</v>
      </c>
      <c r="E43" s="87">
        <f>SUM(D41:D43)</f>
        <v>9375.0137418520007</v>
      </c>
      <c r="F43" s="675"/>
      <c r="G43" s="675"/>
      <c r="H43" s="675"/>
      <c r="I43" s="675"/>
      <c r="J43" s="675"/>
      <c r="K43" s="675"/>
      <c r="L43" s="675"/>
      <c r="M43" s="441"/>
      <c r="N43" s="441"/>
      <c r="O43" s="441"/>
      <c r="P43" s="441"/>
      <c r="Q43" s="441"/>
      <c r="R43" s="441"/>
      <c r="S43" s="441"/>
      <c r="T43" s="441"/>
      <c r="U43" s="442"/>
      <c r="V43" s="86">
        <f t="shared" si="2"/>
        <v>33</v>
      </c>
    </row>
    <row r="44" spans="1:24" ht="18.5" x14ac:dyDescent="0.35">
      <c r="A44" s="86">
        <f t="shared" si="1"/>
        <v>34</v>
      </c>
      <c r="B44" s="130"/>
      <c r="C44" s="19" t="s">
        <v>543</v>
      </c>
      <c r="D44" s="589"/>
      <c r="F44" s="675"/>
      <c r="G44" s="675"/>
      <c r="H44" s="675"/>
      <c r="I44" s="675"/>
      <c r="J44" s="675"/>
      <c r="K44" s="675"/>
      <c r="L44" s="76">
        <v>1717.9580000000001</v>
      </c>
      <c r="M44" s="661">
        <v>7</v>
      </c>
      <c r="N44" s="441"/>
      <c r="O44" s="441"/>
      <c r="P44" s="441"/>
      <c r="Q44" s="441"/>
      <c r="R44" s="441"/>
      <c r="S44" s="441"/>
      <c r="T44" s="441"/>
      <c r="U44" s="442"/>
      <c r="V44" s="86">
        <f t="shared" si="2"/>
        <v>34</v>
      </c>
    </row>
    <row r="45" spans="1:24" ht="18" x14ac:dyDescent="0.35">
      <c r="A45" s="86">
        <f t="shared" si="1"/>
        <v>35</v>
      </c>
      <c r="B45" s="130"/>
      <c r="C45" s="19" t="s">
        <v>554</v>
      </c>
      <c r="D45" s="589"/>
      <c r="F45" s="675"/>
      <c r="G45" s="675"/>
      <c r="H45" s="675"/>
      <c r="I45" s="675"/>
      <c r="J45" s="675"/>
      <c r="K45" s="675"/>
      <c r="L45" s="87">
        <f>9503.23885-128.129</f>
        <v>9375.1098499999989</v>
      </c>
      <c r="M45" s="661">
        <v>9</v>
      </c>
      <c r="N45" s="441"/>
      <c r="O45" s="441"/>
      <c r="P45" s="441"/>
      <c r="Q45" s="441"/>
      <c r="R45" s="441"/>
      <c r="S45" s="441"/>
      <c r="T45" s="441"/>
      <c r="U45" s="442"/>
      <c r="V45" s="86">
        <f t="shared" si="2"/>
        <v>35</v>
      </c>
    </row>
    <row r="46" spans="1:24" x14ac:dyDescent="0.35">
      <c r="A46" s="86">
        <f t="shared" si="1"/>
        <v>36</v>
      </c>
      <c r="B46" s="130">
        <v>922</v>
      </c>
      <c r="C46" s="19" t="s">
        <v>492</v>
      </c>
      <c r="D46" s="589"/>
      <c r="E46" s="87">
        <v>-125.07091</v>
      </c>
      <c r="U46" s="119"/>
      <c r="V46" s="86">
        <f t="shared" si="2"/>
        <v>36</v>
      </c>
    </row>
    <row r="47" spans="1:24" ht="18" x14ac:dyDescent="0.35">
      <c r="A47" s="86">
        <f t="shared" si="1"/>
        <v>37</v>
      </c>
      <c r="B47" s="130"/>
      <c r="C47" s="19" t="s">
        <v>554</v>
      </c>
      <c r="D47" s="589"/>
      <c r="L47" s="87">
        <v>-125.12939</v>
      </c>
      <c r="M47" s="661">
        <v>9</v>
      </c>
      <c r="U47" s="119"/>
      <c r="V47" s="86">
        <f t="shared" si="2"/>
        <v>37</v>
      </c>
    </row>
    <row r="48" spans="1:24" x14ac:dyDescent="0.35">
      <c r="A48" s="86">
        <f t="shared" si="1"/>
        <v>38</v>
      </c>
      <c r="B48" s="130">
        <v>923</v>
      </c>
      <c r="C48" s="19" t="s">
        <v>98</v>
      </c>
      <c r="D48" s="29">
        <v>-17.988400000000002</v>
      </c>
      <c r="E48" s="26"/>
      <c r="U48" s="119"/>
      <c r="V48" s="86">
        <f t="shared" si="2"/>
        <v>38</v>
      </c>
    </row>
    <row r="49" spans="1:22" x14ac:dyDescent="0.35">
      <c r="A49" s="86">
        <f t="shared" si="1"/>
        <v>39</v>
      </c>
      <c r="B49" s="130"/>
      <c r="C49" s="19" t="s">
        <v>491</v>
      </c>
      <c r="D49" s="29">
        <v>2086.0140693979997</v>
      </c>
      <c r="F49" s="675"/>
      <c r="G49" s="675"/>
      <c r="H49" s="675"/>
      <c r="I49" s="675"/>
      <c r="J49" s="675"/>
      <c r="K49" s="675"/>
      <c r="L49" s="675"/>
      <c r="M49" s="441"/>
      <c r="N49" s="441"/>
      <c r="O49" s="441"/>
      <c r="P49" s="441"/>
      <c r="Q49" s="441"/>
      <c r="R49" s="441"/>
      <c r="S49" s="441"/>
      <c r="T49" s="441"/>
      <c r="U49" s="442"/>
      <c r="V49" s="86">
        <f t="shared" si="2"/>
        <v>39</v>
      </c>
    </row>
    <row r="50" spans="1:22" x14ac:dyDescent="0.35">
      <c r="A50" s="86">
        <f t="shared" si="1"/>
        <v>40</v>
      </c>
      <c r="B50" s="130"/>
      <c r="C50" s="19" t="s">
        <v>492</v>
      </c>
      <c r="D50" s="29">
        <v>80.426986024000001</v>
      </c>
      <c r="U50" s="119"/>
      <c r="V50" s="86">
        <f t="shared" si="2"/>
        <v>40</v>
      </c>
    </row>
    <row r="51" spans="1:22" ht="18.5" x14ac:dyDescent="0.35">
      <c r="A51" s="86">
        <f t="shared" si="1"/>
        <v>41</v>
      </c>
      <c r="B51" s="130"/>
      <c r="C51" s="40" t="s">
        <v>581</v>
      </c>
      <c r="D51" s="76">
        <v>3185.4904999999999</v>
      </c>
      <c r="U51" s="119"/>
      <c r="V51" s="86">
        <f t="shared" si="2"/>
        <v>41</v>
      </c>
    </row>
    <row r="52" spans="1:22" ht="18.5" x14ac:dyDescent="0.35">
      <c r="A52" s="86">
        <f t="shared" si="1"/>
        <v>42</v>
      </c>
      <c r="B52" s="130"/>
      <c r="C52" s="40" t="s">
        <v>582</v>
      </c>
      <c r="D52" s="76">
        <v>6031</v>
      </c>
      <c r="U52" s="119"/>
      <c r="V52" s="86">
        <f t="shared" si="2"/>
        <v>42</v>
      </c>
    </row>
    <row r="53" spans="1:22" ht="18.5" x14ac:dyDescent="0.35">
      <c r="A53" s="86">
        <f t="shared" si="1"/>
        <v>43</v>
      </c>
      <c r="B53" s="130"/>
      <c r="C53" s="40" t="s">
        <v>583</v>
      </c>
      <c r="D53" s="412">
        <v>1480.604</v>
      </c>
      <c r="E53" s="87">
        <f>SUM(D48:D53)</f>
        <v>12845.547155421998</v>
      </c>
      <c r="U53" s="119"/>
      <c r="V53" s="86">
        <f t="shared" si="2"/>
        <v>43</v>
      </c>
    </row>
    <row r="54" spans="1:22" ht="18" x14ac:dyDescent="0.35">
      <c r="A54" s="86">
        <f t="shared" si="1"/>
        <v>44</v>
      </c>
      <c r="B54" s="130"/>
      <c r="C54" s="131" t="s">
        <v>543</v>
      </c>
      <c r="D54" s="76"/>
      <c r="L54" s="76">
        <v>83.521000000000001</v>
      </c>
      <c r="M54" s="661">
        <v>7</v>
      </c>
      <c r="U54" s="119"/>
      <c r="V54" s="86">
        <f t="shared" si="2"/>
        <v>44</v>
      </c>
    </row>
    <row r="55" spans="1:22" ht="18" x14ac:dyDescent="0.35">
      <c r="A55" s="86">
        <f t="shared" si="1"/>
        <v>45</v>
      </c>
      <c r="B55" s="130"/>
      <c r="C55" s="19" t="s">
        <v>554</v>
      </c>
      <c r="D55" s="76"/>
      <c r="L55" s="87">
        <f>2732.18753-566.172</f>
        <v>2166.0155300000001</v>
      </c>
      <c r="M55" s="661">
        <v>9</v>
      </c>
      <c r="U55" s="119"/>
      <c r="V55" s="86">
        <f t="shared" si="2"/>
        <v>45</v>
      </c>
    </row>
    <row r="56" spans="1:22" x14ac:dyDescent="0.35">
      <c r="A56" s="86">
        <f t="shared" si="1"/>
        <v>46</v>
      </c>
      <c r="B56" s="130">
        <v>925</v>
      </c>
      <c r="C56" s="19" t="s">
        <v>98</v>
      </c>
      <c r="D56" s="29">
        <v>277.64044235400002</v>
      </c>
      <c r="F56" s="46"/>
      <c r="G56" s="46"/>
      <c r="H56" s="46"/>
      <c r="I56" s="46"/>
      <c r="J56" s="46"/>
      <c r="K56" s="46"/>
      <c r="L56" s="46"/>
      <c r="M56" s="55"/>
      <c r="N56" s="55"/>
      <c r="O56" s="55"/>
      <c r="P56" s="55"/>
      <c r="Q56" s="55"/>
      <c r="R56" s="55"/>
      <c r="S56" s="55"/>
      <c r="T56" s="55"/>
      <c r="U56" s="119"/>
      <c r="V56" s="86">
        <f t="shared" si="2"/>
        <v>46</v>
      </c>
    </row>
    <row r="57" spans="1:22" x14ac:dyDescent="0.35">
      <c r="A57" s="86">
        <f t="shared" si="1"/>
        <v>47</v>
      </c>
      <c r="B57" s="130"/>
      <c r="C57" s="19" t="s">
        <v>492</v>
      </c>
      <c r="D57" s="29">
        <v>746.9557907520101</v>
      </c>
      <c r="F57" s="46"/>
      <c r="G57" s="46"/>
      <c r="H57" s="46"/>
      <c r="I57" s="46"/>
      <c r="J57" s="46"/>
      <c r="K57" s="46"/>
      <c r="L57" s="46"/>
      <c r="M57" s="55"/>
      <c r="N57" s="55"/>
      <c r="O57" s="55"/>
      <c r="P57" s="55"/>
      <c r="Q57" s="55"/>
      <c r="R57" s="55"/>
      <c r="S57" s="55"/>
      <c r="T57" s="55"/>
      <c r="U57" s="119"/>
      <c r="V57" s="86">
        <f t="shared" si="2"/>
        <v>47</v>
      </c>
    </row>
    <row r="58" spans="1:22" x14ac:dyDescent="0.35">
      <c r="A58" s="86">
        <f t="shared" si="1"/>
        <v>48</v>
      </c>
      <c r="B58" s="130"/>
      <c r="C58" s="131" t="s">
        <v>496</v>
      </c>
      <c r="D58" s="432">
        <v>80.508890000000008</v>
      </c>
      <c r="E58" s="87">
        <f>SUM(D56:D58)</f>
        <v>1105.1051231060101</v>
      </c>
      <c r="F58" s="46"/>
      <c r="G58" s="46"/>
      <c r="H58" s="46"/>
      <c r="I58" s="46"/>
      <c r="J58" s="46"/>
      <c r="K58" s="46"/>
      <c r="L58" s="46"/>
      <c r="M58" s="55"/>
      <c r="N58" s="55"/>
      <c r="O58" s="55"/>
      <c r="P58" s="55"/>
      <c r="Q58" s="55"/>
      <c r="R58" s="55"/>
      <c r="S58" s="55"/>
      <c r="T58" s="55"/>
      <c r="U58" s="119"/>
      <c r="V58" s="86">
        <f t="shared" si="2"/>
        <v>48</v>
      </c>
    </row>
    <row r="59" spans="1:22" ht="18" x14ac:dyDescent="0.35">
      <c r="A59" s="86">
        <f t="shared" si="1"/>
        <v>49</v>
      </c>
      <c r="B59" s="130"/>
      <c r="C59" s="19" t="s">
        <v>554</v>
      </c>
      <c r="D59" s="29"/>
      <c r="F59" s="46"/>
      <c r="G59" s="46"/>
      <c r="H59" s="46"/>
      <c r="I59" s="46"/>
      <c r="J59" s="46"/>
      <c r="K59" s="46"/>
      <c r="L59" s="87">
        <f>1051.78847-304.833</f>
        <v>746.95546999999988</v>
      </c>
      <c r="M59" s="661">
        <v>9</v>
      </c>
      <c r="N59" s="55"/>
      <c r="O59" s="55"/>
      <c r="P59" s="55"/>
      <c r="Q59" s="55"/>
      <c r="R59" s="55"/>
      <c r="S59" s="55"/>
      <c r="T59" s="55"/>
      <c r="U59" s="119"/>
      <c r="V59" s="86">
        <f t="shared" si="2"/>
        <v>49</v>
      </c>
    </row>
    <row r="60" spans="1:22" x14ac:dyDescent="0.35">
      <c r="A60" s="86">
        <f t="shared" si="1"/>
        <v>50</v>
      </c>
      <c r="B60" s="130">
        <v>926</v>
      </c>
      <c r="C60" s="131" t="s">
        <v>98</v>
      </c>
      <c r="D60" s="29">
        <v>646.29282690599985</v>
      </c>
      <c r="F60" s="40"/>
      <c r="G60" s="40"/>
      <c r="H60" s="40"/>
      <c r="I60" s="40"/>
      <c r="J60" s="40"/>
      <c r="K60" s="40"/>
      <c r="L60" s="40"/>
      <c r="M60" s="496"/>
      <c r="N60" s="496"/>
      <c r="O60" s="496"/>
      <c r="P60" s="496"/>
      <c r="Q60" s="496"/>
      <c r="R60" s="496"/>
      <c r="S60" s="496"/>
      <c r="T60" s="496"/>
      <c r="U60" s="119"/>
      <c r="V60" s="86">
        <f t="shared" si="2"/>
        <v>50</v>
      </c>
    </row>
    <row r="61" spans="1:22" x14ac:dyDescent="0.35">
      <c r="A61" s="86">
        <f t="shared" si="1"/>
        <v>51</v>
      </c>
      <c r="B61" s="130"/>
      <c r="C61" s="131" t="s">
        <v>496</v>
      </c>
      <c r="D61" s="29">
        <v>190.64548000000002</v>
      </c>
      <c r="E61" s="29"/>
      <c r="F61" s="40"/>
      <c r="G61" s="40"/>
      <c r="H61" s="40"/>
      <c r="I61" s="40"/>
      <c r="J61" s="40"/>
      <c r="K61" s="40"/>
      <c r="L61" s="40"/>
      <c r="M61" s="496"/>
      <c r="N61" s="496"/>
      <c r="O61" s="496"/>
      <c r="P61" s="496"/>
      <c r="Q61" s="496"/>
      <c r="R61" s="496"/>
      <c r="S61" s="496"/>
      <c r="T61" s="496"/>
      <c r="U61" s="119"/>
      <c r="V61" s="86">
        <f t="shared" si="2"/>
        <v>51</v>
      </c>
    </row>
    <row r="62" spans="1:22" x14ac:dyDescent="0.35">
      <c r="A62" s="86">
        <f t="shared" si="1"/>
        <v>52</v>
      </c>
      <c r="B62" s="130"/>
      <c r="C62" s="19" t="s">
        <v>492</v>
      </c>
      <c r="D62" s="432">
        <v>1752.650995052019</v>
      </c>
      <c r="E62" s="87">
        <f>SUM(D60:D62)</f>
        <v>2589.589301958019</v>
      </c>
      <c r="F62" s="40"/>
      <c r="G62" s="40"/>
      <c r="H62" s="40"/>
      <c r="I62" s="40"/>
      <c r="J62" s="40"/>
      <c r="K62" s="40"/>
      <c r="L62" s="40"/>
      <c r="M62" s="496"/>
      <c r="N62" s="496"/>
      <c r="O62" s="496"/>
      <c r="P62" s="496"/>
      <c r="Q62" s="496"/>
      <c r="R62" s="496"/>
      <c r="S62" s="496"/>
      <c r="T62" s="496"/>
      <c r="U62" s="119"/>
      <c r="V62" s="86">
        <f t="shared" si="2"/>
        <v>52</v>
      </c>
    </row>
    <row r="63" spans="1:22" ht="18" x14ac:dyDescent="0.35">
      <c r="A63" s="86">
        <f t="shared" si="1"/>
        <v>53</v>
      </c>
      <c r="B63" s="130"/>
      <c r="C63" s="19" t="s">
        <v>554</v>
      </c>
      <c r="D63" s="29"/>
      <c r="F63" s="40"/>
      <c r="G63" s="40"/>
      <c r="H63" s="40"/>
      <c r="I63" s="40"/>
      <c r="J63" s="40"/>
      <c r="K63" s="40"/>
      <c r="L63" s="87">
        <f>2584.69528-832.044</f>
        <v>1752.65128</v>
      </c>
      <c r="M63" s="661">
        <v>9</v>
      </c>
      <c r="N63" s="496"/>
      <c r="O63" s="496"/>
      <c r="P63" s="496"/>
      <c r="Q63" s="496"/>
      <c r="R63" s="496"/>
      <c r="S63" s="496"/>
      <c r="T63" s="496"/>
      <c r="U63" s="119"/>
      <c r="V63" s="86">
        <f t="shared" si="2"/>
        <v>53</v>
      </c>
    </row>
    <row r="64" spans="1:22" x14ac:dyDescent="0.35">
      <c r="A64" s="86">
        <f t="shared" si="1"/>
        <v>54</v>
      </c>
      <c r="B64" s="130">
        <v>927</v>
      </c>
      <c r="C64" s="131" t="s">
        <v>84</v>
      </c>
      <c r="D64" s="132"/>
      <c r="E64" s="26">
        <v>130506.76528000001</v>
      </c>
      <c r="F64" s="40"/>
      <c r="G64" s="40"/>
      <c r="H64" s="40"/>
      <c r="I64" s="40"/>
      <c r="J64" s="40"/>
      <c r="K64" s="40"/>
      <c r="L64" s="40"/>
      <c r="M64" s="496"/>
      <c r="N64" s="496"/>
      <c r="O64" s="496"/>
      <c r="P64" s="496"/>
      <c r="Q64" s="496"/>
      <c r="R64" s="496"/>
      <c r="S64" s="496"/>
      <c r="T64" s="496"/>
      <c r="U64" s="119"/>
      <c r="V64" s="86">
        <f t="shared" si="2"/>
        <v>54</v>
      </c>
    </row>
    <row r="65" spans="1:22" x14ac:dyDescent="0.35">
      <c r="A65" s="86">
        <f t="shared" si="1"/>
        <v>55</v>
      </c>
      <c r="B65" s="130">
        <v>928</v>
      </c>
      <c r="C65" s="19" t="s">
        <v>100</v>
      </c>
      <c r="D65" s="29">
        <v>13015.817289999999</v>
      </c>
      <c r="E65" s="29"/>
      <c r="F65" s="40"/>
      <c r="G65" s="40"/>
      <c r="H65" s="40"/>
      <c r="I65" s="40"/>
      <c r="J65" s="40"/>
      <c r="K65" s="40"/>
      <c r="L65" s="40"/>
      <c r="M65" s="496"/>
      <c r="N65" s="496"/>
      <c r="O65" s="496"/>
      <c r="P65" s="496"/>
      <c r="Q65" s="496"/>
      <c r="R65" s="496"/>
      <c r="S65" s="496"/>
      <c r="T65" s="496"/>
      <c r="U65" s="119"/>
      <c r="V65" s="86">
        <f t="shared" si="2"/>
        <v>55</v>
      </c>
    </row>
    <row r="66" spans="1:22" x14ac:dyDescent="0.35">
      <c r="A66" s="86">
        <f t="shared" si="1"/>
        <v>56</v>
      </c>
      <c r="B66" s="130"/>
      <c r="C66" s="131" t="s">
        <v>98</v>
      </c>
      <c r="D66" s="29">
        <v>428.3049200000001</v>
      </c>
      <c r="E66" s="29"/>
      <c r="F66" s="40"/>
      <c r="G66" s="40"/>
      <c r="H66" s="40"/>
      <c r="I66" s="40"/>
      <c r="J66" s="40"/>
      <c r="K66" s="40"/>
      <c r="L66" s="40"/>
      <c r="M66" s="496"/>
      <c r="N66" s="496"/>
      <c r="O66" s="496"/>
      <c r="P66" s="496"/>
      <c r="Q66" s="496"/>
      <c r="R66" s="496"/>
      <c r="S66" s="496"/>
      <c r="T66" s="496"/>
      <c r="U66" s="119"/>
      <c r="V66" s="86">
        <f t="shared" si="2"/>
        <v>56</v>
      </c>
    </row>
    <row r="67" spans="1:22" x14ac:dyDescent="0.35">
      <c r="A67" s="86">
        <f t="shared" si="1"/>
        <v>57</v>
      </c>
      <c r="B67" s="130"/>
      <c r="C67" s="131" t="s">
        <v>101</v>
      </c>
      <c r="D67" s="591">
        <v>40.544630000000005</v>
      </c>
      <c r="E67" s="29"/>
      <c r="F67" s="40"/>
      <c r="G67" s="40"/>
      <c r="H67" s="40"/>
      <c r="I67" s="40"/>
      <c r="J67" s="40"/>
      <c r="K67" s="40"/>
      <c r="L67" s="40"/>
      <c r="M67" s="496"/>
      <c r="N67" s="496"/>
      <c r="O67" s="496"/>
      <c r="P67" s="496"/>
      <c r="Q67" s="496"/>
      <c r="R67" s="496"/>
      <c r="S67" s="496"/>
      <c r="T67" s="496"/>
      <c r="U67" s="119"/>
      <c r="V67" s="86">
        <f t="shared" si="2"/>
        <v>57</v>
      </c>
    </row>
    <row r="68" spans="1:22" x14ac:dyDescent="0.35">
      <c r="A68" s="86">
        <f t="shared" si="1"/>
        <v>58</v>
      </c>
      <c r="B68" s="130"/>
      <c r="C68" s="19" t="s">
        <v>18</v>
      </c>
      <c r="D68" s="29">
        <v>0</v>
      </c>
      <c r="E68" s="29"/>
      <c r="F68" s="40"/>
      <c r="G68" s="40"/>
      <c r="H68" s="40"/>
      <c r="I68" s="40"/>
      <c r="J68" s="40"/>
      <c r="K68" s="40"/>
      <c r="L68" s="40"/>
      <c r="M68" s="496"/>
      <c r="N68" s="496"/>
      <c r="O68" s="496"/>
      <c r="P68" s="496"/>
      <c r="Q68" s="496"/>
      <c r="R68" s="496"/>
      <c r="S68" s="496"/>
      <c r="T68" s="496"/>
      <c r="U68" s="119"/>
      <c r="V68" s="86">
        <f t="shared" si="2"/>
        <v>58</v>
      </c>
    </row>
    <row r="69" spans="1:22" x14ac:dyDescent="0.35">
      <c r="A69" s="86">
        <f t="shared" si="1"/>
        <v>59</v>
      </c>
      <c r="B69" s="134"/>
      <c r="C69" s="19" t="s">
        <v>99</v>
      </c>
      <c r="D69" s="29">
        <v>2085.1866</v>
      </c>
      <c r="F69" s="40"/>
      <c r="G69" s="40"/>
      <c r="H69" s="40"/>
      <c r="I69" s="40"/>
      <c r="J69" s="40"/>
      <c r="K69" s="40"/>
      <c r="L69" s="40"/>
      <c r="M69" s="496"/>
      <c r="N69" s="496"/>
      <c r="O69" s="496"/>
      <c r="P69" s="496"/>
      <c r="Q69" s="496"/>
      <c r="R69" s="496"/>
      <c r="S69" s="496"/>
      <c r="T69" s="496"/>
      <c r="U69" s="119"/>
      <c r="V69" s="86">
        <f t="shared" si="2"/>
        <v>59</v>
      </c>
    </row>
    <row r="70" spans="1:22" ht="18.5" x14ac:dyDescent="0.35">
      <c r="A70" s="86">
        <f t="shared" si="1"/>
        <v>60</v>
      </c>
      <c r="B70" s="134"/>
      <c r="C70" s="40" t="s">
        <v>584</v>
      </c>
      <c r="D70" s="432">
        <v>1002.516</v>
      </c>
      <c r="E70" s="592">
        <f>SUM(D65:D70)</f>
        <v>16572.369439999999</v>
      </c>
      <c r="F70" s="40"/>
      <c r="G70" s="40"/>
      <c r="H70" s="40"/>
      <c r="I70" s="40"/>
      <c r="J70" s="40"/>
      <c r="K70" s="40"/>
      <c r="L70" s="40"/>
      <c r="M70" s="496"/>
      <c r="N70" s="496"/>
      <c r="O70" s="496"/>
      <c r="P70" s="496"/>
      <c r="Q70" s="496"/>
      <c r="R70" s="496"/>
      <c r="S70" s="496"/>
      <c r="T70" s="496"/>
      <c r="U70" s="119"/>
      <c r="V70" s="86">
        <f t="shared" si="2"/>
        <v>60</v>
      </c>
    </row>
    <row r="71" spans="1:22" ht="18" x14ac:dyDescent="0.35">
      <c r="A71" s="86">
        <f t="shared" si="1"/>
        <v>61</v>
      </c>
      <c r="B71" s="692">
        <v>929</v>
      </c>
      <c r="C71" s="140" t="s">
        <v>607</v>
      </c>
      <c r="D71" s="29"/>
      <c r="E71" s="592"/>
      <c r="F71" s="40"/>
      <c r="G71" s="40"/>
      <c r="H71" s="40"/>
      <c r="I71" s="40"/>
      <c r="J71" s="40"/>
      <c r="K71" s="40"/>
      <c r="L71" s="40"/>
      <c r="M71" s="496"/>
      <c r="N71" s="496"/>
      <c r="O71" s="496"/>
      <c r="P71" s="496"/>
      <c r="Q71" s="496"/>
      <c r="R71" s="673"/>
      <c r="S71" s="696"/>
      <c r="T71" s="496"/>
      <c r="U71" s="119"/>
      <c r="V71" s="86">
        <f t="shared" si="2"/>
        <v>61</v>
      </c>
    </row>
    <row r="72" spans="1:22" x14ac:dyDescent="0.35">
      <c r="A72" s="86">
        <f t="shared" si="1"/>
        <v>62</v>
      </c>
      <c r="B72" s="135">
        <v>930.1</v>
      </c>
      <c r="C72" s="19" t="s">
        <v>89</v>
      </c>
      <c r="D72" s="29"/>
      <c r="E72" s="87">
        <v>-204.155</v>
      </c>
      <c r="F72" s="40"/>
      <c r="G72" s="40"/>
      <c r="H72" s="40"/>
      <c r="I72" s="40"/>
      <c r="J72" s="40"/>
      <c r="K72" s="40"/>
      <c r="L72" s="40"/>
      <c r="M72" s="496"/>
      <c r="N72" s="496"/>
      <c r="O72" s="496"/>
      <c r="P72" s="496"/>
      <c r="Q72" s="496"/>
      <c r="R72" s="496"/>
      <c r="S72" s="496"/>
      <c r="T72" s="496"/>
      <c r="U72" s="119"/>
      <c r="V72" s="86">
        <f t="shared" si="2"/>
        <v>62</v>
      </c>
    </row>
    <row r="73" spans="1:22" x14ac:dyDescent="0.35">
      <c r="A73" s="86">
        <f t="shared" si="1"/>
        <v>63</v>
      </c>
      <c r="B73" s="135">
        <v>930.2</v>
      </c>
      <c r="C73" s="131" t="s">
        <v>103</v>
      </c>
      <c r="D73" s="593">
        <f>1342.92+1017.8</f>
        <v>2360.7200000000003</v>
      </c>
      <c r="F73" s="40"/>
      <c r="G73" s="40"/>
      <c r="H73" s="40"/>
      <c r="I73" s="40"/>
      <c r="J73" s="40"/>
      <c r="K73" s="40"/>
      <c r="L73" s="40"/>
      <c r="M73" s="496"/>
      <c r="N73" s="496"/>
      <c r="O73" s="496"/>
      <c r="P73" s="496"/>
      <c r="Q73" s="496"/>
      <c r="R73" s="496"/>
      <c r="S73" s="496"/>
      <c r="T73" s="496"/>
      <c r="U73" s="119"/>
      <c r="V73" s="86">
        <f t="shared" si="2"/>
        <v>63</v>
      </c>
    </row>
    <row r="74" spans="1:22" ht="18" x14ac:dyDescent="0.35">
      <c r="A74" s="86">
        <f t="shared" si="1"/>
        <v>64</v>
      </c>
      <c r="B74" s="135"/>
      <c r="C74" s="131" t="s">
        <v>543</v>
      </c>
      <c r="D74" s="593"/>
      <c r="F74" s="40"/>
      <c r="G74" s="40"/>
      <c r="H74" s="40"/>
      <c r="I74" s="40"/>
      <c r="J74" s="40"/>
      <c r="K74" s="40"/>
      <c r="L74" s="87">
        <v>595.57100000000003</v>
      </c>
      <c r="M74" s="661">
        <v>7</v>
      </c>
      <c r="N74" s="496"/>
      <c r="O74" s="496"/>
      <c r="P74" s="496"/>
      <c r="Q74" s="496"/>
      <c r="R74" s="496"/>
      <c r="S74" s="496"/>
      <c r="T74" s="496"/>
      <c r="U74" s="119"/>
      <c r="V74" s="86">
        <f t="shared" si="2"/>
        <v>64</v>
      </c>
    </row>
    <row r="75" spans="1:22" ht="18.5" x14ac:dyDescent="0.35">
      <c r="A75" s="86">
        <f t="shared" si="1"/>
        <v>65</v>
      </c>
      <c r="B75" s="135"/>
      <c r="C75" s="131" t="s">
        <v>580</v>
      </c>
      <c r="D75" s="593">
        <v>-690.76700000000005</v>
      </c>
      <c r="F75" s="40"/>
      <c r="G75" s="40"/>
      <c r="H75" s="40"/>
      <c r="I75" s="40"/>
      <c r="J75" s="40"/>
      <c r="K75" s="40"/>
      <c r="L75" s="52">
        <f>D75</f>
        <v>-690.76700000000005</v>
      </c>
      <c r="M75" s="643">
        <v>8</v>
      </c>
      <c r="N75" s="496"/>
      <c r="O75" s="496"/>
      <c r="P75" s="496"/>
      <c r="Q75" s="496"/>
      <c r="R75" s="496"/>
      <c r="S75" s="496"/>
      <c r="T75" s="496"/>
      <c r="U75" s="119"/>
      <c r="V75" s="86">
        <f t="shared" si="2"/>
        <v>65</v>
      </c>
    </row>
    <row r="76" spans="1:22" ht="18.5" x14ac:dyDescent="0.35">
      <c r="A76" s="86">
        <f t="shared" si="1"/>
        <v>66</v>
      </c>
      <c r="B76" s="135"/>
      <c r="C76" s="131" t="s">
        <v>585</v>
      </c>
      <c r="D76" s="412">
        <v>-1452.373</v>
      </c>
      <c r="E76" s="593">
        <f>SUM(D73:D76)</f>
        <v>217.58000000000015</v>
      </c>
      <c r="F76" s="40"/>
      <c r="G76" s="40"/>
      <c r="H76" s="40"/>
      <c r="I76" s="40"/>
      <c r="J76" s="40"/>
      <c r="K76" s="40"/>
      <c r="L76" s="40"/>
      <c r="M76" s="496"/>
      <c r="N76" s="496"/>
      <c r="O76" s="496"/>
      <c r="P76" s="496"/>
      <c r="Q76" s="496"/>
      <c r="R76" s="496"/>
      <c r="S76" s="496"/>
      <c r="T76" s="496"/>
      <c r="U76" s="119"/>
      <c r="V76" s="86">
        <f t="shared" si="2"/>
        <v>66</v>
      </c>
    </row>
    <row r="77" spans="1:22" x14ac:dyDescent="0.35">
      <c r="A77" s="86">
        <f t="shared" si="1"/>
        <v>67</v>
      </c>
      <c r="B77" s="130">
        <v>935</v>
      </c>
      <c r="C77" s="131" t="s">
        <v>102</v>
      </c>
      <c r="D77" s="593">
        <f>-207.87024-1719.52219</f>
        <v>-1927.3924299999999</v>
      </c>
      <c r="E77" s="594"/>
      <c r="F77" s="40"/>
      <c r="G77" s="40"/>
      <c r="H77" s="40"/>
      <c r="I77" s="40"/>
      <c r="J77" s="40"/>
      <c r="K77" s="40"/>
      <c r="L77" s="40"/>
      <c r="M77" s="496"/>
      <c r="N77" s="496"/>
      <c r="O77" s="496"/>
      <c r="P77" s="496"/>
      <c r="Q77" s="496"/>
      <c r="R77" s="496"/>
      <c r="S77" s="496"/>
      <c r="T77" s="496"/>
      <c r="U77" s="119"/>
      <c r="V77" s="86">
        <f t="shared" si="2"/>
        <v>67</v>
      </c>
    </row>
    <row r="78" spans="1:22" x14ac:dyDescent="0.35">
      <c r="A78" s="86">
        <f t="shared" si="1"/>
        <v>68</v>
      </c>
      <c r="B78" s="130"/>
      <c r="C78" s="136" t="s">
        <v>104</v>
      </c>
      <c r="D78" s="595">
        <v>12.147468914000001</v>
      </c>
      <c r="E78" s="595">
        <f>SUM(D77:D78)</f>
        <v>-1915.2449610859999</v>
      </c>
      <c r="F78" s="40"/>
      <c r="G78" s="40"/>
      <c r="H78" s="40"/>
      <c r="I78" s="40"/>
      <c r="J78" s="40"/>
      <c r="K78" s="40"/>
      <c r="L78" s="739"/>
      <c r="M78" s="496"/>
      <c r="N78" s="496"/>
      <c r="O78" s="496"/>
      <c r="P78" s="496"/>
      <c r="Q78" s="496"/>
      <c r="R78" s="496"/>
      <c r="S78" s="496"/>
      <c r="T78" s="496"/>
      <c r="U78" s="119"/>
      <c r="V78" s="86">
        <f t="shared" si="2"/>
        <v>68</v>
      </c>
    </row>
    <row r="79" spans="1:22" x14ac:dyDescent="0.35">
      <c r="A79" s="86">
        <f t="shared" si="1"/>
        <v>69</v>
      </c>
      <c r="B79" s="137"/>
      <c r="C79" s="138"/>
      <c r="D79" s="443"/>
      <c r="E79" s="38"/>
      <c r="F79" s="496"/>
      <c r="G79" s="496"/>
      <c r="H79" s="496"/>
      <c r="I79" s="496"/>
      <c r="J79" s="496"/>
      <c r="K79" s="496"/>
      <c r="L79" s="496"/>
      <c r="M79" s="496"/>
      <c r="N79" s="496"/>
      <c r="O79" s="496"/>
      <c r="P79" s="496"/>
      <c r="Q79" s="496"/>
      <c r="R79" s="496"/>
      <c r="S79" s="496"/>
      <c r="T79" s="496"/>
      <c r="U79" s="119"/>
      <c r="V79" s="86">
        <f t="shared" si="2"/>
        <v>69</v>
      </c>
    </row>
    <row r="80" spans="1:22" ht="16" thickBot="1" x14ac:dyDescent="0.4">
      <c r="A80" s="86">
        <f t="shared" ref="A80:A101" si="9">A79+1</f>
        <v>70</v>
      </c>
      <c r="B80" s="139"/>
      <c r="C80" s="140" t="s">
        <v>67</v>
      </c>
      <c r="D80" s="133"/>
      <c r="E80" s="444">
        <f>SUM(E37:E78)</f>
        <v>171935.58274067604</v>
      </c>
      <c r="F80" s="496"/>
      <c r="G80" s="496"/>
      <c r="H80" s="496"/>
      <c r="I80" s="496"/>
      <c r="J80" s="496"/>
      <c r="K80" s="496"/>
      <c r="L80" s="444">
        <f>SUM(L37:L78)</f>
        <v>16552.13812</v>
      </c>
      <c r="M80" s="496"/>
      <c r="N80" s="697"/>
      <c r="O80" s="496"/>
      <c r="P80" s="496"/>
      <c r="Q80" s="496"/>
      <c r="R80" s="141"/>
      <c r="S80" s="496"/>
      <c r="T80" s="496"/>
      <c r="U80" s="119"/>
      <c r="V80" s="86">
        <f t="shared" ref="V80:V101" si="10">V79+1</f>
        <v>70</v>
      </c>
    </row>
    <row r="81" spans="1:22" ht="16" thickTop="1" x14ac:dyDescent="0.35">
      <c r="A81" s="86">
        <f t="shared" si="9"/>
        <v>71</v>
      </c>
      <c r="B81" s="139"/>
      <c r="C81" s="140"/>
      <c r="D81" s="133"/>
      <c r="E81" s="141"/>
      <c r="F81" s="496"/>
      <c r="G81" s="496"/>
      <c r="H81" s="496"/>
      <c r="I81" s="496"/>
      <c r="J81" s="496"/>
      <c r="K81" s="496"/>
      <c r="L81" s="496"/>
      <c r="M81" s="496"/>
      <c r="N81" s="496"/>
      <c r="O81" s="496"/>
      <c r="P81" s="496"/>
      <c r="Q81" s="496"/>
      <c r="R81" s="496"/>
      <c r="S81" s="496"/>
      <c r="T81" s="496"/>
      <c r="U81" s="119"/>
      <c r="V81" s="86">
        <f t="shared" si="10"/>
        <v>71</v>
      </c>
    </row>
    <row r="82" spans="1:22" x14ac:dyDescent="0.35">
      <c r="A82" s="86">
        <f t="shared" si="9"/>
        <v>72</v>
      </c>
      <c r="B82" s="139"/>
      <c r="C82" s="140"/>
      <c r="D82" s="133"/>
      <c r="E82" s="141"/>
      <c r="F82" s="496"/>
      <c r="G82" s="496"/>
      <c r="H82" s="496"/>
      <c r="I82" s="496"/>
      <c r="J82" s="496"/>
      <c r="K82" s="496"/>
      <c r="L82" s="496"/>
      <c r="M82" s="496"/>
      <c r="N82" s="496"/>
      <c r="O82" s="496"/>
      <c r="P82" s="496"/>
      <c r="Q82" s="496"/>
      <c r="R82" s="496"/>
      <c r="S82" s="496"/>
      <c r="T82" s="496"/>
      <c r="U82" s="119"/>
      <c r="V82" s="86">
        <f t="shared" si="10"/>
        <v>72</v>
      </c>
    </row>
    <row r="83" spans="1:22" x14ac:dyDescent="0.35">
      <c r="A83" s="86">
        <f t="shared" si="9"/>
        <v>73</v>
      </c>
      <c r="B83" s="68" t="s">
        <v>16</v>
      </c>
      <c r="C83" s="140" t="str">
        <f>'Pg8 Rev Stmt AH'!B77</f>
        <v>Items in BOLD have changed to correct the over-allocation of "Duplicate Charges (Company Energy Use)" Credit in FERC Account no. 929.</v>
      </c>
      <c r="D83" s="133"/>
      <c r="E83" s="141"/>
      <c r="F83" s="496"/>
      <c r="G83" s="496"/>
      <c r="H83" s="496"/>
      <c r="I83" s="496"/>
      <c r="J83" s="496"/>
      <c r="K83" s="496"/>
      <c r="L83" s="496"/>
      <c r="M83" s="496"/>
      <c r="N83" s="496"/>
      <c r="O83" s="496"/>
      <c r="P83" s="496"/>
      <c r="Q83" s="496"/>
      <c r="R83" s="496"/>
      <c r="S83" s="496"/>
      <c r="T83" s="496"/>
      <c r="U83" s="119"/>
      <c r="V83" s="86">
        <f t="shared" si="10"/>
        <v>73</v>
      </c>
    </row>
    <row r="84" spans="1:22" ht="18.5" x14ac:dyDescent="0.35">
      <c r="A84" s="86">
        <f t="shared" si="9"/>
        <v>74</v>
      </c>
      <c r="B84" s="434">
        <v>1</v>
      </c>
      <c r="C84" s="433" t="s">
        <v>515</v>
      </c>
      <c r="E84" s="141"/>
      <c r="F84" s="496"/>
      <c r="G84" s="496"/>
      <c r="H84" s="496"/>
      <c r="I84" s="496"/>
      <c r="J84" s="496"/>
      <c r="K84" s="496"/>
      <c r="L84" s="22"/>
      <c r="M84" s="496"/>
      <c r="N84" s="496"/>
      <c r="O84" s="496"/>
      <c r="P84" s="496"/>
      <c r="Q84" s="496"/>
      <c r="R84" s="496"/>
      <c r="S84" s="496"/>
      <c r="T84" s="496"/>
      <c r="U84" s="119"/>
      <c r="V84" s="86">
        <f t="shared" si="10"/>
        <v>74</v>
      </c>
    </row>
    <row r="85" spans="1:22" ht="18.5" x14ac:dyDescent="0.35">
      <c r="A85" s="86">
        <f t="shared" si="9"/>
        <v>75</v>
      </c>
      <c r="B85" s="445"/>
      <c r="C85" s="18" t="s">
        <v>331</v>
      </c>
      <c r="E85" s="141"/>
      <c r="F85" s="496"/>
      <c r="G85" s="496"/>
      <c r="H85" s="496"/>
      <c r="I85" s="496"/>
      <c r="J85" s="496"/>
      <c r="K85" s="496"/>
      <c r="L85" s="496"/>
      <c r="M85" s="496"/>
      <c r="N85" s="496"/>
      <c r="O85" s="496"/>
      <c r="P85" s="496"/>
      <c r="Q85" s="496"/>
      <c r="R85" s="496"/>
      <c r="S85" s="496"/>
      <c r="T85" s="496"/>
      <c r="U85" s="119"/>
      <c r="V85" s="86">
        <f t="shared" si="10"/>
        <v>75</v>
      </c>
    </row>
    <row r="86" spans="1:22" ht="18" x14ac:dyDescent="0.35">
      <c r="A86" s="86">
        <f t="shared" si="9"/>
        <v>76</v>
      </c>
      <c r="B86" s="596" t="s">
        <v>499</v>
      </c>
      <c r="C86" s="40" t="s">
        <v>500</v>
      </c>
      <c r="E86" s="141"/>
      <c r="F86" s="496"/>
      <c r="G86" s="496"/>
      <c r="H86" s="496"/>
      <c r="I86" s="496"/>
      <c r="J86" s="496"/>
      <c r="K86" s="496"/>
      <c r="L86" s="496"/>
      <c r="M86" s="496"/>
      <c r="N86" s="496"/>
      <c r="O86" s="496"/>
      <c r="P86" s="496"/>
      <c r="Q86" s="496"/>
      <c r="R86" s="496"/>
      <c r="S86" s="496"/>
      <c r="T86" s="496"/>
      <c r="U86" s="119"/>
      <c r="V86" s="86">
        <f t="shared" si="10"/>
        <v>76</v>
      </c>
    </row>
    <row r="87" spans="1:22" ht="18" x14ac:dyDescent="0.35">
      <c r="A87" s="86">
        <f t="shared" si="9"/>
        <v>77</v>
      </c>
      <c r="B87" s="596"/>
      <c r="C87" s="40" t="s">
        <v>501</v>
      </c>
      <c r="E87" s="141"/>
      <c r="F87" s="496"/>
      <c r="G87" s="496"/>
      <c r="H87" s="496"/>
      <c r="I87" s="496"/>
      <c r="J87" s="496"/>
      <c r="K87" s="496"/>
      <c r="L87" s="496"/>
      <c r="M87" s="496"/>
      <c r="N87" s="496"/>
      <c r="O87" s="496"/>
      <c r="P87" s="496"/>
      <c r="Q87" s="496"/>
      <c r="R87" s="496"/>
      <c r="S87" s="496"/>
      <c r="T87" s="496"/>
      <c r="U87" s="119"/>
      <c r="V87" s="86">
        <f t="shared" si="10"/>
        <v>77</v>
      </c>
    </row>
    <row r="88" spans="1:22" ht="18" x14ac:dyDescent="0.35">
      <c r="A88" s="86">
        <f t="shared" si="9"/>
        <v>78</v>
      </c>
      <c r="B88" s="596" t="s">
        <v>502</v>
      </c>
      <c r="C88" s="40" t="s">
        <v>503</v>
      </c>
      <c r="E88" s="141"/>
      <c r="F88" s="496"/>
      <c r="G88" s="496"/>
      <c r="H88" s="496"/>
      <c r="I88" s="496"/>
      <c r="J88" s="496"/>
      <c r="K88" s="496"/>
      <c r="L88" s="496"/>
      <c r="M88" s="496"/>
      <c r="N88" s="496"/>
      <c r="O88" s="496"/>
      <c r="P88" s="496"/>
      <c r="Q88" s="496"/>
      <c r="R88" s="496"/>
      <c r="S88" s="496"/>
      <c r="T88" s="496"/>
      <c r="U88" s="119"/>
      <c r="V88" s="86">
        <f t="shared" si="10"/>
        <v>78</v>
      </c>
    </row>
    <row r="89" spans="1:22" ht="18" x14ac:dyDescent="0.35">
      <c r="A89" s="86">
        <f t="shared" si="9"/>
        <v>79</v>
      </c>
      <c r="B89" s="596"/>
      <c r="C89" s="40" t="s">
        <v>504</v>
      </c>
      <c r="E89" s="141"/>
      <c r="F89" s="496"/>
      <c r="G89" s="496"/>
      <c r="H89" s="496"/>
      <c r="I89" s="496"/>
      <c r="J89" s="496"/>
      <c r="K89" s="496"/>
      <c r="L89" s="496"/>
      <c r="M89" s="496"/>
      <c r="N89" s="496"/>
      <c r="O89" s="496"/>
      <c r="P89" s="496"/>
      <c r="Q89" s="496"/>
      <c r="R89" s="496"/>
      <c r="S89" s="496"/>
      <c r="T89" s="496"/>
      <c r="U89" s="119"/>
      <c r="V89" s="86">
        <f t="shared" si="10"/>
        <v>79</v>
      </c>
    </row>
    <row r="90" spans="1:22" ht="18" x14ac:dyDescent="0.35">
      <c r="A90" s="86">
        <f t="shared" si="9"/>
        <v>80</v>
      </c>
      <c r="B90" s="596"/>
      <c r="C90" s="40" t="s">
        <v>505</v>
      </c>
      <c r="E90" s="141"/>
      <c r="F90" s="496"/>
      <c r="G90" s="496"/>
      <c r="H90" s="496"/>
      <c r="I90" s="496"/>
      <c r="J90" s="496"/>
      <c r="K90" s="496"/>
      <c r="L90" s="496"/>
      <c r="M90" s="496"/>
      <c r="N90" s="496"/>
      <c r="O90" s="496"/>
      <c r="P90" s="496"/>
      <c r="Q90" s="496"/>
      <c r="R90" s="496"/>
      <c r="S90" s="496"/>
      <c r="T90" s="496"/>
      <c r="U90" s="119"/>
      <c r="V90" s="86">
        <f t="shared" si="10"/>
        <v>80</v>
      </c>
    </row>
    <row r="91" spans="1:22" ht="18" x14ac:dyDescent="0.35">
      <c r="A91" s="86">
        <f t="shared" si="9"/>
        <v>81</v>
      </c>
      <c r="B91" s="596" t="s">
        <v>506</v>
      </c>
      <c r="C91" s="40" t="s">
        <v>507</v>
      </c>
      <c r="E91" s="141"/>
      <c r="F91" s="496"/>
      <c r="G91" s="496"/>
      <c r="H91" s="496"/>
      <c r="I91" s="496"/>
      <c r="J91" s="496"/>
      <c r="K91" s="496"/>
      <c r="L91" s="496"/>
      <c r="M91" s="496"/>
      <c r="N91" s="496"/>
      <c r="O91" s="496"/>
      <c r="P91" s="496"/>
      <c r="Q91" s="496"/>
      <c r="R91" s="496"/>
      <c r="S91" s="496"/>
      <c r="T91" s="496"/>
      <c r="U91" s="119"/>
      <c r="V91" s="86">
        <f t="shared" si="10"/>
        <v>81</v>
      </c>
    </row>
    <row r="92" spans="1:22" ht="18" x14ac:dyDescent="0.35">
      <c r="A92" s="86">
        <f t="shared" si="9"/>
        <v>82</v>
      </c>
      <c r="B92" s="596"/>
      <c r="C92" s="40" t="s">
        <v>508</v>
      </c>
      <c r="E92" s="141"/>
      <c r="F92" s="496"/>
      <c r="G92" s="496"/>
      <c r="H92" s="496"/>
      <c r="I92" s="496"/>
      <c r="J92" s="496"/>
      <c r="K92" s="496"/>
      <c r="L92" s="496"/>
      <c r="M92" s="496"/>
      <c r="N92" s="496"/>
      <c r="O92" s="496"/>
      <c r="P92" s="496"/>
      <c r="Q92" s="496"/>
      <c r="R92" s="496"/>
      <c r="S92" s="496"/>
      <c r="T92" s="496"/>
      <c r="U92" s="119"/>
      <c r="V92" s="86">
        <f t="shared" si="10"/>
        <v>82</v>
      </c>
    </row>
    <row r="93" spans="1:22" ht="18" x14ac:dyDescent="0.35">
      <c r="A93" s="86">
        <f t="shared" si="9"/>
        <v>83</v>
      </c>
      <c r="B93" s="597">
        <v>5</v>
      </c>
      <c r="C93" s="40" t="s">
        <v>514</v>
      </c>
      <c r="E93" s="141"/>
      <c r="F93" s="496"/>
      <c r="G93" s="496"/>
      <c r="H93" s="496"/>
      <c r="I93" s="496"/>
      <c r="J93" s="496"/>
      <c r="K93" s="496"/>
      <c r="L93" s="496"/>
      <c r="M93" s="496"/>
      <c r="N93" s="496"/>
      <c r="O93" s="496"/>
      <c r="P93" s="496"/>
      <c r="Q93" s="496"/>
      <c r="R93" s="496"/>
      <c r="S93" s="496"/>
      <c r="T93" s="496"/>
      <c r="U93" s="119"/>
      <c r="V93" s="86">
        <f t="shared" si="10"/>
        <v>83</v>
      </c>
    </row>
    <row r="94" spans="1:22" ht="18" x14ac:dyDescent="0.35">
      <c r="A94" s="86">
        <f t="shared" si="9"/>
        <v>84</v>
      </c>
      <c r="B94" s="597">
        <v>6</v>
      </c>
      <c r="C94" s="40" t="s">
        <v>509</v>
      </c>
      <c r="D94" s="133"/>
      <c r="E94" s="141"/>
      <c r="F94" s="496"/>
      <c r="G94" s="496"/>
      <c r="H94" s="496"/>
      <c r="I94" s="496"/>
      <c r="J94" s="496"/>
      <c r="K94" s="496"/>
      <c r="L94" s="496"/>
      <c r="M94" s="496"/>
      <c r="N94" s="496"/>
      <c r="O94" s="496"/>
      <c r="P94" s="496"/>
      <c r="Q94" s="496"/>
      <c r="R94" s="496"/>
      <c r="S94" s="496"/>
      <c r="T94" s="496"/>
      <c r="U94" s="119"/>
      <c r="V94" s="86">
        <f t="shared" si="10"/>
        <v>84</v>
      </c>
    </row>
    <row r="95" spans="1:22" ht="18" x14ac:dyDescent="0.35">
      <c r="A95" s="86">
        <f t="shared" si="9"/>
        <v>85</v>
      </c>
      <c r="B95" s="597">
        <v>7</v>
      </c>
      <c r="C95" s="40" t="s">
        <v>547</v>
      </c>
      <c r="D95" s="133"/>
      <c r="E95" s="141"/>
      <c r="F95" s="496"/>
      <c r="G95" s="496"/>
      <c r="H95" s="496"/>
      <c r="I95" s="496"/>
      <c r="J95" s="496"/>
      <c r="K95" s="496"/>
      <c r="L95" s="496"/>
      <c r="M95" s="496"/>
      <c r="N95" s="496"/>
      <c r="O95" s="496"/>
      <c r="P95" s="496"/>
      <c r="Q95" s="496"/>
      <c r="R95" s="496"/>
      <c r="S95" s="496"/>
      <c r="T95" s="496"/>
      <c r="U95" s="119"/>
      <c r="V95" s="86">
        <f t="shared" si="10"/>
        <v>85</v>
      </c>
    </row>
    <row r="96" spans="1:22" ht="18" x14ac:dyDescent="0.35">
      <c r="A96" s="86">
        <f t="shared" si="9"/>
        <v>86</v>
      </c>
      <c r="B96" s="597"/>
      <c r="C96" s="40" t="s">
        <v>548</v>
      </c>
      <c r="D96" s="133"/>
      <c r="E96" s="141"/>
      <c r="F96" s="496"/>
      <c r="G96" s="496"/>
      <c r="H96" s="496"/>
      <c r="I96" s="496"/>
      <c r="J96" s="496"/>
      <c r="K96" s="496"/>
      <c r="L96" s="496"/>
      <c r="M96" s="496"/>
      <c r="N96" s="496"/>
      <c r="O96" s="496"/>
      <c r="P96" s="496"/>
      <c r="Q96" s="496"/>
      <c r="R96" s="496"/>
      <c r="S96" s="496"/>
      <c r="T96" s="496"/>
      <c r="U96" s="119"/>
      <c r="V96" s="86">
        <f t="shared" si="10"/>
        <v>86</v>
      </c>
    </row>
    <row r="97" spans="1:22" ht="18" x14ac:dyDescent="0.35">
      <c r="A97" s="86">
        <f t="shared" si="9"/>
        <v>87</v>
      </c>
      <c r="B97" s="597">
        <v>8</v>
      </c>
      <c r="C97" s="197" t="s">
        <v>544</v>
      </c>
      <c r="D97" s="133"/>
      <c r="E97" s="141"/>
      <c r="F97" s="496"/>
      <c r="G97" s="496"/>
      <c r="H97" s="496"/>
      <c r="I97" s="496"/>
      <c r="J97" s="496"/>
      <c r="K97" s="496"/>
      <c r="L97" s="496"/>
      <c r="M97" s="496"/>
      <c r="N97" s="496"/>
      <c r="O97" s="496"/>
      <c r="P97" s="496"/>
      <c r="Q97" s="496"/>
      <c r="R97" s="496"/>
      <c r="S97" s="496"/>
      <c r="T97" s="496"/>
      <c r="U97" s="119"/>
      <c r="V97" s="86">
        <f t="shared" si="10"/>
        <v>87</v>
      </c>
    </row>
    <row r="98" spans="1:22" ht="16.5" x14ac:dyDescent="0.35">
      <c r="A98" s="86">
        <f t="shared" si="9"/>
        <v>88</v>
      </c>
      <c r="B98" s="663">
        <v>9</v>
      </c>
      <c r="C98" s="18" t="s">
        <v>555</v>
      </c>
      <c r="D98" s="133"/>
      <c r="E98" s="141"/>
      <c r="F98" s="496"/>
      <c r="G98" s="496"/>
      <c r="H98" s="496"/>
      <c r="I98" s="496"/>
      <c r="J98" s="496"/>
      <c r="K98" s="496"/>
      <c r="L98" s="496"/>
      <c r="M98" s="496"/>
      <c r="N98" s="496"/>
      <c r="O98" s="496"/>
      <c r="P98" s="496"/>
      <c r="Q98" s="496"/>
      <c r="R98" s="496"/>
      <c r="S98" s="496"/>
      <c r="T98" s="496"/>
      <c r="U98" s="119"/>
      <c r="V98" s="86">
        <f t="shared" si="10"/>
        <v>88</v>
      </c>
    </row>
    <row r="99" spans="1:22" ht="16.5" x14ac:dyDescent="0.35">
      <c r="A99" s="86">
        <f t="shared" si="9"/>
        <v>89</v>
      </c>
      <c r="B99" s="663">
        <v>10</v>
      </c>
      <c r="C99" s="18" t="s">
        <v>605</v>
      </c>
      <c r="D99" s="133"/>
      <c r="E99" s="141"/>
      <c r="F99" s="496"/>
      <c r="G99" s="496"/>
      <c r="H99" s="496"/>
      <c r="I99" s="496"/>
      <c r="J99" s="496"/>
      <c r="K99" s="496"/>
      <c r="L99" s="496"/>
      <c r="M99" s="496"/>
      <c r="N99" s="496"/>
      <c r="O99" s="496"/>
      <c r="P99" s="496"/>
      <c r="Q99" s="496"/>
      <c r="R99" s="496"/>
      <c r="S99" s="496"/>
      <c r="T99" s="496"/>
      <c r="U99" s="119"/>
      <c r="V99" s="86">
        <f t="shared" si="10"/>
        <v>89</v>
      </c>
    </row>
    <row r="100" spans="1:22" ht="16.5" x14ac:dyDescent="0.35">
      <c r="A100" s="86">
        <f t="shared" si="9"/>
        <v>90</v>
      </c>
      <c r="B100" s="663">
        <v>11</v>
      </c>
      <c r="C100" s="433" t="s">
        <v>579</v>
      </c>
      <c r="D100" s="133"/>
      <c r="E100" s="141"/>
      <c r="F100" s="496"/>
      <c r="G100" s="496"/>
      <c r="H100" s="496"/>
      <c r="I100" s="496"/>
      <c r="J100" s="496"/>
      <c r="K100" s="496"/>
      <c r="L100" s="496"/>
      <c r="M100" s="496"/>
      <c r="N100" s="496"/>
      <c r="O100" s="496"/>
      <c r="P100" s="496"/>
      <c r="Q100" s="496"/>
      <c r="R100" s="496"/>
      <c r="S100" s="496"/>
      <c r="T100" s="496"/>
      <c r="U100" s="119"/>
      <c r="V100" s="86">
        <f t="shared" si="10"/>
        <v>90</v>
      </c>
    </row>
    <row r="101" spans="1:22" ht="16" thickBot="1" x14ac:dyDescent="0.4">
      <c r="A101" s="86">
        <f t="shared" si="9"/>
        <v>91</v>
      </c>
      <c r="B101" s="142"/>
      <c r="C101" s="143"/>
      <c r="D101" s="88"/>
      <c r="E101" s="88"/>
      <c r="F101" s="88"/>
      <c r="G101" s="88"/>
      <c r="H101" s="88"/>
      <c r="I101" s="88"/>
      <c r="J101" s="88"/>
      <c r="K101" s="88"/>
      <c r="L101" s="88"/>
      <c r="M101" s="728"/>
      <c r="N101" s="88"/>
      <c r="O101" s="88"/>
      <c r="P101" s="88"/>
      <c r="Q101" s="88"/>
      <c r="R101" s="88"/>
      <c r="S101" s="88"/>
      <c r="T101" s="88"/>
      <c r="U101" s="128"/>
      <c r="V101" s="86">
        <f t="shared" si="10"/>
        <v>91</v>
      </c>
    </row>
    <row r="102" spans="1:22" x14ac:dyDescent="0.35">
      <c r="C102" s="111"/>
    </row>
    <row r="103" spans="1:22" x14ac:dyDescent="0.35">
      <c r="A103" s="497"/>
      <c r="C103" s="111"/>
      <c r="D103" s="144"/>
      <c r="E103" s="144"/>
    </row>
    <row r="104" spans="1:22" ht="18" x14ac:dyDescent="0.35">
      <c r="A104" s="145"/>
      <c r="B104" s="435"/>
      <c r="C104" s="18"/>
      <c r="D104" s="223"/>
      <c r="E104" s="223"/>
      <c r="F104" s="223"/>
      <c r="G104" s="223"/>
      <c r="H104" s="223"/>
      <c r="I104" s="223"/>
      <c r="J104" s="223"/>
      <c r="K104" s="223"/>
      <c r="L104" s="223"/>
      <c r="M104" s="223"/>
      <c r="N104" s="223"/>
      <c r="O104" s="223"/>
      <c r="P104" s="223"/>
      <c r="Q104" s="223"/>
      <c r="R104" s="223"/>
      <c r="S104" s="223"/>
      <c r="T104" s="223"/>
    </row>
    <row r="105" spans="1:22" ht="18" x14ac:dyDescent="0.35">
      <c r="A105" s="145"/>
      <c r="B105" s="435"/>
      <c r="C105" s="302"/>
      <c r="D105" s="223"/>
      <c r="E105" s="223"/>
      <c r="F105" s="223"/>
      <c r="G105" s="223"/>
      <c r="H105" s="223"/>
      <c r="I105" s="223"/>
      <c r="J105" s="223"/>
      <c r="K105" s="223"/>
      <c r="L105" s="223"/>
      <c r="M105" s="223"/>
      <c r="N105" s="223"/>
      <c r="O105" s="223"/>
      <c r="P105" s="223"/>
      <c r="Q105" s="223"/>
      <c r="R105" s="223"/>
      <c r="S105" s="223"/>
      <c r="T105" s="223"/>
    </row>
    <row r="106" spans="1:22" ht="18" x14ac:dyDescent="0.35">
      <c r="A106" s="145"/>
      <c r="B106" s="39"/>
      <c r="C106" s="18"/>
      <c r="D106" s="18"/>
      <c r="E106" s="18"/>
      <c r="F106" s="18"/>
      <c r="G106" s="18"/>
      <c r="H106" s="18"/>
      <c r="I106" s="18"/>
      <c r="J106" s="18"/>
      <c r="K106" s="18"/>
      <c r="L106" s="18"/>
      <c r="M106" s="22"/>
      <c r="N106" s="18"/>
      <c r="O106" s="18"/>
      <c r="P106" s="18"/>
      <c r="Q106" s="18"/>
      <c r="R106" s="18"/>
      <c r="S106" s="18"/>
      <c r="T106" s="18"/>
    </row>
    <row r="107" spans="1:22" ht="18" x14ac:dyDescent="0.35">
      <c r="A107" s="145"/>
      <c r="C107" s="111"/>
    </row>
    <row r="108" spans="1:22" ht="18" x14ac:dyDescent="0.35">
      <c r="A108" s="145"/>
      <c r="C108" s="111"/>
    </row>
    <row r="109" spans="1:22" ht="18" x14ac:dyDescent="0.35">
      <c r="A109" s="145"/>
      <c r="C109" s="111"/>
    </row>
    <row r="110" spans="1:22" x14ac:dyDescent="0.35">
      <c r="A110" s="497"/>
      <c r="C110" s="111"/>
    </row>
    <row r="111" spans="1:22" ht="18" x14ac:dyDescent="0.35">
      <c r="A111" s="145"/>
      <c r="C111" s="111"/>
    </row>
    <row r="112" spans="1:22" x14ac:dyDescent="0.35">
      <c r="A112" s="497"/>
      <c r="C112" s="111"/>
    </row>
    <row r="113" spans="1:3" ht="18" x14ac:dyDescent="0.35">
      <c r="A113" s="145"/>
      <c r="C113" s="111"/>
    </row>
    <row r="114" spans="1:3" x14ac:dyDescent="0.35">
      <c r="A114" s="497"/>
      <c r="C114" s="111"/>
    </row>
    <row r="115" spans="1:3" ht="18" x14ac:dyDescent="0.35">
      <c r="A115" s="145"/>
      <c r="C115" s="111"/>
    </row>
    <row r="116" spans="1:3" ht="18" x14ac:dyDescent="0.35">
      <c r="A116" s="145"/>
      <c r="B116" s="111"/>
    </row>
    <row r="117" spans="1:3" ht="18" x14ac:dyDescent="0.35">
      <c r="A117" s="145"/>
      <c r="B117" s="111"/>
    </row>
    <row r="118" spans="1:3" x14ac:dyDescent="0.35">
      <c r="B118" s="111"/>
    </row>
    <row r="119" spans="1:3" ht="18" x14ac:dyDescent="0.35">
      <c r="A119" s="145"/>
      <c r="B119" s="111"/>
    </row>
    <row r="120" spans="1:3" x14ac:dyDescent="0.35">
      <c r="A120" s="446"/>
      <c r="B120" s="447"/>
    </row>
    <row r="121" spans="1:3" x14ac:dyDescent="0.35">
      <c r="B121" s="111"/>
    </row>
  </sheetData>
  <mergeCells count="4">
    <mergeCell ref="B2:U2"/>
    <mergeCell ref="B3:U3"/>
    <mergeCell ref="B4:U4"/>
    <mergeCell ref="B5:U5"/>
  </mergeCells>
  <printOptions horizontalCentered="1"/>
  <pageMargins left="0.25" right="0.25" top="0.5" bottom="0.5" header="0.35" footer="0.25"/>
  <pageSetup scale="35" orientation="portrait" r:id="rId1"/>
  <headerFooter scaleWithDoc="0" alignWithMargins="0">
    <oddHeader>&amp;C&amp;"Times New Roman,Bold"&amp;6REVISED</oddHeader>
    <oddFooter>&amp;L&amp;F&amp;CPage 8.3&amp;R&amp;A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2EAD-90D3-49EB-9CF4-A0D80E4D595F}">
  <sheetPr>
    <pageSetUpPr fitToPage="1"/>
  </sheetPr>
  <dimension ref="A1:S119"/>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6" width="16.81640625" style="87" customWidth="1"/>
    <col min="7" max="7" width="1.54296875" style="87" customWidth="1"/>
    <col min="8" max="8" width="16.81640625" style="87" customWidth="1"/>
    <col min="9" max="9" width="2.81640625" style="87" bestFit="1" customWidth="1"/>
    <col min="10" max="10" width="16.81640625" style="87" customWidth="1"/>
    <col min="11" max="11" width="2.81640625" style="87" customWidth="1"/>
    <col min="12" max="12" width="16.81640625" style="87" customWidth="1"/>
    <col min="13" max="13" width="2.453125" style="87" customWidth="1"/>
    <col min="14" max="14" width="20.1796875" style="87" bestFit="1" customWidth="1"/>
    <col min="15" max="15" width="34.54296875" style="87" customWidth="1"/>
    <col min="16" max="16" width="5.1796875" style="86" customWidth="1"/>
    <col min="17" max="17" width="4" style="87" customWidth="1"/>
    <col min="18" max="18" width="13.1796875" style="87" bestFit="1" customWidth="1"/>
    <col min="19" max="19" width="9.1796875" style="87"/>
    <col min="20" max="20" width="9.81640625" style="87" customWidth="1"/>
    <col min="21" max="21" width="10" style="87" customWidth="1"/>
    <col min="22" max="16384" width="9.1796875" style="87"/>
  </cols>
  <sheetData>
    <row r="1" spans="1:19" x14ac:dyDescent="0.35">
      <c r="A1" s="614" t="s">
        <v>688</v>
      </c>
    </row>
    <row r="2" spans="1:19" x14ac:dyDescent="0.35">
      <c r="O2" s="41"/>
    </row>
    <row r="3" spans="1:19" x14ac:dyDescent="0.35">
      <c r="B3" s="787" t="s">
        <v>24</v>
      </c>
      <c r="C3" s="787"/>
      <c r="D3" s="787"/>
      <c r="E3" s="787"/>
      <c r="F3" s="787"/>
      <c r="G3" s="787"/>
      <c r="H3" s="787"/>
      <c r="I3" s="787"/>
      <c r="J3" s="787"/>
      <c r="K3" s="787"/>
      <c r="L3" s="787"/>
      <c r="M3" s="787"/>
      <c r="N3" s="787"/>
      <c r="O3" s="787"/>
      <c r="P3" s="497"/>
    </row>
    <row r="4" spans="1:19" x14ac:dyDescent="0.35">
      <c r="B4" s="787" t="s">
        <v>68</v>
      </c>
      <c r="C4" s="787"/>
      <c r="D4" s="787"/>
      <c r="E4" s="787"/>
      <c r="F4" s="787"/>
      <c r="G4" s="787"/>
      <c r="H4" s="787"/>
      <c r="I4" s="787"/>
      <c r="J4" s="787"/>
      <c r="K4" s="787"/>
      <c r="L4" s="787"/>
      <c r="M4" s="787"/>
      <c r="N4" s="787"/>
      <c r="O4" s="787"/>
      <c r="P4" s="497"/>
    </row>
    <row r="5" spans="1:19" x14ac:dyDescent="0.35">
      <c r="B5" s="787" t="s">
        <v>490</v>
      </c>
      <c r="C5" s="787"/>
      <c r="D5" s="787"/>
      <c r="E5" s="787"/>
      <c r="F5" s="787"/>
      <c r="G5" s="787"/>
      <c r="H5" s="787"/>
      <c r="I5" s="787"/>
      <c r="J5" s="787"/>
      <c r="K5" s="787"/>
      <c r="L5" s="787"/>
      <c r="M5" s="787"/>
      <c r="N5" s="787"/>
      <c r="O5" s="787"/>
      <c r="P5" s="497"/>
    </row>
    <row r="6" spans="1:19" x14ac:dyDescent="0.35">
      <c r="B6" s="788" t="s">
        <v>1</v>
      </c>
      <c r="C6" s="788"/>
      <c r="D6" s="788"/>
      <c r="E6" s="788"/>
      <c r="F6" s="788"/>
      <c r="G6" s="788"/>
      <c r="H6" s="788"/>
      <c r="I6" s="788"/>
      <c r="J6" s="788"/>
      <c r="K6" s="788"/>
      <c r="L6" s="788"/>
      <c r="M6" s="788"/>
      <c r="N6" s="788"/>
      <c r="O6" s="788"/>
      <c r="P6" s="497"/>
    </row>
    <row r="7" spans="1:19" ht="16" thickBot="1" x14ac:dyDescent="0.4">
      <c r="D7" s="88"/>
      <c r="E7" s="88"/>
      <c r="F7" s="88"/>
      <c r="G7" s="88"/>
      <c r="H7" s="88"/>
      <c r="I7" s="88"/>
      <c r="J7" s="88"/>
      <c r="K7" s="88"/>
      <c r="L7" s="88"/>
      <c r="M7" s="88"/>
      <c r="N7" s="88"/>
      <c r="O7" s="88"/>
      <c r="R7" s="40"/>
    </row>
    <row r="8" spans="1:19" ht="18" x14ac:dyDescent="0.3">
      <c r="A8" s="497"/>
      <c r="B8" s="89"/>
      <c r="C8" s="90"/>
      <c r="D8" s="91" t="s">
        <v>10</v>
      </c>
      <c r="E8" s="92" t="s">
        <v>56</v>
      </c>
      <c r="F8" s="91" t="s">
        <v>57</v>
      </c>
      <c r="G8" s="92"/>
      <c r="H8" s="610" t="s">
        <v>516</v>
      </c>
      <c r="I8" s="71"/>
      <c r="J8" s="71" t="s">
        <v>58</v>
      </c>
      <c r="K8" s="629"/>
      <c r="L8" s="610" t="s">
        <v>540</v>
      </c>
      <c r="M8" s="631"/>
      <c r="N8" s="635" t="s">
        <v>541</v>
      </c>
      <c r="O8" s="93"/>
      <c r="P8" s="497"/>
    </row>
    <row r="9" spans="1:19" x14ac:dyDescent="0.3">
      <c r="A9" s="86" t="s">
        <v>2</v>
      </c>
      <c r="B9" s="94" t="s">
        <v>59</v>
      </c>
      <c r="C9" s="95"/>
      <c r="D9" s="96" t="s">
        <v>9</v>
      </c>
      <c r="E9" s="497" t="s">
        <v>60</v>
      </c>
      <c r="F9" s="96" t="s">
        <v>9</v>
      </c>
      <c r="G9" s="97"/>
      <c r="H9" s="495" t="s">
        <v>325</v>
      </c>
      <c r="I9" s="436"/>
      <c r="J9" s="72" t="s">
        <v>61</v>
      </c>
      <c r="K9" s="218"/>
      <c r="L9" s="218" t="s">
        <v>542</v>
      </c>
      <c r="M9" s="632"/>
      <c r="N9" s="636" t="s">
        <v>65</v>
      </c>
      <c r="O9" s="98"/>
      <c r="P9" s="86" t="s">
        <v>2</v>
      </c>
    </row>
    <row r="10" spans="1:19" ht="16" thickBot="1" x14ac:dyDescent="0.35">
      <c r="A10" s="86" t="s">
        <v>6</v>
      </c>
      <c r="B10" s="99" t="s">
        <v>62</v>
      </c>
      <c r="C10" s="100" t="s">
        <v>3</v>
      </c>
      <c r="D10" s="101" t="s">
        <v>63</v>
      </c>
      <c r="E10" s="100" t="s">
        <v>64</v>
      </c>
      <c r="F10" s="101" t="s">
        <v>65</v>
      </c>
      <c r="G10" s="102"/>
      <c r="H10" s="125" t="s">
        <v>326</v>
      </c>
      <c r="I10" s="126"/>
      <c r="J10" s="103" t="s">
        <v>69</v>
      </c>
      <c r="K10" s="630"/>
      <c r="L10" s="125" t="s">
        <v>549</v>
      </c>
      <c r="M10" s="633"/>
      <c r="N10" s="637" t="s">
        <v>550</v>
      </c>
      <c r="O10" s="104" t="s">
        <v>5</v>
      </c>
      <c r="P10" s="86" t="s">
        <v>6</v>
      </c>
      <c r="Q10" s="86"/>
    </row>
    <row r="11" spans="1:19" x14ac:dyDescent="0.35">
      <c r="B11" s="105"/>
      <c r="C11" s="106" t="s">
        <v>70</v>
      </c>
      <c r="D11" s="437"/>
      <c r="E11" s="437"/>
      <c r="F11" s="107"/>
      <c r="G11" s="108"/>
      <c r="H11" s="108"/>
      <c r="I11" s="108"/>
      <c r="J11" s="109"/>
      <c r="K11" s="108"/>
      <c r="L11" s="108"/>
      <c r="M11" s="108"/>
      <c r="N11" s="107"/>
      <c r="O11" s="110"/>
    </row>
    <row r="12" spans="1:19" ht="18.5" x14ac:dyDescent="0.35">
      <c r="A12" s="86">
        <v>1</v>
      </c>
      <c r="B12" s="94">
        <v>920</v>
      </c>
      <c r="C12" s="111" t="s">
        <v>71</v>
      </c>
      <c r="D12" s="74">
        <v>46411.108999999997</v>
      </c>
      <c r="E12" s="74">
        <f>E40</f>
        <v>968.08356942399996</v>
      </c>
      <c r="F12" s="74">
        <f>D12-E12</f>
        <v>45443.025430575995</v>
      </c>
      <c r="G12" s="25"/>
      <c r="H12" s="37"/>
      <c r="I12" s="507"/>
      <c r="J12" s="74">
        <f t="shared" ref="J12:J25" si="0">F12+H12</f>
        <v>45443.025430575995</v>
      </c>
      <c r="K12" s="25" t="s">
        <v>16</v>
      </c>
      <c r="L12" s="78">
        <f>L41</f>
        <v>930.25238000000002</v>
      </c>
      <c r="M12" s="662">
        <v>9</v>
      </c>
      <c r="N12" s="80">
        <f>J12+L12</f>
        <v>46373.277810575993</v>
      </c>
      <c r="O12" s="73" t="s">
        <v>72</v>
      </c>
      <c r="P12" s="86">
        <f>A12</f>
        <v>1</v>
      </c>
      <c r="Q12" s="87" t="s">
        <v>11</v>
      </c>
      <c r="R12" s="112"/>
    </row>
    <row r="13" spans="1:19" ht="18.5" x14ac:dyDescent="0.35">
      <c r="A13" s="86">
        <f t="shared" ref="A13:A76" si="1">A12+1</f>
        <v>2</v>
      </c>
      <c r="B13" s="94">
        <v>921</v>
      </c>
      <c r="C13" s="111" t="s">
        <v>73</v>
      </c>
      <c r="D13" s="75">
        <v>28861</v>
      </c>
      <c r="E13" s="76">
        <f>E44</f>
        <v>9375.0137418520007</v>
      </c>
      <c r="F13" s="75">
        <f>D13-E13</f>
        <v>19485.986258147997</v>
      </c>
      <c r="G13" s="25"/>
      <c r="H13" s="76"/>
      <c r="I13" s="507"/>
      <c r="J13" s="75">
        <f t="shared" si="0"/>
        <v>19485.986258147997</v>
      </c>
      <c r="K13" s="25" t="s">
        <v>16</v>
      </c>
      <c r="L13" s="608">
        <v>1717.9580000000001</v>
      </c>
      <c r="M13" s="634">
        <v>7</v>
      </c>
      <c r="N13" s="613">
        <f>J13+L13+L14</f>
        <v>30579.054108147997</v>
      </c>
      <c r="O13" s="73" t="s">
        <v>74</v>
      </c>
      <c r="P13" s="86">
        <f t="shared" ref="P13:P76" si="2">P12+1</f>
        <v>2</v>
      </c>
      <c r="R13" s="112"/>
      <c r="S13" s="113"/>
    </row>
    <row r="14" spans="1:19" ht="18.5" x14ac:dyDescent="0.35">
      <c r="A14" s="86">
        <f t="shared" si="1"/>
        <v>3</v>
      </c>
      <c r="B14" s="94">
        <v>921</v>
      </c>
      <c r="C14" s="111" t="s">
        <v>73</v>
      </c>
      <c r="D14" s="75"/>
      <c r="E14" s="76"/>
      <c r="F14" s="75"/>
      <c r="G14" s="25"/>
      <c r="H14" s="76"/>
      <c r="I14" s="507"/>
      <c r="J14" s="75"/>
      <c r="K14" s="25" t="s">
        <v>16</v>
      </c>
      <c r="L14" s="608">
        <f>L46</f>
        <v>9375.1098499999989</v>
      </c>
      <c r="M14" s="662">
        <v>9</v>
      </c>
      <c r="N14" s="613"/>
      <c r="O14" s="73" t="s">
        <v>74</v>
      </c>
      <c r="P14" s="86">
        <f t="shared" si="2"/>
        <v>3</v>
      </c>
      <c r="R14" s="112"/>
      <c r="S14" s="113"/>
    </row>
    <row r="15" spans="1:19" ht="16.5" x14ac:dyDescent="0.35">
      <c r="A15" s="86">
        <f t="shared" si="1"/>
        <v>4</v>
      </c>
      <c r="B15" s="94">
        <v>922</v>
      </c>
      <c r="C15" s="111" t="s">
        <v>75</v>
      </c>
      <c r="D15" s="75">
        <v>-18872.382000000001</v>
      </c>
      <c r="E15" s="76">
        <f>E47</f>
        <v>-125.07091</v>
      </c>
      <c r="F15" s="75">
        <f>D15-E15</f>
        <v>-18747.311090000003</v>
      </c>
      <c r="G15" s="76"/>
      <c r="H15" s="76"/>
      <c r="I15" s="77"/>
      <c r="J15" s="75">
        <f t="shared" si="0"/>
        <v>-18747.311090000003</v>
      </c>
      <c r="K15" s="25" t="s">
        <v>16</v>
      </c>
      <c r="L15" s="608">
        <f>L48</f>
        <v>-125.12939</v>
      </c>
      <c r="M15" s="662">
        <v>9</v>
      </c>
      <c r="N15" s="613">
        <f>J15+L15</f>
        <v>-18872.440480000001</v>
      </c>
      <c r="O15" s="73" t="s">
        <v>76</v>
      </c>
      <c r="P15" s="86">
        <f t="shared" si="2"/>
        <v>4</v>
      </c>
      <c r="R15" s="112"/>
    </row>
    <row r="16" spans="1:19" ht="18.5" x14ac:dyDescent="0.35">
      <c r="A16" s="86">
        <f t="shared" si="1"/>
        <v>5</v>
      </c>
      <c r="B16" s="94">
        <v>923</v>
      </c>
      <c r="C16" s="111" t="s">
        <v>77</v>
      </c>
      <c r="D16" s="75">
        <v>108535.25900000001</v>
      </c>
      <c r="E16" s="76">
        <f>E54</f>
        <v>12845.547155421998</v>
      </c>
      <c r="F16" s="75">
        <f>D16-E16</f>
        <v>95689.711844578007</v>
      </c>
      <c r="G16" s="25"/>
      <c r="H16" s="76"/>
      <c r="I16" s="507"/>
      <c r="J16" s="75">
        <f t="shared" si="0"/>
        <v>95689.711844578007</v>
      </c>
      <c r="K16" s="25" t="s">
        <v>16</v>
      </c>
      <c r="L16" s="608">
        <v>83.521000000000001</v>
      </c>
      <c r="M16" s="634">
        <v>7</v>
      </c>
      <c r="N16" s="613">
        <f>J16+L16+L17</f>
        <v>97939.248374578005</v>
      </c>
      <c r="O16" s="73" t="s">
        <v>78</v>
      </c>
      <c r="P16" s="86">
        <f t="shared" si="2"/>
        <v>5</v>
      </c>
      <c r="R16" s="112"/>
    </row>
    <row r="17" spans="1:18" ht="18.5" x14ac:dyDescent="0.35">
      <c r="A17" s="86">
        <f t="shared" si="1"/>
        <v>6</v>
      </c>
      <c r="B17" s="94">
        <v>923</v>
      </c>
      <c r="C17" s="111" t="s">
        <v>77</v>
      </c>
      <c r="D17" s="75"/>
      <c r="E17" s="76"/>
      <c r="F17" s="75"/>
      <c r="G17" s="25"/>
      <c r="H17" s="76"/>
      <c r="I17" s="507"/>
      <c r="J17" s="75"/>
      <c r="K17" s="25" t="s">
        <v>16</v>
      </c>
      <c r="L17" s="608">
        <f>L56</f>
        <v>2166.0155300000001</v>
      </c>
      <c r="M17" s="662">
        <v>9</v>
      </c>
      <c r="N17" s="613"/>
      <c r="O17" s="73" t="s">
        <v>78</v>
      </c>
      <c r="P17" s="86">
        <f t="shared" si="2"/>
        <v>6</v>
      </c>
      <c r="R17" s="112"/>
    </row>
    <row r="18" spans="1:18" x14ac:dyDescent="0.35">
      <c r="A18" s="86">
        <f t="shared" si="1"/>
        <v>7</v>
      </c>
      <c r="B18" s="105">
        <v>924</v>
      </c>
      <c r="C18" s="111" t="s">
        <v>79</v>
      </c>
      <c r="D18" s="75">
        <v>8310.402</v>
      </c>
      <c r="E18" s="76">
        <v>0</v>
      </c>
      <c r="F18" s="75">
        <f t="shared" ref="F18:F19" si="3">D18-E18</f>
        <v>8310.402</v>
      </c>
      <c r="G18" s="76"/>
      <c r="H18" s="76"/>
      <c r="I18" s="77"/>
      <c r="J18" s="75">
        <f t="shared" si="0"/>
        <v>8310.402</v>
      </c>
      <c r="K18" s="76"/>
      <c r="L18" s="76"/>
      <c r="M18" s="76"/>
      <c r="N18" s="75">
        <f t="shared" ref="N18:N27" si="4">J18+L18</f>
        <v>8310.402</v>
      </c>
      <c r="O18" s="73" t="s">
        <v>80</v>
      </c>
      <c r="P18" s="86">
        <f t="shared" si="2"/>
        <v>7</v>
      </c>
      <c r="R18" s="112"/>
    </row>
    <row r="19" spans="1:18" ht="18.5" x14ac:dyDescent="0.35">
      <c r="A19" s="86">
        <f t="shared" si="1"/>
        <v>8</v>
      </c>
      <c r="B19" s="94">
        <v>925</v>
      </c>
      <c r="C19" s="111" t="s">
        <v>81</v>
      </c>
      <c r="D19" s="75">
        <v>181130.33900000001</v>
      </c>
      <c r="E19" s="76">
        <f>E59</f>
        <v>1105.1051231060101</v>
      </c>
      <c r="F19" s="75">
        <f t="shared" si="3"/>
        <v>180025.233876894</v>
      </c>
      <c r="G19" s="665"/>
      <c r="H19" s="37">
        <v>-130.33199999999999</v>
      </c>
      <c r="I19" s="507">
        <v>5</v>
      </c>
      <c r="J19" s="75">
        <f t="shared" si="0"/>
        <v>179894.901876894</v>
      </c>
      <c r="K19" s="25" t="s">
        <v>16</v>
      </c>
      <c r="L19" s="608">
        <f>L60</f>
        <v>746.95546999999988</v>
      </c>
      <c r="M19" s="662">
        <v>9</v>
      </c>
      <c r="N19" s="613">
        <f t="shared" si="4"/>
        <v>180641.85734689399</v>
      </c>
      <c r="O19" s="73" t="s">
        <v>82</v>
      </c>
      <c r="P19" s="86">
        <f t="shared" si="2"/>
        <v>8</v>
      </c>
      <c r="R19" s="112"/>
    </row>
    <row r="20" spans="1:18" ht="18.5" x14ac:dyDescent="0.35">
      <c r="A20" s="86">
        <f t="shared" si="1"/>
        <v>9</v>
      </c>
      <c r="B20" s="94">
        <v>926</v>
      </c>
      <c r="C20" s="111" t="s">
        <v>327</v>
      </c>
      <c r="D20" s="75">
        <v>62304.38</v>
      </c>
      <c r="E20" s="76">
        <f>E63</f>
        <v>2589.589301958019</v>
      </c>
      <c r="F20" s="75">
        <f>D20-E20</f>
        <v>59714.790698041979</v>
      </c>
      <c r="G20" s="25"/>
      <c r="H20" s="76"/>
      <c r="I20" s="507"/>
      <c r="J20" s="75">
        <f t="shared" si="0"/>
        <v>59714.790698041979</v>
      </c>
      <c r="K20" s="25" t="s">
        <v>16</v>
      </c>
      <c r="L20" s="608">
        <f>L64</f>
        <v>1752.65128</v>
      </c>
      <c r="M20" s="662">
        <v>9</v>
      </c>
      <c r="N20" s="613">
        <f t="shared" si="4"/>
        <v>61467.441978041978</v>
      </c>
      <c r="O20" s="73" t="s">
        <v>83</v>
      </c>
      <c r="P20" s="86">
        <f t="shared" si="2"/>
        <v>9</v>
      </c>
      <c r="R20" s="114"/>
    </row>
    <row r="21" spans="1:18" x14ac:dyDescent="0.35">
      <c r="A21" s="86">
        <f t="shared" si="1"/>
        <v>10</v>
      </c>
      <c r="B21" s="105">
        <v>927</v>
      </c>
      <c r="C21" s="111" t="s">
        <v>84</v>
      </c>
      <c r="D21" s="75">
        <v>130506.765</v>
      </c>
      <c r="E21" s="76">
        <f>E65</f>
        <v>130506.76528000001</v>
      </c>
      <c r="F21" s="75">
        <f t="shared" ref="F21:F23" si="5">D21-E21</f>
        <v>-2.8000000747852027E-4</v>
      </c>
      <c r="G21" s="76"/>
      <c r="H21" s="76"/>
      <c r="I21" s="77"/>
      <c r="J21" s="75">
        <f t="shared" si="0"/>
        <v>-2.8000000747852027E-4</v>
      </c>
      <c r="K21" s="76"/>
      <c r="L21" s="76"/>
      <c r="M21" s="76"/>
      <c r="N21" s="75">
        <f t="shared" si="4"/>
        <v>-2.8000000747852027E-4</v>
      </c>
      <c r="O21" s="73" t="s">
        <v>85</v>
      </c>
      <c r="P21" s="86">
        <f t="shared" si="2"/>
        <v>10</v>
      </c>
      <c r="R21" s="114"/>
    </row>
    <row r="22" spans="1:18" x14ac:dyDescent="0.3">
      <c r="A22" s="86">
        <f t="shared" si="1"/>
        <v>11</v>
      </c>
      <c r="B22" s="105">
        <v>928</v>
      </c>
      <c r="C22" s="111" t="s">
        <v>328</v>
      </c>
      <c r="D22" s="75">
        <v>27995.793000000001</v>
      </c>
      <c r="E22" s="76">
        <f>E71</f>
        <v>16572.369439999999</v>
      </c>
      <c r="F22" s="75">
        <f t="shared" si="5"/>
        <v>11423.423560000003</v>
      </c>
      <c r="G22" s="76"/>
      <c r="H22" s="76"/>
      <c r="I22" s="116"/>
      <c r="J22" s="75">
        <f t="shared" si="0"/>
        <v>11423.423560000003</v>
      </c>
      <c r="K22" s="76"/>
      <c r="L22" s="76"/>
      <c r="M22" s="76"/>
      <c r="N22" s="75">
        <f t="shared" si="4"/>
        <v>11423.423560000003</v>
      </c>
      <c r="O22" s="73" t="s">
        <v>86</v>
      </c>
      <c r="P22" s="86">
        <f t="shared" si="2"/>
        <v>11</v>
      </c>
      <c r="R22" s="114"/>
    </row>
    <row r="23" spans="1:18" x14ac:dyDescent="0.35">
      <c r="A23" s="86">
        <f t="shared" si="1"/>
        <v>12</v>
      </c>
      <c r="B23" s="105">
        <v>929</v>
      </c>
      <c r="C23" s="111" t="s">
        <v>87</v>
      </c>
      <c r="D23" s="75">
        <v>-2772.7849999999999</v>
      </c>
      <c r="E23" s="76">
        <v>0</v>
      </c>
      <c r="F23" s="75">
        <f t="shared" si="5"/>
        <v>-2772.7849999999999</v>
      </c>
      <c r="G23" s="76"/>
      <c r="H23" s="76"/>
      <c r="I23" s="77"/>
      <c r="J23" s="75">
        <f t="shared" si="0"/>
        <v>-2772.7849999999999</v>
      </c>
      <c r="K23" s="76"/>
      <c r="L23" s="76"/>
      <c r="M23" s="76"/>
      <c r="N23" s="75">
        <f t="shared" si="4"/>
        <v>-2772.7849999999999</v>
      </c>
      <c r="O23" s="73" t="s">
        <v>88</v>
      </c>
      <c r="P23" s="86">
        <f t="shared" si="2"/>
        <v>12</v>
      </c>
      <c r="R23" s="112"/>
    </row>
    <row r="24" spans="1:18" ht="18.5" x14ac:dyDescent="0.35">
      <c r="A24" s="86">
        <f t="shared" si="1"/>
        <v>13</v>
      </c>
      <c r="B24" s="605">
        <v>930.1</v>
      </c>
      <c r="C24" s="111" t="s">
        <v>89</v>
      </c>
      <c r="D24" s="75">
        <v>-204.155</v>
      </c>
      <c r="E24" s="76">
        <f>E72</f>
        <v>-204.155</v>
      </c>
      <c r="F24" s="75">
        <f>D24-E24</f>
        <v>0</v>
      </c>
      <c r="G24" s="76"/>
      <c r="H24" s="76"/>
      <c r="I24" s="507"/>
      <c r="J24" s="75">
        <f t="shared" si="0"/>
        <v>0</v>
      </c>
      <c r="K24" s="76"/>
      <c r="L24" s="76"/>
      <c r="M24" s="76"/>
      <c r="N24" s="75">
        <f t="shared" si="4"/>
        <v>0</v>
      </c>
      <c r="O24" s="73" t="s">
        <v>90</v>
      </c>
      <c r="P24" s="86">
        <f t="shared" si="2"/>
        <v>13</v>
      </c>
      <c r="R24" s="112"/>
    </row>
    <row r="25" spans="1:18" ht="18.5" x14ac:dyDescent="0.35">
      <c r="A25" s="86">
        <f t="shared" si="1"/>
        <v>14</v>
      </c>
      <c r="B25" s="737">
        <v>930.2</v>
      </c>
      <c r="C25" s="111" t="s">
        <v>91</v>
      </c>
      <c r="D25" s="75">
        <v>2511.0549999999998</v>
      </c>
      <c r="E25" s="76">
        <f>E76</f>
        <v>217.58000000000015</v>
      </c>
      <c r="F25" s="75">
        <f t="shared" ref="F25" si="6">D25-E25</f>
        <v>2293.4749999999995</v>
      </c>
      <c r="G25" s="665"/>
      <c r="H25" s="76">
        <v>40</v>
      </c>
      <c r="I25" s="507">
        <v>6</v>
      </c>
      <c r="J25" s="75">
        <f t="shared" si="0"/>
        <v>2333.4749999999995</v>
      </c>
      <c r="K25" s="25" t="s">
        <v>16</v>
      </c>
      <c r="L25" s="608">
        <v>595.57100000000003</v>
      </c>
      <c r="M25" s="639">
        <v>7</v>
      </c>
      <c r="N25" s="613">
        <f>J25+L25+L26</f>
        <v>2238.2789999999995</v>
      </c>
      <c r="O25" s="73" t="s">
        <v>92</v>
      </c>
      <c r="P25" s="86">
        <f t="shared" si="2"/>
        <v>14</v>
      </c>
      <c r="R25" s="117"/>
    </row>
    <row r="26" spans="1:18" ht="18.5" x14ac:dyDescent="0.35">
      <c r="A26" s="86">
        <f t="shared" si="1"/>
        <v>15</v>
      </c>
      <c r="B26" s="737">
        <v>930.2</v>
      </c>
      <c r="C26" s="111" t="s">
        <v>91</v>
      </c>
      <c r="D26" s="75"/>
      <c r="E26" s="76"/>
      <c r="F26" s="75"/>
      <c r="G26" s="25"/>
      <c r="H26" s="76"/>
      <c r="I26" s="638"/>
      <c r="J26" s="613"/>
      <c r="K26" s="25" t="s">
        <v>16</v>
      </c>
      <c r="L26" s="95">
        <v>-690.76700000000005</v>
      </c>
      <c r="M26" s="639">
        <v>8</v>
      </c>
      <c r="N26" s="75"/>
      <c r="O26" s="73" t="s">
        <v>92</v>
      </c>
      <c r="P26" s="86">
        <f t="shared" si="2"/>
        <v>15</v>
      </c>
      <c r="R26" s="117"/>
    </row>
    <row r="27" spans="1:18" x14ac:dyDescent="0.35">
      <c r="A27" s="86">
        <f t="shared" si="1"/>
        <v>16</v>
      </c>
      <c r="B27" s="105">
        <v>931</v>
      </c>
      <c r="C27" s="111" t="s">
        <v>66</v>
      </c>
      <c r="D27" s="75">
        <v>10939.305</v>
      </c>
      <c r="E27" s="76">
        <v>0</v>
      </c>
      <c r="F27" s="75">
        <f>D27-E27</f>
        <v>10939.305</v>
      </c>
      <c r="G27" s="76"/>
      <c r="H27" s="76"/>
      <c r="I27" s="76"/>
      <c r="J27" s="75">
        <f>F27+H27</f>
        <v>10939.305</v>
      </c>
      <c r="K27" s="76"/>
      <c r="L27" s="76"/>
      <c r="M27" s="76"/>
      <c r="N27" s="75">
        <f t="shared" si="4"/>
        <v>10939.305</v>
      </c>
      <c r="O27" s="73" t="s">
        <v>93</v>
      </c>
      <c r="P27" s="86">
        <f t="shared" si="2"/>
        <v>16</v>
      </c>
      <c r="R27" s="112"/>
    </row>
    <row r="28" spans="1:18" x14ac:dyDescent="0.35">
      <c r="A28" s="86">
        <f t="shared" si="1"/>
        <v>17</v>
      </c>
      <c r="B28" s="105">
        <v>935</v>
      </c>
      <c r="C28" s="111" t="s">
        <v>94</v>
      </c>
      <c r="D28" s="429">
        <v>9293.2980000000007</v>
      </c>
      <c r="E28" s="412">
        <f>E78</f>
        <v>-1915.2449610859999</v>
      </c>
      <c r="F28" s="429">
        <f>D28-E28</f>
        <v>11208.542961086001</v>
      </c>
      <c r="G28" s="430"/>
      <c r="H28" s="412"/>
      <c r="I28" s="431"/>
      <c r="J28" s="431">
        <f>F28+H28</f>
        <v>11208.542961086001</v>
      </c>
      <c r="K28" s="430"/>
      <c r="L28" s="412"/>
      <c r="M28" s="412"/>
      <c r="N28" s="429">
        <f>J28+L28</f>
        <v>11208.542961086001</v>
      </c>
      <c r="O28" s="73" t="s">
        <v>95</v>
      </c>
      <c r="P28" s="86">
        <f t="shared" si="2"/>
        <v>17</v>
      </c>
      <c r="Q28" s="87" t="s">
        <v>11</v>
      </c>
      <c r="R28" s="112"/>
    </row>
    <row r="29" spans="1:18" x14ac:dyDescent="0.35">
      <c r="A29" s="86">
        <f t="shared" si="1"/>
        <v>18</v>
      </c>
      <c r="B29" s="105"/>
      <c r="D29" s="118"/>
      <c r="F29" s="118"/>
      <c r="J29" s="118"/>
      <c r="N29" s="118"/>
      <c r="O29" s="119"/>
      <c r="P29" s="86">
        <f t="shared" si="2"/>
        <v>18</v>
      </c>
    </row>
    <row r="30" spans="1:18" ht="16" thickBot="1" x14ac:dyDescent="0.4">
      <c r="A30" s="86">
        <f t="shared" si="1"/>
        <v>19</v>
      </c>
      <c r="B30" s="105"/>
      <c r="C30" s="95" t="s">
        <v>96</v>
      </c>
      <c r="D30" s="120">
        <f>SUM(D12:D28)</f>
        <v>594949.38299999991</v>
      </c>
      <c r="E30" s="83">
        <f>SUM(E12:E28)</f>
        <v>171935.58274067604</v>
      </c>
      <c r="F30" s="81">
        <f>SUM(F12:F28)</f>
        <v>423013.80025932402</v>
      </c>
      <c r="G30" s="664"/>
      <c r="H30" s="508">
        <f>SUM(H12:H28)</f>
        <v>-90.331999999999994</v>
      </c>
      <c r="I30" s="83"/>
      <c r="J30" s="81">
        <f>SUM(J12:J28)</f>
        <v>422923.46825932397</v>
      </c>
      <c r="K30" s="82" t="s">
        <v>16</v>
      </c>
      <c r="L30" s="508">
        <f>SUM(L12:L28)</f>
        <v>16552.13812</v>
      </c>
      <c r="M30" s="508"/>
      <c r="N30" s="81">
        <f>SUM(N12:N28)</f>
        <v>439475.60637932399</v>
      </c>
      <c r="O30" s="121" t="str">
        <f>"Sum Lines "&amp;A12&amp;" thru "&amp;A28</f>
        <v>Sum Lines 1 thru 17</v>
      </c>
      <c r="P30" s="86">
        <f t="shared" si="2"/>
        <v>19</v>
      </c>
    </row>
    <row r="31" spans="1:18" ht="16" thickTop="1" x14ac:dyDescent="0.35">
      <c r="A31" s="86">
        <f t="shared" si="1"/>
        <v>20</v>
      </c>
      <c r="B31" s="105"/>
      <c r="C31" s="95"/>
      <c r="D31" s="438"/>
      <c r="E31" s="79"/>
      <c r="F31" s="80"/>
      <c r="G31" s="78"/>
      <c r="H31" s="78"/>
      <c r="I31" s="78"/>
      <c r="J31" s="80"/>
      <c r="K31" s="78"/>
      <c r="L31" s="78"/>
      <c r="M31" s="78"/>
      <c r="N31" s="80"/>
      <c r="O31" s="121"/>
      <c r="P31" s="86">
        <f t="shared" si="2"/>
        <v>20</v>
      </c>
    </row>
    <row r="32" spans="1:18" ht="18" x14ac:dyDescent="0.35">
      <c r="A32" s="86">
        <f t="shared" si="1"/>
        <v>21</v>
      </c>
      <c r="B32" s="105">
        <v>413</v>
      </c>
      <c r="C32" s="87" t="s">
        <v>329</v>
      </c>
      <c r="D32" s="429">
        <v>204.65183999999999</v>
      </c>
      <c r="E32" s="431">
        <v>0</v>
      </c>
      <c r="F32" s="429">
        <f>D32-E32</f>
        <v>204.65183999999999</v>
      </c>
      <c r="G32" s="430"/>
      <c r="H32" s="412"/>
      <c r="I32" s="412"/>
      <c r="J32" s="429">
        <f>F32+H32</f>
        <v>204.65183999999999</v>
      </c>
      <c r="K32" s="430"/>
      <c r="L32" s="412"/>
      <c r="M32" s="412"/>
      <c r="N32" s="429">
        <f>J32+L32</f>
        <v>204.65183999999999</v>
      </c>
      <c r="O32" s="121"/>
      <c r="P32" s="86">
        <f t="shared" si="2"/>
        <v>21</v>
      </c>
    </row>
    <row r="33" spans="1:18" x14ac:dyDescent="0.35">
      <c r="A33" s="86">
        <f t="shared" si="1"/>
        <v>22</v>
      </c>
      <c r="B33" s="105"/>
      <c r="C33" s="95"/>
      <c r="D33" s="438"/>
      <c r="E33" s="79"/>
      <c r="F33" s="80"/>
      <c r="G33" s="78"/>
      <c r="H33" s="78"/>
      <c r="I33" s="78"/>
      <c r="J33" s="80"/>
      <c r="K33" s="78"/>
      <c r="L33" s="78"/>
      <c r="M33" s="78"/>
      <c r="N33" s="80"/>
      <c r="O33" s="121"/>
      <c r="P33" s="86">
        <f t="shared" si="2"/>
        <v>22</v>
      </c>
    </row>
    <row r="34" spans="1:18" ht="16" thickBot="1" x14ac:dyDescent="0.4">
      <c r="A34" s="86">
        <f t="shared" si="1"/>
        <v>23</v>
      </c>
      <c r="B34" s="105"/>
      <c r="C34" s="95" t="s">
        <v>330</v>
      </c>
      <c r="D34" s="120">
        <f>D30+D32</f>
        <v>595154.03483999986</v>
      </c>
      <c r="E34" s="79">
        <f>E30+E32</f>
        <v>171935.58274067604</v>
      </c>
      <c r="F34" s="80">
        <f>F30+F32</f>
        <v>423218.45209932403</v>
      </c>
      <c r="G34" s="664"/>
      <c r="H34" s="508">
        <f>H30+H32</f>
        <v>-90.331999999999994</v>
      </c>
      <c r="I34" s="83"/>
      <c r="J34" s="81">
        <f>J30+J32</f>
        <v>423128.12009932398</v>
      </c>
      <c r="K34" s="82" t="s">
        <v>16</v>
      </c>
      <c r="L34" s="508">
        <f>L30+L32</f>
        <v>16552.13812</v>
      </c>
      <c r="M34" s="508"/>
      <c r="N34" s="81">
        <f>N30+N32</f>
        <v>439680.25821932399</v>
      </c>
      <c r="O34" s="121" t="str">
        <f>"Line "&amp;A30&amp;" + Line "&amp;A32</f>
        <v>Line 19 + Line 21</v>
      </c>
      <c r="P34" s="86">
        <f t="shared" si="2"/>
        <v>23</v>
      </c>
    </row>
    <row r="35" spans="1:18" ht="16.5" thickTop="1" thickBot="1" x14ac:dyDescent="0.4">
      <c r="A35" s="86">
        <f t="shared" si="1"/>
        <v>24</v>
      </c>
      <c r="B35" s="122"/>
      <c r="C35" s="88"/>
      <c r="D35" s="123"/>
      <c r="E35" s="124"/>
      <c r="F35" s="124"/>
      <c r="G35" s="125"/>
      <c r="H35" s="125"/>
      <c r="I35" s="125"/>
      <c r="J35" s="127"/>
      <c r="K35" s="125"/>
      <c r="L35" s="125"/>
      <c r="M35" s="125"/>
      <c r="N35" s="127"/>
      <c r="O35" s="128"/>
      <c r="P35" s="86">
        <f t="shared" si="2"/>
        <v>24</v>
      </c>
    </row>
    <row r="36" spans="1:18" x14ac:dyDescent="0.35">
      <c r="A36" s="86">
        <f t="shared" si="1"/>
        <v>25</v>
      </c>
      <c r="B36" s="139"/>
      <c r="D36" s="439"/>
      <c r="E36" s="440"/>
      <c r="F36" s="439"/>
      <c r="G36" s="439"/>
      <c r="H36" s="439"/>
      <c r="I36" s="439"/>
      <c r="J36" s="439"/>
      <c r="K36" s="439"/>
      <c r="L36" s="439"/>
      <c r="M36" s="439"/>
      <c r="N36" s="439"/>
      <c r="O36" s="119"/>
      <c r="P36" s="86">
        <f t="shared" si="2"/>
        <v>25</v>
      </c>
    </row>
    <row r="37" spans="1:18" x14ac:dyDescent="0.35">
      <c r="A37" s="86">
        <f t="shared" si="1"/>
        <v>26</v>
      </c>
      <c r="B37" s="129" t="s">
        <v>97</v>
      </c>
      <c r="C37" s="86"/>
      <c r="D37" s="86"/>
      <c r="E37" s="86"/>
      <c r="F37" s="86"/>
      <c r="G37" s="86"/>
      <c r="H37" s="86"/>
      <c r="I37" s="86"/>
      <c r="J37" s="86"/>
      <c r="K37" s="86"/>
      <c r="L37" s="86"/>
      <c r="M37" s="86"/>
      <c r="N37" s="86"/>
      <c r="O37" s="119"/>
      <c r="P37" s="86">
        <f t="shared" si="2"/>
        <v>26</v>
      </c>
    </row>
    <row r="38" spans="1:18" x14ac:dyDescent="0.35">
      <c r="A38" s="86">
        <f t="shared" si="1"/>
        <v>27</v>
      </c>
      <c r="B38" s="130">
        <v>920</v>
      </c>
      <c r="C38" s="19" t="s">
        <v>98</v>
      </c>
      <c r="D38" s="31">
        <v>37.830849999999998</v>
      </c>
      <c r="F38" s="86"/>
      <c r="G38" s="86"/>
      <c r="H38" s="86"/>
      <c r="I38" s="86"/>
      <c r="J38" s="86"/>
      <c r="K38" s="86"/>
      <c r="L38" s="86"/>
      <c r="M38" s="86"/>
      <c r="N38" s="86"/>
      <c r="O38" s="119"/>
      <c r="P38" s="86">
        <f t="shared" si="2"/>
        <v>27</v>
      </c>
    </row>
    <row r="39" spans="1:18" x14ac:dyDescent="0.35">
      <c r="A39" s="86">
        <f t="shared" si="1"/>
        <v>28</v>
      </c>
      <c r="B39" s="130"/>
      <c r="C39" s="19" t="s">
        <v>491</v>
      </c>
      <c r="D39" s="589">
        <v>873.61009352399992</v>
      </c>
      <c r="E39" s="31"/>
      <c r="O39" s="119"/>
      <c r="P39" s="86">
        <f t="shared" si="2"/>
        <v>28</v>
      </c>
      <c r="R39" s="111"/>
    </row>
    <row r="40" spans="1:18" x14ac:dyDescent="0.35">
      <c r="A40" s="86">
        <f t="shared" si="1"/>
        <v>29</v>
      </c>
      <c r="B40" s="130"/>
      <c r="C40" s="19" t="s">
        <v>492</v>
      </c>
      <c r="D40" s="590">
        <v>56.642625899999999</v>
      </c>
      <c r="E40" s="31">
        <f>SUM(D38:D40)</f>
        <v>968.08356942399996</v>
      </c>
      <c r="O40" s="119"/>
      <c r="P40" s="86">
        <f t="shared" si="2"/>
        <v>29</v>
      </c>
    </row>
    <row r="41" spans="1:18" ht="18" x14ac:dyDescent="0.35">
      <c r="A41" s="86">
        <f t="shared" si="1"/>
        <v>30</v>
      </c>
      <c r="B41" s="130"/>
      <c r="C41" s="660" t="s">
        <v>554</v>
      </c>
      <c r="D41" s="589"/>
      <c r="E41" s="31"/>
      <c r="L41" s="441">
        <f>1015.03238-84.78</f>
        <v>930.25238000000002</v>
      </c>
      <c r="M41" s="661">
        <v>9</v>
      </c>
      <c r="O41" s="119"/>
      <c r="P41" s="86">
        <f t="shared" si="2"/>
        <v>30</v>
      </c>
    </row>
    <row r="42" spans="1:18" x14ac:dyDescent="0.35">
      <c r="A42" s="86">
        <f t="shared" si="1"/>
        <v>31</v>
      </c>
      <c r="B42" s="130">
        <v>921</v>
      </c>
      <c r="C42" s="19" t="s">
        <v>98</v>
      </c>
      <c r="D42" s="87">
        <v>-9.620999999999999E-2</v>
      </c>
      <c r="O42" s="119"/>
      <c r="P42" s="86">
        <f t="shared" si="2"/>
        <v>31</v>
      </c>
    </row>
    <row r="43" spans="1:18" x14ac:dyDescent="0.35">
      <c r="A43" s="86">
        <f t="shared" si="1"/>
        <v>32</v>
      </c>
      <c r="B43" s="130"/>
      <c r="C43" s="19" t="s">
        <v>491</v>
      </c>
      <c r="D43" s="589">
        <v>8254.9592088600002</v>
      </c>
      <c r="O43" s="119"/>
      <c r="P43" s="86">
        <f t="shared" si="2"/>
        <v>32</v>
      </c>
    </row>
    <row r="44" spans="1:18" x14ac:dyDescent="0.35">
      <c r="A44" s="86">
        <f t="shared" si="1"/>
        <v>33</v>
      </c>
      <c r="B44" s="130"/>
      <c r="C44" s="19" t="s">
        <v>492</v>
      </c>
      <c r="D44" s="590">
        <v>1120.1507429919998</v>
      </c>
      <c r="E44" s="87">
        <f>SUM(D42:D44)</f>
        <v>9375.0137418520007</v>
      </c>
      <c r="F44" s="441"/>
      <c r="G44" s="441"/>
      <c r="H44" s="441"/>
      <c r="I44" s="441"/>
      <c r="J44" s="441"/>
      <c r="K44" s="441"/>
      <c r="L44" s="441"/>
      <c r="M44" s="441"/>
      <c r="N44" s="441"/>
      <c r="O44" s="442"/>
      <c r="P44" s="86">
        <f t="shared" si="2"/>
        <v>33</v>
      </c>
    </row>
    <row r="45" spans="1:18" ht="18" x14ac:dyDescent="0.35">
      <c r="A45" s="86">
        <f t="shared" si="1"/>
        <v>34</v>
      </c>
      <c r="B45" s="130"/>
      <c r="C45" s="640" t="s">
        <v>543</v>
      </c>
      <c r="D45" s="589"/>
      <c r="F45" s="441"/>
      <c r="G45" s="441"/>
      <c r="H45" s="441"/>
      <c r="I45" s="441"/>
      <c r="J45" s="441"/>
      <c r="K45" s="441"/>
      <c r="L45" s="608">
        <v>1717.9580000000001</v>
      </c>
      <c r="M45" s="661">
        <v>7</v>
      </c>
      <c r="N45" s="441"/>
      <c r="O45" s="442"/>
      <c r="P45" s="86">
        <f t="shared" si="2"/>
        <v>34</v>
      </c>
    </row>
    <row r="46" spans="1:18" ht="18" x14ac:dyDescent="0.35">
      <c r="A46" s="86">
        <f t="shared" si="1"/>
        <v>35</v>
      </c>
      <c r="B46" s="130"/>
      <c r="C46" s="660" t="s">
        <v>554</v>
      </c>
      <c r="D46" s="589"/>
      <c r="F46" s="441"/>
      <c r="G46" s="441"/>
      <c r="H46" s="441"/>
      <c r="I46" s="441"/>
      <c r="J46" s="441"/>
      <c r="K46" s="441"/>
      <c r="L46" s="95">
        <f>9503.23885-128.129</f>
        <v>9375.1098499999989</v>
      </c>
      <c r="M46" s="661">
        <v>9</v>
      </c>
      <c r="N46" s="441"/>
      <c r="O46" s="442"/>
      <c r="P46" s="86">
        <f t="shared" si="2"/>
        <v>35</v>
      </c>
    </row>
    <row r="47" spans="1:18" x14ac:dyDescent="0.35">
      <c r="A47" s="86">
        <f t="shared" si="1"/>
        <v>36</v>
      </c>
      <c r="B47" s="130">
        <v>922</v>
      </c>
      <c r="C47" s="19" t="s">
        <v>492</v>
      </c>
      <c r="D47" s="589"/>
      <c r="E47" s="87">
        <v>-125.07091</v>
      </c>
      <c r="O47" s="119"/>
      <c r="P47" s="86">
        <f t="shared" si="2"/>
        <v>36</v>
      </c>
    </row>
    <row r="48" spans="1:18" ht="18" x14ac:dyDescent="0.35">
      <c r="A48" s="86">
        <f t="shared" si="1"/>
        <v>37</v>
      </c>
      <c r="B48" s="130"/>
      <c r="C48" s="660" t="s">
        <v>554</v>
      </c>
      <c r="D48" s="589"/>
      <c r="L48" s="95">
        <v>-125.12939</v>
      </c>
      <c r="M48" s="661">
        <v>9</v>
      </c>
      <c r="O48" s="119"/>
      <c r="P48" s="86">
        <f t="shared" si="2"/>
        <v>37</v>
      </c>
    </row>
    <row r="49" spans="1:16" x14ac:dyDescent="0.35">
      <c r="A49" s="86">
        <f t="shared" si="1"/>
        <v>38</v>
      </c>
      <c r="B49" s="130">
        <v>923</v>
      </c>
      <c r="C49" s="19" t="s">
        <v>98</v>
      </c>
      <c r="D49" s="29">
        <v>-17.988400000000002</v>
      </c>
      <c r="E49" s="26"/>
      <c r="O49" s="119"/>
      <c r="P49" s="86">
        <f t="shared" si="2"/>
        <v>38</v>
      </c>
    </row>
    <row r="50" spans="1:16" x14ac:dyDescent="0.35">
      <c r="A50" s="86">
        <f t="shared" si="1"/>
        <v>39</v>
      </c>
      <c r="B50" s="130"/>
      <c r="C50" s="19" t="s">
        <v>491</v>
      </c>
      <c r="D50" s="29">
        <v>2086.0140693979997</v>
      </c>
      <c r="F50" s="441"/>
      <c r="G50" s="441"/>
      <c r="H50" s="441"/>
      <c r="I50" s="441"/>
      <c r="J50" s="441"/>
      <c r="K50" s="441"/>
      <c r="L50" s="441"/>
      <c r="M50" s="441"/>
      <c r="N50" s="441"/>
      <c r="O50" s="442"/>
      <c r="P50" s="86">
        <f t="shared" si="2"/>
        <v>39</v>
      </c>
    </row>
    <row r="51" spans="1:16" x14ac:dyDescent="0.35">
      <c r="A51" s="86">
        <f t="shared" si="1"/>
        <v>40</v>
      </c>
      <c r="B51" s="130"/>
      <c r="C51" s="19" t="s">
        <v>492</v>
      </c>
      <c r="D51" s="29">
        <v>80.426986024000001</v>
      </c>
      <c r="O51" s="119"/>
      <c r="P51" s="86">
        <f t="shared" si="2"/>
        <v>40</v>
      </c>
    </row>
    <row r="52" spans="1:16" ht="18" x14ac:dyDescent="0.35">
      <c r="A52" s="86">
        <f t="shared" si="1"/>
        <v>41</v>
      </c>
      <c r="B52" s="130"/>
      <c r="C52" s="40" t="s">
        <v>493</v>
      </c>
      <c r="D52" s="76">
        <v>3185.4904999999999</v>
      </c>
      <c r="O52" s="119"/>
      <c r="P52" s="86">
        <f t="shared" si="2"/>
        <v>41</v>
      </c>
    </row>
    <row r="53" spans="1:16" ht="18" x14ac:dyDescent="0.35">
      <c r="A53" s="86">
        <f t="shared" si="1"/>
        <v>42</v>
      </c>
      <c r="B53" s="130"/>
      <c r="C53" s="40" t="s">
        <v>494</v>
      </c>
      <c r="D53" s="76">
        <v>6031</v>
      </c>
      <c r="O53" s="119"/>
      <c r="P53" s="86">
        <f t="shared" si="2"/>
        <v>42</v>
      </c>
    </row>
    <row r="54" spans="1:16" ht="18" x14ac:dyDescent="0.35">
      <c r="A54" s="86">
        <f t="shared" si="1"/>
        <v>43</v>
      </c>
      <c r="B54" s="130"/>
      <c r="C54" s="40" t="s">
        <v>495</v>
      </c>
      <c r="D54" s="412">
        <v>1480.604</v>
      </c>
      <c r="E54" s="87">
        <f>SUM(D49:D54)</f>
        <v>12845.547155421998</v>
      </c>
      <c r="O54" s="119"/>
      <c r="P54" s="86">
        <f t="shared" si="2"/>
        <v>43</v>
      </c>
    </row>
    <row r="55" spans="1:16" ht="18" x14ac:dyDescent="0.35">
      <c r="A55" s="86">
        <f t="shared" si="1"/>
        <v>44</v>
      </c>
      <c r="B55" s="130"/>
      <c r="C55" s="640" t="s">
        <v>543</v>
      </c>
      <c r="D55" s="76"/>
      <c r="L55" s="608">
        <v>83.521000000000001</v>
      </c>
      <c r="M55" s="661">
        <v>7</v>
      </c>
      <c r="O55" s="119"/>
      <c r="P55" s="86">
        <f t="shared" si="2"/>
        <v>44</v>
      </c>
    </row>
    <row r="56" spans="1:16" ht="18" x14ac:dyDescent="0.35">
      <c r="A56" s="86">
        <f t="shared" si="1"/>
        <v>45</v>
      </c>
      <c r="B56" s="130"/>
      <c r="C56" s="660" t="s">
        <v>554</v>
      </c>
      <c r="D56" s="76"/>
      <c r="L56" s="95">
        <f>2732.18753-566.172</f>
        <v>2166.0155300000001</v>
      </c>
      <c r="M56" s="661">
        <v>9</v>
      </c>
      <c r="O56" s="119"/>
      <c r="P56" s="86">
        <f t="shared" si="2"/>
        <v>45</v>
      </c>
    </row>
    <row r="57" spans="1:16" x14ac:dyDescent="0.35">
      <c r="A57" s="86">
        <f t="shared" si="1"/>
        <v>46</v>
      </c>
      <c r="B57" s="130">
        <v>925</v>
      </c>
      <c r="C57" s="19" t="s">
        <v>98</v>
      </c>
      <c r="D57" s="29">
        <v>277.64044235400002</v>
      </c>
      <c r="F57" s="55"/>
      <c r="G57" s="55"/>
      <c r="H57" s="55"/>
      <c r="I57" s="55"/>
      <c r="J57" s="55"/>
      <c r="K57" s="55"/>
      <c r="L57" s="55"/>
      <c r="M57" s="55"/>
      <c r="N57" s="55"/>
      <c r="O57" s="119"/>
      <c r="P57" s="86">
        <f t="shared" si="2"/>
        <v>46</v>
      </c>
    </row>
    <row r="58" spans="1:16" x14ac:dyDescent="0.35">
      <c r="A58" s="86">
        <f t="shared" si="1"/>
        <v>47</v>
      </c>
      <c r="B58" s="130"/>
      <c r="C58" s="19" t="s">
        <v>492</v>
      </c>
      <c r="D58" s="29">
        <v>746.9557907520101</v>
      </c>
      <c r="F58" s="55"/>
      <c r="G58" s="55"/>
      <c r="H58" s="55"/>
      <c r="I58" s="55"/>
      <c r="J58" s="55"/>
      <c r="K58" s="55"/>
      <c r="L58" s="55"/>
      <c r="M58" s="55"/>
      <c r="N58" s="55"/>
      <c r="O58" s="119"/>
      <c r="P58" s="86">
        <f t="shared" si="2"/>
        <v>47</v>
      </c>
    </row>
    <row r="59" spans="1:16" x14ac:dyDescent="0.35">
      <c r="A59" s="86">
        <f t="shared" si="1"/>
        <v>48</v>
      </c>
      <c r="B59" s="130"/>
      <c r="C59" s="131" t="s">
        <v>496</v>
      </c>
      <c r="D59" s="432">
        <v>80.508890000000008</v>
      </c>
      <c r="E59" s="87">
        <f>SUM(D57:D59)</f>
        <v>1105.1051231060101</v>
      </c>
      <c r="F59" s="55"/>
      <c r="G59" s="55"/>
      <c r="H59" s="55"/>
      <c r="I59" s="55"/>
      <c r="J59" s="55"/>
      <c r="K59" s="55"/>
      <c r="L59" s="55"/>
      <c r="M59" s="55"/>
      <c r="N59" s="55"/>
      <c r="O59" s="119"/>
      <c r="P59" s="86">
        <f t="shared" si="2"/>
        <v>48</v>
      </c>
    </row>
    <row r="60" spans="1:16" ht="18" x14ac:dyDescent="0.35">
      <c r="A60" s="86">
        <f t="shared" si="1"/>
        <v>49</v>
      </c>
      <c r="B60" s="130"/>
      <c r="C60" s="660" t="s">
        <v>554</v>
      </c>
      <c r="D60" s="29"/>
      <c r="F60" s="55"/>
      <c r="G60" s="55"/>
      <c r="H60" s="55"/>
      <c r="I60" s="55"/>
      <c r="J60" s="55"/>
      <c r="K60" s="55"/>
      <c r="L60" s="95">
        <f>1051.78847-304.833</f>
        <v>746.95546999999988</v>
      </c>
      <c r="M60" s="661">
        <v>9</v>
      </c>
      <c r="N60" s="55"/>
      <c r="O60" s="119"/>
      <c r="P60" s="86">
        <f t="shared" si="2"/>
        <v>49</v>
      </c>
    </row>
    <row r="61" spans="1:16" x14ac:dyDescent="0.35">
      <c r="A61" s="86">
        <f t="shared" si="1"/>
        <v>50</v>
      </c>
      <c r="B61" s="130">
        <v>926</v>
      </c>
      <c r="C61" s="131" t="s">
        <v>98</v>
      </c>
      <c r="D61" s="29">
        <v>646.29282690599985</v>
      </c>
      <c r="F61" s="496"/>
      <c r="G61" s="496"/>
      <c r="H61" s="496"/>
      <c r="I61" s="496"/>
      <c r="J61" s="496"/>
      <c r="K61" s="496"/>
      <c r="L61" s="496"/>
      <c r="M61" s="496"/>
      <c r="N61" s="496"/>
      <c r="O61" s="119"/>
      <c r="P61" s="86">
        <f t="shared" si="2"/>
        <v>50</v>
      </c>
    </row>
    <row r="62" spans="1:16" x14ac:dyDescent="0.35">
      <c r="A62" s="86">
        <f t="shared" si="1"/>
        <v>51</v>
      </c>
      <c r="B62" s="130"/>
      <c r="C62" s="131" t="s">
        <v>496</v>
      </c>
      <c r="D62" s="29">
        <v>190.64548000000002</v>
      </c>
      <c r="E62" s="29"/>
      <c r="F62" s="496"/>
      <c r="G62" s="496"/>
      <c r="H62" s="496"/>
      <c r="I62" s="496"/>
      <c r="J62" s="496"/>
      <c r="K62" s="496"/>
      <c r="L62" s="496"/>
      <c r="M62" s="496"/>
      <c r="N62" s="496"/>
      <c r="O62" s="119"/>
      <c r="P62" s="86">
        <f t="shared" si="2"/>
        <v>51</v>
      </c>
    </row>
    <row r="63" spans="1:16" x14ac:dyDescent="0.35">
      <c r="A63" s="86">
        <f t="shared" si="1"/>
        <v>52</v>
      </c>
      <c r="B63" s="130"/>
      <c r="C63" s="19" t="s">
        <v>492</v>
      </c>
      <c r="D63" s="432">
        <v>1752.650995052019</v>
      </c>
      <c r="E63" s="87">
        <f>SUM(D61:D63)</f>
        <v>2589.589301958019</v>
      </c>
      <c r="F63" s="496"/>
      <c r="G63" s="496"/>
      <c r="H63" s="496"/>
      <c r="I63" s="496"/>
      <c r="J63" s="496"/>
      <c r="K63" s="496"/>
      <c r="L63" s="496"/>
      <c r="M63" s="496"/>
      <c r="N63" s="496"/>
      <c r="O63" s="119"/>
      <c r="P63" s="86">
        <f t="shared" si="2"/>
        <v>52</v>
      </c>
    </row>
    <row r="64" spans="1:16" ht="18" x14ac:dyDescent="0.35">
      <c r="A64" s="86">
        <f t="shared" si="1"/>
        <v>53</v>
      </c>
      <c r="B64" s="130"/>
      <c r="C64" s="660" t="s">
        <v>554</v>
      </c>
      <c r="D64" s="29"/>
      <c r="F64" s="496"/>
      <c r="G64" s="496"/>
      <c r="H64" s="496"/>
      <c r="I64" s="496"/>
      <c r="J64" s="496"/>
      <c r="K64" s="496"/>
      <c r="L64" s="95">
        <f>2584.69528-832.044</f>
        <v>1752.65128</v>
      </c>
      <c r="M64" s="661">
        <v>9</v>
      </c>
      <c r="N64" s="496"/>
      <c r="O64" s="119"/>
      <c r="P64" s="86">
        <f t="shared" si="2"/>
        <v>53</v>
      </c>
    </row>
    <row r="65" spans="1:16" x14ac:dyDescent="0.35">
      <c r="A65" s="86">
        <f t="shared" si="1"/>
        <v>54</v>
      </c>
      <c r="B65" s="130">
        <v>927</v>
      </c>
      <c r="C65" s="131" t="s">
        <v>84</v>
      </c>
      <c r="D65" s="132"/>
      <c r="E65" s="26">
        <v>130506.76528000001</v>
      </c>
      <c r="F65" s="496"/>
      <c r="G65" s="496"/>
      <c r="H65" s="496"/>
      <c r="I65" s="496"/>
      <c r="J65" s="496"/>
      <c r="K65" s="496"/>
      <c r="L65" s="496"/>
      <c r="M65" s="496"/>
      <c r="N65" s="496"/>
      <c r="O65" s="119"/>
      <c r="P65" s="86">
        <f t="shared" si="2"/>
        <v>54</v>
      </c>
    </row>
    <row r="66" spans="1:16" x14ac:dyDescent="0.35">
      <c r="A66" s="86">
        <f t="shared" si="1"/>
        <v>55</v>
      </c>
      <c r="B66" s="130">
        <v>928</v>
      </c>
      <c r="C66" s="19" t="s">
        <v>100</v>
      </c>
      <c r="D66" s="29">
        <v>13015.817289999999</v>
      </c>
      <c r="E66" s="29"/>
      <c r="F66" s="496"/>
      <c r="G66" s="496"/>
      <c r="H66" s="496"/>
      <c r="I66" s="496"/>
      <c r="J66" s="496"/>
      <c r="K66" s="496"/>
      <c r="L66" s="496"/>
      <c r="M66" s="496"/>
      <c r="N66" s="496"/>
      <c r="O66" s="119"/>
      <c r="P66" s="86">
        <f t="shared" si="2"/>
        <v>55</v>
      </c>
    </row>
    <row r="67" spans="1:16" x14ac:dyDescent="0.35">
      <c r="A67" s="86">
        <f t="shared" si="1"/>
        <v>56</v>
      </c>
      <c r="B67" s="130"/>
      <c r="C67" s="131" t="s">
        <v>98</v>
      </c>
      <c r="D67" s="29">
        <v>428.3049200000001</v>
      </c>
      <c r="E67" s="29"/>
      <c r="F67" s="496"/>
      <c r="G67" s="496"/>
      <c r="H67" s="496"/>
      <c r="I67" s="496"/>
      <c r="J67" s="496"/>
      <c r="K67" s="496"/>
      <c r="L67" s="496"/>
      <c r="M67" s="496"/>
      <c r="N67" s="496"/>
      <c r="O67" s="119"/>
      <c r="P67" s="86">
        <f t="shared" si="2"/>
        <v>56</v>
      </c>
    </row>
    <row r="68" spans="1:16" x14ac:dyDescent="0.35">
      <c r="A68" s="86">
        <f t="shared" si="1"/>
        <v>57</v>
      </c>
      <c r="B68" s="130"/>
      <c r="C68" s="131" t="s">
        <v>101</v>
      </c>
      <c r="D68" s="591">
        <v>40.544630000000005</v>
      </c>
      <c r="E68" s="29"/>
      <c r="F68" s="496"/>
      <c r="G68" s="496"/>
      <c r="H68" s="496"/>
      <c r="I68" s="496"/>
      <c r="J68" s="496"/>
      <c r="K68" s="496"/>
      <c r="L68" s="496"/>
      <c r="M68" s="496"/>
      <c r="N68" s="496"/>
      <c r="O68" s="119"/>
      <c r="P68" s="86">
        <f t="shared" si="2"/>
        <v>57</v>
      </c>
    </row>
    <row r="69" spans="1:16" x14ac:dyDescent="0.35">
      <c r="A69" s="86">
        <f t="shared" si="1"/>
        <v>58</v>
      </c>
      <c r="B69" s="130"/>
      <c r="C69" s="19" t="s">
        <v>18</v>
      </c>
      <c r="D69" s="29">
        <v>0</v>
      </c>
      <c r="E69" s="29"/>
      <c r="F69" s="496"/>
      <c r="G69" s="496"/>
      <c r="H69" s="496"/>
      <c r="I69" s="496"/>
      <c r="J69" s="496"/>
      <c r="K69" s="496"/>
      <c r="L69" s="496"/>
      <c r="M69" s="496"/>
      <c r="N69" s="496"/>
      <c r="O69" s="119"/>
      <c r="P69" s="86">
        <f t="shared" si="2"/>
        <v>58</v>
      </c>
    </row>
    <row r="70" spans="1:16" x14ac:dyDescent="0.35">
      <c r="A70" s="86">
        <f t="shared" si="1"/>
        <v>59</v>
      </c>
      <c r="B70" s="134"/>
      <c r="C70" s="19" t="s">
        <v>99</v>
      </c>
      <c r="D70" s="29">
        <v>2085.1866</v>
      </c>
      <c r="F70" s="496"/>
      <c r="G70" s="496"/>
      <c r="H70" s="496"/>
      <c r="I70" s="496"/>
      <c r="J70" s="496"/>
      <c r="K70" s="496"/>
      <c r="L70" s="496"/>
      <c r="M70" s="496"/>
      <c r="N70" s="496"/>
      <c r="O70" s="119"/>
      <c r="P70" s="86">
        <f t="shared" si="2"/>
        <v>59</v>
      </c>
    </row>
    <row r="71" spans="1:16" ht="18" x14ac:dyDescent="0.35">
      <c r="A71" s="86">
        <f t="shared" si="1"/>
        <v>60</v>
      </c>
      <c r="B71" s="134"/>
      <c r="C71" s="40" t="s">
        <v>497</v>
      </c>
      <c r="D71" s="432">
        <v>1002.516</v>
      </c>
      <c r="E71" s="592">
        <f>SUM(D66:D71)</f>
        <v>16572.369439999999</v>
      </c>
      <c r="F71" s="496"/>
      <c r="G71" s="496"/>
      <c r="H71" s="496"/>
      <c r="I71" s="496"/>
      <c r="J71" s="496"/>
      <c r="K71" s="496"/>
      <c r="L71" s="496"/>
      <c r="M71" s="496"/>
      <c r="N71" s="496"/>
      <c r="O71" s="119"/>
      <c r="P71" s="86">
        <f t="shared" si="2"/>
        <v>60</v>
      </c>
    </row>
    <row r="72" spans="1:16" x14ac:dyDescent="0.35">
      <c r="A72" s="86">
        <f t="shared" si="1"/>
        <v>61</v>
      </c>
      <c r="B72" s="135">
        <v>930.1</v>
      </c>
      <c r="C72" s="19" t="s">
        <v>89</v>
      </c>
      <c r="D72" s="29"/>
      <c r="E72" s="87">
        <v>-204.155</v>
      </c>
      <c r="F72" s="496"/>
      <c r="G72" s="496"/>
      <c r="H72" s="496"/>
      <c r="I72" s="496"/>
      <c r="J72" s="496"/>
      <c r="K72" s="496"/>
      <c r="L72" s="496"/>
      <c r="M72" s="496"/>
      <c r="N72" s="496"/>
      <c r="O72" s="119"/>
      <c r="P72" s="86">
        <f t="shared" si="2"/>
        <v>61</v>
      </c>
    </row>
    <row r="73" spans="1:16" x14ac:dyDescent="0.35">
      <c r="A73" s="86">
        <f t="shared" si="1"/>
        <v>62</v>
      </c>
      <c r="B73" s="135">
        <v>930.2</v>
      </c>
      <c r="C73" s="131" t="s">
        <v>103</v>
      </c>
      <c r="D73" s="593">
        <f>1342.92+1017.8</f>
        <v>2360.7200000000003</v>
      </c>
      <c r="F73" s="496"/>
      <c r="G73" s="496"/>
      <c r="H73" s="496"/>
      <c r="I73" s="496"/>
      <c r="J73" s="496"/>
      <c r="K73" s="496"/>
      <c r="L73" s="496"/>
      <c r="M73" s="496"/>
      <c r="N73" s="496"/>
      <c r="O73" s="119"/>
      <c r="P73" s="86">
        <f t="shared" si="2"/>
        <v>62</v>
      </c>
    </row>
    <row r="74" spans="1:16" ht="18" x14ac:dyDescent="0.35">
      <c r="A74" s="86">
        <f t="shared" si="1"/>
        <v>63</v>
      </c>
      <c r="B74" s="135"/>
      <c r="C74" s="640" t="s">
        <v>543</v>
      </c>
      <c r="D74" s="593"/>
      <c r="F74" s="496"/>
      <c r="G74" s="496"/>
      <c r="H74" s="496"/>
      <c r="I74" s="496"/>
      <c r="J74" s="496"/>
      <c r="K74" s="496"/>
      <c r="L74" s="95">
        <v>595.57100000000003</v>
      </c>
      <c r="M74" s="661">
        <v>7</v>
      </c>
      <c r="N74" s="496"/>
      <c r="O74" s="119"/>
      <c r="P74" s="86">
        <f t="shared" si="2"/>
        <v>63</v>
      </c>
    </row>
    <row r="75" spans="1:16" ht="18" x14ac:dyDescent="0.35">
      <c r="A75" s="86">
        <f t="shared" si="1"/>
        <v>64</v>
      </c>
      <c r="B75" s="135"/>
      <c r="C75" s="640" t="s">
        <v>543</v>
      </c>
      <c r="D75" s="641">
        <v>-690.76700000000005</v>
      </c>
      <c r="F75" s="496"/>
      <c r="G75" s="496"/>
      <c r="H75" s="496"/>
      <c r="I75" s="496"/>
      <c r="J75" s="496"/>
      <c r="K75" s="496"/>
      <c r="L75" s="642">
        <f>D75</f>
        <v>-690.76700000000005</v>
      </c>
      <c r="M75" s="643">
        <v>8</v>
      </c>
      <c r="N75" s="496"/>
      <c r="O75" s="119"/>
      <c r="P75" s="86">
        <f t="shared" si="2"/>
        <v>64</v>
      </c>
    </row>
    <row r="76" spans="1:16" ht="18" x14ac:dyDescent="0.35">
      <c r="A76" s="86">
        <f t="shared" si="1"/>
        <v>65</v>
      </c>
      <c r="B76" s="135"/>
      <c r="C76" s="131" t="s">
        <v>498</v>
      </c>
      <c r="D76" s="412">
        <v>-1452.373</v>
      </c>
      <c r="E76" s="593">
        <f>SUM(D73:D76)</f>
        <v>217.58000000000015</v>
      </c>
      <c r="F76" s="496"/>
      <c r="G76" s="496"/>
      <c r="H76" s="496"/>
      <c r="I76" s="496"/>
      <c r="J76" s="496"/>
      <c r="K76" s="496"/>
      <c r="L76" s="496"/>
      <c r="M76" s="496"/>
      <c r="N76" s="496"/>
      <c r="O76" s="119"/>
      <c r="P76" s="86">
        <f t="shared" si="2"/>
        <v>65</v>
      </c>
    </row>
    <row r="77" spans="1:16" x14ac:dyDescent="0.35">
      <c r="A77" s="86">
        <f t="shared" ref="A77:A99" si="7">A76+1</f>
        <v>66</v>
      </c>
      <c r="B77" s="130">
        <v>935</v>
      </c>
      <c r="C77" s="131" t="s">
        <v>102</v>
      </c>
      <c r="D77" s="593">
        <f>-207.87024-1719.52219</f>
        <v>-1927.3924299999999</v>
      </c>
      <c r="E77" s="594"/>
      <c r="F77" s="496"/>
      <c r="G77" s="496"/>
      <c r="H77" s="496"/>
      <c r="I77" s="496"/>
      <c r="J77" s="496"/>
      <c r="K77" s="496"/>
      <c r="L77" s="496"/>
      <c r="M77" s="496"/>
      <c r="N77" s="496"/>
      <c r="O77" s="119"/>
      <c r="P77" s="86">
        <f t="shared" ref="P77:P99" si="8">P76+1</f>
        <v>66</v>
      </c>
    </row>
    <row r="78" spans="1:16" x14ac:dyDescent="0.35">
      <c r="A78" s="86">
        <f t="shared" si="7"/>
        <v>67</v>
      </c>
      <c r="B78" s="130"/>
      <c r="C78" s="136" t="s">
        <v>104</v>
      </c>
      <c r="D78" s="595">
        <v>12.147468914000001</v>
      </c>
      <c r="E78" s="595">
        <f>SUM(D77:D78)</f>
        <v>-1915.2449610859999</v>
      </c>
      <c r="F78" s="496"/>
      <c r="G78" s="496"/>
      <c r="H78" s="496"/>
      <c r="I78" s="496"/>
      <c r="J78" s="496"/>
      <c r="K78" s="496"/>
      <c r="L78" s="738"/>
      <c r="M78" s="496"/>
      <c r="N78" s="496"/>
      <c r="O78" s="119"/>
      <c r="P78" s="86">
        <f t="shared" si="8"/>
        <v>67</v>
      </c>
    </row>
    <row r="79" spans="1:16" x14ac:dyDescent="0.35">
      <c r="A79" s="86">
        <f t="shared" si="7"/>
        <v>68</v>
      </c>
      <c r="B79" s="137"/>
      <c r="C79" s="138"/>
      <c r="D79" s="443"/>
      <c r="E79" s="38"/>
      <c r="F79" s="496"/>
      <c r="G79" s="496"/>
      <c r="H79" s="496"/>
      <c r="I79" s="496"/>
      <c r="J79" s="496"/>
      <c r="K79" s="496"/>
      <c r="L79" s="496"/>
      <c r="M79" s="496"/>
      <c r="N79" s="496"/>
      <c r="O79" s="119"/>
      <c r="P79" s="86">
        <f t="shared" si="8"/>
        <v>68</v>
      </c>
    </row>
    <row r="80" spans="1:16" ht="16" thickBot="1" x14ac:dyDescent="0.4">
      <c r="A80" s="86">
        <f t="shared" si="7"/>
        <v>69</v>
      </c>
      <c r="B80" s="139"/>
      <c r="C80" s="140" t="s">
        <v>67</v>
      </c>
      <c r="D80" s="133"/>
      <c r="E80" s="444">
        <f>SUM(E38:E78)</f>
        <v>171935.58274067604</v>
      </c>
      <c r="F80" s="496"/>
      <c r="G80" s="496"/>
      <c r="H80" s="496"/>
      <c r="I80" s="496"/>
      <c r="J80" s="496"/>
      <c r="K80" s="496"/>
      <c r="L80" s="444">
        <f>SUM(L38:L78)</f>
        <v>16552.13812</v>
      </c>
      <c r="M80" s="496"/>
      <c r="N80" s="496"/>
      <c r="O80" s="119"/>
      <c r="P80" s="86">
        <f t="shared" si="8"/>
        <v>69</v>
      </c>
    </row>
    <row r="81" spans="1:16" ht="16" thickTop="1" x14ac:dyDescent="0.35">
      <c r="A81" s="86">
        <f t="shared" si="7"/>
        <v>70</v>
      </c>
      <c r="B81" s="139"/>
      <c r="C81" s="140"/>
      <c r="D81" s="133"/>
      <c r="E81" s="141"/>
      <c r="F81" s="496"/>
      <c r="G81" s="496"/>
      <c r="H81" s="496"/>
      <c r="I81" s="496"/>
      <c r="J81" s="496"/>
      <c r="K81" s="496"/>
      <c r="L81" s="496"/>
      <c r="M81" s="496"/>
      <c r="N81" s="496"/>
      <c r="O81" s="119"/>
      <c r="P81" s="86">
        <f t="shared" si="8"/>
        <v>70</v>
      </c>
    </row>
    <row r="82" spans="1:16" x14ac:dyDescent="0.35">
      <c r="A82" s="86">
        <f t="shared" si="7"/>
        <v>71</v>
      </c>
      <c r="B82" s="139"/>
      <c r="C82" s="140"/>
      <c r="D82" s="133"/>
      <c r="E82" s="141"/>
      <c r="F82" s="496"/>
      <c r="G82" s="496"/>
      <c r="H82" s="496"/>
      <c r="I82" s="496"/>
      <c r="J82" s="496"/>
      <c r="K82" s="496"/>
      <c r="L82" s="496"/>
      <c r="M82" s="496"/>
      <c r="N82" s="496"/>
      <c r="O82" s="119"/>
      <c r="P82" s="86">
        <f t="shared" si="8"/>
        <v>71</v>
      </c>
    </row>
    <row r="83" spans="1:16" x14ac:dyDescent="0.35">
      <c r="A83" s="86">
        <f t="shared" si="7"/>
        <v>72</v>
      </c>
      <c r="B83" s="68" t="s">
        <v>16</v>
      </c>
      <c r="C83" s="22" t="s">
        <v>687</v>
      </c>
      <c r="D83" s="133"/>
      <c r="E83" s="141"/>
      <c r="F83" s="496"/>
      <c r="G83" s="496"/>
      <c r="H83" s="496"/>
      <c r="I83" s="496"/>
      <c r="J83" s="496"/>
      <c r="K83" s="496"/>
      <c r="L83" s="496"/>
      <c r="M83" s="496"/>
      <c r="N83" s="496"/>
      <c r="O83" s="119"/>
      <c r="P83" s="86">
        <f t="shared" si="8"/>
        <v>72</v>
      </c>
    </row>
    <row r="84" spans="1:16" ht="18.5" x14ac:dyDescent="0.35">
      <c r="A84" s="86">
        <f t="shared" si="7"/>
        <v>73</v>
      </c>
      <c r="B84" s="434">
        <v>1</v>
      </c>
      <c r="C84" s="433" t="s">
        <v>515</v>
      </c>
      <c r="E84" s="141"/>
      <c r="F84" s="496"/>
      <c r="G84" s="496"/>
      <c r="H84" s="496"/>
      <c r="I84" s="496"/>
      <c r="J84" s="496"/>
      <c r="K84" s="496"/>
      <c r="L84" s="22"/>
      <c r="M84" s="496"/>
      <c r="N84" s="496"/>
      <c r="O84" s="119"/>
      <c r="P84" s="86">
        <f t="shared" si="8"/>
        <v>73</v>
      </c>
    </row>
    <row r="85" spans="1:16" ht="18.5" x14ac:dyDescent="0.35">
      <c r="A85" s="86">
        <f t="shared" si="7"/>
        <v>74</v>
      </c>
      <c r="B85" s="445"/>
      <c r="C85" s="18" t="s">
        <v>331</v>
      </c>
      <c r="E85" s="141"/>
      <c r="F85" s="496"/>
      <c r="G85" s="496"/>
      <c r="H85" s="496"/>
      <c r="I85" s="496"/>
      <c r="J85" s="496"/>
      <c r="K85" s="496"/>
      <c r="L85" s="496"/>
      <c r="M85" s="496"/>
      <c r="N85" s="496"/>
      <c r="O85" s="119"/>
      <c r="P85" s="86">
        <f t="shared" si="8"/>
        <v>74</v>
      </c>
    </row>
    <row r="86" spans="1:16" ht="18" x14ac:dyDescent="0.35">
      <c r="A86" s="86">
        <f t="shared" si="7"/>
        <v>75</v>
      </c>
      <c r="B86" s="596" t="s">
        <v>499</v>
      </c>
      <c r="C86" s="40" t="s">
        <v>500</v>
      </c>
      <c r="E86" s="141"/>
      <c r="F86" s="496"/>
      <c r="G86" s="496"/>
      <c r="H86" s="496"/>
      <c r="I86" s="496"/>
      <c r="J86" s="496"/>
      <c r="K86" s="496"/>
      <c r="L86" s="496"/>
      <c r="M86" s="496"/>
      <c r="N86" s="496"/>
      <c r="O86" s="119"/>
      <c r="P86" s="86">
        <f t="shared" si="8"/>
        <v>75</v>
      </c>
    </row>
    <row r="87" spans="1:16" ht="18" x14ac:dyDescent="0.35">
      <c r="A87" s="86">
        <f t="shared" si="7"/>
        <v>76</v>
      </c>
      <c r="B87" s="596"/>
      <c r="C87" s="40" t="s">
        <v>501</v>
      </c>
      <c r="E87" s="141"/>
      <c r="F87" s="496"/>
      <c r="G87" s="496"/>
      <c r="H87" s="496"/>
      <c r="I87" s="496"/>
      <c r="J87" s="496"/>
      <c r="K87" s="496"/>
      <c r="L87" s="496"/>
      <c r="M87" s="496"/>
      <c r="N87" s="496"/>
      <c r="O87" s="119"/>
      <c r="P87" s="86">
        <f t="shared" si="8"/>
        <v>76</v>
      </c>
    </row>
    <row r="88" spans="1:16" ht="18" x14ac:dyDescent="0.35">
      <c r="A88" s="86">
        <f t="shared" si="7"/>
        <v>77</v>
      </c>
      <c r="B88" s="596" t="s">
        <v>502</v>
      </c>
      <c r="C88" s="40" t="s">
        <v>503</v>
      </c>
      <c r="E88" s="141"/>
      <c r="F88" s="496"/>
      <c r="G88" s="496"/>
      <c r="H88" s="496"/>
      <c r="I88" s="496"/>
      <c r="J88" s="496"/>
      <c r="K88" s="496"/>
      <c r="L88" s="496"/>
      <c r="M88" s="496"/>
      <c r="N88" s="496"/>
      <c r="O88" s="119"/>
      <c r="P88" s="86">
        <f t="shared" si="8"/>
        <v>77</v>
      </c>
    </row>
    <row r="89" spans="1:16" ht="18" x14ac:dyDescent="0.35">
      <c r="A89" s="86">
        <f t="shared" si="7"/>
        <v>78</v>
      </c>
      <c r="B89" s="596"/>
      <c r="C89" s="40" t="s">
        <v>504</v>
      </c>
      <c r="E89" s="141"/>
      <c r="F89" s="496"/>
      <c r="G89" s="496"/>
      <c r="H89" s="496"/>
      <c r="I89" s="496"/>
      <c r="J89" s="496"/>
      <c r="K89" s="496"/>
      <c r="L89" s="496"/>
      <c r="M89" s="496"/>
      <c r="N89" s="496"/>
      <c r="O89" s="119"/>
      <c r="P89" s="86">
        <f t="shared" si="8"/>
        <v>78</v>
      </c>
    </row>
    <row r="90" spans="1:16" ht="18" x14ac:dyDescent="0.35">
      <c r="A90" s="86">
        <f t="shared" si="7"/>
        <v>79</v>
      </c>
      <c r="B90" s="596"/>
      <c r="C90" s="40" t="s">
        <v>505</v>
      </c>
      <c r="E90" s="141"/>
      <c r="F90" s="496"/>
      <c r="G90" s="496"/>
      <c r="H90" s="496"/>
      <c r="I90" s="496"/>
      <c r="J90" s="496"/>
      <c r="K90" s="496"/>
      <c r="L90" s="496"/>
      <c r="M90" s="496"/>
      <c r="N90" s="496"/>
      <c r="O90" s="119"/>
      <c r="P90" s="86">
        <f t="shared" si="8"/>
        <v>79</v>
      </c>
    </row>
    <row r="91" spans="1:16" ht="18" x14ac:dyDescent="0.35">
      <c r="A91" s="86">
        <f t="shared" si="7"/>
        <v>80</v>
      </c>
      <c r="B91" s="596" t="s">
        <v>506</v>
      </c>
      <c r="C91" s="40" t="s">
        <v>507</v>
      </c>
      <c r="E91" s="141"/>
      <c r="F91" s="496"/>
      <c r="G91" s="496"/>
      <c r="H91" s="496"/>
      <c r="I91" s="496"/>
      <c r="J91" s="496"/>
      <c r="K91" s="496"/>
      <c r="L91" s="496"/>
      <c r="M91" s="496"/>
      <c r="N91" s="496"/>
      <c r="O91" s="119"/>
      <c r="P91" s="86">
        <f t="shared" si="8"/>
        <v>80</v>
      </c>
    </row>
    <row r="92" spans="1:16" ht="18" x14ac:dyDescent="0.35">
      <c r="A92" s="86">
        <f t="shared" si="7"/>
        <v>81</v>
      </c>
      <c r="B92" s="596"/>
      <c r="C92" s="40" t="s">
        <v>508</v>
      </c>
      <c r="E92" s="141"/>
      <c r="F92" s="496"/>
      <c r="G92" s="496"/>
      <c r="H92" s="496"/>
      <c r="I92" s="496"/>
      <c r="J92" s="496"/>
      <c r="K92" s="496"/>
      <c r="L92" s="496"/>
      <c r="M92" s="496"/>
      <c r="N92" s="496"/>
      <c r="O92" s="119"/>
      <c r="P92" s="86">
        <f t="shared" si="8"/>
        <v>81</v>
      </c>
    </row>
    <row r="93" spans="1:16" ht="18" x14ac:dyDescent="0.35">
      <c r="A93" s="86">
        <f t="shared" si="7"/>
        <v>82</v>
      </c>
      <c r="B93" s="597">
        <v>5</v>
      </c>
      <c r="C93" s="40" t="s">
        <v>514</v>
      </c>
      <c r="E93" s="141"/>
      <c r="F93" s="496"/>
      <c r="G93" s="496"/>
      <c r="H93" s="496"/>
      <c r="I93" s="496"/>
      <c r="J93" s="496"/>
      <c r="K93" s="496"/>
      <c r="L93" s="496"/>
      <c r="M93" s="496"/>
      <c r="N93" s="496"/>
      <c r="O93" s="119"/>
      <c r="P93" s="86">
        <f t="shared" si="8"/>
        <v>82</v>
      </c>
    </row>
    <row r="94" spans="1:16" ht="18" x14ac:dyDescent="0.35">
      <c r="A94" s="86">
        <f t="shared" si="7"/>
        <v>83</v>
      </c>
      <c r="B94" s="597">
        <v>6</v>
      </c>
      <c r="C94" s="40" t="s">
        <v>509</v>
      </c>
      <c r="D94" s="133"/>
      <c r="E94" s="141"/>
      <c r="F94" s="496"/>
      <c r="G94" s="496"/>
      <c r="H94" s="496"/>
      <c r="I94" s="496"/>
      <c r="J94" s="496"/>
      <c r="K94" s="496"/>
      <c r="L94" s="496"/>
      <c r="M94" s="496"/>
      <c r="N94" s="496"/>
      <c r="O94" s="119"/>
      <c r="P94" s="86">
        <f t="shared" si="8"/>
        <v>83</v>
      </c>
    </row>
    <row r="95" spans="1:16" ht="18" x14ac:dyDescent="0.35">
      <c r="A95" s="86">
        <f t="shared" si="7"/>
        <v>84</v>
      </c>
      <c r="B95" s="597">
        <v>7</v>
      </c>
      <c r="C95" s="40" t="s">
        <v>547</v>
      </c>
      <c r="D95" s="133"/>
      <c r="E95" s="141"/>
      <c r="F95" s="496"/>
      <c r="G95" s="496"/>
      <c r="H95" s="496"/>
      <c r="I95" s="496"/>
      <c r="J95" s="496"/>
      <c r="K95" s="496"/>
      <c r="L95" s="496"/>
      <c r="M95" s="496"/>
      <c r="N95" s="496"/>
      <c r="O95" s="119"/>
      <c r="P95" s="86">
        <f t="shared" si="8"/>
        <v>84</v>
      </c>
    </row>
    <row r="96" spans="1:16" ht="18" x14ac:dyDescent="0.35">
      <c r="A96" s="86">
        <f t="shared" si="7"/>
        <v>85</v>
      </c>
      <c r="B96" s="597"/>
      <c r="C96" s="40" t="s">
        <v>548</v>
      </c>
      <c r="D96" s="133"/>
      <c r="E96" s="141"/>
      <c r="F96" s="496"/>
      <c r="G96" s="496"/>
      <c r="H96" s="496"/>
      <c r="I96" s="496"/>
      <c r="J96" s="496"/>
      <c r="K96" s="496"/>
      <c r="L96" s="496"/>
      <c r="M96" s="496"/>
      <c r="N96" s="496"/>
      <c r="O96" s="119"/>
      <c r="P96" s="86">
        <f t="shared" si="8"/>
        <v>85</v>
      </c>
    </row>
    <row r="97" spans="1:16" ht="18" x14ac:dyDescent="0.35">
      <c r="A97" s="86">
        <f t="shared" si="7"/>
        <v>86</v>
      </c>
      <c r="B97" s="597">
        <v>8</v>
      </c>
      <c r="C97" s="197" t="s">
        <v>544</v>
      </c>
      <c r="D97" s="133"/>
      <c r="E97" s="141"/>
      <c r="F97" s="496"/>
      <c r="G97" s="496"/>
      <c r="H97" s="496"/>
      <c r="I97" s="496"/>
      <c r="J97" s="496"/>
      <c r="K97" s="496"/>
      <c r="L97" s="496"/>
      <c r="M97" s="496"/>
      <c r="N97" s="496"/>
      <c r="O97" s="119"/>
      <c r="P97" s="86">
        <f t="shared" si="8"/>
        <v>86</v>
      </c>
    </row>
    <row r="98" spans="1:16" ht="16.5" x14ac:dyDescent="0.35">
      <c r="A98" s="86">
        <f t="shared" si="7"/>
        <v>87</v>
      </c>
      <c r="B98" s="663">
        <v>9</v>
      </c>
      <c r="C98" s="18" t="s">
        <v>555</v>
      </c>
      <c r="D98" s="133"/>
      <c r="E98" s="141"/>
      <c r="F98" s="496"/>
      <c r="G98" s="496"/>
      <c r="H98" s="496"/>
      <c r="I98" s="496"/>
      <c r="J98" s="496"/>
      <c r="K98" s="496"/>
      <c r="L98" s="496"/>
      <c r="M98" s="496"/>
      <c r="N98" s="496"/>
      <c r="O98" s="119"/>
      <c r="P98" s="86">
        <f t="shared" si="8"/>
        <v>87</v>
      </c>
    </row>
    <row r="99" spans="1:16" ht="16" thickBot="1" x14ac:dyDescent="0.4">
      <c r="A99" s="86">
        <f t="shared" si="7"/>
        <v>88</v>
      </c>
      <c r="B99" s="142"/>
      <c r="C99" s="143"/>
      <c r="D99" s="88"/>
      <c r="E99" s="88"/>
      <c r="F99" s="88"/>
      <c r="G99" s="88"/>
      <c r="H99" s="88"/>
      <c r="I99" s="88"/>
      <c r="J99" s="88"/>
      <c r="K99" s="88"/>
      <c r="L99" s="88"/>
      <c r="M99" s="88"/>
      <c r="N99" s="88"/>
      <c r="O99" s="128"/>
      <c r="P99" s="86">
        <f t="shared" si="8"/>
        <v>88</v>
      </c>
    </row>
    <row r="100" spans="1:16" x14ac:dyDescent="0.35">
      <c r="C100" s="111"/>
    </row>
    <row r="101" spans="1:16" x14ac:dyDescent="0.35">
      <c r="A101" s="497"/>
      <c r="C101" s="111"/>
      <c r="D101" s="144"/>
      <c r="E101" s="144"/>
    </row>
    <row r="102" spans="1:16" ht="18" x14ac:dyDescent="0.35">
      <c r="A102" s="145"/>
      <c r="B102" s="435"/>
      <c r="C102" s="18"/>
      <c r="D102" s="223"/>
      <c r="E102" s="223"/>
      <c r="F102" s="223"/>
      <c r="G102" s="223"/>
      <c r="H102" s="223"/>
      <c r="I102" s="223"/>
      <c r="J102" s="223"/>
      <c r="K102" s="223"/>
      <c r="L102" s="223"/>
      <c r="M102" s="223"/>
      <c r="N102" s="223"/>
    </row>
    <row r="103" spans="1:16" ht="18" x14ac:dyDescent="0.35">
      <c r="A103" s="145"/>
      <c r="B103" s="435"/>
      <c r="C103" s="302"/>
      <c r="D103" s="223"/>
      <c r="E103" s="223"/>
      <c r="F103" s="223"/>
      <c r="G103" s="223"/>
      <c r="H103" s="223"/>
      <c r="I103" s="223"/>
      <c r="J103" s="223"/>
      <c r="K103" s="223"/>
      <c r="L103" s="223"/>
      <c r="M103" s="223"/>
      <c r="N103" s="223"/>
    </row>
    <row r="104" spans="1:16" ht="18" x14ac:dyDescent="0.35">
      <c r="A104" s="145"/>
      <c r="B104" s="39"/>
      <c r="C104" s="18"/>
      <c r="D104" s="18"/>
      <c r="E104" s="18"/>
      <c r="F104" s="18"/>
      <c r="G104" s="18"/>
      <c r="H104" s="18"/>
      <c r="I104" s="18"/>
      <c r="J104" s="18"/>
      <c r="K104" s="18"/>
      <c r="L104" s="18"/>
      <c r="M104" s="18"/>
      <c r="N104" s="18"/>
    </row>
    <row r="105" spans="1:16" ht="18" x14ac:dyDescent="0.35">
      <c r="A105" s="145"/>
      <c r="C105" s="111"/>
    </row>
    <row r="106" spans="1:16" ht="18" x14ac:dyDescent="0.35">
      <c r="A106" s="145"/>
      <c r="C106" s="111"/>
    </row>
    <row r="107" spans="1:16" ht="18" x14ac:dyDescent="0.35">
      <c r="A107" s="145"/>
      <c r="C107" s="111"/>
    </row>
    <row r="108" spans="1:16" x14ac:dyDescent="0.35">
      <c r="A108" s="497"/>
      <c r="C108" s="111"/>
    </row>
    <row r="109" spans="1:16" ht="18" x14ac:dyDescent="0.35">
      <c r="A109" s="145"/>
      <c r="C109" s="111"/>
    </row>
    <row r="110" spans="1:16" x14ac:dyDescent="0.35">
      <c r="A110" s="497"/>
      <c r="C110" s="111"/>
    </row>
    <row r="111" spans="1:16" ht="18" x14ac:dyDescent="0.35">
      <c r="A111" s="145"/>
      <c r="C111" s="111"/>
    </row>
    <row r="112" spans="1:16" x14ac:dyDescent="0.35">
      <c r="A112" s="497"/>
      <c r="C112" s="111"/>
    </row>
    <row r="113" spans="1:3" ht="18" x14ac:dyDescent="0.35">
      <c r="A113" s="145"/>
      <c r="C113" s="111"/>
    </row>
    <row r="114" spans="1:3" ht="18" x14ac:dyDescent="0.35">
      <c r="A114" s="145"/>
      <c r="B114" s="111"/>
    </row>
    <row r="115" spans="1:3" ht="18" x14ac:dyDescent="0.35">
      <c r="A115" s="145"/>
      <c r="B115" s="111"/>
    </row>
    <row r="116" spans="1:3" x14ac:dyDescent="0.35">
      <c r="B116" s="111"/>
    </row>
    <row r="117" spans="1:3" ht="18" x14ac:dyDescent="0.35">
      <c r="A117" s="145"/>
      <c r="B117" s="111"/>
    </row>
    <row r="118" spans="1:3" x14ac:dyDescent="0.35">
      <c r="A118" s="446"/>
      <c r="B118" s="447"/>
    </row>
    <row r="119" spans="1:3" x14ac:dyDescent="0.35">
      <c r="B119" s="111"/>
    </row>
  </sheetData>
  <mergeCells count="4">
    <mergeCell ref="B3:O3"/>
    <mergeCell ref="B4:O4"/>
    <mergeCell ref="B5:O5"/>
    <mergeCell ref="B6:O6"/>
  </mergeCells>
  <printOptions horizontalCentered="1"/>
  <pageMargins left="0.25" right="0.25" top="0.5" bottom="0.5" header="0.35" footer="0.25"/>
  <pageSetup scale="40" orientation="portrait" r:id="rId1"/>
  <headerFooter scaleWithDoc="0" alignWithMargins="0">
    <oddHeader>&amp;C&amp;"Times New Roman,Bold"&amp;6AS FILED AH-3 WITH COST ADJ INCL IN OCT FILING IN APPENDIX XII CYCLE 6 (ER24-175)</oddHeader>
    <oddFooter>&amp;L&amp;F&amp;CPage 8.4&amp;R&amp;A</oddFooter>
  </headerFooter>
  <colBreaks count="1" manualBreakCount="1">
    <brk id="16" max="1048575" man="1"/>
  </col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23AA-AC75-4996-95ED-BB5373832B63}">
  <sheetPr>
    <pageSetUpPr fitToPage="1"/>
  </sheetPr>
  <dimension ref="A1:W117"/>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6" width="16.81640625" style="87" customWidth="1"/>
    <col min="7" max="7" width="1.54296875" style="87" customWidth="1"/>
    <col min="8" max="8" width="16.81640625" style="87" customWidth="1"/>
    <col min="9" max="9" width="2.81640625" style="87" bestFit="1" customWidth="1"/>
    <col min="10" max="10" width="16.81640625" style="87" customWidth="1"/>
    <col min="11" max="11" width="2.81640625" style="87" customWidth="1"/>
    <col min="12" max="12" width="11.6328125" style="87" bestFit="1" customWidth="1"/>
    <col min="13" max="13" width="2.453125" style="95" customWidth="1"/>
    <col min="14" max="14" width="20.1796875" style="87" bestFit="1" customWidth="1"/>
    <col min="15" max="15" width="2.1796875" style="87" customWidth="1"/>
    <col min="16" max="16" width="12.6328125" style="87" bestFit="1" customWidth="1"/>
    <col min="17" max="17" width="3.08984375" style="87" bestFit="1" customWidth="1"/>
    <col min="18" max="18" width="21.453125" style="87" bestFit="1" customWidth="1"/>
    <col min="19" max="19" width="34.54296875" style="87" customWidth="1"/>
    <col min="20" max="20" width="5.1796875" style="86" customWidth="1"/>
    <col min="21" max="21" width="4" style="87" customWidth="1"/>
    <col min="22" max="22" width="13.1796875" style="87" bestFit="1" customWidth="1"/>
    <col min="23" max="23" width="9.1796875" style="87"/>
    <col min="24" max="24" width="9.81640625" style="87" customWidth="1"/>
    <col min="25" max="25" width="10" style="87" customWidth="1"/>
    <col min="26" max="16384" width="9.1796875" style="87"/>
  </cols>
  <sheetData>
    <row r="1" spans="1:23" x14ac:dyDescent="0.35">
      <c r="A1" s="614" t="s">
        <v>663</v>
      </c>
    </row>
    <row r="2" spans="1:23" x14ac:dyDescent="0.35">
      <c r="S2" s="41"/>
    </row>
    <row r="3" spans="1:23" x14ac:dyDescent="0.35">
      <c r="B3" s="787" t="s">
        <v>24</v>
      </c>
      <c r="C3" s="787"/>
      <c r="D3" s="787"/>
      <c r="E3" s="787"/>
      <c r="F3" s="787"/>
      <c r="G3" s="787"/>
      <c r="H3" s="787"/>
      <c r="I3" s="787"/>
      <c r="J3" s="787"/>
      <c r="K3" s="787"/>
      <c r="L3" s="787"/>
      <c r="M3" s="787"/>
      <c r="N3" s="787"/>
      <c r="O3" s="787"/>
      <c r="P3" s="787"/>
      <c r="Q3" s="787"/>
      <c r="R3" s="787"/>
      <c r="S3" s="787"/>
      <c r="T3" s="497"/>
    </row>
    <row r="4" spans="1:23" x14ac:dyDescent="0.35">
      <c r="B4" s="787" t="s">
        <v>68</v>
      </c>
      <c r="C4" s="787"/>
      <c r="D4" s="787"/>
      <c r="E4" s="787"/>
      <c r="F4" s="787"/>
      <c r="G4" s="787"/>
      <c r="H4" s="787"/>
      <c r="I4" s="787"/>
      <c r="J4" s="787"/>
      <c r="K4" s="787"/>
      <c r="L4" s="787"/>
      <c r="M4" s="787"/>
      <c r="N4" s="787"/>
      <c r="O4" s="787"/>
      <c r="P4" s="787"/>
      <c r="Q4" s="787"/>
      <c r="R4" s="787"/>
      <c r="S4" s="787"/>
      <c r="T4" s="497"/>
    </row>
    <row r="5" spans="1:23" x14ac:dyDescent="0.35">
      <c r="B5" s="787" t="s">
        <v>490</v>
      </c>
      <c r="C5" s="787"/>
      <c r="D5" s="787"/>
      <c r="E5" s="787"/>
      <c r="F5" s="787"/>
      <c r="G5" s="787"/>
      <c r="H5" s="787"/>
      <c r="I5" s="787"/>
      <c r="J5" s="787"/>
      <c r="K5" s="787"/>
      <c r="L5" s="787"/>
      <c r="M5" s="787"/>
      <c r="N5" s="787"/>
      <c r="O5" s="787"/>
      <c r="P5" s="787"/>
      <c r="Q5" s="787"/>
      <c r="R5" s="787"/>
      <c r="S5" s="787"/>
      <c r="T5" s="497"/>
    </row>
    <row r="6" spans="1:23" x14ac:dyDescent="0.35">
      <c r="B6" s="788" t="s">
        <v>1</v>
      </c>
      <c r="C6" s="788"/>
      <c r="D6" s="788"/>
      <c r="E6" s="788"/>
      <c r="F6" s="788"/>
      <c r="G6" s="788"/>
      <c r="H6" s="788"/>
      <c r="I6" s="788"/>
      <c r="J6" s="788"/>
      <c r="K6" s="788"/>
      <c r="L6" s="788"/>
      <c r="M6" s="788"/>
      <c r="N6" s="788"/>
      <c r="O6" s="788"/>
      <c r="P6" s="788"/>
      <c r="Q6" s="788"/>
      <c r="R6" s="788"/>
      <c r="S6" s="788"/>
      <c r="T6" s="497"/>
    </row>
    <row r="7" spans="1:23" ht="16" thickBot="1" x14ac:dyDescent="0.4">
      <c r="D7" s="88"/>
      <c r="E7" s="88"/>
      <c r="F7" s="88"/>
      <c r="G7" s="88"/>
      <c r="H7" s="88"/>
      <c r="I7" s="88"/>
      <c r="J7" s="88"/>
      <c r="K7" s="88"/>
      <c r="L7" s="88"/>
      <c r="M7" s="728"/>
      <c r="N7" s="88"/>
      <c r="O7" s="88"/>
      <c r="P7" s="88"/>
      <c r="Q7" s="88"/>
      <c r="R7" s="88"/>
      <c r="S7" s="88"/>
      <c r="V7" s="40"/>
    </row>
    <row r="8" spans="1:23" ht="18" x14ac:dyDescent="0.3">
      <c r="A8" s="497"/>
      <c r="B8" s="89"/>
      <c r="C8" s="90"/>
      <c r="D8" s="91" t="s">
        <v>10</v>
      </c>
      <c r="E8" s="92" t="s">
        <v>56</v>
      </c>
      <c r="F8" s="91" t="s">
        <v>57</v>
      </c>
      <c r="G8" s="92"/>
      <c r="H8" s="610" t="s">
        <v>516</v>
      </c>
      <c r="I8" s="71"/>
      <c r="J8" s="71" t="s">
        <v>58</v>
      </c>
      <c r="K8" s="629"/>
      <c r="L8" s="610" t="s">
        <v>540</v>
      </c>
      <c r="M8" s="631"/>
      <c r="N8" s="635" t="s">
        <v>541</v>
      </c>
      <c r="O8" s="629"/>
      <c r="P8" s="629" t="s">
        <v>578</v>
      </c>
      <c r="Q8" s="71"/>
      <c r="R8" s="71" t="s">
        <v>599</v>
      </c>
      <c r="S8" s="93"/>
      <c r="T8" s="497"/>
    </row>
    <row r="9" spans="1:23" ht="30" x14ac:dyDescent="0.3">
      <c r="A9" s="86" t="s">
        <v>2</v>
      </c>
      <c r="B9" s="94" t="s">
        <v>59</v>
      </c>
      <c r="C9" s="95"/>
      <c r="D9" s="96" t="s">
        <v>9</v>
      </c>
      <c r="E9" s="497" t="s">
        <v>60</v>
      </c>
      <c r="F9" s="96" t="s">
        <v>9</v>
      </c>
      <c r="G9" s="97"/>
      <c r="H9" s="495" t="s">
        <v>325</v>
      </c>
      <c r="I9" s="436"/>
      <c r="J9" s="72" t="s">
        <v>61</v>
      </c>
      <c r="K9" s="218"/>
      <c r="L9" s="218" t="s">
        <v>542</v>
      </c>
      <c r="M9" s="632"/>
      <c r="N9" s="636" t="s">
        <v>65</v>
      </c>
      <c r="O9" s="218"/>
      <c r="P9" s="694" t="s">
        <v>600</v>
      </c>
      <c r="Q9" s="695"/>
      <c r="R9" s="72" t="s">
        <v>601</v>
      </c>
      <c r="S9" s="98"/>
      <c r="T9" s="86" t="s">
        <v>2</v>
      </c>
    </row>
    <row r="10" spans="1:23" ht="16" thickBot="1" x14ac:dyDescent="0.35">
      <c r="A10" s="86" t="s">
        <v>6</v>
      </c>
      <c r="B10" s="99" t="s">
        <v>62</v>
      </c>
      <c r="C10" s="100" t="s">
        <v>3</v>
      </c>
      <c r="D10" s="101" t="s">
        <v>63</v>
      </c>
      <c r="E10" s="100" t="s">
        <v>64</v>
      </c>
      <c r="F10" s="101" t="s">
        <v>65</v>
      </c>
      <c r="G10" s="102"/>
      <c r="H10" s="125" t="s">
        <v>326</v>
      </c>
      <c r="I10" s="126"/>
      <c r="J10" s="103" t="s">
        <v>69</v>
      </c>
      <c r="K10" s="630"/>
      <c r="L10" s="125" t="s">
        <v>549</v>
      </c>
      <c r="M10" s="633"/>
      <c r="N10" s="637" t="s">
        <v>550</v>
      </c>
      <c r="O10" s="630"/>
      <c r="P10" s="630" t="s">
        <v>602</v>
      </c>
      <c r="Q10" s="103"/>
      <c r="R10" s="103" t="s">
        <v>603</v>
      </c>
      <c r="S10" s="104" t="s">
        <v>5</v>
      </c>
      <c r="T10" s="86" t="s">
        <v>6</v>
      </c>
      <c r="U10" s="86"/>
    </row>
    <row r="11" spans="1:23" x14ac:dyDescent="0.35">
      <c r="B11" s="105"/>
      <c r="C11" s="106" t="s">
        <v>70</v>
      </c>
      <c r="D11" s="437"/>
      <c r="E11" s="437"/>
      <c r="F11" s="107"/>
      <c r="G11" s="108"/>
      <c r="H11" s="108"/>
      <c r="I11" s="108"/>
      <c r="J11" s="109"/>
      <c r="K11" s="108"/>
      <c r="L11" s="108"/>
      <c r="M11" s="97"/>
      <c r="N11" s="107"/>
      <c r="O11" s="108"/>
      <c r="P11" s="108"/>
      <c r="Q11" s="108"/>
      <c r="R11" s="109"/>
      <c r="S11" s="110"/>
    </row>
    <row r="12" spans="1:23" ht="18.5" x14ac:dyDescent="0.35">
      <c r="A12" s="86">
        <v>1</v>
      </c>
      <c r="B12" s="105">
        <v>920</v>
      </c>
      <c r="C12" s="111" t="s">
        <v>71</v>
      </c>
      <c r="D12" s="74">
        <v>46411.108999999997</v>
      </c>
      <c r="E12" s="74">
        <f>E40</f>
        <v>968.08356942399996</v>
      </c>
      <c r="F12" s="74">
        <f>D12-E12</f>
        <v>45443.025430575995</v>
      </c>
      <c r="G12" s="25"/>
      <c r="H12" s="37"/>
      <c r="I12" s="507"/>
      <c r="J12" s="74">
        <f t="shared" ref="J12:J25" si="0">F12+H12</f>
        <v>45443.025430575995</v>
      </c>
      <c r="K12" s="665" t="s">
        <v>16</v>
      </c>
      <c r="L12" s="37">
        <f>L41</f>
        <v>1015.03238</v>
      </c>
      <c r="M12" s="662">
        <v>9</v>
      </c>
      <c r="N12" s="74">
        <f>J12+L12</f>
        <v>46458.057810575992</v>
      </c>
      <c r="O12" s="78"/>
      <c r="P12" s="78"/>
      <c r="Q12" s="78"/>
      <c r="R12" s="74">
        <f>N12+P12</f>
        <v>46458.057810575992</v>
      </c>
      <c r="S12" s="73" t="s">
        <v>72</v>
      </c>
      <c r="T12" s="86">
        <f>A12</f>
        <v>1</v>
      </c>
      <c r="U12" s="87" t="s">
        <v>11</v>
      </c>
      <c r="V12" s="112"/>
    </row>
    <row r="13" spans="1:23" ht="18.5" x14ac:dyDescent="0.35">
      <c r="A13" s="86">
        <f t="shared" ref="A13:A76" si="1">A12+1</f>
        <v>2</v>
      </c>
      <c r="B13" s="105">
        <v>921</v>
      </c>
      <c r="C13" s="111" t="s">
        <v>73</v>
      </c>
      <c r="D13" s="75">
        <v>28861</v>
      </c>
      <c r="E13" s="76">
        <f>E44</f>
        <v>9375.0137418520007</v>
      </c>
      <c r="F13" s="75">
        <f>D13-E13</f>
        <v>19485.986258147997</v>
      </c>
      <c r="G13" s="25"/>
      <c r="H13" s="76"/>
      <c r="I13" s="507"/>
      <c r="J13" s="75">
        <f t="shared" si="0"/>
        <v>19485.986258147997</v>
      </c>
      <c r="K13" s="665" t="s">
        <v>16</v>
      </c>
      <c r="L13" s="76">
        <v>1717.9580000000001</v>
      </c>
      <c r="M13" s="634">
        <v>7</v>
      </c>
      <c r="N13" s="75">
        <f>J13+L13+L14</f>
        <v>30707.183108147998</v>
      </c>
      <c r="O13" s="608"/>
      <c r="P13" s="608"/>
      <c r="Q13" s="608"/>
      <c r="R13" s="75">
        <f>N13+P13</f>
        <v>30707.183108147998</v>
      </c>
      <c r="S13" s="73" t="s">
        <v>74</v>
      </c>
      <c r="T13" s="86">
        <f t="shared" ref="T13:T76" si="2">T12+1</f>
        <v>2</v>
      </c>
      <c r="V13" s="112"/>
      <c r="W13" s="113"/>
    </row>
    <row r="14" spans="1:23" ht="18.5" x14ac:dyDescent="0.35">
      <c r="A14" s="86">
        <f t="shared" si="1"/>
        <v>3</v>
      </c>
      <c r="B14" s="105">
        <v>921</v>
      </c>
      <c r="C14" s="111" t="s">
        <v>73</v>
      </c>
      <c r="D14" s="75"/>
      <c r="E14" s="76"/>
      <c r="F14" s="75"/>
      <c r="G14" s="25"/>
      <c r="H14" s="76"/>
      <c r="I14" s="507"/>
      <c r="J14" s="75"/>
      <c r="K14" s="665" t="s">
        <v>16</v>
      </c>
      <c r="L14" s="76">
        <f>L45</f>
        <v>9503.2388499999997</v>
      </c>
      <c r="M14" s="662">
        <v>9</v>
      </c>
      <c r="N14" s="75"/>
      <c r="O14" s="608"/>
      <c r="P14" s="608"/>
      <c r="Q14" s="608"/>
      <c r="R14" s="75"/>
      <c r="S14" s="73" t="s">
        <v>74</v>
      </c>
      <c r="T14" s="86">
        <f t="shared" si="2"/>
        <v>3</v>
      </c>
      <c r="V14" s="112"/>
      <c r="W14" s="113"/>
    </row>
    <row r="15" spans="1:23" ht="16.5" x14ac:dyDescent="0.35">
      <c r="A15" s="86">
        <f t="shared" si="1"/>
        <v>4</v>
      </c>
      <c r="B15" s="94">
        <v>922</v>
      </c>
      <c r="C15" s="111" t="s">
        <v>75</v>
      </c>
      <c r="D15" s="75">
        <v>-18872.382000000001</v>
      </c>
      <c r="E15" s="76">
        <f>E46</f>
        <v>-125.07091</v>
      </c>
      <c r="F15" s="75">
        <f>D15-E15</f>
        <v>-18747.311090000003</v>
      </c>
      <c r="G15" s="76"/>
      <c r="H15" s="76"/>
      <c r="I15" s="77"/>
      <c r="J15" s="75">
        <f t="shared" si="0"/>
        <v>-18747.311090000003</v>
      </c>
      <c r="K15" s="665" t="s">
        <v>16</v>
      </c>
      <c r="L15" s="76">
        <f>L47</f>
        <v>-125.12939</v>
      </c>
      <c r="M15" s="662">
        <v>9</v>
      </c>
      <c r="N15" s="75">
        <f>J15+L15</f>
        <v>-18872.440480000001</v>
      </c>
      <c r="O15" s="25" t="s">
        <v>16</v>
      </c>
      <c r="P15" s="608">
        <v>6110</v>
      </c>
      <c r="Q15" s="639">
        <v>10</v>
      </c>
      <c r="R15" s="613">
        <f t="shared" ref="R15:R28" si="3">N15+P15</f>
        <v>-12762.440480000001</v>
      </c>
      <c r="S15" s="73" t="s">
        <v>76</v>
      </c>
      <c r="T15" s="86">
        <f t="shared" si="2"/>
        <v>4</v>
      </c>
      <c r="V15" s="112"/>
    </row>
    <row r="16" spans="1:23" ht="18.5" x14ac:dyDescent="0.35">
      <c r="A16" s="86">
        <f t="shared" si="1"/>
        <v>5</v>
      </c>
      <c r="B16" s="105">
        <v>923</v>
      </c>
      <c r="C16" s="111" t="s">
        <v>77</v>
      </c>
      <c r="D16" s="75">
        <v>108535.25900000001</v>
      </c>
      <c r="E16" s="76">
        <f>E53</f>
        <v>12845.547155421998</v>
      </c>
      <c r="F16" s="75">
        <f>D16-E16</f>
        <v>95689.711844578007</v>
      </c>
      <c r="G16" s="25"/>
      <c r="H16" s="76"/>
      <c r="I16" s="507"/>
      <c r="J16" s="75">
        <f t="shared" si="0"/>
        <v>95689.711844578007</v>
      </c>
      <c r="K16" s="665" t="s">
        <v>16</v>
      </c>
      <c r="L16" s="76">
        <v>83.521000000000001</v>
      </c>
      <c r="M16" s="634">
        <v>7</v>
      </c>
      <c r="N16" s="75">
        <f>J16+L16+L17</f>
        <v>98505.420374577996</v>
      </c>
      <c r="O16" s="608"/>
      <c r="P16" s="608"/>
      <c r="Q16" s="608"/>
      <c r="R16" s="75">
        <f t="shared" si="3"/>
        <v>98505.420374577996</v>
      </c>
      <c r="S16" s="73" t="s">
        <v>78</v>
      </c>
      <c r="T16" s="86">
        <f t="shared" si="2"/>
        <v>5</v>
      </c>
      <c r="V16" s="112"/>
    </row>
    <row r="17" spans="1:22" ht="18.5" x14ac:dyDescent="0.35">
      <c r="A17" s="86">
        <f t="shared" si="1"/>
        <v>6</v>
      </c>
      <c r="B17" s="105">
        <v>923</v>
      </c>
      <c r="C17" s="111" t="s">
        <v>77</v>
      </c>
      <c r="D17" s="75"/>
      <c r="E17" s="76"/>
      <c r="F17" s="75"/>
      <c r="G17" s="25"/>
      <c r="H17" s="76"/>
      <c r="I17" s="507"/>
      <c r="J17" s="75"/>
      <c r="K17" s="665" t="s">
        <v>16</v>
      </c>
      <c r="L17" s="76">
        <f>L54</f>
        <v>2732.1875300000002</v>
      </c>
      <c r="M17" s="662">
        <v>9</v>
      </c>
      <c r="N17" s="75"/>
      <c r="O17" s="608"/>
      <c r="P17" s="608"/>
      <c r="Q17" s="608"/>
      <c r="R17" s="75"/>
      <c r="S17" s="73" t="s">
        <v>78</v>
      </c>
      <c r="T17" s="86">
        <f t="shared" si="2"/>
        <v>6</v>
      </c>
      <c r="V17" s="112"/>
    </row>
    <row r="18" spans="1:22" x14ac:dyDescent="0.35">
      <c r="A18" s="86">
        <f t="shared" si="1"/>
        <v>7</v>
      </c>
      <c r="B18" s="105">
        <v>924</v>
      </c>
      <c r="C18" s="111" t="s">
        <v>79</v>
      </c>
      <c r="D18" s="75">
        <v>8310.402</v>
      </c>
      <c r="E18" s="76">
        <v>0</v>
      </c>
      <c r="F18" s="75">
        <f t="shared" ref="F18:F19" si="4">D18-E18</f>
        <v>8310.402</v>
      </c>
      <c r="G18" s="76"/>
      <c r="H18" s="76"/>
      <c r="I18" s="77"/>
      <c r="J18" s="75">
        <f t="shared" si="0"/>
        <v>8310.402</v>
      </c>
      <c r="K18" s="76"/>
      <c r="L18" s="76"/>
      <c r="M18" s="608"/>
      <c r="N18" s="75">
        <f t="shared" ref="N18:N27" si="5">J18+L18</f>
        <v>8310.402</v>
      </c>
      <c r="O18" s="76"/>
      <c r="P18" s="76"/>
      <c r="Q18" s="76"/>
      <c r="R18" s="75">
        <f t="shared" si="3"/>
        <v>8310.402</v>
      </c>
      <c r="S18" s="73" t="s">
        <v>80</v>
      </c>
      <c r="T18" s="86">
        <f t="shared" si="2"/>
        <v>7</v>
      </c>
      <c r="V18" s="112"/>
    </row>
    <row r="19" spans="1:22" ht="18.5" x14ac:dyDescent="0.35">
      <c r="A19" s="86">
        <f t="shared" si="1"/>
        <v>8</v>
      </c>
      <c r="B19" s="105">
        <v>925</v>
      </c>
      <c r="C19" s="111" t="s">
        <v>81</v>
      </c>
      <c r="D19" s="75">
        <v>181130.33900000001</v>
      </c>
      <c r="E19" s="76">
        <f>E57</f>
        <v>1105.1051231060101</v>
      </c>
      <c r="F19" s="75">
        <f t="shared" si="4"/>
        <v>180025.233876894</v>
      </c>
      <c r="G19" s="665" t="s">
        <v>16</v>
      </c>
      <c r="H19" s="37">
        <v>-130.33199999999999</v>
      </c>
      <c r="I19" s="507">
        <v>5</v>
      </c>
      <c r="J19" s="75">
        <f t="shared" si="0"/>
        <v>179894.901876894</v>
      </c>
      <c r="K19" s="665" t="s">
        <v>16</v>
      </c>
      <c r="L19" s="76">
        <f>L58</f>
        <v>1051.78847</v>
      </c>
      <c r="M19" s="662">
        <v>9</v>
      </c>
      <c r="N19" s="75">
        <f t="shared" si="5"/>
        <v>180946.690346894</v>
      </c>
      <c r="O19" s="608"/>
      <c r="P19" s="608"/>
      <c r="Q19" s="608"/>
      <c r="R19" s="75">
        <f t="shared" si="3"/>
        <v>180946.690346894</v>
      </c>
      <c r="S19" s="73" t="s">
        <v>82</v>
      </c>
      <c r="T19" s="86">
        <f t="shared" si="2"/>
        <v>8</v>
      </c>
      <c r="V19" s="112"/>
    </row>
    <row r="20" spans="1:22" ht="18.5" x14ac:dyDescent="0.35">
      <c r="A20" s="86">
        <f t="shared" si="1"/>
        <v>9</v>
      </c>
      <c r="B20" s="105">
        <v>926</v>
      </c>
      <c r="C20" s="111" t="s">
        <v>327</v>
      </c>
      <c r="D20" s="75">
        <v>62304.38</v>
      </c>
      <c r="E20" s="76">
        <f>E61</f>
        <v>2589.589301958019</v>
      </c>
      <c r="F20" s="75">
        <f>D20-E20</f>
        <v>59714.790698041979</v>
      </c>
      <c r="G20" s="25"/>
      <c r="H20" s="76"/>
      <c r="I20" s="507"/>
      <c r="J20" s="75">
        <f t="shared" si="0"/>
        <v>59714.790698041979</v>
      </c>
      <c r="K20" s="665" t="s">
        <v>16</v>
      </c>
      <c r="L20" s="76">
        <f>L62</f>
        <v>2584.6952799999999</v>
      </c>
      <c r="M20" s="662">
        <v>9</v>
      </c>
      <c r="N20" s="75">
        <f t="shared" si="5"/>
        <v>62299.485978041979</v>
      </c>
      <c r="O20" s="608"/>
      <c r="P20" s="608"/>
      <c r="Q20" s="608"/>
      <c r="R20" s="75">
        <f t="shared" si="3"/>
        <v>62299.485978041979</v>
      </c>
      <c r="S20" s="73" t="s">
        <v>83</v>
      </c>
      <c r="T20" s="86">
        <f t="shared" si="2"/>
        <v>9</v>
      </c>
      <c r="V20" s="114"/>
    </row>
    <row r="21" spans="1:22" x14ac:dyDescent="0.35">
      <c r="A21" s="86">
        <f t="shared" si="1"/>
        <v>10</v>
      </c>
      <c r="B21" s="105">
        <v>927</v>
      </c>
      <c r="C21" s="111" t="s">
        <v>84</v>
      </c>
      <c r="D21" s="75">
        <v>130506.765</v>
      </c>
      <c r="E21" s="76">
        <f>E63</f>
        <v>130506.76528000001</v>
      </c>
      <c r="F21" s="75">
        <f t="shared" ref="F21:F23" si="6">D21-E21</f>
        <v>-2.8000000747852027E-4</v>
      </c>
      <c r="G21" s="76"/>
      <c r="H21" s="76"/>
      <c r="I21" s="77"/>
      <c r="J21" s="75">
        <f t="shared" si="0"/>
        <v>-2.8000000747852027E-4</v>
      </c>
      <c r="K21" s="76"/>
      <c r="L21" s="76"/>
      <c r="M21" s="608"/>
      <c r="N21" s="75">
        <f t="shared" si="5"/>
        <v>-2.8000000747852027E-4</v>
      </c>
      <c r="O21" s="76"/>
      <c r="P21" s="76"/>
      <c r="Q21" s="76"/>
      <c r="R21" s="75">
        <f t="shared" si="3"/>
        <v>-2.8000000747852027E-4</v>
      </c>
      <c r="S21" s="73" t="s">
        <v>85</v>
      </c>
      <c r="T21" s="86">
        <f t="shared" si="2"/>
        <v>10</v>
      </c>
      <c r="V21" s="114"/>
    </row>
    <row r="22" spans="1:22" x14ac:dyDescent="0.3">
      <c r="A22" s="86">
        <f t="shared" si="1"/>
        <v>11</v>
      </c>
      <c r="B22" s="105">
        <v>928</v>
      </c>
      <c r="C22" s="111" t="s">
        <v>328</v>
      </c>
      <c r="D22" s="75">
        <v>27995.793000000001</v>
      </c>
      <c r="E22" s="76">
        <f>E69</f>
        <v>16572.369439999999</v>
      </c>
      <c r="F22" s="75">
        <f t="shared" si="6"/>
        <v>11423.423560000003</v>
      </c>
      <c r="G22" s="76"/>
      <c r="H22" s="76"/>
      <c r="I22" s="116"/>
      <c r="J22" s="75">
        <f t="shared" si="0"/>
        <v>11423.423560000003</v>
      </c>
      <c r="K22" s="76"/>
      <c r="L22" s="76"/>
      <c r="M22" s="608"/>
      <c r="N22" s="75">
        <f t="shared" si="5"/>
        <v>11423.423560000003</v>
      </c>
      <c r="O22" s="76"/>
      <c r="P22" s="76"/>
      <c r="Q22" s="76"/>
      <c r="R22" s="75">
        <f t="shared" si="3"/>
        <v>11423.423560000003</v>
      </c>
      <c r="S22" s="73" t="s">
        <v>86</v>
      </c>
      <c r="T22" s="86">
        <f t="shared" si="2"/>
        <v>11</v>
      </c>
      <c r="V22" s="114"/>
    </row>
    <row r="23" spans="1:22" x14ac:dyDescent="0.35">
      <c r="A23" s="86">
        <f t="shared" si="1"/>
        <v>12</v>
      </c>
      <c r="B23" s="105">
        <v>929</v>
      </c>
      <c r="C23" s="111" t="s">
        <v>87</v>
      </c>
      <c r="D23" s="75">
        <v>-2772.7849999999999</v>
      </c>
      <c r="E23" s="76">
        <v>0</v>
      </c>
      <c r="F23" s="75">
        <f t="shared" si="6"/>
        <v>-2772.7849999999999</v>
      </c>
      <c r="G23" s="76"/>
      <c r="H23" s="76"/>
      <c r="I23" s="77"/>
      <c r="J23" s="75">
        <f t="shared" si="0"/>
        <v>-2772.7849999999999</v>
      </c>
      <c r="K23" s="76"/>
      <c r="L23" s="76"/>
      <c r="M23" s="608"/>
      <c r="N23" s="75">
        <f t="shared" si="5"/>
        <v>-2772.7849999999999</v>
      </c>
      <c r="O23" s="76"/>
      <c r="P23" s="76"/>
      <c r="Q23" s="76"/>
      <c r="R23" s="75">
        <f t="shared" si="3"/>
        <v>-2772.7849999999999</v>
      </c>
      <c r="S23" s="73" t="s">
        <v>88</v>
      </c>
      <c r="T23" s="86">
        <f t="shared" si="2"/>
        <v>12</v>
      </c>
      <c r="V23" s="112"/>
    </row>
    <row r="24" spans="1:22" ht="18.5" x14ac:dyDescent="0.35">
      <c r="A24" s="86">
        <f t="shared" si="1"/>
        <v>13</v>
      </c>
      <c r="B24" s="605">
        <v>930.1</v>
      </c>
      <c r="C24" s="111" t="s">
        <v>89</v>
      </c>
      <c r="D24" s="75">
        <v>-204.155</v>
      </c>
      <c r="E24" s="76">
        <f>E70</f>
        <v>-204.155</v>
      </c>
      <c r="F24" s="75">
        <f>D24-E24</f>
        <v>0</v>
      </c>
      <c r="G24" s="76"/>
      <c r="H24" s="76"/>
      <c r="I24" s="507"/>
      <c r="J24" s="75">
        <f t="shared" si="0"/>
        <v>0</v>
      </c>
      <c r="K24" s="76"/>
      <c r="L24" s="76"/>
      <c r="M24" s="608"/>
      <c r="N24" s="75">
        <f t="shared" si="5"/>
        <v>0</v>
      </c>
      <c r="O24" s="76"/>
      <c r="P24" s="76"/>
      <c r="Q24" s="76"/>
      <c r="R24" s="75">
        <f t="shared" si="3"/>
        <v>0</v>
      </c>
      <c r="S24" s="73" t="s">
        <v>90</v>
      </c>
      <c r="T24" s="86">
        <f t="shared" si="2"/>
        <v>13</v>
      </c>
      <c r="V24" s="112"/>
    </row>
    <row r="25" spans="1:22" ht="18.5" x14ac:dyDescent="0.35">
      <c r="A25" s="86">
        <f t="shared" si="1"/>
        <v>14</v>
      </c>
      <c r="B25" s="605">
        <v>930.2</v>
      </c>
      <c r="C25" s="111" t="s">
        <v>91</v>
      </c>
      <c r="D25" s="75">
        <v>2511.0549999999998</v>
      </c>
      <c r="E25" s="76">
        <f>E73</f>
        <v>217.58000000000015</v>
      </c>
      <c r="F25" s="75">
        <f t="shared" ref="F25" si="7">D25-E25</f>
        <v>2293.4749999999995</v>
      </c>
      <c r="G25" s="665" t="s">
        <v>16</v>
      </c>
      <c r="H25" s="76">
        <v>40</v>
      </c>
      <c r="I25" s="507">
        <v>6</v>
      </c>
      <c r="J25" s="75">
        <f t="shared" si="0"/>
        <v>2333.4749999999995</v>
      </c>
      <c r="K25" s="665" t="s">
        <v>16</v>
      </c>
      <c r="L25" s="76">
        <v>595.57100000000003</v>
      </c>
      <c r="M25" s="639">
        <v>7</v>
      </c>
      <c r="N25" s="75">
        <f>J25+L25+L26</f>
        <v>2238.2789999999995</v>
      </c>
      <c r="O25" s="608"/>
      <c r="P25" s="608"/>
      <c r="Q25" s="608"/>
      <c r="R25" s="75">
        <f t="shared" si="3"/>
        <v>2238.2789999999995</v>
      </c>
      <c r="S25" s="73" t="s">
        <v>92</v>
      </c>
      <c r="T25" s="86">
        <f t="shared" si="2"/>
        <v>14</v>
      </c>
      <c r="V25" s="117"/>
    </row>
    <row r="26" spans="1:22" ht="18.5" x14ac:dyDescent="0.35">
      <c r="A26" s="86">
        <f t="shared" si="1"/>
        <v>15</v>
      </c>
      <c r="B26" s="605">
        <v>930.2</v>
      </c>
      <c r="C26" s="111" t="s">
        <v>91</v>
      </c>
      <c r="D26" s="75"/>
      <c r="E26" s="76"/>
      <c r="F26" s="75"/>
      <c r="G26" s="25"/>
      <c r="H26" s="76"/>
      <c r="I26" s="638"/>
      <c r="J26" s="613"/>
      <c r="K26" s="665" t="s">
        <v>16</v>
      </c>
      <c r="L26" s="87">
        <v>-690.76700000000005</v>
      </c>
      <c r="M26" s="639">
        <v>8</v>
      </c>
      <c r="N26" s="75"/>
      <c r="O26" s="76"/>
      <c r="P26" s="76"/>
      <c r="Q26" s="76"/>
      <c r="R26" s="75"/>
      <c r="S26" s="73" t="s">
        <v>92</v>
      </c>
      <c r="T26" s="86">
        <f t="shared" si="2"/>
        <v>15</v>
      </c>
      <c r="V26" s="117"/>
    </row>
    <row r="27" spans="1:22" x14ac:dyDescent="0.35">
      <c r="A27" s="86">
        <f t="shared" si="1"/>
        <v>16</v>
      </c>
      <c r="B27" s="105">
        <v>931</v>
      </c>
      <c r="C27" s="111" t="s">
        <v>66</v>
      </c>
      <c r="D27" s="75">
        <v>10939.305</v>
      </c>
      <c r="E27" s="76">
        <v>0</v>
      </c>
      <c r="F27" s="75">
        <f>D27-E27</f>
        <v>10939.305</v>
      </c>
      <c r="G27" s="76"/>
      <c r="H27" s="76"/>
      <c r="I27" s="76"/>
      <c r="J27" s="75">
        <f>F27+H27</f>
        <v>10939.305</v>
      </c>
      <c r="K27" s="76"/>
      <c r="L27" s="76"/>
      <c r="M27" s="608"/>
      <c r="N27" s="75">
        <f t="shared" si="5"/>
        <v>10939.305</v>
      </c>
      <c r="O27" s="76"/>
      <c r="P27" s="76"/>
      <c r="Q27" s="76"/>
      <c r="R27" s="75">
        <f t="shared" si="3"/>
        <v>10939.305</v>
      </c>
      <c r="S27" s="73" t="s">
        <v>93</v>
      </c>
      <c r="T27" s="86">
        <f t="shared" si="2"/>
        <v>16</v>
      </c>
      <c r="V27" s="112"/>
    </row>
    <row r="28" spans="1:22" x14ac:dyDescent="0.35">
      <c r="A28" s="86">
        <f t="shared" si="1"/>
        <v>17</v>
      </c>
      <c r="B28" s="105">
        <v>935</v>
      </c>
      <c r="C28" s="111" t="s">
        <v>94</v>
      </c>
      <c r="D28" s="429">
        <v>9293.2980000000007</v>
      </c>
      <c r="E28" s="412">
        <f>E75</f>
        <v>-1915.2449610859999</v>
      </c>
      <c r="F28" s="429">
        <f>D28-E28</f>
        <v>11208.542961086001</v>
      </c>
      <c r="G28" s="430"/>
      <c r="H28" s="412"/>
      <c r="I28" s="431"/>
      <c r="J28" s="431">
        <f>F28+H28</f>
        <v>11208.542961086001</v>
      </c>
      <c r="K28" s="430"/>
      <c r="L28" s="412"/>
      <c r="M28" s="650"/>
      <c r="N28" s="429">
        <f>J28+L28</f>
        <v>11208.542961086001</v>
      </c>
      <c r="O28" s="430"/>
      <c r="P28" s="412"/>
      <c r="Q28" s="412"/>
      <c r="R28" s="429">
        <f t="shared" si="3"/>
        <v>11208.542961086001</v>
      </c>
      <c r="S28" s="73" t="s">
        <v>95</v>
      </c>
      <c r="T28" s="86">
        <f t="shared" si="2"/>
        <v>17</v>
      </c>
      <c r="U28" s="87" t="s">
        <v>11</v>
      </c>
      <c r="V28" s="112"/>
    </row>
    <row r="29" spans="1:22" x14ac:dyDescent="0.35">
      <c r="A29" s="86">
        <f t="shared" si="1"/>
        <v>18</v>
      </c>
      <c r="B29" s="105"/>
      <c r="D29" s="118"/>
      <c r="F29" s="118"/>
      <c r="J29" s="118"/>
      <c r="N29" s="118"/>
      <c r="R29" s="118"/>
      <c r="S29" s="119"/>
      <c r="T29" s="86">
        <f t="shared" si="2"/>
        <v>18</v>
      </c>
    </row>
    <row r="30" spans="1:22" ht="16" thickBot="1" x14ac:dyDescent="0.4">
      <c r="A30" s="86">
        <f t="shared" si="1"/>
        <v>19</v>
      </c>
      <c r="B30" s="105"/>
      <c r="C30" s="95" t="s">
        <v>96</v>
      </c>
      <c r="D30" s="120">
        <f>SUM(D12:D28)</f>
        <v>594949.38299999991</v>
      </c>
      <c r="E30" s="83">
        <f>SUM(E12:E28)</f>
        <v>171935.58274067604</v>
      </c>
      <c r="F30" s="81">
        <f>SUM(F12:F28)</f>
        <v>423013.80025932402</v>
      </c>
      <c r="G30" s="664" t="s">
        <v>16</v>
      </c>
      <c r="H30" s="508">
        <f>SUM(H12:H28)</f>
        <v>-90.331999999999994</v>
      </c>
      <c r="I30" s="83"/>
      <c r="J30" s="81">
        <f>SUM(J12:J28)</f>
        <v>422923.46825932397</v>
      </c>
      <c r="K30" s="664" t="s">
        <v>16</v>
      </c>
      <c r="L30" s="508">
        <f>SUM(L12:L28)</f>
        <v>18468.096120000002</v>
      </c>
      <c r="M30" s="508"/>
      <c r="N30" s="81">
        <f>SUM(N12:N28)</f>
        <v>441391.56437932397</v>
      </c>
      <c r="O30" s="82" t="s">
        <v>16</v>
      </c>
      <c r="P30" s="508">
        <f>SUM(P12:P28)</f>
        <v>6110</v>
      </c>
      <c r="Q30" s="83"/>
      <c r="R30" s="81">
        <f>SUM(R12:R28)</f>
        <v>447501.56437932397</v>
      </c>
      <c r="S30" s="121" t="str">
        <f>"Sum Lines "&amp;A12&amp;" thru "&amp;A28</f>
        <v>Sum Lines 1 thru 17</v>
      </c>
      <c r="T30" s="86">
        <f t="shared" si="2"/>
        <v>19</v>
      </c>
    </row>
    <row r="31" spans="1:22" ht="16" thickTop="1" x14ac:dyDescent="0.35">
      <c r="A31" s="86">
        <f t="shared" si="1"/>
        <v>20</v>
      </c>
      <c r="B31" s="105"/>
      <c r="C31" s="95"/>
      <c r="D31" s="438"/>
      <c r="E31" s="79"/>
      <c r="F31" s="80"/>
      <c r="G31" s="78"/>
      <c r="H31" s="78"/>
      <c r="I31" s="78"/>
      <c r="J31" s="80"/>
      <c r="K31" s="37"/>
      <c r="L31" s="78"/>
      <c r="M31" s="78"/>
      <c r="N31" s="80"/>
      <c r="O31" s="78"/>
      <c r="P31" s="78"/>
      <c r="Q31" s="78"/>
      <c r="R31" s="80"/>
      <c r="S31" s="121"/>
      <c r="T31" s="86">
        <f t="shared" si="2"/>
        <v>20</v>
      </c>
    </row>
    <row r="32" spans="1:22" ht="18" x14ac:dyDescent="0.35">
      <c r="A32" s="86">
        <f t="shared" si="1"/>
        <v>21</v>
      </c>
      <c r="B32" s="105">
        <v>413</v>
      </c>
      <c r="C32" s="87" t="s">
        <v>329</v>
      </c>
      <c r="D32" s="429">
        <v>204.65183999999999</v>
      </c>
      <c r="E32" s="431">
        <v>0</v>
      </c>
      <c r="F32" s="429">
        <f>D32-E32</f>
        <v>204.65183999999999</v>
      </c>
      <c r="G32" s="430"/>
      <c r="H32" s="412"/>
      <c r="I32" s="412"/>
      <c r="J32" s="429">
        <f>F32+H32</f>
        <v>204.65183999999999</v>
      </c>
      <c r="K32" s="430"/>
      <c r="L32" s="412"/>
      <c r="M32" s="650"/>
      <c r="N32" s="429">
        <f>J32+L32</f>
        <v>204.65183999999999</v>
      </c>
      <c r="O32" s="430"/>
      <c r="P32" s="412"/>
      <c r="Q32" s="412"/>
      <c r="R32" s="429">
        <f>N32+P32</f>
        <v>204.65183999999999</v>
      </c>
      <c r="S32" s="121"/>
      <c r="T32" s="86">
        <f t="shared" si="2"/>
        <v>21</v>
      </c>
    </row>
    <row r="33" spans="1:22" x14ac:dyDescent="0.35">
      <c r="A33" s="86">
        <f t="shared" si="1"/>
        <v>22</v>
      </c>
      <c r="B33" s="105"/>
      <c r="C33" s="95"/>
      <c r="D33" s="438"/>
      <c r="E33" s="79"/>
      <c r="F33" s="80"/>
      <c r="G33" s="78"/>
      <c r="H33" s="78"/>
      <c r="I33" s="78"/>
      <c r="J33" s="80"/>
      <c r="K33" s="37"/>
      <c r="L33" s="78"/>
      <c r="M33" s="78"/>
      <c r="N33" s="80"/>
      <c r="O33" s="78"/>
      <c r="P33" s="78"/>
      <c r="Q33" s="78"/>
      <c r="R33" s="80"/>
      <c r="S33" s="121"/>
      <c r="T33" s="86">
        <f t="shared" si="2"/>
        <v>22</v>
      </c>
    </row>
    <row r="34" spans="1:22" ht="16" thickBot="1" x14ac:dyDescent="0.4">
      <c r="A34" s="86">
        <f t="shared" si="1"/>
        <v>23</v>
      </c>
      <c r="B34" s="105"/>
      <c r="C34" s="95" t="s">
        <v>330</v>
      </c>
      <c r="D34" s="120">
        <f>D30+D32</f>
        <v>595154.03483999986</v>
      </c>
      <c r="E34" s="79">
        <f>E30+E32</f>
        <v>171935.58274067604</v>
      </c>
      <c r="F34" s="80">
        <f>F30+F32</f>
        <v>423218.45209932403</v>
      </c>
      <c r="G34" s="664" t="s">
        <v>16</v>
      </c>
      <c r="H34" s="508">
        <f>H30+H32</f>
        <v>-90.331999999999994</v>
      </c>
      <c r="I34" s="83"/>
      <c r="J34" s="81">
        <f>J30+J32</f>
        <v>423128.12009932398</v>
      </c>
      <c r="K34" s="664" t="s">
        <v>16</v>
      </c>
      <c r="L34" s="508">
        <f>L30+L32</f>
        <v>18468.096120000002</v>
      </c>
      <c r="M34" s="508"/>
      <c r="N34" s="81">
        <f>N30+N32</f>
        <v>441596.21621932398</v>
      </c>
      <c r="O34" s="82" t="s">
        <v>16</v>
      </c>
      <c r="P34" s="508">
        <f>P30+P32</f>
        <v>6110</v>
      </c>
      <c r="Q34" s="83"/>
      <c r="R34" s="81">
        <f>R30+R32</f>
        <v>447706.21621932398</v>
      </c>
      <c r="S34" s="121" t="str">
        <f>"Line "&amp;A30&amp;" + Line "&amp;A32</f>
        <v>Line 19 + Line 21</v>
      </c>
      <c r="T34" s="86">
        <f t="shared" si="2"/>
        <v>23</v>
      </c>
    </row>
    <row r="35" spans="1:22" ht="16.5" thickTop="1" thickBot="1" x14ac:dyDescent="0.4">
      <c r="A35" s="86">
        <f t="shared" si="1"/>
        <v>24</v>
      </c>
      <c r="B35" s="122"/>
      <c r="C35" s="88"/>
      <c r="D35" s="123"/>
      <c r="E35" s="124"/>
      <c r="F35" s="124"/>
      <c r="G35" s="125"/>
      <c r="H35" s="125"/>
      <c r="I35" s="125"/>
      <c r="J35" s="127"/>
      <c r="K35" s="125"/>
      <c r="L35" s="125"/>
      <c r="M35" s="125"/>
      <c r="N35" s="127"/>
      <c r="O35" s="125"/>
      <c r="P35" s="125"/>
      <c r="Q35" s="125"/>
      <c r="R35" s="127"/>
      <c r="S35" s="128"/>
      <c r="T35" s="86">
        <f t="shared" si="2"/>
        <v>24</v>
      </c>
    </row>
    <row r="36" spans="1:22" x14ac:dyDescent="0.35">
      <c r="A36" s="86">
        <f t="shared" si="1"/>
        <v>25</v>
      </c>
      <c r="B36" s="139"/>
      <c r="D36" s="439"/>
      <c r="E36" s="440"/>
      <c r="F36" s="439"/>
      <c r="G36" s="439"/>
      <c r="H36" s="439"/>
      <c r="I36" s="439"/>
      <c r="J36" s="439"/>
      <c r="K36" s="439"/>
      <c r="L36" s="439"/>
      <c r="M36" s="729"/>
      <c r="N36" s="439"/>
      <c r="O36" s="439"/>
      <c r="P36" s="439"/>
      <c r="Q36" s="439"/>
      <c r="R36" s="439"/>
      <c r="S36" s="119"/>
      <c r="T36" s="86">
        <f t="shared" si="2"/>
        <v>25</v>
      </c>
    </row>
    <row r="37" spans="1:22" x14ac:dyDescent="0.35">
      <c r="A37" s="86">
        <f t="shared" si="1"/>
        <v>26</v>
      </c>
      <c r="B37" s="129" t="s">
        <v>97</v>
      </c>
      <c r="C37" s="86"/>
      <c r="D37" s="86"/>
      <c r="E37" s="86"/>
      <c r="F37" s="86"/>
      <c r="G37" s="86"/>
      <c r="H37" s="86"/>
      <c r="I37" s="86"/>
      <c r="J37" s="86"/>
      <c r="K37" s="86"/>
      <c r="L37" s="86"/>
      <c r="M37" s="497"/>
      <c r="N37" s="86"/>
      <c r="O37" s="86"/>
      <c r="P37" s="86"/>
      <c r="Q37" s="86"/>
      <c r="R37" s="86"/>
      <c r="S37" s="119"/>
      <c r="T37" s="86">
        <f t="shared" si="2"/>
        <v>26</v>
      </c>
    </row>
    <row r="38" spans="1:22" x14ac:dyDescent="0.35">
      <c r="A38" s="86">
        <f t="shared" si="1"/>
        <v>27</v>
      </c>
      <c r="B38" s="130">
        <v>920</v>
      </c>
      <c r="C38" s="19" t="s">
        <v>98</v>
      </c>
      <c r="D38" s="31">
        <v>37.830849999999998</v>
      </c>
      <c r="F38" s="86"/>
      <c r="G38" s="86"/>
      <c r="H38" s="86"/>
      <c r="I38" s="86"/>
      <c r="J38" s="86"/>
      <c r="K38" s="86"/>
      <c r="L38" s="86"/>
      <c r="M38" s="497"/>
      <c r="N38" s="86"/>
      <c r="O38" s="86"/>
      <c r="P38" s="86"/>
      <c r="Q38" s="86"/>
      <c r="R38" s="86"/>
      <c r="S38" s="119"/>
      <c r="T38" s="86">
        <f t="shared" si="2"/>
        <v>27</v>
      </c>
    </row>
    <row r="39" spans="1:22" x14ac:dyDescent="0.35">
      <c r="A39" s="86">
        <f t="shared" si="1"/>
        <v>28</v>
      </c>
      <c r="B39" s="130"/>
      <c r="C39" s="19" t="s">
        <v>491</v>
      </c>
      <c r="D39" s="589">
        <v>873.61009352399992</v>
      </c>
      <c r="E39" s="31"/>
      <c r="S39" s="119"/>
      <c r="T39" s="86">
        <f t="shared" si="2"/>
        <v>28</v>
      </c>
      <c r="V39" s="111"/>
    </row>
    <row r="40" spans="1:22" x14ac:dyDescent="0.35">
      <c r="A40" s="86">
        <f t="shared" si="1"/>
        <v>29</v>
      </c>
      <c r="B40" s="130"/>
      <c r="C40" s="19" t="s">
        <v>492</v>
      </c>
      <c r="D40" s="590">
        <v>56.642625899999999</v>
      </c>
      <c r="E40" s="31">
        <f>SUM(D38:D40)</f>
        <v>968.08356942399996</v>
      </c>
      <c r="S40" s="119"/>
      <c r="T40" s="86">
        <f t="shared" si="2"/>
        <v>29</v>
      </c>
    </row>
    <row r="41" spans="1:22" ht="18" x14ac:dyDescent="0.35">
      <c r="A41" s="86">
        <f t="shared" si="1"/>
        <v>30</v>
      </c>
      <c r="B41" s="130"/>
      <c r="C41" s="660" t="s">
        <v>554</v>
      </c>
      <c r="D41" s="589"/>
      <c r="E41" s="31"/>
      <c r="L41" s="441">
        <v>1015.03238</v>
      </c>
      <c r="M41" s="661">
        <v>9</v>
      </c>
      <c r="S41" s="119"/>
      <c r="T41" s="86">
        <f t="shared" si="2"/>
        <v>30</v>
      </c>
    </row>
    <row r="42" spans="1:22" x14ac:dyDescent="0.35">
      <c r="A42" s="86">
        <f t="shared" si="1"/>
        <v>31</v>
      </c>
      <c r="B42" s="130">
        <v>921</v>
      </c>
      <c r="C42" s="19" t="s">
        <v>98</v>
      </c>
      <c r="D42" s="87">
        <v>-9.620999999999999E-2</v>
      </c>
      <c r="S42" s="119"/>
      <c r="T42" s="86">
        <f t="shared" si="2"/>
        <v>31</v>
      </c>
    </row>
    <row r="43" spans="1:22" x14ac:dyDescent="0.35">
      <c r="A43" s="86">
        <f t="shared" si="1"/>
        <v>32</v>
      </c>
      <c r="B43" s="130"/>
      <c r="C43" s="19" t="s">
        <v>491</v>
      </c>
      <c r="D43" s="589">
        <v>8254.9592088600002</v>
      </c>
      <c r="S43" s="119"/>
      <c r="T43" s="86">
        <f t="shared" si="2"/>
        <v>32</v>
      </c>
    </row>
    <row r="44" spans="1:22" x14ac:dyDescent="0.35">
      <c r="A44" s="86">
        <f t="shared" si="1"/>
        <v>33</v>
      </c>
      <c r="B44" s="130"/>
      <c r="C44" s="19" t="s">
        <v>492</v>
      </c>
      <c r="D44" s="590">
        <v>1120.1507429919998</v>
      </c>
      <c r="E44" s="87">
        <f>SUM(D42:D44)</f>
        <v>9375.0137418520007</v>
      </c>
      <c r="F44" s="441"/>
      <c r="G44" s="441"/>
      <c r="H44" s="441"/>
      <c r="I44" s="441"/>
      <c r="J44" s="441"/>
      <c r="K44" s="441"/>
      <c r="L44" s="441"/>
      <c r="M44" s="441"/>
      <c r="N44" s="441"/>
      <c r="O44" s="441"/>
      <c r="P44" s="441"/>
      <c r="Q44" s="441"/>
      <c r="R44" s="441"/>
      <c r="S44" s="442"/>
      <c r="T44" s="86">
        <f t="shared" si="2"/>
        <v>33</v>
      </c>
    </row>
    <row r="45" spans="1:22" ht="18" x14ac:dyDescent="0.35">
      <c r="A45" s="86">
        <f t="shared" si="1"/>
        <v>34</v>
      </c>
      <c r="B45" s="130"/>
      <c r="C45" s="660" t="s">
        <v>554</v>
      </c>
      <c r="D45" s="589"/>
      <c r="F45" s="441"/>
      <c r="G45" s="441"/>
      <c r="H45" s="441"/>
      <c r="I45" s="441"/>
      <c r="J45" s="441"/>
      <c r="K45" s="441"/>
      <c r="L45" s="95">
        <v>9503.2388499999997</v>
      </c>
      <c r="M45" s="661">
        <v>9</v>
      </c>
      <c r="N45" s="441"/>
      <c r="O45" s="441"/>
      <c r="P45" s="441"/>
      <c r="Q45" s="441"/>
      <c r="R45" s="441"/>
      <c r="S45" s="442"/>
      <c r="T45" s="86">
        <f t="shared" si="2"/>
        <v>34</v>
      </c>
    </row>
    <row r="46" spans="1:22" x14ac:dyDescent="0.35">
      <c r="A46" s="86">
        <f t="shared" si="1"/>
        <v>35</v>
      </c>
      <c r="B46" s="130">
        <v>922</v>
      </c>
      <c r="C46" s="19" t="s">
        <v>492</v>
      </c>
      <c r="D46" s="589"/>
      <c r="E46" s="87">
        <v>-125.07091</v>
      </c>
      <c r="S46" s="119"/>
      <c r="T46" s="86">
        <f t="shared" si="2"/>
        <v>35</v>
      </c>
    </row>
    <row r="47" spans="1:22" ht="18" x14ac:dyDescent="0.35">
      <c r="A47" s="86">
        <f t="shared" si="1"/>
        <v>36</v>
      </c>
      <c r="B47" s="130"/>
      <c r="C47" s="660" t="s">
        <v>554</v>
      </c>
      <c r="D47" s="589"/>
      <c r="L47" s="95">
        <v>-125.12939</v>
      </c>
      <c r="M47" s="661">
        <v>9</v>
      </c>
      <c r="S47" s="119"/>
      <c r="T47" s="86">
        <f t="shared" si="2"/>
        <v>36</v>
      </c>
    </row>
    <row r="48" spans="1:22" x14ac:dyDescent="0.35">
      <c r="A48" s="86">
        <f t="shared" si="1"/>
        <v>37</v>
      </c>
      <c r="B48" s="130">
        <v>923</v>
      </c>
      <c r="C48" s="19" t="s">
        <v>98</v>
      </c>
      <c r="D48" s="29">
        <v>-17.988400000000002</v>
      </c>
      <c r="E48" s="26"/>
      <c r="S48" s="119"/>
      <c r="T48" s="86">
        <f t="shared" si="2"/>
        <v>37</v>
      </c>
    </row>
    <row r="49" spans="1:20" x14ac:dyDescent="0.35">
      <c r="A49" s="86">
        <f t="shared" si="1"/>
        <v>38</v>
      </c>
      <c r="B49" s="130"/>
      <c r="C49" s="19" t="s">
        <v>491</v>
      </c>
      <c r="D49" s="29">
        <v>2086.0140693979997</v>
      </c>
      <c r="F49" s="441"/>
      <c r="G49" s="441"/>
      <c r="H49" s="441"/>
      <c r="I49" s="441"/>
      <c r="J49" s="441"/>
      <c r="K49" s="441"/>
      <c r="L49" s="441"/>
      <c r="M49" s="441"/>
      <c r="N49" s="441"/>
      <c r="O49" s="441"/>
      <c r="P49" s="441"/>
      <c r="Q49" s="441"/>
      <c r="R49" s="441"/>
      <c r="S49" s="442"/>
      <c r="T49" s="86">
        <f t="shared" si="2"/>
        <v>38</v>
      </c>
    </row>
    <row r="50" spans="1:20" x14ac:dyDescent="0.35">
      <c r="A50" s="86">
        <f t="shared" si="1"/>
        <v>39</v>
      </c>
      <c r="B50" s="130"/>
      <c r="C50" s="19" t="s">
        <v>492</v>
      </c>
      <c r="D50" s="29">
        <v>80.426986024000001</v>
      </c>
      <c r="S50" s="119"/>
      <c r="T50" s="86">
        <f t="shared" si="2"/>
        <v>39</v>
      </c>
    </row>
    <row r="51" spans="1:20" ht="18" x14ac:dyDescent="0.35">
      <c r="A51" s="86">
        <f t="shared" si="1"/>
        <v>40</v>
      </c>
      <c r="B51" s="130"/>
      <c r="C51" s="40" t="s">
        <v>493</v>
      </c>
      <c r="D51" s="76">
        <v>3185.4904999999999</v>
      </c>
      <c r="S51" s="119"/>
      <c r="T51" s="86">
        <f t="shared" si="2"/>
        <v>40</v>
      </c>
    </row>
    <row r="52" spans="1:20" ht="18" x14ac:dyDescent="0.35">
      <c r="A52" s="86">
        <f t="shared" si="1"/>
        <v>41</v>
      </c>
      <c r="B52" s="130"/>
      <c r="C52" s="40" t="s">
        <v>494</v>
      </c>
      <c r="D52" s="76">
        <v>6031</v>
      </c>
      <c r="S52" s="119"/>
      <c r="T52" s="86">
        <f t="shared" si="2"/>
        <v>41</v>
      </c>
    </row>
    <row r="53" spans="1:20" ht="18" x14ac:dyDescent="0.35">
      <c r="A53" s="86">
        <f t="shared" si="1"/>
        <v>42</v>
      </c>
      <c r="B53" s="130"/>
      <c r="C53" s="40" t="s">
        <v>495</v>
      </c>
      <c r="D53" s="412">
        <v>1480.604</v>
      </c>
      <c r="E53" s="87">
        <f>SUM(D48:D53)</f>
        <v>12845.547155421998</v>
      </c>
      <c r="S53" s="119"/>
      <c r="T53" s="86">
        <f t="shared" si="2"/>
        <v>42</v>
      </c>
    </row>
    <row r="54" spans="1:20" ht="18" x14ac:dyDescent="0.35">
      <c r="A54" s="86">
        <f t="shared" si="1"/>
        <v>43</v>
      </c>
      <c r="B54" s="130"/>
      <c r="C54" s="660" t="s">
        <v>554</v>
      </c>
      <c r="D54" s="76"/>
      <c r="L54" s="95">
        <v>2732.1875300000002</v>
      </c>
      <c r="M54" s="661">
        <v>9</v>
      </c>
      <c r="S54" s="119"/>
      <c r="T54" s="86">
        <f t="shared" si="2"/>
        <v>43</v>
      </c>
    </row>
    <row r="55" spans="1:20" x14ac:dyDescent="0.35">
      <c r="A55" s="86">
        <f t="shared" si="1"/>
        <v>44</v>
      </c>
      <c r="B55" s="130">
        <v>925</v>
      </c>
      <c r="C55" s="19" t="s">
        <v>98</v>
      </c>
      <c r="D55" s="29">
        <v>277.64044235400002</v>
      </c>
      <c r="F55" s="55"/>
      <c r="G55" s="55"/>
      <c r="H55" s="55"/>
      <c r="I55" s="55"/>
      <c r="J55" s="55"/>
      <c r="K55" s="55"/>
      <c r="L55" s="55"/>
      <c r="M55" s="55"/>
      <c r="N55" s="55"/>
      <c r="O55" s="55"/>
      <c r="P55" s="55"/>
      <c r="Q55" s="55"/>
      <c r="R55" s="55"/>
      <c r="S55" s="119"/>
      <c r="T55" s="86">
        <f t="shared" si="2"/>
        <v>44</v>
      </c>
    </row>
    <row r="56" spans="1:20" x14ac:dyDescent="0.35">
      <c r="A56" s="86">
        <f t="shared" si="1"/>
        <v>45</v>
      </c>
      <c r="B56" s="130"/>
      <c r="C56" s="19" t="s">
        <v>492</v>
      </c>
      <c r="D56" s="29">
        <v>746.9557907520101</v>
      </c>
      <c r="F56" s="55"/>
      <c r="G56" s="55"/>
      <c r="H56" s="55"/>
      <c r="I56" s="55"/>
      <c r="J56" s="55"/>
      <c r="K56" s="55"/>
      <c r="L56" s="55"/>
      <c r="M56" s="55"/>
      <c r="N56" s="55"/>
      <c r="O56" s="55"/>
      <c r="P56" s="55"/>
      <c r="Q56" s="55"/>
      <c r="R56" s="55"/>
      <c r="S56" s="119"/>
      <c r="T56" s="86">
        <f t="shared" si="2"/>
        <v>45</v>
      </c>
    </row>
    <row r="57" spans="1:20" x14ac:dyDescent="0.35">
      <c r="A57" s="86">
        <f t="shared" si="1"/>
        <v>46</v>
      </c>
      <c r="B57" s="130"/>
      <c r="C57" s="131" t="s">
        <v>496</v>
      </c>
      <c r="D57" s="432">
        <v>80.508890000000008</v>
      </c>
      <c r="E57" s="87">
        <f>SUM(D55:D57)</f>
        <v>1105.1051231060101</v>
      </c>
      <c r="F57" s="55"/>
      <c r="G57" s="55"/>
      <c r="H57" s="55"/>
      <c r="I57" s="55"/>
      <c r="J57" s="55"/>
      <c r="K57" s="55"/>
      <c r="L57" s="55"/>
      <c r="M57" s="55"/>
      <c r="N57" s="55"/>
      <c r="O57" s="55"/>
      <c r="P57" s="55"/>
      <c r="Q57" s="55"/>
      <c r="R57" s="55"/>
      <c r="S57" s="119"/>
      <c r="T57" s="86">
        <f t="shared" si="2"/>
        <v>46</v>
      </c>
    </row>
    <row r="58" spans="1:20" ht="18" x14ac:dyDescent="0.35">
      <c r="A58" s="86">
        <f t="shared" si="1"/>
        <v>47</v>
      </c>
      <c r="B58" s="130"/>
      <c r="C58" s="660" t="s">
        <v>554</v>
      </c>
      <c r="D58" s="29"/>
      <c r="F58" s="55"/>
      <c r="G58" s="55"/>
      <c r="H58" s="55"/>
      <c r="I58" s="55"/>
      <c r="J58" s="55"/>
      <c r="K58" s="55"/>
      <c r="L58" s="95">
        <v>1051.78847</v>
      </c>
      <c r="M58" s="661">
        <v>9</v>
      </c>
      <c r="N58" s="55"/>
      <c r="O58" s="55"/>
      <c r="P58" s="55"/>
      <c r="Q58" s="55"/>
      <c r="R58" s="55"/>
      <c r="S58" s="119"/>
      <c r="T58" s="86">
        <f t="shared" si="2"/>
        <v>47</v>
      </c>
    </row>
    <row r="59" spans="1:20" x14ac:dyDescent="0.35">
      <c r="A59" s="86">
        <f t="shared" si="1"/>
        <v>48</v>
      </c>
      <c r="B59" s="130">
        <v>926</v>
      </c>
      <c r="C59" s="131" t="s">
        <v>98</v>
      </c>
      <c r="D59" s="29">
        <v>646.29282690599985</v>
      </c>
      <c r="F59" s="496"/>
      <c r="G59" s="496"/>
      <c r="H59" s="496"/>
      <c r="I59" s="496"/>
      <c r="J59" s="496"/>
      <c r="K59" s="496"/>
      <c r="L59" s="496"/>
      <c r="M59" s="496"/>
      <c r="N59" s="496"/>
      <c r="O59" s="496"/>
      <c r="P59" s="496"/>
      <c r="Q59" s="496"/>
      <c r="R59" s="496"/>
      <c r="S59" s="119"/>
      <c r="T59" s="86">
        <f t="shared" si="2"/>
        <v>48</v>
      </c>
    </row>
    <row r="60" spans="1:20" x14ac:dyDescent="0.35">
      <c r="A60" s="86">
        <f t="shared" si="1"/>
        <v>49</v>
      </c>
      <c r="B60" s="130"/>
      <c r="C60" s="131" t="s">
        <v>496</v>
      </c>
      <c r="D60" s="29">
        <v>190.64548000000002</v>
      </c>
      <c r="E60" s="29"/>
      <c r="F60" s="496"/>
      <c r="G60" s="496"/>
      <c r="H60" s="496"/>
      <c r="I60" s="496"/>
      <c r="J60" s="496"/>
      <c r="K60" s="496"/>
      <c r="L60" s="496"/>
      <c r="M60" s="496"/>
      <c r="N60" s="496"/>
      <c r="O60" s="496"/>
      <c r="P60" s="496"/>
      <c r="Q60" s="496"/>
      <c r="R60" s="496"/>
      <c r="S60" s="119"/>
      <c r="T60" s="86">
        <f t="shared" si="2"/>
        <v>49</v>
      </c>
    </row>
    <row r="61" spans="1:20" x14ac:dyDescent="0.35">
      <c r="A61" s="86">
        <f t="shared" si="1"/>
        <v>50</v>
      </c>
      <c r="B61" s="130"/>
      <c r="C61" s="19" t="s">
        <v>492</v>
      </c>
      <c r="D61" s="432">
        <v>1752.650995052019</v>
      </c>
      <c r="E61" s="87">
        <f>SUM(D59:D61)</f>
        <v>2589.589301958019</v>
      </c>
      <c r="F61" s="496"/>
      <c r="G61" s="496"/>
      <c r="H61" s="496"/>
      <c r="I61" s="496"/>
      <c r="J61" s="496"/>
      <c r="K61" s="496"/>
      <c r="L61" s="496"/>
      <c r="M61" s="496"/>
      <c r="N61" s="496"/>
      <c r="O61" s="496"/>
      <c r="P61" s="496"/>
      <c r="Q61" s="496"/>
      <c r="R61" s="496"/>
      <c r="S61" s="119"/>
      <c r="T61" s="86">
        <f t="shared" si="2"/>
        <v>50</v>
      </c>
    </row>
    <row r="62" spans="1:20" ht="18" x14ac:dyDescent="0.35">
      <c r="A62" s="86">
        <f t="shared" si="1"/>
        <v>51</v>
      </c>
      <c r="B62" s="130"/>
      <c r="C62" s="660" t="s">
        <v>554</v>
      </c>
      <c r="D62" s="29"/>
      <c r="F62" s="496"/>
      <c r="G62" s="496"/>
      <c r="H62" s="496"/>
      <c r="I62" s="496"/>
      <c r="J62" s="496"/>
      <c r="K62" s="496"/>
      <c r="L62" s="95">
        <v>2584.6952799999999</v>
      </c>
      <c r="M62" s="661">
        <v>9</v>
      </c>
      <c r="N62" s="496"/>
      <c r="O62" s="496"/>
      <c r="P62" s="496"/>
      <c r="Q62" s="496"/>
      <c r="R62" s="496"/>
      <c r="S62" s="119"/>
      <c r="T62" s="86">
        <f t="shared" si="2"/>
        <v>51</v>
      </c>
    </row>
    <row r="63" spans="1:20" x14ac:dyDescent="0.35">
      <c r="A63" s="86">
        <f t="shared" si="1"/>
        <v>52</v>
      </c>
      <c r="B63" s="130">
        <v>927</v>
      </c>
      <c r="C63" s="131" t="s">
        <v>84</v>
      </c>
      <c r="D63" s="132"/>
      <c r="E63" s="26">
        <v>130506.76528000001</v>
      </c>
      <c r="F63" s="496"/>
      <c r="G63" s="496"/>
      <c r="H63" s="496"/>
      <c r="I63" s="496"/>
      <c r="J63" s="496"/>
      <c r="K63" s="496"/>
      <c r="L63" s="496"/>
      <c r="M63" s="496"/>
      <c r="N63" s="496"/>
      <c r="O63" s="496"/>
      <c r="P63" s="496"/>
      <c r="Q63" s="496"/>
      <c r="R63" s="496"/>
      <c r="S63" s="119"/>
      <c r="T63" s="86">
        <f t="shared" si="2"/>
        <v>52</v>
      </c>
    </row>
    <row r="64" spans="1:20" x14ac:dyDescent="0.35">
      <c r="A64" s="86">
        <f t="shared" si="1"/>
        <v>53</v>
      </c>
      <c r="B64" s="130">
        <v>928</v>
      </c>
      <c r="C64" s="19" t="s">
        <v>100</v>
      </c>
      <c r="D64" s="29">
        <v>13015.817289999999</v>
      </c>
      <c r="E64" s="29"/>
      <c r="F64" s="496"/>
      <c r="G64" s="496"/>
      <c r="H64" s="496"/>
      <c r="I64" s="496"/>
      <c r="J64" s="496"/>
      <c r="K64" s="496"/>
      <c r="L64" s="496"/>
      <c r="M64" s="496"/>
      <c r="N64" s="496"/>
      <c r="O64" s="496"/>
      <c r="P64" s="496"/>
      <c r="Q64" s="496"/>
      <c r="R64" s="496"/>
      <c r="S64" s="119"/>
      <c r="T64" s="86">
        <f t="shared" si="2"/>
        <v>53</v>
      </c>
    </row>
    <row r="65" spans="1:20" x14ac:dyDescent="0.35">
      <c r="A65" s="86">
        <f t="shared" si="1"/>
        <v>54</v>
      </c>
      <c r="B65" s="130"/>
      <c r="C65" s="131" t="s">
        <v>98</v>
      </c>
      <c r="D65" s="29">
        <v>428.3049200000001</v>
      </c>
      <c r="E65" s="29"/>
      <c r="F65" s="496"/>
      <c r="G65" s="496"/>
      <c r="H65" s="496"/>
      <c r="I65" s="496"/>
      <c r="J65" s="496"/>
      <c r="K65" s="496"/>
      <c r="L65" s="496"/>
      <c r="M65" s="496"/>
      <c r="N65" s="496"/>
      <c r="O65" s="496"/>
      <c r="P65" s="496"/>
      <c r="Q65" s="496"/>
      <c r="R65" s="496"/>
      <c r="S65" s="119"/>
      <c r="T65" s="86">
        <f t="shared" si="2"/>
        <v>54</v>
      </c>
    </row>
    <row r="66" spans="1:20" x14ac:dyDescent="0.35">
      <c r="A66" s="86">
        <f t="shared" si="1"/>
        <v>55</v>
      </c>
      <c r="B66" s="130"/>
      <c r="C66" s="131" t="s">
        <v>101</v>
      </c>
      <c r="D66" s="591">
        <v>40.544630000000005</v>
      </c>
      <c r="E66" s="29"/>
      <c r="F66" s="496"/>
      <c r="G66" s="496"/>
      <c r="H66" s="496"/>
      <c r="I66" s="496"/>
      <c r="J66" s="496"/>
      <c r="K66" s="496"/>
      <c r="L66" s="496"/>
      <c r="M66" s="496"/>
      <c r="N66" s="496"/>
      <c r="O66" s="496"/>
      <c r="P66" s="496"/>
      <c r="Q66" s="496"/>
      <c r="R66" s="496"/>
      <c r="S66" s="119"/>
      <c r="T66" s="86">
        <f t="shared" si="2"/>
        <v>55</v>
      </c>
    </row>
    <row r="67" spans="1:20" x14ac:dyDescent="0.35">
      <c r="A67" s="86">
        <f t="shared" si="1"/>
        <v>56</v>
      </c>
      <c r="B67" s="130"/>
      <c r="C67" s="19" t="s">
        <v>18</v>
      </c>
      <c r="D67" s="29">
        <v>0</v>
      </c>
      <c r="E67" s="29"/>
      <c r="F67" s="496"/>
      <c r="G67" s="496"/>
      <c r="H67" s="496"/>
      <c r="I67" s="496"/>
      <c r="J67" s="496"/>
      <c r="K67" s="496"/>
      <c r="L67" s="496"/>
      <c r="M67" s="496"/>
      <c r="N67" s="496"/>
      <c r="O67" s="496"/>
      <c r="P67" s="496"/>
      <c r="Q67" s="496"/>
      <c r="R67" s="496"/>
      <c r="S67" s="119"/>
      <c r="T67" s="86">
        <f t="shared" si="2"/>
        <v>56</v>
      </c>
    </row>
    <row r="68" spans="1:20" x14ac:dyDescent="0.35">
      <c r="A68" s="86">
        <f t="shared" si="1"/>
        <v>57</v>
      </c>
      <c r="B68" s="134"/>
      <c r="C68" s="19" t="s">
        <v>99</v>
      </c>
      <c r="D68" s="29">
        <v>2085.1866</v>
      </c>
      <c r="F68" s="496"/>
      <c r="G68" s="496"/>
      <c r="H68" s="496"/>
      <c r="I68" s="496"/>
      <c r="J68" s="496"/>
      <c r="K68" s="496"/>
      <c r="L68" s="496"/>
      <c r="M68" s="496"/>
      <c r="N68" s="496"/>
      <c r="O68" s="496"/>
      <c r="P68" s="496"/>
      <c r="Q68" s="496"/>
      <c r="R68" s="496"/>
      <c r="S68" s="119"/>
      <c r="T68" s="86">
        <f t="shared" si="2"/>
        <v>57</v>
      </c>
    </row>
    <row r="69" spans="1:20" ht="18" x14ac:dyDescent="0.35">
      <c r="A69" s="86">
        <f t="shared" si="1"/>
        <v>58</v>
      </c>
      <c r="B69" s="134"/>
      <c r="C69" s="40" t="s">
        <v>497</v>
      </c>
      <c r="D69" s="432">
        <v>1002.516</v>
      </c>
      <c r="E69" s="592">
        <f>SUM(D64:D69)</f>
        <v>16572.369439999999</v>
      </c>
      <c r="F69" s="496"/>
      <c r="G69" s="496"/>
      <c r="H69" s="496"/>
      <c r="I69" s="496"/>
      <c r="J69" s="496"/>
      <c r="K69" s="496"/>
      <c r="L69" s="496"/>
      <c r="M69" s="496"/>
      <c r="N69" s="496"/>
      <c r="O69" s="496"/>
      <c r="P69" s="496"/>
      <c r="Q69" s="496"/>
      <c r="R69" s="496"/>
      <c r="S69" s="119"/>
      <c r="T69" s="86">
        <f t="shared" si="2"/>
        <v>58</v>
      </c>
    </row>
    <row r="70" spans="1:20" x14ac:dyDescent="0.35">
      <c r="A70" s="86">
        <f t="shared" si="1"/>
        <v>59</v>
      </c>
      <c r="B70" s="135">
        <v>930.1</v>
      </c>
      <c r="C70" s="19" t="s">
        <v>89</v>
      </c>
      <c r="D70" s="29"/>
      <c r="E70" s="87">
        <v>-204.155</v>
      </c>
      <c r="F70" s="496"/>
      <c r="G70" s="496"/>
      <c r="H70" s="496"/>
      <c r="I70" s="496"/>
      <c r="J70" s="496"/>
      <c r="K70" s="496"/>
      <c r="L70" s="496"/>
      <c r="M70" s="496"/>
      <c r="N70" s="496"/>
      <c r="O70" s="496"/>
      <c r="P70" s="496"/>
      <c r="Q70" s="496"/>
      <c r="R70" s="496"/>
      <c r="S70" s="119"/>
      <c r="T70" s="86">
        <f t="shared" si="2"/>
        <v>59</v>
      </c>
    </row>
    <row r="71" spans="1:20" x14ac:dyDescent="0.35">
      <c r="A71" s="86">
        <f t="shared" si="1"/>
        <v>60</v>
      </c>
      <c r="B71" s="135">
        <v>930.2</v>
      </c>
      <c r="C71" s="131" t="s">
        <v>103</v>
      </c>
      <c r="D71" s="593">
        <f>1342.92+1017.8</f>
        <v>2360.7200000000003</v>
      </c>
      <c r="F71" s="496"/>
      <c r="G71" s="496"/>
      <c r="H71" s="496"/>
      <c r="I71" s="496"/>
      <c r="J71" s="496"/>
      <c r="K71" s="496"/>
      <c r="L71" s="496"/>
      <c r="M71" s="496"/>
      <c r="N71" s="496"/>
      <c r="O71" s="496"/>
      <c r="P71" s="496"/>
      <c r="Q71" s="496"/>
      <c r="R71" s="496"/>
      <c r="S71" s="119"/>
      <c r="T71" s="86">
        <f t="shared" si="2"/>
        <v>60</v>
      </c>
    </row>
    <row r="72" spans="1:20" ht="18" x14ac:dyDescent="0.35">
      <c r="A72" s="86">
        <f t="shared" si="1"/>
        <v>61</v>
      </c>
      <c r="B72" s="135"/>
      <c r="C72" s="640" t="s">
        <v>543</v>
      </c>
      <c r="D72" s="641">
        <v>-690.76700000000005</v>
      </c>
      <c r="F72" s="496"/>
      <c r="G72" s="496"/>
      <c r="H72" s="496"/>
      <c r="I72" s="496"/>
      <c r="J72" s="496"/>
      <c r="K72" s="496"/>
      <c r="L72" s="642">
        <f>-D72</f>
        <v>690.76700000000005</v>
      </c>
      <c r="M72" s="643">
        <v>8</v>
      </c>
      <c r="N72" s="496"/>
      <c r="O72" s="496"/>
      <c r="P72" s="496"/>
      <c r="Q72" s="496"/>
      <c r="R72" s="496"/>
      <c r="S72" s="119"/>
      <c r="T72" s="86">
        <f t="shared" si="2"/>
        <v>61</v>
      </c>
    </row>
    <row r="73" spans="1:20" ht="18" x14ac:dyDescent="0.35">
      <c r="A73" s="86">
        <f t="shared" si="1"/>
        <v>62</v>
      </c>
      <c r="B73" s="135"/>
      <c r="C73" s="131" t="s">
        <v>498</v>
      </c>
      <c r="D73" s="412">
        <v>-1452.373</v>
      </c>
      <c r="E73" s="593">
        <f>SUM(D71:D73)</f>
        <v>217.58000000000015</v>
      </c>
      <c r="F73" s="496"/>
      <c r="G73" s="496"/>
      <c r="H73" s="496"/>
      <c r="I73" s="496"/>
      <c r="J73" s="496"/>
      <c r="K73" s="496"/>
      <c r="L73" s="496"/>
      <c r="M73" s="496"/>
      <c r="N73" s="496"/>
      <c r="O73" s="496"/>
      <c r="P73" s="496"/>
      <c r="Q73" s="496"/>
      <c r="R73" s="496"/>
      <c r="S73" s="119"/>
      <c r="T73" s="86">
        <f t="shared" si="2"/>
        <v>62</v>
      </c>
    </row>
    <row r="74" spans="1:20" x14ac:dyDescent="0.35">
      <c r="A74" s="86">
        <f t="shared" si="1"/>
        <v>63</v>
      </c>
      <c r="B74" s="130">
        <v>935</v>
      </c>
      <c r="C74" s="131" t="s">
        <v>102</v>
      </c>
      <c r="D74" s="593">
        <f>-207.87024-1719.52219</f>
        <v>-1927.3924299999999</v>
      </c>
      <c r="E74" s="594"/>
      <c r="F74" s="496"/>
      <c r="G74" s="496"/>
      <c r="H74" s="496"/>
      <c r="I74" s="496"/>
      <c r="J74" s="496"/>
      <c r="K74" s="496"/>
      <c r="L74" s="496"/>
      <c r="M74" s="496"/>
      <c r="N74" s="496"/>
      <c r="O74" s="496"/>
      <c r="P74" s="496"/>
      <c r="Q74" s="496"/>
      <c r="R74" s="496"/>
      <c r="S74" s="119"/>
      <c r="T74" s="86">
        <f t="shared" si="2"/>
        <v>63</v>
      </c>
    </row>
    <row r="75" spans="1:20" x14ac:dyDescent="0.35">
      <c r="A75" s="86">
        <f t="shared" si="1"/>
        <v>64</v>
      </c>
      <c r="B75" s="130"/>
      <c r="C75" s="136" t="s">
        <v>104</v>
      </c>
      <c r="D75" s="595">
        <v>12.147468914000001</v>
      </c>
      <c r="E75" s="595">
        <f>SUM(D74:D75)</f>
        <v>-1915.2449610859999</v>
      </c>
      <c r="F75" s="496"/>
      <c r="G75" s="496"/>
      <c r="H75" s="496"/>
      <c r="I75" s="496"/>
      <c r="J75" s="496"/>
      <c r="K75" s="496"/>
      <c r="L75" s="496"/>
      <c r="M75" s="496"/>
      <c r="N75" s="496"/>
      <c r="O75" s="496"/>
      <c r="P75" s="496"/>
      <c r="Q75" s="496"/>
      <c r="R75" s="496"/>
      <c r="S75" s="119"/>
      <c r="T75" s="86">
        <f t="shared" si="2"/>
        <v>64</v>
      </c>
    </row>
    <row r="76" spans="1:20" x14ac:dyDescent="0.35">
      <c r="A76" s="86">
        <f t="shared" si="1"/>
        <v>65</v>
      </c>
      <c r="B76" s="137"/>
      <c r="C76" s="138"/>
      <c r="D76" s="443"/>
      <c r="E76" s="38"/>
      <c r="F76" s="496"/>
      <c r="G76" s="496"/>
      <c r="H76" s="496"/>
      <c r="I76" s="496"/>
      <c r="J76" s="496"/>
      <c r="K76" s="496"/>
      <c r="L76" s="496"/>
      <c r="M76" s="496"/>
      <c r="N76" s="496"/>
      <c r="O76" s="496"/>
      <c r="P76" s="496"/>
      <c r="Q76" s="496"/>
      <c r="R76" s="496"/>
      <c r="S76" s="119"/>
      <c r="T76" s="86">
        <f t="shared" si="2"/>
        <v>65</v>
      </c>
    </row>
    <row r="77" spans="1:20" ht="16" thickBot="1" x14ac:dyDescent="0.4">
      <c r="A77" s="86">
        <f t="shared" ref="A77:A97" si="8">A76+1</f>
        <v>66</v>
      </c>
      <c r="B77" s="139"/>
      <c r="C77" s="140" t="s">
        <v>67</v>
      </c>
      <c r="D77" s="133"/>
      <c r="E77" s="444">
        <f>SUM(E38:E75)</f>
        <v>171935.58274067604</v>
      </c>
      <c r="F77" s="496"/>
      <c r="G77" s="496"/>
      <c r="H77" s="496"/>
      <c r="I77" s="496"/>
      <c r="J77" s="496"/>
      <c r="K77" s="496"/>
      <c r="L77" s="496"/>
      <c r="M77" s="496"/>
      <c r="N77" s="496"/>
      <c r="O77" s="496"/>
      <c r="P77" s="496"/>
      <c r="Q77" s="496"/>
      <c r="R77" s="496"/>
      <c r="S77" s="119"/>
      <c r="T77" s="86">
        <f t="shared" ref="T77:T97" si="9">T76+1</f>
        <v>66</v>
      </c>
    </row>
    <row r="78" spans="1:20" ht="16" thickTop="1" x14ac:dyDescent="0.35">
      <c r="A78" s="86">
        <f t="shared" si="8"/>
        <v>67</v>
      </c>
      <c r="B78" s="139"/>
      <c r="C78" s="140"/>
      <c r="D78" s="133"/>
      <c r="E78" s="141"/>
      <c r="F78" s="496"/>
      <c r="G78" s="496"/>
      <c r="H78" s="496"/>
      <c r="I78" s="496"/>
      <c r="J78" s="496"/>
      <c r="K78" s="496"/>
      <c r="L78" s="496"/>
      <c r="M78" s="496"/>
      <c r="N78" s="496"/>
      <c r="O78" s="496"/>
      <c r="P78" s="496"/>
      <c r="Q78" s="496"/>
      <c r="R78" s="496"/>
      <c r="S78" s="119"/>
      <c r="T78" s="86">
        <f t="shared" si="9"/>
        <v>67</v>
      </c>
    </row>
    <row r="79" spans="1:20" x14ac:dyDescent="0.35">
      <c r="A79" s="86">
        <f t="shared" si="8"/>
        <v>68</v>
      </c>
      <c r="B79" s="139"/>
      <c r="C79" s="140"/>
      <c r="D79" s="133"/>
      <c r="E79" s="141"/>
      <c r="F79" s="496"/>
      <c r="G79" s="496"/>
      <c r="H79" s="496"/>
      <c r="I79" s="496"/>
      <c r="J79" s="496"/>
      <c r="K79" s="496"/>
      <c r="L79" s="496"/>
      <c r="M79" s="496"/>
      <c r="N79" s="496"/>
      <c r="O79" s="496"/>
      <c r="P79" s="496"/>
      <c r="Q79" s="496"/>
      <c r="R79" s="496"/>
      <c r="S79" s="119"/>
      <c r="T79" s="86">
        <f t="shared" si="9"/>
        <v>68</v>
      </c>
    </row>
    <row r="80" spans="1:20" x14ac:dyDescent="0.35">
      <c r="A80" s="86">
        <f t="shared" si="8"/>
        <v>69</v>
      </c>
      <c r="B80" s="68" t="s">
        <v>16</v>
      </c>
      <c r="C80" s="22" t="s">
        <v>604</v>
      </c>
      <c r="D80" s="133"/>
      <c r="E80" s="141"/>
      <c r="F80" s="496"/>
      <c r="G80" s="496"/>
      <c r="H80" s="496"/>
      <c r="I80" s="496"/>
      <c r="J80" s="496"/>
      <c r="K80" s="496"/>
      <c r="L80" s="496"/>
      <c r="M80" s="496"/>
      <c r="N80" s="496"/>
      <c r="O80" s="496"/>
      <c r="P80" s="496"/>
      <c r="Q80" s="496"/>
      <c r="R80" s="496"/>
      <c r="S80" s="119"/>
      <c r="T80" s="86">
        <f t="shared" si="9"/>
        <v>69</v>
      </c>
    </row>
    <row r="81" spans="1:20" ht="18.5" x14ac:dyDescent="0.35">
      <c r="A81" s="86">
        <f t="shared" si="8"/>
        <v>70</v>
      </c>
      <c r="B81" s="434">
        <v>1</v>
      </c>
      <c r="C81" s="433" t="s">
        <v>515</v>
      </c>
      <c r="E81" s="141"/>
      <c r="F81" s="496"/>
      <c r="G81" s="496"/>
      <c r="H81" s="496"/>
      <c r="I81" s="496"/>
      <c r="J81" s="496"/>
      <c r="K81" s="496"/>
      <c r="L81" s="22"/>
      <c r="M81" s="496"/>
      <c r="N81" s="496"/>
      <c r="O81" s="496"/>
      <c r="P81" s="496"/>
      <c r="Q81" s="496"/>
      <c r="R81" s="496"/>
      <c r="S81" s="119"/>
      <c r="T81" s="86">
        <f t="shared" si="9"/>
        <v>70</v>
      </c>
    </row>
    <row r="82" spans="1:20" ht="18.5" x14ac:dyDescent="0.35">
      <c r="A82" s="86">
        <f t="shared" si="8"/>
        <v>71</v>
      </c>
      <c r="B82" s="445"/>
      <c r="C82" s="18" t="s">
        <v>331</v>
      </c>
      <c r="E82" s="141"/>
      <c r="F82" s="496"/>
      <c r="G82" s="496"/>
      <c r="H82" s="496"/>
      <c r="I82" s="496"/>
      <c r="J82" s="496"/>
      <c r="K82" s="496"/>
      <c r="L82" s="496"/>
      <c r="M82" s="496"/>
      <c r="N82" s="496"/>
      <c r="O82" s="496"/>
      <c r="P82" s="496"/>
      <c r="Q82" s="496"/>
      <c r="R82" s="496"/>
      <c r="S82" s="119"/>
      <c r="T82" s="86">
        <f t="shared" si="9"/>
        <v>71</v>
      </c>
    </row>
    <row r="83" spans="1:20" ht="18" x14ac:dyDescent="0.35">
      <c r="A83" s="86">
        <f t="shared" si="8"/>
        <v>72</v>
      </c>
      <c r="B83" s="596" t="s">
        <v>499</v>
      </c>
      <c r="C83" s="40" t="s">
        <v>500</v>
      </c>
      <c r="E83" s="141"/>
      <c r="F83" s="496"/>
      <c r="G83" s="496"/>
      <c r="H83" s="496"/>
      <c r="I83" s="496"/>
      <c r="J83" s="496"/>
      <c r="K83" s="496"/>
      <c r="L83" s="496"/>
      <c r="M83" s="496"/>
      <c r="N83" s="496"/>
      <c r="O83" s="496"/>
      <c r="P83" s="496"/>
      <c r="Q83" s="496"/>
      <c r="R83" s="496"/>
      <c r="S83" s="119"/>
      <c r="T83" s="86">
        <f t="shared" si="9"/>
        <v>72</v>
      </c>
    </row>
    <row r="84" spans="1:20" ht="18" x14ac:dyDescent="0.35">
      <c r="A84" s="86">
        <f t="shared" si="8"/>
        <v>73</v>
      </c>
      <c r="B84" s="596"/>
      <c r="C84" s="40" t="s">
        <v>501</v>
      </c>
      <c r="E84" s="141"/>
      <c r="F84" s="496"/>
      <c r="G84" s="496"/>
      <c r="H84" s="496"/>
      <c r="I84" s="496"/>
      <c r="J84" s="496"/>
      <c r="K84" s="496"/>
      <c r="L84" s="496"/>
      <c r="M84" s="496"/>
      <c r="N84" s="496"/>
      <c r="O84" s="496"/>
      <c r="P84" s="496"/>
      <c r="Q84" s="496"/>
      <c r="R84" s="496"/>
      <c r="S84" s="119"/>
      <c r="T84" s="86">
        <f t="shared" si="9"/>
        <v>73</v>
      </c>
    </row>
    <row r="85" spans="1:20" ht="18" x14ac:dyDescent="0.35">
      <c r="A85" s="86">
        <f t="shared" si="8"/>
        <v>74</v>
      </c>
      <c r="B85" s="596" t="s">
        <v>502</v>
      </c>
      <c r="C85" s="40" t="s">
        <v>503</v>
      </c>
      <c r="E85" s="141"/>
      <c r="F85" s="496"/>
      <c r="G85" s="496"/>
      <c r="H85" s="496"/>
      <c r="I85" s="496"/>
      <c r="J85" s="496"/>
      <c r="K85" s="496"/>
      <c r="L85" s="496"/>
      <c r="M85" s="496"/>
      <c r="N85" s="496"/>
      <c r="O85" s="496"/>
      <c r="P85" s="496"/>
      <c r="Q85" s="496"/>
      <c r="R85" s="496"/>
      <c r="S85" s="119"/>
      <c r="T85" s="86">
        <f t="shared" si="9"/>
        <v>74</v>
      </c>
    </row>
    <row r="86" spans="1:20" ht="18" x14ac:dyDescent="0.35">
      <c r="A86" s="86">
        <f t="shared" si="8"/>
        <v>75</v>
      </c>
      <c r="B86" s="596"/>
      <c r="C86" s="40" t="s">
        <v>504</v>
      </c>
      <c r="E86" s="141"/>
      <c r="F86" s="496"/>
      <c r="G86" s="496"/>
      <c r="H86" s="496"/>
      <c r="I86" s="496"/>
      <c r="J86" s="496"/>
      <c r="K86" s="496"/>
      <c r="L86" s="496"/>
      <c r="M86" s="496"/>
      <c r="N86" s="496"/>
      <c r="O86" s="496"/>
      <c r="P86" s="496"/>
      <c r="Q86" s="496"/>
      <c r="R86" s="496"/>
      <c r="S86" s="119"/>
      <c r="T86" s="86">
        <f t="shared" si="9"/>
        <v>75</v>
      </c>
    </row>
    <row r="87" spans="1:20" ht="18" x14ac:dyDescent="0.35">
      <c r="A87" s="86">
        <f t="shared" si="8"/>
        <v>76</v>
      </c>
      <c r="B87" s="596"/>
      <c r="C87" s="40" t="s">
        <v>505</v>
      </c>
      <c r="E87" s="141"/>
      <c r="F87" s="496"/>
      <c r="G87" s="496"/>
      <c r="H87" s="496"/>
      <c r="I87" s="496"/>
      <c r="J87" s="496"/>
      <c r="K87" s="496"/>
      <c r="L87" s="496"/>
      <c r="M87" s="496"/>
      <c r="N87" s="496"/>
      <c r="O87" s="496"/>
      <c r="P87" s="496"/>
      <c r="Q87" s="496"/>
      <c r="R87" s="496"/>
      <c r="S87" s="119"/>
      <c r="T87" s="86">
        <f t="shared" si="9"/>
        <v>76</v>
      </c>
    </row>
    <row r="88" spans="1:20" ht="18" x14ac:dyDescent="0.35">
      <c r="A88" s="86">
        <f t="shared" si="8"/>
        <v>77</v>
      </c>
      <c r="B88" s="596" t="s">
        <v>506</v>
      </c>
      <c r="C88" s="40" t="s">
        <v>507</v>
      </c>
      <c r="E88" s="141"/>
      <c r="F88" s="496"/>
      <c r="G88" s="496"/>
      <c r="H88" s="496"/>
      <c r="I88" s="496"/>
      <c r="J88" s="496"/>
      <c r="K88" s="496"/>
      <c r="L88" s="496"/>
      <c r="M88" s="496"/>
      <c r="N88" s="496"/>
      <c r="O88" s="496"/>
      <c r="P88" s="496"/>
      <c r="Q88" s="496"/>
      <c r="R88" s="496"/>
      <c r="S88" s="119"/>
      <c r="T88" s="86">
        <f t="shared" si="9"/>
        <v>77</v>
      </c>
    </row>
    <row r="89" spans="1:20" ht="18" x14ac:dyDescent="0.35">
      <c r="A89" s="86">
        <f t="shared" si="8"/>
        <v>78</v>
      </c>
      <c r="B89" s="596"/>
      <c r="C89" s="40" t="s">
        <v>508</v>
      </c>
      <c r="E89" s="141"/>
      <c r="F89" s="496"/>
      <c r="G89" s="496"/>
      <c r="H89" s="496"/>
      <c r="I89" s="496"/>
      <c r="J89" s="496"/>
      <c r="K89" s="496"/>
      <c r="L89" s="496"/>
      <c r="M89" s="496"/>
      <c r="N89" s="496"/>
      <c r="O89" s="496"/>
      <c r="P89" s="496"/>
      <c r="Q89" s="496"/>
      <c r="R89" s="496"/>
      <c r="S89" s="119"/>
      <c r="T89" s="86">
        <f t="shared" si="9"/>
        <v>78</v>
      </c>
    </row>
    <row r="90" spans="1:20" ht="18" x14ac:dyDescent="0.35">
      <c r="A90" s="86">
        <f t="shared" si="8"/>
        <v>79</v>
      </c>
      <c r="B90" s="597">
        <v>5</v>
      </c>
      <c r="C90" s="40" t="s">
        <v>514</v>
      </c>
      <c r="E90" s="141"/>
      <c r="F90" s="496"/>
      <c r="G90" s="496"/>
      <c r="H90" s="496"/>
      <c r="I90" s="496"/>
      <c r="J90" s="496"/>
      <c r="K90" s="496"/>
      <c r="L90" s="496"/>
      <c r="M90" s="496"/>
      <c r="N90" s="496"/>
      <c r="O90" s="496"/>
      <c r="P90" s="496"/>
      <c r="Q90" s="496"/>
      <c r="R90" s="496"/>
      <c r="S90" s="119"/>
      <c r="T90" s="86">
        <f t="shared" si="9"/>
        <v>79</v>
      </c>
    </row>
    <row r="91" spans="1:20" ht="18" x14ac:dyDescent="0.35">
      <c r="A91" s="86">
        <f t="shared" si="8"/>
        <v>80</v>
      </c>
      <c r="B91" s="597">
        <v>6</v>
      </c>
      <c r="C91" s="40" t="s">
        <v>509</v>
      </c>
      <c r="D91" s="133"/>
      <c r="E91" s="141"/>
      <c r="F91" s="496"/>
      <c r="G91" s="496"/>
      <c r="H91" s="496"/>
      <c r="I91" s="496"/>
      <c r="J91" s="496"/>
      <c r="K91" s="496"/>
      <c r="L91" s="496"/>
      <c r="M91" s="496"/>
      <c r="N91" s="496"/>
      <c r="O91" s="496"/>
      <c r="P91" s="496"/>
      <c r="Q91" s="496"/>
      <c r="R91" s="496"/>
      <c r="S91" s="119"/>
      <c r="T91" s="86">
        <f t="shared" si="9"/>
        <v>80</v>
      </c>
    </row>
    <row r="92" spans="1:20" ht="18" x14ac:dyDescent="0.35">
      <c r="A92" s="86">
        <f t="shared" si="8"/>
        <v>81</v>
      </c>
      <c r="B92" s="597">
        <v>7</v>
      </c>
      <c r="C92" s="40" t="s">
        <v>547</v>
      </c>
      <c r="D92" s="133"/>
      <c r="E92" s="141"/>
      <c r="F92" s="496"/>
      <c r="G92" s="496"/>
      <c r="H92" s="496"/>
      <c r="I92" s="496"/>
      <c r="J92" s="496"/>
      <c r="K92" s="496"/>
      <c r="L92" s="496"/>
      <c r="M92" s="496"/>
      <c r="N92" s="496"/>
      <c r="O92" s="496"/>
      <c r="P92" s="496"/>
      <c r="Q92" s="496"/>
      <c r="R92" s="496"/>
      <c r="S92" s="119"/>
      <c r="T92" s="86">
        <f t="shared" si="9"/>
        <v>81</v>
      </c>
    </row>
    <row r="93" spans="1:20" ht="18" x14ac:dyDescent="0.35">
      <c r="A93" s="86">
        <f t="shared" si="8"/>
        <v>82</v>
      </c>
      <c r="B93" s="597"/>
      <c r="C93" s="40" t="s">
        <v>548</v>
      </c>
      <c r="D93" s="133"/>
      <c r="E93" s="141"/>
      <c r="F93" s="496"/>
      <c r="G93" s="496"/>
      <c r="H93" s="496"/>
      <c r="I93" s="496"/>
      <c r="J93" s="496"/>
      <c r="K93" s="496"/>
      <c r="L93" s="496"/>
      <c r="M93" s="496"/>
      <c r="N93" s="496"/>
      <c r="O93" s="496"/>
      <c r="P93" s="496"/>
      <c r="Q93" s="496"/>
      <c r="R93" s="496"/>
      <c r="S93" s="119"/>
      <c r="T93" s="86">
        <f t="shared" si="9"/>
        <v>82</v>
      </c>
    </row>
    <row r="94" spans="1:20" ht="18" x14ac:dyDescent="0.35">
      <c r="A94" s="86">
        <f t="shared" si="8"/>
        <v>83</v>
      </c>
      <c r="B94" s="597">
        <v>8</v>
      </c>
      <c r="C94" s="197" t="s">
        <v>544</v>
      </c>
      <c r="D94" s="133"/>
      <c r="E94" s="141"/>
      <c r="F94" s="496"/>
      <c r="G94" s="496"/>
      <c r="H94" s="496"/>
      <c r="I94" s="496"/>
      <c r="J94" s="496"/>
      <c r="K94" s="496"/>
      <c r="L94" s="496"/>
      <c r="M94" s="496"/>
      <c r="N94" s="496"/>
      <c r="O94" s="496"/>
      <c r="P94" s="496"/>
      <c r="Q94" s="496"/>
      <c r="R94" s="496"/>
      <c r="S94" s="119"/>
      <c r="T94" s="86">
        <f t="shared" si="9"/>
        <v>83</v>
      </c>
    </row>
    <row r="95" spans="1:20" ht="16.5" x14ac:dyDescent="0.35">
      <c r="A95" s="86">
        <f t="shared" si="8"/>
        <v>84</v>
      </c>
      <c r="B95" s="663">
        <v>9</v>
      </c>
      <c r="C95" s="18" t="s">
        <v>555</v>
      </c>
      <c r="D95" s="133"/>
      <c r="E95" s="141"/>
      <c r="F95" s="496"/>
      <c r="G95" s="496"/>
      <c r="H95" s="496"/>
      <c r="I95" s="496"/>
      <c r="J95" s="496"/>
      <c r="K95" s="496"/>
      <c r="L95" s="496"/>
      <c r="M95" s="496"/>
      <c r="N95" s="496"/>
      <c r="O95" s="496"/>
      <c r="P95" s="496"/>
      <c r="Q95" s="496"/>
      <c r="R95" s="496"/>
      <c r="S95" s="119"/>
      <c r="T95" s="86">
        <f t="shared" si="9"/>
        <v>84</v>
      </c>
    </row>
    <row r="96" spans="1:20" ht="16.5" x14ac:dyDescent="0.35">
      <c r="A96" s="86">
        <f t="shared" si="8"/>
        <v>85</v>
      </c>
      <c r="B96" s="663">
        <v>10</v>
      </c>
      <c r="C96" s="18" t="s">
        <v>605</v>
      </c>
      <c r="D96" s="133"/>
      <c r="E96" s="141"/>
      <c r="F96" s="496"/>
      <c r="G96" s="496"/>
      <c r="H96" s="496"/>
      <c r="I96" s="496"/>
      <c r="J96" s="496"/>
      <c r="K96" s="496"/>
      <c r="L96" s="496"/>
      <c r="M96" s="496"/>
      <c r="N96" s="496"/>
      <c r="O96" s="496"/>
      <c r="P96" s="496"/>
      <c r="Q96" s="496"/>
      <c r="R96" s="496"/>
      <c r="S96" s="119"/>
      <c r="T96" s="86">
        <f t="shared" si="9"/>
        <v>85</v>
      </c>
    </row>
    <row r="97" spans="1:20" ht="16" thickBot="1" x14ac:dyDescent="0.4">
      <c r="A97" s="86">
        <f t="shared" si="8"/>
        <v>86</v>
      </c>
      <c r="B97" s="142"/>
      <c r="C97" s="143"/>
      <c r="D97" s="88"/>
      <c r="E97" s="88"/>
      <c r="F97" s="88"/>
      <c r="G97" s="88"/>
      <c r="H97" s="88"/>
      <c r="I97" s="88"/>
      <c r="J97" s="88"/>
      <c r="K97" s="88"/>
      <c r="L97" s="88"/>
      <c r="M97" s="728"/>
      <c r="N97" s="88"/>
      <c r="O97" s="88"/>
      <c r="P97" s="88"/>
      <c r="Q97" s="88"/>
      <c r="R97" s="88"/>
      <c r="S97" s="128"/>
      <c r="T97" s="86">
        <f t="shared" si="9"/>
        <v>86</v>
      </c>
    </row>
    <row r="98" spans="1:20" x14ac:dyDescent="0.35">
      <c r="C98" s="111"/>
    </row>
    <row r="99" spans="1:20" x14ac:dyDescent="0.35">
      <c r="A99" s="497"/>
      <c r="C99" s="111"/>
      <c r="D99" s="144"/>
      <c r="E99" s="144"/>
    </row>
    <row r="100" spans="1:20" ht="18" x14ac:dyDescent="0.35">
      <c r="A100" s="145"/>
      <c r="B100" s="435"/>
      <c r="C100" s="18"/>
      <c r="D100" s="223"/>
      <c r="E100" s="223"/>
      <c r="F100" s="223"/>
      <c r="G100" s="223"/>
      <c r="H100" s="223"/>
      <c r="I100" s="223"/>
      <c r="J100" s="223"/>
      <c r="K100" s="223"/>
      <c r="L100" s="223"/>
      <c r="M100" s="223"/>
      <c r="N100" s="223"/>
      <c r="O100" s="223"/>
      <c r="P100" s="223"/>
      <c r="Q100" s="223"/>
      <c r="R100" s="223"/>
    </row>
    <row r="101" spans="1:20" ht="18" x14ac:dyDescent="0.35">
      <c r="A101" s="145"/>
      <c r="B101" s="435"/>
      <c r="C101" s="302"/>
      <c r="D101" s="223"/>
      <c r="E101" s="223"/>
      <c r="F101" s="223"/>
      <c r="G101" s="223"/>
      <c r="H101" s="223"/>
      <c r="I101" s="223"/>
      <c r="J101" s="223"/>
      <c r="K101" s="223"/>
      <c r="L101" s="223"/>
      <c r="M101" s="223"/>
      <c r="N101" s="223"/>
      <c r="O101" s="223"/>
      <c r="P101" s="223"/>
      <c r="Q101" s="223"/>
      <c r="R101" s="223"/>
    </row>
    <row r="102" spans="1:20" ht="18" x14ac:dyDescent="0.35">
      <c r="A102" s="145"/>
      <c r="B102" s="39"/>
      <c r="C102" s="18"/>
      <c r="D102" s="18"/>
      <c r="E102" s="18"/>
      <c r="F102" s="18"/>
      <c r="G102" s="18"/>
      <c r="H102" s="18"/>
      <c r="I102" s="18"/>
      <c r="J102" s="18"/>
      <c r="K102" s="18"/>
      <c r="L102" s="18"/>
      <c r="M102" s="22"/>
      <c r="N102" s="18"/>
      <c r="O102" s="18"/>
      <c r="P102" s="18"/>
      <c r="Q102" s="18"/>
      <c r="R102" s="18"/>
    </row>
    <row r="103" spans="1:20" ht="18" x14ac:dyDescent="0.35">
      <c r="A103" s="145"/>
      <c r="C103" s="111"/>
    </row>
    <row r="104" spans="1:20" ht="18" x14ac:dyDescent="0.35">
      <c r="A104" s="145"/>
      <c r="C104" s="111"/>
    </row>
    <row r="105" spans="1:20" ht="18" x14ac:dyDescent="0.35">
      <c r="A105" s="145"/>
      <c r="C105" s="111"/>
    </row>
    <row r="106" spans="1:20" x14ac:dyDescent="0.35">
      <c r="A106" s="497"/>
      <c r="C106" s="111"/>
    </row>
    <row r="107" spans="1:20" ht="18" x14ac:dyDescent="0.35">
      <c r="A107" s="145"/>
      <c r="C107" s="111"/>
    </row>
    <row r="108" spans="1:20" x14ac:dyDescent="0.35">
      <c r="A108" s="497"/>
      <c r="C108" s="111"/>
    </row>
    <row r="109" spans="1:20" ht="18" x14ac:dyDescent="0.35">
      <c r="A109" s="145"/>
      <c r="C109" s="111"/>
    </row>
    <row r="110" spans="1:20" x14ac:dyDescent="0.35">
      <c r="A110" s="497"/>
      <c r="C110" s="111"/>
    </row>
    <row r="111" spans="1:20" ht="18" x14ac:dyDescent="0.35">
      <c r="A111" s="145"/>
      <c r="C111" s="111"/>
    </row>
    <row r="112" spans="1:20" ht="18" x14ac:dyDescent="0.35">
      <c r="A112" s="145"/>
      <c r="B112" s="111"/>
    </row>
    <row r="113" spans="1:2" ht="18" x14ac:dyDescent="0.35">
      <c r="A113" s="145"/>
      <c r="B113" s="111"/>
    </row>
    <row r="114" spans="1:2" x14ac:dyDescent="0.35">
      <c r="B114" s="111"/>
    </row>
    <row r="115" spans="1:2" ht="18" x14ac:dyDescent="0.35">
      <c r="A115" s="145"/>
      <c r="B115" s="111"/>
    </row>
    <row r="116" spans="1:2" x14ac:dyDescent="0.35">
      <c r="A116" s="446"/>
      <c r="B116" s="447"/>
    </row>
    <row r="117" spans="1:2" x14ac:dyDescent="0.35">
      <c r="B117" s="111"/>
    </row>
  </sheetData>
  <mergeCells count="4">
    <mergeCell ref="B3:S3"/>
    <mergeCell ref="B4:S4"/>
    <mergeCell ref="B5:S5"/>
    <mergeCell ref="B6:S6"/>
  </mergeCells>
  <printOptions horizontalCentered="1"/>
  <pageMargins left="0.25" right="0.25" top="0.5" bottom="0.5" header="0.35" footer="0.25"/>
  <pageSetup scale="35" orientation="portrait" r:id="rId1"/>
  <headerFooter scaleWithDoc="0" alignWithMargins="0">
    <oddHeader>&amp;C&amp;"Times New Roman,Bold"&amp;5AS FILED AH-3 WITH  FERC AUDIT ADJ INCL IN APPENDIX XII CYCLE 6 (ER24-175)</oddHeader>
    <oddFooter>&amp;L&amp;F&amp;CPage 8.5&amp;R&amp;A</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88F7-71F1-4E1E-968E-2BF1D94146E7}">
  <sheetPr>
    <pageSetUpPr fitToPage="1"/>
  </sheetPr>
  <dimension ref="A1:L35"/>
  <sheetViews>
    <sheetView zoomScale="80" zoomScaleNormal="80" workbookViewId="0"/>
  </sheetViews>
  <sheetFormatPr defaultColWidth="8.81640625" defaultRowHeight="15.5" x14ac:dyDescent="0.35"/>
  <cols>
    <col min="1" max="1" width="5.1796875" style="498" bestFit="1" customWidth="1"/>
    <col min="2" max="2" width="68.81640625" style="146" customWidth="1"/>
    <col min="3" max="3" width="24" style="147" customWidth="1"/>
    <col min="4" max="4" width="1.54296875" style="146" customWidth="1"/>
    <col min="5" max="5" width="16.81640625" style="146" customWidth="1"/>
    <col min="6" max="6" width="1.54296875" style="146" customWidth="1"/>
    <col min="7" max="7" width="16.81640625" style="146" customWidth="1"/>
    <col min="8" max="8" width="1.54296875" style="146" customWidth="1"/>
    <col min="9" max="9" width="36.1796875" style="146" customWidth="1"/>
    <col min="10" max="10" width="5.1796875" style="146" customWidth="1"/>
    <col min="11" max="16384" width="8.81640625" style="146"/>
  </cols>
  <sheetData>
    <row r="1" spans="1:10" x14ac:dyDescent="0.35">
      <c r="H1" s="498"/>
      <c r="I1" s="509"/>
      <c r="J1" s="498"/>
    </row>
    <row r="2" spans="1:10" x14ac:dyDescent="0.35">
      <c r="B2" s="789" t="s">
        <v>24</v>
      </c>
      <c r="C2" s="790"/>
      <c r="D2" s="790"/>
      <c r="E2" s="790"/>
      <c r="F2" s="790"/>
      <c r="G2" s="790"/>
      <c r="H2" s="790"/>
      <c r="I2" s="790"/>
      <c r="J2" s="219"/>
    </row>
    <row r="3" spans="1:10" x14ac:dyDescent="0.35">
      <c r="B3" s="789" t="s">
        <v>105</v>
      </c>
      <c r="C3" s="790"/>
      <c r="D3" s="790"/>
      <c r="E3" s="790"/>
      <c r="F3" s="790"/>
      <c r="G3" s="790"/>
      <c r="H3" s="790"/>
      <c r="I3" s="790"/>
      <c r="J3" s="219"/>
    </row>
    <row r="4" spans="1:10" x14ac:dyDescent="0.35">
      <c r="B4" s="789" t="s">
        <v>106</v>
      </c>
      <c r="C4" s="790"/>
      <c r="D4" s="790"/>
      <c r="E4" s="790"/>
      <c r="F4" s="790"/>
      <c r="G4" s="790"/>
      <c r="H4" s="790"/>
      <c r="I4" s="790"/>
      <c r="J4" s="219"/>
    </row>
    <row r="5" spans="1:10" x14ac:dyDescent="0.35">
      <c r="B5" s="791" t="s">
        <v>512</v>
      </c>
      <c r="C5" s="791"/>
      <c r="D5" s="791"/>
      <c r="E5" s="791"/>
      <c r="F5" s="791"/>
      <c r="G5" s="791"/>
      <c r="H5" s="791"/>
      <c r="I5" s="791"/>
      <c r="J5" s="219"/>
    </row>
    <row r="6" spans="1:10" x14ac:dyDescent="0.35">
      <c r="B6" s="792" t="s">
        <v>1</v>
      </c>
      <c r="C6" s="792"/>
      <c r="D6" s="792"/>
      <c r="E6" s="792"/>
      <c r="F6" s="792"/>
      <c r="G6" s="792"/>
      <c r="H6" s="792"/>
      <c r="I6" s="792"/>
      <c r="J6" s="148"/>
    </row>
    <row r="7" spans="1:10" x14ac:dyDescent="0.35">
      <c r="B7" s="498"/>
      <c r="D7" s="498"/>
      <c r="E7" s="498"/>
      <c r="F7" s="498"/>
      <c r="G7" s="498"/>
      <c r="H7" s="219"/>
      <c r="I7" s="219"/>
      <c r="J7" s="219"/>
    </row>
    <row r="8" spans="1:10" x14ac:dyDescent="0.35">
      <c r="A8" s="498" t="s">
        <v>2</v>
      </c>
      <c r="B8" s="219"/>
      <c r="C8" s="39" t="s">
        <v>27</v>
      </c>
      <c r="D8" s="498"/>
      <c r="E8" s="498" t="s">
        <v>107</v>
      </c>
      <c r="F8" s="498"/>
      <c r="G8" s="498" t="s">
        <v>108</v>
      </c>
      <c r="H8" s="219"/>
      <c r="I8" s="219"/>
      <c r="J8" s="498" t="s">
        <v>2</v>
      </c>
    </row>
    <row r="9" spans="1:10" x14ac:dyDescent="0.35">
      <c r="A9" s="498" t="s">
        <v>6</v>
      </c>
      <c r="B9" s="219"/>
      <c r="C9" s="416" t="s">
        <v>28</v>
      </c>
      <c r="D9" s="219"/>
      <c r="E9" s="448" t="s">
        <v>109</v>
      </c>
      <c r="F9" s="219"/>
      <c r="G9" s="448" t="s">
        <v>110</v>
      </c>
      <c r="H9" s="219"/>
      <c r="I9" s="449" t="s">
        <v>5</v>
      </c>
      <c r="J9" s="498" t="s">
        <v>6</v>
      </c>
    </row>
    <row r="10" spans="1:10" x14ac:dyDescent="0.35">
      <c r="B10" s="498"/>
      <c r="D10" s="498"/>
      <c r="E10" s="498"/>
      <c r="F10" s="498"/>
      <c r="G10" s="498"/>
      <c r="H10" s="498"/>
      <c r="I10" s="498"/>
      <c r="J10" s="498"/>
    </row>
    <row r="11" spans="1:10" ht="18" x14ac:dyDescent="0.35">
      <c r="A11" s="498">
        <v>1</v>
      </c>
      <c r="B11" s="146" t="s">
        <v>111</v>
      </c>
      <c r="C11" s="498" t="s">
        <v>112</v>
      </c>
      <c r="E11" s="450"/>
      <c r="F11" s="149"/>
      <c r="G11" s="351">
        <v>128758.20369230768</v>
      </c>
      <c r="H11" s="149"/>
      <c r="I11" s="63" t="s">
        <v>441</v>
      </c>
      <c r="J11" s="498">
        <f>A11</f>
        <v>1</v>
      </c>
    </row>
    <row r="12" spans="1:10" x14ac:dyDescent="0.35">
      <c r="A12" s="498">
        <f>+A11+1</f>
        <v>2</v>
      </c>
      <c r="C12" s="498"/>
      <c r="E12" s="150"/>
      <c r="F12" s="151"/>
      <c r="G12" s="151"/>
      <c r="H12" s="151"/>
      <c r="I12" s="63"/>
      <c r="J12" s="498">
        <f>+J11+1</f>
        <v>2</v>
      </c>
    </row>
    <row r="13" spans="1:10" x14ac:dyDescent="0.35">
      <c r="A13" s="498">
        <f t="shared" ref="A13:A29" si="0">+A12+1</f>
        <v>3</v>
      </c>
      <c r="B13" s="146" t="s">
        <v>113</v>
      </c>
      <c r="C13" s="498"/>
      <c r="E13" s="152"/>
      <c r="F13" s="153"/>
      <c r="G13" s="451">
        <v>0.39564654860241083</v>
      </c>
      <c r="H13" s="149"/>
      <c r="I13" s="63" t="s">
        <v>442</v>
      </c>
      <c r="J13" s="498">
        <f t="shared" ref="J13:J29" si="1">+J12+1</f>
        <v>3</v>
      </c>
    </row>
    <row r="14" spans="1:10" x14ac:dyDescent="0.35">
      <c r="A14" s="498">
        <f t="shared" si="0"/>
        <v>4</v>
      </c>
      <c r="C14" s="498"/>
      <c r="E14" s="150"/>
      <c r="F14" s="151"/>
      <c r="G14" s="150"/>
      <c r="H14" s="151"/>
      <c r="I14" s="63"/>
      <c r="J14" s="498">
        <f t="shared" si="1"/>
        <v>4</v>
      </c>
    </row>
    <row r="15" spans="1:10" ht="16" thickBot="1" x14ac:dyDescent="0.4">
      <c r="A15" s="498">
        <f t="shared" si="0"/>
        <v>5</v>
      </c>
      <c r="B15" s="146" t="s">
        <v>114</v>
      </c>
      <c r="C15" s="498"/>
      <c r="E15" s="452"/>
      <c r="F15" s="151"/>
      <c r="G15" s="453">
        <f>G11*G13</f>
        <v>50942.738895107723</v>
      </c>
      <c r="H15" s="149"/>
      <c r="I15" s="63" t="s">
        <v>443</v>
      </c>
      <c r="J15" s="498">
        <f t="shared" si="1"/>
        <v>5</v>
      </c>
    </row>
    <row r="16" spans="1:10" ht="16" thickTop="1" x14ac:dyDescent="0.35">
      <c r="A16" s="498">
        <f t="shared" si="0"/>
        <v>6</v>
      </c>
      <c r="C16" s="498"/>
      <c r="E16" s="454"/>
      <c r="F16" s="498"/>
      <c r="G16" s="498"/>
      <c r="H16" s="498"/>
      <c r="I16" s="63"/>
      <c r="J16" s="498">
        <f t="shared" si="1"/>
        <v>6</v>
      </c>
    </row>
    <row r="17" spans="1:12" ht="18" x14ac:dyDescent="0.35">
      <c r="A17" s="498">
        <f t="shared" si="0"/>
        <v>7</v>
      </c>
      <c r="B17" s="146" t="s">
        <v>115</v>
      </c>
      <c r="C17" s="498" t="s">
        <v>116</v>
      </c>
      <c r="D17" s="455"/>
      <c r="E17" s="450"/>
      <c r="F17" s="151"/>
      <c r="G17" s="456">
        <v>93697.406000000017</v>
      </c>
      <c r="H17" s="149"/>
      <c r="I17" s="63" t="s">
        <v>444</v>
      </c>
      <c r="J17" s="498">
        <f t="shared" si="1"/>
        <v>7</v>
      </c>
    </row>
    <row r="18" spans="1:12" x14ac:dyDescent="0.35">
      <c r="A18" s="498">
        <f t="shared" si="0"/>
        <v>8</v>
      </c>
      <c r="C18" s="498"/>
      <c r="E18" s="457"/>
      <c r="F18" s="151"/>
      <c r="G18" s="151"/>
      <c r="H18" s="151"/>
      <c r="I18" s="63"/>
      <c r="J18" s="498">
        <f t="shared" si="1"/>
        <v>8</v>
      </c>
    </row>
    <row r="19" spans="1:12" ht="16" thickBot="1" x14ac:dyDescent="0.4">
      <c r="A19" s="498">
        <f t="shared" si="0"/>
        <v>9</v>
      </c>
      <c r="B19" s="146" t="s">
        <v>117</v>
      </c>
      <c r="E19" s="450"/>
      <c r="F19" s="151"/>
      <c r="G19" s="453">
        <f>G13*G17</f>
        <v>37071.055296898827</v>
      </c>
      <c r="H19" s="149"/>
      <c r="I19" s="63" t="s">
        <v>445</v>
      </c>
      <c r="J19" s="498">
        <f t="shared" si="1"/>
        <v>9</v>
      </c>
    </row>
    <row r="20" spans="1:12" ht="16" thickTop="1" x14ac:dyDescent="0.35">
      <c r="A20" s="498">
        <f t="shared" si="0"/>
        <v>10</v>
      </c>
      <c r="E20" s="458"/>
      <c r="F20" s="151"/>
      <c r="G20" s="151"/>
      <c r="H20" s="151"/>
      <c r="I20" s="63"/>
      <c r="J20" s="498">
        <f t="shared" si="1"/>
        <v>10</v>
      </c>
    </row>
    <row r="21" spans="1:12" x14ac:dyDescent="0.35">
      <c r="A21" s="498">
        <f t="shared" si="0"/>
        <v>11</v>
      </c>
      <c r="B21" s="154" t="s">
        <v>118</v>
      </c>
      <c r="E21" s="458"/>
      <c r="F21" s="151"/>
      <c r="G21" s="151"/>
      <c r="H21" s="151"/>
      <c r="I21" s="63"/>
      <c r="J21" s="498">
        <f t="shared" si="1"/>
        <v>11</v>
      </c>
    </row>
    <row r="22" spans="1:12" x14ac:dyDescent="0.35">
      <c r="A22" s="498">
        <f t="shared" si="0"/>
        <v>12</v>
      </c>
      <c r="B22" s="146" t="s">
        <v>119</v>
      </c>
      <c r="E22" s="599">
        <v>33651.210460000017</v>
      </c>
      <c r="F22" s="25"/>
      <c r="G22" s="362"/>
      <c r="H22" s="151"/>
      <c r="I22" s="63" t="s">
        <v>511</v>
      </c>
      <c r="J22" s="498">
        <f t="shared" si="1"/>
        <v>12</v>
      </c>
    </row>
    <row r="23" spans="1:12" x14ac:dyDescent="0.35">
      <c r="A23" s="498">
        <f t="shared" si="0"/>
        <v>13</v>
      </c>
      <c r="B23" s="146" t="s">
        <v>120</v>
      </c>
      <c r="E23" s="459">
        <f>'Pg8 Rev Stmt AH'!E55</f>
        <v>48582.08532543655</v>
      </c>
      <c r="F23" s="25" t="s">
        <v>16</v>
      </c>
      <c r="G23" s="460"/>
      <c r="H23" s="151"/>
      <c r="I23" s="63" t="s">
        <v>715</v>
      </c>
      <c r="J23" s="498">
        <f t="shared" si="1"/>
        <v>13</v>
      </c>
    </row>
    <row r="24" spans="1:12" x14ac:dyDescent="0.35">
      <c r="A24" s="498">
        <f t="shared" si="0"/>
        <v>14</v>
      </c>
      <c r="B24" s="146" t="s">
        <v>121</v>
      </c>
      <c r="E24" s="461">
        <v>0</v>
      </c>
      <c r="F24" s="151"/>
      <c r="G24" s="460"/>
      <c r="H24" s="151"/>
      <c r="I24" s="63" t="s">
        <v>446</v>
      </c>
      <c r="J24" s="498">
        <f t="shared" si="1"/>
        <v>14</v>
      </c>
      <c r="K24" s="462"/>
    </row>
    <row r="25" spans="1:12" x14ac:dyDescent="0.35">
      <c r="A25" s="498">
        <f t="shared" si="0"/>
        <v>15</v>
      </c>
      <c r="B25" s="146" t="s">
        <v>122</v>
      </c>
      <c r="E25" s="463">
        <f>SUM(E22:E24)</f>
        <v>82233.295785436567</v>
      </c>
      <c r="F25" s="25" t="s">
        <v>16</v>
      </c>
      <c r="G25" s="455"/>
      <c r="H25" s="63"/>
      <c r="I25" s="63" t="s">
        <v>447</v>
      </c>
      <c r="J25" s="498">
        <f t="shared" si="1"/>
        <v>15</v>
      </c>
    </row>
    <row r="26" spans="1:12" x14ac:dyDescent="0.35">
      <c r="A26" s="498">
        <f t="shared" si="0"/>
        <v>16</v>
      </c>
      <c r="F26" s="498"/>
      <c r="H26" s="498"/>
      <c r="I26" s="63"/>
      <c r="J26" s="498">
        <f t="shared" si="1"/>
        <v>16</v>
      </c>
    </row>
    <row r="27" spans="1:12" x14ac:dyDescent="0.35">
      <c r="A27" s="498">
        <f t="shared" si="0"/>
        <v>17</v>
      </c>
      <c r="B27" s="146" t="s">
        <v>123</v>
      </c>
      <c r="E27" s="464">
        <f>1/8</f>
        <v>0.125</v>
      </c>
      <c r="F27" s="498"/>
      <c r="G27" s="465"/>
      <c r="H27" s="498"/>
      <c r="I27" s="63" t="s">
        <v>124</v>
      </c>
      <c r="J27" s="498">
        <f t="shared" si="1"/>
        <v>17</v>
      </c>
    </row>
    <row r="28" spans="1:12" x14ac:dyDescent="0.35">
      <c r="A28" s="498">
        <f t="shared" si="0"/>
        <v>18</v>
      </c>
      <c r="E28" s="150" t="s">
        <v>11</v>
      </c>
      <c r="F28" s="151"/>
      <c r="G28" s="150"/>
      <c r="H28" s="151"/>
      <c r="I28" s="63"/>
      <c r="J28" s="498">
        <f t="shared" si="1"/>
        <v>18</v>
      </c>
    </row>
    <row r="29" spans="1:12" ht="16" thickBot="1" x14ac:dyDescent="0.4">
      <c r="A29" s="498">
        <f t="shared" si="0"/>
        <v>19</v>
      </c>
      <c r="B29" s="146" t="s">
        <v>125</v>
      </c>
      <c r="E29" s="466">
        <f>E25*E27</f>
        <v>10279.161973179571</v>
      </c>
      <c r="F29" s="25" t="s">
        <v>16</v>
      </c>
      <c r="G29" s="452"/>
      <c r="H29" s="151"/>
      <c r="I29" s="498" t="s">
        <v>448</v>
      </c>
      <c r="J29" s="498">
        <f t="shared" si="1"/>
        <v>19</v>
      </c>
      <c r="L29" s="252"/>
    </row>
    <row r="30" spans="1:12" ht="16" thickTop="1" x14ac:dyDescent="0.35">
      <c r="E30" s="611"/>
      <c r="F30" s="25"/>
      <c r="G30" s="452"/>
      <c r="H30" s="151"/>
      <c r="I30" s="498"/>
      <c r="J30" s="498"/>
    </row>
    <row r="31" spans="1:12" x14ac:dyDescent="0.35">
      <c r="B31" s="467"/>
    </row>
    <row r="32" spans="1:12" x14ac:dyDescent="0.35">
      <c r="A32" s="25" t="s">
        <v>16</v>
      </c>
      <c r="B32" s="678" t="str">
        <f>'Pg8.3 Rev AH-3'!C83</f>
        <v>Items in BOLD have changed to correct the over-allocation of "Duplicate Charges (Company Energy Use)" Credit in FERC Account no. 929.</v>
      </c>
    </row>
    <row r="33" spans="1:2" ht="18" x14ac:dyDescent="0.35">
      <c r="A33" s="157">
        <v>1</v>
      </c>
      <c r="B33" s="146" t="s">
        <v>126</v>
      </c>
    </row>
    <row r="34" spans="1:2" ht="18" x14ac:dyDescent="0.35">
      <c r="A34" s="157"/>
    </row>
    <row r="35" spans="1:2" x14ac:dyDescent="0.35">
      <c r="A35" s="219"/>
      <c r="B35" s="148"/>
    </row>
  </sheetData>
  <mergeCells count="5">
    <mergeCell ref="B2:I2"/>
    <mergeCell ref="B3:I3"/>
    <mergeCell ref="B4:I4"/>
    <mergeCell ref="B5:I5"/>
    <mergeCell ref="B6:I6"/>
  </mergeCells>
  <printOptions horizontalCentered="1"/>
  <pageMargins left="0.25" right="0.25" top="0.5" bottom="0.5" header="0.35" footer="0.25"/>
  <pageSetup scale="57" orientation="portrait" r:id="rId1"/>
  <headerFooter scaleWithDoc="0" alignWithMargins="0">
    <oddHeader>&amp;C&amp;"Times New Roman,Bold"&amp;7REVISED</oddHeader>
    <oddFooter>&amp;L&amp;F&amp;CPage 9&amp;R&amp;A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C083-0807-43E6-B5CD-7EC58C5B2545}">
  <sheetPr>
    <pageSetUpPr fitToPage="1"/>
  </sheetPr>
  <dimension ref="A1:K37"/>
  <sheetViews>
    <sheetView zoomScale="80" zoomScaleNormal="80" workbookViewId="0"/>
  </sheetViews>
  <sheetFormatPr defaultColWidth="8.81640625" defaultRowHeight="15.5" x14ac:dyDescent="0.35"/>
  <cols>
    <col min="1" max="1" width="5.1796875" style="498" bestFit="1" customWidth="1"/>
    <col min="2" max="2" width="68.81640625" style="146" customWidth="1"/>
    <col min="3" max="3" width="24" style="147" customWidth="1"/>
    <col min="4" max="4" width="1.54296875" style="146" customWidth="1"/>
    <col min="5" max="5" width="16.81640625" style="146" customWidth="1"/>
    <col min="6" max="6" width="1.54296875" style="146" customWidth="1"/>
    <col min="7" max="7" width="16.81640625" style="146" customWidth="1"/>
    <col min="8" max="8" width="1.54296875" style="146" customWidth="1"/>
    <col min="9" max="9" width="38.81640625" style="146" customWidth="1"/>
    <col min="10" max="10" width="5.1796875" style="146" customWidth="1"/>
    <col min="11" max="16384" width="8.81640625" style="146"/>
  </cols>
  <sheetData>
    <row r="1" spans="1:10" x14ac:dyDescent="0.35">
      <c r="A1" s="614" t="s">
        <v>662</v>
      </c>
    </row>
    <row r="2" spans="1:10" x14ac:dyDescent="0.35">
      <c r="H2" s="498"/>
      <c r="I2" s="509"/>
      <c r="J2" s="498"/>
    </row>
    <row r="3" spans="1:10" x14ac:dyDescent="0.35">
      <c r="B3" s="789" t="s">
        <v>24</v>
      </c>
      <c r="C3" s="790"/>
      <c r="D3" s="790"/>
      <c r="E3" s="790"/>
      <c r="F3" s="790"/>
      <c r="G3" s="790"/>
      <c r="H3" s="790"/>
      <c r="I3" s="790"/>
      <c r="J3" s="219"/>
    </row>
    <row r="4" spans="1:10" x14ac:dyDescent="0.35">
      <c r="B4" s="789" t="s">
        <v>105</v>
      </c>
      <c r="C4" s="790"/>
      <c r="D4" s="790"/>
      <c r="E4" s="790"/>
      <c r="F4" s="790"/>
      <c r="G4" s="790"/>
      <c r="H4" s="790"/>
      <c r="I4" s="790"/>
      <c r="J4" s="219"/>
    </row>
    <row r="5" spans="1:10" x14ac:dyDescent="0.35">
      <c r="B5" s="789" t="s">
        <v>106</v>
      </c>
      <c r="C5" s="790"/>
      <c r="D5" s="790"/>
      <c r="E5" s="790"/>
      <c r="F5" s="790"/>
      <c r="G5" s="790"/>
      <c r="H5" s="790"/>
      <c r="I5" s="790"/>
      <c r="J5" s="219"/>
    </row>
    <row r="6" spans="1:10" x14ac:dyDescent="0.35">
      <c r="B6" s="791" t="s">
        <v>512</v>
      </c>
      <c r="C6" s="791"/>
      <c r="D6" s="791"/>
      <c r="E6" s="791"/>
      <c r="F6" s="791"/>
      <c r="G6" s="791"/>
      <c r="H6" s="791"/>
      <c r="I6" s="791"/>
      <c r="J6" s="219"/>
    </row>
    <row r="7" spans="1:10" x14ac:dyDescent="0.35">
      <c r="B7" s="792" t="s">
        <v>1</v>
      </c>
      <c r="C7" s="792"/>
      <c r="D7" s="792"/>
      <c r="E7" s="792"/>
      <c r="F7" s="792"/>
      <c r="G7" s="792"/>
      <c r="H7" s="792"/>
      <c r="I7" s="792"/>
      <c r="J7" s="148"/>
    </row>
    <row r="8" spans="1:10" x14ac:dyDescent="0.35">
      <c r="B8" s="498"/>
      <c r="D8" s="498"/>
      <c r="E8" s="498"/>
      <c r="F8" s="498"/>
      <c r="G8" s="498"/>
      <c r="H8" s="219"/>
      <c r="I8" s="219"/>
      <c r="J8" s="219"/>
    </row>
    <row r="9" spans="1:10" x14ac:dyDescent="0.35">
      <c r="A9" s="498" t="s">
        <v>2</v>
      </c>
      <c r="B9" s="219"/>
      <c r="C9" s="39" t="s">
        <v>27</v>
      </c>
      <c r="D9" s="498"/>
      <c r="E9" s="498" t="s">
        <v>107</v>
      </c>
      <c r="F9" s="498"/>
      <c r="G9" s="498" t="s">
        <v>108</v>
      </c>
      <c r="H9" s="219"/>
      <c r="I9" s="219"/>
      <c r="J9" s="498" t="s">
        <v>2</v>
      </c>
    </row>
    <row r="10" spans="1:10" x14ac:dyDescent="0.35">
      <c r="A10" s="498" t="s">
        <v>6</v>
      </c>
      <c r="B10" s="219"/>
      <c r="C10" s="416" t="s">
        <v>28</v>
      </c>
      <c r="D10" s="219"/>
      <c r="E10" s="448" t="s">
        <v>109</v>
      </c>
      <c r="F10" s="219"/>
      <c r="G10" s="448" t="s">
        <v>110</v>
      </c>
      <c r="H10" s="219"/>
      <c r="I10" s="449" t="s">
        <v>5</v>
      </c>
      <c r="J10" s="498" t="s">
        <v>6</v>
      </c>
    </row>
    <row r="11" spans="1:10" x14ac:dyDescent="0.35">
      <c r="B11" s="498"/>
      <c r="D11" s="498"/>
      <c r="E11" s="498"/>
      <c r="F11" s="498"/>
      <c r="G11" s="498"/>
      <c r="H11" s="498"/>
      <c r="I11" s="498"/>
      <c r="J11" s="498"/>
    </row>
    <row r="12" spans="1:10" ht="18" x14ac:dyDescent="0.35">
      <c r="A12" s="498">
        <v>1</v>
      </c>
      <c r="B12" s="146" t="s">
        <v>111</v>
      </c>
      <c r="C12" s="498" t="s">
        <v>112</v>
      </c>
      <c r="E12" s="450"/>
      <c r="F12" s="149"/>
      <c r="G12" s="351">
        <v>128758.20369230768</v>
      </c>
      <c r="H12" s="149"/>
      <c r="I12" s="63" t="s">
        <v>441</v>
      </c>
      <c r="J12" s="498">
        <f>A12</f>
        <v>1</v>
      </c>
    </row>
    <row r="13" spans="1:10" x14ac:dyDescent="0.35">
      <c r="A13" s="498">
        <f>+A12+1</f>
        <v>2</v>
      </c>
      <c r="C13" s="498"/>
      <c r="E13" s="150"/>
      <c r="F13" s="151"/>
      <c r="G13" s="151"/>
      <c r="H13" s="151"/>
      <c r="I13" s="63"/>
      <c r="J13" s="498">
        <f>+J12+1</f>
        <v>2</v>
      </c>
    </row>
    <row r="14" spans="1:10" x14ac:dyDescent="0.35">
      <c r="A14" s="498">
        <f t="shared" ref="A14:A30" si="0">+A13+1</f>
        <v>3</v>
      </c>
      <c r="B14" s="146" t="s">
        <v>113</v>
      </c>
      <c r="C14" s="498"/>
      <c r="E14" s="152"/>
      <c r="F14" s="153"/>
      <c r="G14" s="707">
        <v>0.39564654860241083</v>
      </c>
      <c r="H14" s="25" t="s">
        <v>16</v>
      </c>
      <c r="I14" s="63" t="s">
        <v>625</v>
      </c>
      <c r="J14" s="498">
        <f t="shared" ref="J14:J30" si="1">+J13+1</f>
        <v>3</v>
      </c>
    </row>
    <row r="15" spans="1:10" x14ac:dyDescent="0.35">
      <c r="A15" s="498">
        <f t="shared" si="0"/>
        <v>4</v>
      </c>
      <c r="C15" s="498"/>
      <c r="E15" s="150"/>
      <c r="F15" s="151"/>
      <c r="G15" s="150"/>
      <c r="H15" s="151"/>
      <c r="I15" s="63"/>
      <c r="J15" s="498">
        <f t="shared" si="1"/>
        <v>4</v>
      </c>
    </row>
    <row r="16" spans="1:10" ht="16" thickBot="1" x14ac:dyDescent="0.4">
      <c r="A16" s="498">
        <f t="shared" si="0"/>
        <v>5</v>
      </c>
      <c r="B16" s="146" t="s">
        <v>114</v>
      </c>
      <c r="C16" s="498"/>
      <c r="E16" s="452"/>
      <c r="F16" s="151"/>
      <c r="G16" s="466">
        <f>G12*G14</f>
        <v>50942.738895107723</v>
      </c>
      <c r="H16" s="25" t="s">
        <v>16</v>
      </c>
      <c r="I16" s="63" t="s">
        <v>443</v>
      </c>
      <c r="J16" s="498">
        <f t="shared" si="1"/>
        <v>5</v>
      </c>
    </row>
    <row r="17" spans="1:11" ht="16" thickTop="1" x14ac:dyDescent="0.35">
      <c r="A17" s="498">
        <f t="shared" si="0"/>
        <v>6</v>
      </c>
      <c r="C17" s="498"/>
      <c r="E17" s="454"/>
      <c r="F17" s="498"/>
      <c r="G17" s="498"/>
      <c r="H17" s="498"/>
      <c r="I17" s="63"/>
      <c r="J17" s="498">
        <f t="shared" si="1"/>
        <v>6</v>
      </c>
    </row>
    <row r="18" spans="1:11" ht="18" x14ac:dyDescent="0.35">
      <c r="A18" s="498">
        <f t="shared" si="0"/>
        <v>7</v>
      </c>
      <c r="B18" s="146" t="s">
        <v>115</v>
      </c>
      <c r="C18" s="498" t="s">
        <v>116</v>
      </c>
      <c r="D18" s="455"/>
      <c r="E18" s="450"/>
      <c r="F18" s="151"/>
      <c r="G18" s="456">
        <v>93697.406000000017</v>
      </c>
      <c r="H18" s="149"/>
      <c r="I18" s="63" t="s">
        <v>444</v>
      </c>
      <c r="J18" s="498">
        <f t="shared" si="1"/>
        <v>7</v>
      </c>
    </row>
    <row r="19" spans="1:11" x14ac:dyDescent="0.35">
      <c r="A19" s="498">
        <f t="shared" si="0"/>
        <v>8</v>
      </c>
      <c r="C19" s="498"/>
      <c r="E19" s="457"/>
      <c r="F19" s="151"/>
      <c r="G19" s="151"/>
      <c r="H19" s="151"/>
      <c r="I19" s="63"/>
      <c r="J19" s="498">
        <f t="shared" si="1"/>
        <v>8</v>
      </c>
    </row>
    <row r="20" spans="1:11" ht="16" thickBot="1" x14ac:dyDescent="0.4">
      <c r="A20" s="498">
        <f t="shared" si="0"/>
        <v>9</v>
      </c>
      <c r="B20" s="146" t="s">
        <v>117</v>
      </c>
      <c r="E20" s="450"/>
      <c r="F20" s="151"/>
      <c r="G20" s="466">
        <f>G14*G18</f>
        <v>37071.055296898827</v>
      </c>
      <c r="H20" s="25" t="s">
        <v>16</v>
      </c>
      <c r="I20" s="63" t="s">
        <v>445</v>
      </c>
      <c r="J20" s="498">
        <f t="shared" si="1"/>
        <v>9</v>
      </c>
    </row>
    <row r="21" spans="1:11" ht="16" thickTop="1" x14ac:dyDescent="0.35">
      <c r="A21" s="498">
        <f t="shared" si="0"/>
        <v>10</v>
      </c>
      <c r="E21" s="458"/>
      <c r="F21" s="151"/>
      <c r="G21" s="151"/>
      <c r="H21" s="151"/>
      <c r="I21" s="63"/>
      <c r="J21" s="498">
        <f t="shared" si="1"/>
        <v>10</v>
      </c>
    </row>
    <row r="22" spans="1:11" x14ac:dyDescent="0.35">
      <c r="A22" s="498">
        <f t="shared" si="0"/>
        <v>11</v>
      </c>
      <c r="B22" s="154" t="s">
        <v>118</v>
      </c>
      <c r="E22" s="458"/>
      <c r="F22" s="151"/>
      <c r="G22" s="151"/>
      <c r="H22" s="151"/>
      <c r="I22" s="63"/>
      <c r="J22" s="498">
        <f t="shared" si="1"/>
        <v>11</v>
      </c>
    </row>
    <row r="23" spans="1:11" x14ac:dyDescent="0.35">
      <c r="A23" s="498">
        <f t="shared" si="0"/>
        <v>12</v>
      </c>
      <c r="B23" s="146" t="s">
        <v>119</v>
      </c>
      <c r="E23" s="599">
        <v>33651.210460000017</v>
      </c>
      <c r="F23" s="25"/>
      <c r="G23" s="362"/>
      <c r="H23" s="151"/>
      <c r="I23" s="63" t="s">
        <v>511</v>
      </c>
      <c r="J23" s="498">
        <f t="shared" si="1"/>
        <v>12</v>
      </c>
    </row>
    <row r="24" spans="1:11" x14ac:dyDescent="0.35">
      <c r="A24" s="498">
        <f t="shared" si="0"/>
        <v>13</v>
      </c>
      <c r="B24" s="146" t="s">
        <v>120</v>
      </c>
      <c r="E24" s="459">
        <v>48519.100585337437</v>
      </c>
      <c r="F24" s="25" t="s">
        <v>16</v>
      </c>
      <c r="G24" s="460"/>
      <c r="H24" s="151"/>
      <c r="I24" s="63" t="s">
        <v>626</v>
      </c>
      <c r="J24" s="498">
        <f t="shared" si="1"/>
        <v>13</v>
      </c>
    </row>
    <row r="25" spans="1:11" x14ac:dyDescent="0.35">
      <c r="A25" s="498">
        <f t="shared" si="0"/>
        <v>14</v>
      </c>
      <c r="B25" s="146" t="s">
        <v>121</v>
      </c>
      <c r="E25" s="461">
        <v>0</v>
      </c>
      <c r="F25" s="151"/>
      <c r="G25" s="460"/>
      <c r="H25" s="151"/>
      <c r="I25" s="63" t="s">
        <v>446</v>
      </c>
      <c r="J25" s="498">
        <f t="shared" si="1"/>
        <v>14</v>
      </c>
      <c r="K25" s="462"/>
    </row>
    <row r="26" spans="1:11" x14ac:dyDescent="0.35">
      <c r="A26" s="498">
        <f t="shared" si="0"/>
        <v>15</v>
      </c>
      <c r="B26" s="146" t="s">
        <v>122</v>
      </c>
      <c r="E26" s="463">
        <f>SUM(E23:E25)</f>
        <v>82170.311045337454</v>
      </c>
      <c r="F26" s="25" t="s">
        <v>16</v>
      </c>
      <c r="G26" s="455"/>
      <c r="H26" s="63"/>
      <c r="I26" s="63" t="s">
        <v>447</v>
      </c>
      <c r="J26" s="498">
        <f t="shared" si="1"/>
        <v>15</v>
      </c>
    </row>
    <row r="27" spans="1:11" x14ac:dyDescent="0.35">
      <c r="A27" s="498">
        <f t="shared" si="0"/>
        <v>16</v>
      </c>
      <c r="F27" s="498"/>
      <c r="H27" s="498"/>
      <c r="I27" s="63"/>
      <c r="J27" s="498">
        <f t="shared" si="1"/>
        <v>16</v>
      </c>
    </row>
    <row r="28" spans="1:11" x14ac:dyDescent="0.35">
      <c r="A28" s="498">
        <f t="shared" si="0"/>
        <v>17</v>
      </c>
      <c r="B28" s="146" t="s">
        <v>123</v>
      </c>
      <c r="E28" s="464">
        <f>1/8</f>
        <v>0.125</v>
      </c>
      <c r="F28" s="498"/>
      <c r="G28" s="465"/>
      <c r="H28" s="498"/>
      <c r="I28" s="63" t="s">
        <v>124</v>
      </c>
      <c r="J28" s="498">
        <f t="shared" si="1"/>
        <v>17</v>
      </c>
    </row>
    <row r="29" spans="1:11" x14ac:dyDescent="0.35">
      <c r="A29" s="498">
        <f t="shared" si="0"/>
        <v>18</v>
      </c>
      <c r="E29" s="150" t="s">
        <v>11</v>
      </c>
      <c r="F29" s="151"/>
      <c r="G29" s="150"/>
      <c r="H29" s="151"/>
      <c r="I29" s="63"/>
      <c r="J29" s="498">
        <f t="shared" si="1"/>
        <v>18</v>
      </c>
    </row>
    <row r="30" spans="1:11" ht="16" thickBot="1" x14ac:dyDescent="0.4">
      <c r="A30" s="498">
        <f t="shared" si="0"/>
        <v>19</v>
      </c>
      <c r="B30" s="146" t="s">
        <v>125</v>
      </c>
      <c r="E30" s="466">
        <f>E26*E28</f>
        <v>10271.288880667182</v>
      </c>
      <c r="F30" s="25" t="s">
        <v>16</v>
      </c>
      <c r="G30" s="452"/>
      <c r="H30" s="151"/>
      <c r="I30" s="498" t="s">
        <v>448</v>
      </c>
      <c r="J30" s="498">
        <f t="shared" si="1"/>
        <v>19</v>
      </c>
    </row>
    <row r="31" spans="1:11" ht="16" thickTop="1" x14ac:dyDescent="0.35">
      <c r="E31" s="611"/>
      <c r="F31" s="25"/>
      <c r="G31" s="452"/>
      <c r="H31" s="151"/>
      <c r="I31" s="498"/>
      <c r="J31" s="498"/>
    </row>
    <row r="32" spans="1:11" x14ac:dyDescent="0.35">
      <c r="B32" s="467"/>
    </row>
    <row r="33" spans="1:2" x14ac:dyDescent="0.35">
      <c r="A33" s="25" t="s">
        <v>16</v>
      </c>
      <c r="B33" s="22" t="s">
        <v>620</v>
      </c>
    </row>
    <row r="34" spans="1:2" x14ac:dyDescent="0.35">
      <c r="A34" s="25"/>
      <c r="B34" s="22" t="s">
        <v>621</v>
      </c>
    </row>
    <row r="35" spans="1:2" ht="18" x14ac:dyDescent="0.35">
      <c r="A35" s="157">
        <v>1</v>
      </c>
      <c r="B35" s="146" t="s">
        <v>126</v>
      </c>
    </row>
    <row r="36" spans="1:2" ht="18" x14ac:dyDescent="0.35">
      <c r="A36" s="157"/>
    </row>
    <row r="37" spans="1:2" x14ac:dyDescent="0.35">
      <c r="A37" s="219"/>
      <c r="B37" s="148"/>
    </row>
  </sheetData>
  <mergeCells count="5">
    <mergeCell ref="B3:I3"/>
    <mergeCell ref="B4:I4"/>
    <mergeCell ref="B5:I5"/>
    <mergeCell ref="B6:I6"/>
    <mergeCell ref="B7:I7"/>
  </mergeCells>
  <printOptions horizontalCentered="1"/>
  <pageMargins left="0.25" right="0.25" top="0.5" bottom="0.5" header="0.35" footer="0.25"/>
  <pageSetup scale="56" orientation="portrait" r:id="rId1"/>
  <headerFooter scaleWithDoc="0" alignWithMargins="0">
    <oddHeader>&amp;C&amp;"Times New Roman,Bold"&amp;7AS FILED STMT AL WITH COST ADJ. INCL. IN APPENDIX XII CYCLE 6 (ER24-175)</oddHeader>
    <oddFooter>&amp;L&amp;F&amp;CPage 9.1&amp;R&amp;A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7E7AD-BAF7-4D68-97BB-55C302FC6F1A}">
  <dimension ref="A1:M159"/>
  <sheetViews>
    <sheetView zoomScale="80" zoomScaleNormal="80" workbookViewId="0"/>
  </sheetViews>
  <sheetFormatPr defaultColWidth="8.81640625" defaultRowHeight="15.5" x14ac:dyDescent="0.35"/>
  <cols>
    <col min="1" max="1" width="5.1796875" style="39" customWidth="1"/>
    <col min="2" max="2" width="55.453125" style="40" customWidth="1"/>
    <col min="3" max="5" width="15.54296875" style="40" customWidth="1"/>
    <col min="6" max="6" width="1.54296875" style="40" customWidth="1"/>
    <col min="7" max="7" width="16.81640625" style="40" customWidth="1"/>
    <col min="8" max="8" width="1.54296875" style="40" customWidth="1"/>
    <col min="9" max="9" width="38.81640625" style="158" customWidth="1"/>
    <col min="10" max="10" width="5.1796875" style="40" customWidth="1"/>
    <col min="11" max="11" width="27" style="40" bestFit="1" customWidth="1"/>
    <col min="12" max="12" width="15" style="40" bestFit="1" customWidth="1"/>
    <col min="13" max="13" width="10.453125" style="40" bestFit="1" customWidth="1"/>
    <col min="14" max="16384" width="8.81640625" style="40"/>
  </cols>
  <sheetData>
    <row r="1" spans="1:10" x14ac:dyDescent="0.35">
      <c r="A1" s="468"/>
      <c r="G1" s="65"/>
      <c r="H1" s="65"/>
      <c r="I1" s="182"/>
      <c r="J1" s="39"/>
    </row>
    <row r="2" spans="1:10" x14ac:dyDescent="0.35">
      <c r="B2" s="782" t="s">
        <v>332</v>
      </c>
      <c r="C2" s="782"/>
      <c r="D2" s="782"/>
      <c r="E2" s="782"/>
      <c r="F2" s="782"/>
      <c r="G2" s="782"/>
      <c r="H2" s="782"/>
      <c r="I2" s="782"/>
      <c r="J2" s="39"/>
    </row>
    <row r="3" spans="1:10" x14ac:dyDescent="0.35">
      <c r="B3" s="782" t="s">
        <v>127</v>
      </c>
      <c r="C3" s="782"/>
      <c r="D3" s="782"/>
      <c r="E3" s="782"/>
      <c r="F3" s="782"/>
      <c r="G3" s="782"/>
      <c r="H3" s="782"/>
      <c r="I3" s="782"/>
      <c r="J3" s="39"/>
    </row>
    <row r="4" spans="1:10" x14ac:dyDescent="0.35">
      <c r="B4" s="782" t="s">
        <v>128</v>
      </c>
      <c r="C4" s="782"/>
      <c r="D4" s="782"/>
      <c r="E4" s="782"/>
      <c r="F4" s="782"/>
      <c r="G4" s="782"/>
      <c r="H4" s="782"/>
      <c r="I4" s="782"/>
      <c r="J4" s="39"/>
    </row>
    <row r="5" spans="1:10" x14ac:dyDescent="0.35">
      <c r="B5" s="785" t="s">
        <v>512</v>
      </c>
      <c r="C5" s="785"/>
      <c r="D5" s="785"/>
      <c r="E5" s="785"/>
      <c r="F5" s="785"/>
      <c r="G5" s="785"/>
      <c r="H5" s="785"/>
      <c r="I5" s="785"/>
      <c r="J5" s="39"/>
    </row>
    <row r="6" spans="1:10" x14ac:dyDescent="0.35">
      <c r="B6" s="784" t="s">
        <v>1</v>
      </c>
      <c r="C6" s="786"/>
      <c r="D6" s="786"/>
      <c r="E6" s="786"/>
      <c r="F6" s="786"/>
      <c r="G6" s="786"/>
      <c r="H6" s="786"/>
      <c r="I6" s="786"/>
      <c r="J6" s="39"/>
    </row>
    <row r="7" spans="1:10" x14ac:dyDescent="0.35">
      <c r="B7" s="39"/>
      <c r="C7" s="39"/>
      <c r="D7" s="39"/>
      <c r="E7" s="39"/>
      <c r="F7" s="39"/>
      <c r="G7" s="39"/>
      <c r="H7" s="39"/>
      <c r="I7" s="51"/>
      <c r="J7" s="39"/>
    </row>
    <row r="8" spans="1:10" x14ac:dyDescent="0.35">
      <c r="A8" s="39" t="s">
        <v>2</v>
      </c>
      <c r="B8" s="495"/>
      <c r="C8" s="495"/>
      <c r="D8" s="495"/>
      <c r="E8" s="39" t="s">
        <v>27</v>
      </c>
      <c r="F8" s="495"/>
      <c r="G8" s="495"/>
      <c r="H8" s="495"/>
      <c r="I8" s="51"/>
      <c r="J8" s="39" t="s">
        <v>2</v>
      </c>
    </row>
    <row r="9" spans="1:10" x14ac:dyDescent="0.35">
      <c r="A9" s="39" t="s">
        <v>6</v>
      </c>
      <c r="B9" s="39"/>
      <c r="C9" s="39"/>
      <c r="D9" s="39"/>
      <c r="E9" s="416" t="s">
        <v>28</v>
      </c>
      <c r="F9" s="39"/>
      <c r="G9" s="417" t="s">
        <v>4</v>
      </c>
      <c r="H9" s="495"/>
      <c r="I9" s="469" t="s">
        <v>5</v>
      </c>
      <c r="J9" s="39" t="s">
        <v>6</v>
      </c>
    </row>
    <row r="10" spans="1:10" x14ac:dyDescent="0.35">
      <c r="B10" s="39"/>
      <c r="C10" s="39"/>
      <c r="D10" s="39"/>
      <c r="E10" s="39"/>
      <c r="F10" s="39"/>
      <c r="G10" s="39"/>
      <c r="H10" s="39"/>
      <c r="I10" s="51"/>
      <c r="J10" s="39"/>
    </row>
    <row r="11" spans="1:10" x14ac:dyDescent="0.35">
      <c r="A11" s="39">
        <v>1</v>
      </c>
      <c r="B11" s="44" t="s">
        <v>129</v>
      </c>
      <c r="I11" s="51"/>
      <c r="J11" s="39">
        <f>A11</f>
        <v>1</v>
      </c>
    </row>
    <row r="12" spans="1:10" x14ac:dyDescent="0.35">
      <c r="A12" s="39">
        <f>A11+1</f>
        <v>2</v>
      </c>
      <c r="B12" s="40" t="s">
        <v>130</v>
      </c>
      <c r="E12" s="39" t="s">
        <v>131</v>
      </c>
      <c r="G12" s="159">
        <v>6053573</v>
      </c>
      <c r="H12" s="495"/>
      <c r="I12" s="162"/>
      <c r="J12" s="39">
        <f>J11+1</f>
        <v>2</v>
      </c>
    </row>
    <row r="13" spans="1:10" x14ac:dyDescent="0.35">
      <c r="A13" s="39">
        <f t="shared" ref="A13:A65" si="0">A12+1</f>
        <v>3</v>
      </c>
      <c r="B13" s="40" t="s">
        <v>132</v>
      </c>
      <c r="E13" s="39" t="s">
        <v>133</v>
      </c>
      <c r="G13" s="160">
        <v>0</v>
      </c>
      <c r="H13" s="495"/>
      <c r="I13" s="162"/>
      <c r="J13" s="39">
        <f t="shared" ref="J13:J65" si="1">J12+1</f>
        <v>3</v>
      </c>
    </row>
    <row r="14" spans="1:10" x14ac:dyDescent="0.35">
      <c r="A14" s="39">
        <f t="shared" si="0"/>
        <v>4</v>
      </c>
      <c r="B14" s="40" t="s">
        <v>134</v>
      </c>
      <c r="E14" s="39" t="s">
        <v>135</v>
      </c>
      <c r="G14" s="160">
        <v>0</v>
      </c>
      <c r="H14" s="495"/>
      <c r="I14" s="162"/>
      <c r="J14" s="39">
        <f t="shared" si="1"/>
        <v>4</v>
      </c>
    </row>
    <row r="15" spans="1:10" x14ac:dyDescent="0.35">
      <c r="A15" s="39">
        <f t="shared" si="0"/>
        <v>5</v>
      </c>
      <c r="B15" s="40" t="s">
        <v>136</v>
      </c>
      <c r="E15" s="39" t="s">
        <v>137</v>
      </c>
      <c r="G15" s="160">
        <v>0</v>
      </c>
      <c r="H15" s="495"/>
      <c r="I15" s="162"/>
      <c r="J15" s="39">
        <f t="shared" si="1"/>
        <v>5</v>
      </c>
    </row>
    <row r="16" spans="1:10" x14ac:dyDescent="0.35">
      <c r="A16" s="39">
        <f t="shared" si="0"/>
        <v>6</v>
      </c>
      <c r="B16" s="40" t="s">
        <v>138</v>
      </c>
      <c r="E16" s="39" t="s">
        <v>139</v>
      </c>
      <c r="G16" s="160">
        <v>-13172.642</v>
      </c>
      <c r="H16" s="495"/>
      <c r="I16" s="162"/>
      <c r="J16" s="39">
        <f t="shared" si="1"/>
        <v>6</v>
      </c>
    </row>
    <row r="17" spans="1:10" x14ac:dyDescent="0.35">
      <c r="A17" s="39">
        <f t="shared" si="0"/>
        <v>7</v>
      </c>
      <c r="B17" s="40" t="s">
        <v>140</v>
      </c>
      <c r="G17" s="161">
        <f>SUM(G12:G16)</f>
        <v>6040400.358</v>
      </c>
      <c r="H17" s="155"/>
      <c r="I17" s="51" t="str">
        <f>"Sum Lines "&amp;A12&amp;" thru "&amp;A16</f>
        <v>Sum Lines 2 thru 6</v>
      </c>
      <c r="J17" s="39">
        <f t="shared" si="1"/>
        <v>7</v>
      </c>
    </row>
    <row r="18" spans="1:10" x14ac:dyDescent="0.35">
      <c r="A18" s="39">
        <f t="shared" si="0"/>
        <v>8</v>
      </c>
      <c r="I18" s="51"/>
      <c r="J18" s="39">
        <f t="shared" si="1"/>
        <v>8</v>
      </c>
    </row>
    <row r="19" spans="1:10" x14ac:dyDescent="0.35">
      <c r="A19" s="39">
        <f t="shared" si="0"/>
        <v>9</v>
      </c>
      <c r="B19" s="44" t="s">
        <v>141</v>
      </c>
      <c r="G19" s="38"/>
      <c r="H19" s="38"/>
      <c r="I19" s="51"/>
      <c r="J19" s="39">
        <f t="shared" si="1"/>
        <v>9</v>
      </c>
    </row>
    <row r="20" spans="1:10" x14ac:dyDescent="0.35">
      <c r="A20" s="39">
        <f t="shared" si="0"/>
        <v>10</v>
      </c>
      <c r="B20" s="40" t="s">
        <v>142</v>
      </c>
      <c r="E20" s="39" t="s">
        <v>143</v>
      </c>
      <c r="G20" s="159">
        <v>233778.584</v>
      </c>
      <c r="H20" s="495"/>
      <c r="I20" s="162"/>
      <c r="J20" s="39">
        <f t="shared" si="1"/>
        <v>10</v>
      </c>
    </row>
    <row r="21" spans="1:10" x14ac:dyDescent="0.35">
      <c r="A21" s="39">
        <f t="shared" si="0"/>
        <v>11</v>
      </c>
      <c r="B21" s="40" t="s">
        <v>144</v>
      </c>
      <c r="E21" s="39" t="s">
        <v>145</v>
      </c>
      <c r="G21" s="160">
        <v>4107.085</v>
      </c>
      <c r="H21" s="495"/>
      <c r="I21" s="162"/>
      <c r="J21" s="39">
        <f t="shared" si="1"/>
        <v>11</v>
      </c>
    </row>
    <row r="22" spans="1:10" x14ac:dyDescent="0.35">
      <c r="A22" s="39">
        <f t="shared" si="0"/>
        <v>12</v>
      </c>
      <c r="B22" s="40" t="s">
        <v>146</v>
      </c>
      <c r="E22" s="39" t="s">
        <v>147</v>
      </c>
      <c r="G22" s="160">
        <v>1449.7840000000001</v>
      </c>
      <c r="H22" s="495"/>
      <c r="I22" s="162"/>
      <c r="J22" s="39">
        <f t="shared" si="1"/>
        <v>12</v>
      </c>
    </row>
    <row r="23" spans="1:10" x14ac:dyDescent="0.35">
      <c r="A23" s="39">
        <f t="shared" si="0"/>
        <v>13</v>
      </c>
      <c r="B23" s="40" t="s">
        <v>148</v>
      </c>
      <c r="E23" s="39" t="s">
        <v>149</v>
      </c>
      <c r="G23" s="160">
        <v>0</v>
      </c>
      <c r="H23" s="495"/>
      <c r="I23" s="162"/>
      <c r="J23" s="39">
        <f t="shared" si="1"/>
        <v>13</v>
      </c>
    </row>
    <row r="24" spans="1:10" x14ac:dyDescent="0.35">
      <c r="A24" s="39">
        <f t="shared" si="0"/>
        <v>14</v>
      </c>
      <c r="B24" s="40" t="s">
        <v>150</v>
      </c>
      <c r="E24" s="39" t="s">
        <v>151</v>
      </c>
      <c r="G24" s="160">
        <v>0</v>
      </c>
      <c r="H24" s="495"/>
      <c r="I24" s="162"/>
      <c r="J24" s="39">
        <f t="shared" si="1"/>
        <v>14</v>
      </c>
    </row>
    <row r="25" spans="1:10" x14ac:dyDescent="0.35">
      <c r="A25" s="39">
        <f t="shared" si="0"/>
        <v>15</v>
      </c>
      <c r="B25" s="40" t="s">
        <v>152</v>
      </c>
      <c r="G25" s="163">
        <f>SUM(G20:G24)</f>
        <v>239335.45300000001</v>
      </c>
      <c r="H25" s="164"/>
      <c r="I25" s="51" t="str">
        <f>"Sum Lines "&amp;A20&amp;" thru "&amp;A24</f>
        <v>Sum Lines 10 thru 14</v>
      </c>
      <c r="J25" s="39">
        <f t="shared" si="1"/>
        <v>15</v>
      </c>
    </row>
    <row r="26" spans="1:10" x14ac:dyDescent="0.35">
      <c r="A26" s="39">
        <f t="shared" si="0"/>
        <v>16</v>
      </c>
      <c r="I26" s="51"/>
      <c r="J26" s="39">
        <f t="shared" si="1"/>
        <v>16</v>
      </c>
    </row>
    <row r="27" spans="1:10" ht="16" thickBot="1" x14ac:dyDescent="0.4">
      <c r="A27" s="39">
        <f t="shared" si="0"/>
        <v>17</v>
      </c>
      <c r="B27" s="44" t="s">
        <v>153</v>
      </c>
      <c r="G27" s="165">
        <f>G25/G17</f>
        <v>3.9622448648295373E-2</v>
      </c>
      <c r="H27" s="166"/>
      <c r="I27" s="51" t="str">
        <f>"Line "&amp;A25&amp;" / Line "&amp;A17</f>
        <v>Line 15 / Line 7</v>
      </c>
      <c r="J27" s="39">
        <f t="shared" si="1"/>
        <v>17</v>
      </c>
    </row>
    <row r="28" spans="1:10" ht="16" thickTop="1" x14ac:dyDescent="0.35">
      <c r="A28" s="39">
        <f t="shared" si="0"/>
        <v>18</v>
      </c>
      <c r="I28" s="51"/>
      <c r="J28" s="39">
        <f t="shared" si="1"/>
        <v>18</v>
      </c>
    </row>
    <row r="29" spans="1:10" x14ac:dyDescent="0.35">
      <c r="A29" s="39">
        <f t="shared" si="0"/>
        <v>19</v>
      </c>
      <c r="B29" s="44" t="s">
        <v>154</v>
      </c>
      <c r="I29" s="51"/>
      <c r="J29" s="39">
        <f t="shared" si="1"/>
        <v>19</v>
      </c>
    </row>
    <row r="30" spans="1:10" x14ac:dyDescent="0.35">
      <c r="A30" s="39">
        <f t="shared" si="0"/>
        <v>20</v>
      </c>
      <c r="B30" s="40" t="s">
        <v>155</v>
      </c>
      <c r="E30" s="39" t="s">
        <v>156</v>
      </c>
      <c r="G30" s="159">
        <v>0</v>
      </c>
      <c r="H30" s="495"/>
      <c r="I30" s="162"/>
      <c r="J30" s="39">
        <f t="shared" si="1"/>
        <v>20</v>
      </c>
    </row>
    <row r="31" spans="1:10" x14ac:dyDescent="0.35">
      <c r="A31" s="39">
        <f t="shared" si="0"/>
        <v>21</v>
      </c>
      <c r="B31" s="40" t="s">
        <v>157</v>
      </c>
      <c r="E31" s="39" t="s">
        <v>158</v>
      </c>
      <c r="G31" s="470">
        <v>0</v>
      </c>
      <c r="H31" s="495"/>
      <c r="I31" s="162"/>
      <c r="J31" s="39">
        <f t="shared" si="1"/>
        <v>21</v>
      </c>
    </row>
    <row r="32" spans="1:10" ht="16" thickBot="1" x14ac:dyDescent="0.4">
      <c r="A32" s="39">
        <f t="shared" si="0"/>
        <v>22</v>
      </c>
      <c r="B32" s="40" t="s">
        <v>159</v>
      </c>
      <c r="G32" s="165">
        <f>IFERROR((G31/G30),0)</f>
        <v>0</v>
      </c>
      <c r="H32" s="166"/>
      <c r="I32" s="51" t="str">
        <f>"Line "&amp;A31&amp;" / Line "&amp;A30</f>
        <v>Line 21 / Line 20</v>
      </c>
      <c r="J32" s="39">
        <f t="shared" si="1"/>
        <v>22</v>
      </c>
    </row>
    <row r="33" spans="1:12" ht="16" thickTop="1" x14ac:dyDescent="0.35">
      <c r="A33" s="39">
        <f t="shared" si="0"/>
        <v>23</v>
      </c>
      <c r="I33" s="51"/>
      <c r="J33" s="39">
        <f t="shared" si="1"/>
        <v>23</v>
      </c>
    </row>
    <row r="34" spans="1:12" x14ac:dyDescent="0.35">
      <c r="A34" s="39">
        <f t="shared" si="0"/>
        <v>24</v>
      </c>
      <c r="B34" s="44" t="s">
        <v>160</v>
      </c>
      <c r="I34" s="51"/>
      <c r="J34" s="39">
        <f t="shared" si="1"/>
        <v>24</v>
      </c>
    </row>
    <row r="35" spans="1:12" x14ac:dyDescent="0.35">
      <c r="A35" s="39">
        <f t="shared" si="0"/>
        <v>25</v>
      </c>
      <c r="B35" s="40" t="s">
        <v>161</v>
      </c>
      <c r="E35" s="39" t="s">
        <v>162</v>
      </c>
      <c r="G35" s="159">
        <v>7729413.6809999999</v>
      </c>
      <c r="H35" s="495"/>
      <c r="I35" s="162"/>
      <c r="J35" s="39">
        <f t="shared" si="1"/>
        <v>25</v>
      </c>
      <c r="K35" s="47"/>
      <c r="L35" s="471"/>
    </row>
    <row r="36" spans="1:12" x14ac:dyDescent="0.35">
      <c r="A36" s="39">
        <f t="shared" si="0"/>
        <v>26</v>
      </c>
      <c r="B36" s="40" t="s">
        <v>163</v>
      </c>
      <c r="E36" s="39" t="s">
        <v>156</v>
      </c>
      <c r="G36" s="167">
        <v>0</v>
      </c>
      <c r="H36" s="167"/>
      <c r="I36" s="51" t="str">
        <f>"Negative of Line "&amp;A30&amp;" Above"</f>
        <v>Negative of Line 20 Above</v>
      </c>
      <c r="J36" s="39">
        <f t="shared" si="1"/>
        <v>26</v>
      </c>
    </row>
    <row r="37" spans="1:12" x14ac:dyDescent="0.35">
      <c r="A37" s="39">
        <f t="shared" si="0"/>
        <v>27</v>
      </c>
      <c r="B37" s="40" t="s">
        <v>164</v>
      </c>
      <c r="E37" s="39" t="s">
        <v>165</v>
      </c>
      <c r="G37" s="160">
        <v>0</v>
      </c>
      <c r="H37" s="495"/>
      <c r="I37" s="162"/>
      <c r="J37" s="39">
        <f t="shared" si="1"/>
        <v>27</v>
      </c>
    </row>
    <row r="38" spans="1:12" x14ac:dyDescent="0.35">
      <c r="A38" s="39">
        <f t="shared" si="0"/>
        <v>28</v>
      </c>
      <c r="B38" s="40" t="s">
        <v>166</v>
      </c>
      <c r="E38" s="39" t="s">
        <v>167</v>
      </c>
      <c r="G38" s="160">
        <v>10034.102000000001</v>
      </c>
      <c r="H38" s="495"/>
      <c r="I38" s="162"/>
      <c r="J38" s="39">
        <f t="shared" si="1"/>
        <v>28</v>
      </c>
    </row>
    <row r="39" spans="1:12" ht="16" thickBot="1" x14ac:dyDescent="0.4">
      <c r="A39" s="39">
        <f t="shared" si="0"/>
        <v>29</v>
      </c>
      <c r="B39" s="40" t="s">
        <v>168</v>
      </c>
      <c r="G39" s="168">
        <f>SUM(G35:G38)</f>
        <v>7739447.7829999998</v>
      </c>
      <c r="H39" s="169"/>
      <c r="I39" s="51" t="str">
        <f>"Sum Lines "&amp;A35&amp;" thru "&amp;A38</f>
        <v>Sum Lines 25 thru 28</v>
      </c>
      <c r="J39" s="39">
        <f t="shared" si="1"/>
        <v>29</v>
      </c>
    </row>
    <row r="40" spans="1:12" ht="16.5" thickTop="1" thickBot="1" x14ac:dyDescent="0.4">
      <c r="A40" s="170">
        <f t="shared" si="0"/>
        <v>30</v>
      </c>
      <c r="B40" s="84"/>
      <c r="C40" s="84"/>
      <c r="D40" s="84"/>
      <c r="E40" s="84"/>
      <c r="F40" s="84"/>
      <c r="G40" s="84"/>
      <c r="H40" s="84"/>
      <c r="I40" s="171"/>
      <c r="J40" s="170">
        <f t="shared" si="1"/>
        <v>30</v>
      </c>
    </row>
    <row r="41" spans="1:12" x14ac:dyDescent="0.35">
      <c r="A41" s="39">
        <f>A40+1</f>
        <v>31</v>
      </c>
      <c r="I41" s="51"/>
      <c r="J41" s="39">
        <f>J40+1</f>
        <v>31</v>
      </c>
    </row>
    <row r="42" spans="1:12" ht="19" thickBot="1" x14ac:dyDescent="0.4">
      <c r="A42" s="39">
        <f>A41+1</f>
        <v>32</v>
      </c>
      <c r="B42" s="44" t="s">
        <v>342</v>
      </c>
      <c r="G42" s="172">
        <v>0.106</v>
      </c>
      <c r="H42" s="495"/>
      <c r="I42" s="39" t="s">
        <v>169</v>
      </c>
      <c r="J42" s="39">
        <f>J41+1</f>
        <v>32</v>
      </c>
    </row>
    <row r="43" spans="1:12" ht="16" thickTop="1" x14ac:dyDescent="0.35">
      <c r="A43" s="39">
        <f t="shared" si="0"/>
        <v>33</v>
      </c>
      <c r="C43" s="70" t="s">
        <v>10</v>
      </c>
      <c r="D43" s="70" t="s">
        <v>56</v>
      </c>
      <c r="E43" s="70" t="s">
        <v>170</v>
      </c>
      <c r="F43" s="70"/>
      <c r="G43" s="70" t="s">
        <v>171</v>
      </c>
      <c r="H43" s="70"/>
      <c r="I43" s="51"/>
      <c r="J43" s="39">
        <f t="shared" si="1"/>
        <v>33</v>
      </c>
    </row>
    <row r="44" spans="1:12" x14ac:dyDescent="0.35">
      <c r="A44" s="39">
        <f t="shared" si="0"/>
        <v>34</v>
      </c>
      <c r="D44" s="39" t="s">
        <v>172</v>
      </c>
      <c r="E44" s="39" t="s">
        <v>173</v>
      </c>
      <c r="F44" s="39"/>
      <c r="G44" s="39" t="s">
        <v>174</v>
      </c>
      <c r="H44" s="39"/>
      <c r="I44" s="51"/>
      <c r="J44" s="39">
        <f t="shared" si="1"/>
        <v>34</v>
      </c>
    </row>
    <row r="45" spans="1:12" ht="18" x14ac:dyDescent="0.35">
      <c r="A45" s="39">
        <f t="shared" si="0"/>
        <v>35</v>
      </c>
      <c r="B45" s="44" t="s">
        <v>175</v>
      </c>
      <c r="C45" s="416" t="s">
        <v>176</v>
      </c>
      <c r="D45" s="416" t="s">
        <v>177</v>
      </c>
      <c r="E45" s="416" t="s">
        <v>178</v>
      </c>
      <c r="F45" s="416"/>
      <c r="G45" s="416" t="s">
        <v>179</v>
      </c>
      <c r="H45" s="39"/>
      <c r="I45" s="51"/>
      <c r="J45" s="39">
        <f t="shared" si="1"/>
        <v>35</v>
      </c>
    </row>
    <row r="46" spans="1:12" x14ac:dyDescent="0.35">
      <c r="A46" s="39">
        <f t="shared" si="0"/>
        <v>36</v>
      </c>
      <c r="I46" s="51"/>
      <c r="J46" s="39">
        <f t="shared" si="1"/>
        <v>36</v>
      </c>
    </row>
    <row r="47" spans="1:12" x14ac:dyDescent="0.35">
      <c r="A47" s="39">
        <f t="shared" si="0"/>
        <v>37</v>
      </c>
      <c r="B47" s="40" t="s">
        <v>180</v>
      </c>
      <c r="C47" s="62">
        <f>G17</f>
        <v>6040400.358</v>
      </c>
      <c r="D47" s="173">
        <f>C47/C$50</f>
        <v>0.43835028486472494</v>
      </c>
      <c r="E47" s="174">
        <f>G27</f>
        <v>3.9622448648295373E-2</v>
      </c>
      <c r="G47" s="175">
        <f>D47*E47</f>
        <v>1.7368511652018213E-2</v>
      </c>
      <c r="H47" s="175"/>
      <c r="I47" s="51" t="str">
        <f>"Col. c = Line "&amp;A27&amp;" Above"</f>
        <v>Col. c = Line 17 Above</v>
      </c>
      <c r="J47" s="39">
        <f t="shared" si="1"/>
        <v>37</v>
      </c>
    </row>
    <row r="48" spans="1:12" x14ac:dyDescent="0.35">
      <c r="A48" s="39">
        <f t="shared" si="0"/>
        <v>38</v>
      </c>
      <c r="B48" s="40" t="s">
        <v>181</v>
      </c>
      <c r="C48" s="176">
        <f>G30</f>
        <v>0</v>
      </c>
      <c r="D48" s="173">
        <f>C48/C$50</f>
        <v>0</v>
      </c>
      <c r="E48" s="174">
        <f>G32</f>
        <v>0</v>
      </c>
      <c r="G48" s="175">
        <f>D48*E48</f>
        <v>0</v>
      </c>
      <c r="H48" s="175"/>
      <c r="I48" s="51" t="str">
        <f>"Col. c = Line "&amp;A32&amp;" Above"</f>
        <v>Col. c = Line 22 Above</v>
      </c>
      <c r="J48" s="39">
        <f t="shared" si="1"/>
        <v>38</v>
      </c>
    </row>
    <row r="49" spans="1:10" x14ac:dyDescent="0.35">
      <c r="A49" s="39">
        <f t="shared" si="0"/>
        <v>39</v>
      </c>
      <c r="B49" s="40" t="s">
        <v>182</v>
      </c>
      <c r="C49" s="176">
        <f>G39</f>
        <v>7739447.7829999998</v>
      </c>
      <c r="D49" s="472">
        <f>C49/C$50</f>
        <v>0.56164971513527517</v>
      </c>
      <c r="E49" s="177">
        <f>G42</f>
        <v>0.106</v>
      </c>
      <c r="G49" s="473">
        <f>D49*E49</f>
        <v>5.9534869804339169E-2</v>
      </c>
      <c r="H49" s="166"/>
      <c r="I49" s="51" t="str">
        <f>"Col. c = Line "&amp;A42&amp;" Above"</f>
        <v>Col. c = Line 32 Above</v>
      </c>
      <c r="J49" s="39">
        <f t="shared" si="1"/>
        <v>39</v>
      </c>
    </row>
    <row r="50" spans="1:10" ht="16" thickBot="1" x14ac:dyDescent="0.4">
      <c r="A50" s="39">
        <f t="shared" si="0"/>
        <v>40</v>
      </c>
      <c r="B50" s="40" t="s">
        <v>183</v>
      </c>
      <c r="C50" s="178">
        <f>SUM(C47:C49)</f>
        <v>13779848.140999999</v>
      </c>
      <c r="D50" s="179">
        <f>SUM(D47:D49)</f>
        <v>1</v>
      </c>
      <c r="G50" s="165">
        <f>SUM(G47:G49)</f>
        <v>7.6903381456357389E-2</v>
      </c>
      <c r="H50" s="166"/>
      <c r="I50" s="51" t="str">
        <f>"Sum Lines "&amp;A47&amp;" thru "&amp;A49</f>
        <v>Sum Lines 37 thru 39</v>
      </c>
      <c r="J50" s="39">
        <f t="shared" si="1"/>
        <v>40</v>
      </c>
    </row>
    <row r="51" spans="1:10" ht="16" thickTop="1" x14ac:dyDescent="0.35">
      <c r="A51" s="39">
        <f t="shared" si="0"/>
        <v>41</v>
      </c>
      <c r="I51" s="51"/>
      <c r="J51" s="39">
        <f t="shared" si="1"/>
        <v>41</v>
      </c>
    </row>
    <row r="52" spans="1:10" ht="16" thickBot="1" x14ac:dyDescent="0.4">
      <c r="A52" s="39">
        <f t="shared" si="0"/>
        <v>42</v>
      </c>
      <c r="B52" s="44" t="s">
        <v>184</v>
      </c>
      <c r="G52" s="165">
        <f>G48+G49</f>
        <v>5.9534869804339169E-2</v>
      </c>
      <c r="H52" s="166"/>
      <c r="I52" s="51" t="str">
        <f>"Line "&amp;A48&amp;" + Line "&amp;A49&amp;"; Col. d"</f>
        <v>Line 38 + Line 39; Col. d</v>
      </c>
      <c r="J52" s="39">
        <f t="shared" si="1"/>
        <v>42</v>
      </c>
    </row>
    <row r="53" spans="1:10" ht="16.5" thickTop="1" thickBot="1" x14ac:dyDescent="0.4">
      <c r="A53" s="170">
        <f t="shared" si="0"/>
        <v>43</v>
      </c>
      <c r="B53" s="183"/>
      <c r="C53" s="84"/>
      <c r="D53" s="84"/>
      <c r="E53" s="84"/>
      <c r="F53" s="84"/>
      <c r="G53" s="474"/>
      <c r="H53" s="474"/>
      <c r="I53" s="171"/>
      <c r="J53" s="170">
        <f t="shared" si="1"/>
        <v>43</v>
      </c>
    </row>
    <row r="54" spans="1:10" x14ac:dyDescent="0.35">
      <c r="A54" s="39">
        <f t="shared" si="0"/>
        <v>44</v>
      </c>
      <c r="B54" s="44"/>
      <c r="G54" s="177"/>
      <c r="H54" s="177"/>
      <c r="I54" s="51"/>
      <c r="J54" s="39">
        <f t="shared" si="1"/>
        <v>44</v>
      </c>
    </row>
    <row r="55" spans="1:10" ht="16" thickBot="1" x14ac:dyDescent="0.4">
      <c r="A55" s="39">
        <f t="shared" si="0"/>
        <v>45</v>
      </c>
      <c r="B55" s="44" t="s">
        <v>333</v>
      </c>
      <c r="G55" s="475">
        <v>0</v>
      </c>
      <c r="H55" s="177"/>
      <c r="I55" s="51" t="s">
        <v>19</v>
      </c>
      <c r="J55" s="39">
        <f t="shared" si="1"/>
        <v>45</v>
      </c>
    </row>
    <row r="56" spans="1:10" ht="16" thickTop="1" x14ac:dyDescent="0.35">
      <c r="A56" s="39">
        <f t="shared" si="0"/>
        <v>46</v>
      </c>
      <c r="C56" s="70" t="s">
        <v>10</v>
      </c>
      <c r="D56" s="70" t="s">
        <v>56</v>
      </c>
      <c r="E56" s="70" t="s">
        <v>170</v>
      </c>
      <c r="F56" s="70"/>
      <c r="G56" s="70" t="s">
        <v>171</v>
      </c>
      <c r="H56" s="177"/>
      <c r="I56" s="51"/>
      <c r="J56" s="39">
        <f t="shared" si="1"/>
        <v>46</v>
      </c>
    </row>
    <row r="57" spans="1:10" x14ac:dyDescent="0.35">
      <c r="A57" s="39">
        <f t="shared" si="0"/>
        <v>47</v>
      </c>
      <c r="D57" s="39" t="s">
        <v>172</v>
      </c>
      <c r="E57" s="39" t="s">
        <v>173</v>
      </c>
      <c r="F57" s="39"/>
      <c r="G57" s="39" t="s">
        <v>174</v>
      </c>
      <c r="H57" s="177"/>
      <c r="I57" s="51"/>
      <c r="J57" s="39">
        <f t="shared" si="1"/>
        <v>47</v>
      </c>
    </row>
    <row r="58" spans="1:10" ht="18" x14ac:dyDescent="0.35">
      <c r="A58" s="39">
        <f t="shared" si="0"/>
        <v>48</v>
      </c>
      <c r="B58" s="44" t="s">
        <v>186</v>
      </c>
      <c r="C58" s="416" t="s">
        <v>176</v>
      </c>
      <c r="D58" s="416" t="s">
        <v>177</v>
      </c>
      <c r="E58" s="416" t="s">
        <v>178</v>
      </c>
      <c r="F58" s="416"/>
      <c r="G58" s="416" t="s">
        <v>179</v>
      </c>
      <c r="H58" s="177"/>
      <c r="I58" s="51"/>
      <c r="J58" s="39">
        <f t="shared" si="1"/>
        <v>48</v>
      </c>
    </row>
    <row r="59" spans="1:10" x14ac:dyDescent="0.35">
      <c r="A59" s="39">
        <f t="shared" si="0"/>
        <v>49</v>
      </c>
      <c r="G59" s="177"/>
      <c r="H59" s="177"/>
      <c r="I59" s="51"/>
      <c r="J59" s="39">
        <f t="shared" si="1"/>
        <v>49</v>
      </c>
    </row>
    <row r="60" spans="1:10" x14ac:dyDescent="0.35">
      <c r="A60" s="39">
        <f t="shared" si="0"/>
        <v>50</v>
      </c>
      <c r="B60" s="40" t="s">
        <v>180</v>
      </c>
      <c r="C60" s="476">
        <v>0</v>
      </c>
      <c r="D60" s="477">
        <v>0</v>
      </c>
      <c r="E60" s="180">
        <v>0</v>
      </c>
      <c r="G60" s="175">
        <f>D60*E60</f>
        <v>0</v>
      </c>
      <c r="H60" s="177"/>
      <c r="I60" s="51" t="s">
        <v>19</v>
      </c>
      <c r="J60" s="39">
        <f t="shared" si="1"/>
        <v>50</v>
      </c>
    </row>
    <row r="61" spans="1:10" x14ac:dyDescent="0.35">
      <c r="A61" s="39">
        <f t="shared" si="0"/>
        <v>51</v>
      </c>
      <c r="B61" s="40" t="s">
        <v>181</v>
      </c>
      <c r="C61" s="478">
        <v>0</v>
      </c>
      <c r="D61" s="477">
        <v>0</v>
      </c>
      <c r="E61" s="180">
        <v>0</v>
      </c>
      <c r="G61" s="175">
        <f>D61*E61</f>
        <v>0</v>
      </c>
      <c r="H61" s="177"/>
      <c r="I61" s="51" t="s">
        <v>19</v>
      </c>
      <c r="J61" s="39">
        <f t="shared" si="1"/>
        <v>51</v>
      </c>
    </row>
    <row r="62" spans="1:10" x14ac:dyDescent="0.35">
      <c r="A62" s="39">
        <f t="shared" si="0"/>
        <v>52</v>
      </c>
      <c r="B62" s="40" t="s">
        <v>182</v>
      </c>
      <c r="C62" s="478">
        <v>0</v>
      </c>
      <c r="D62" s="479">
        <v>0</v>
      </c>
      <c r="E62" s="480">
        <v>0</v>
      </c>
      <c r="G62" s="473">
        <f>D62*E62</f>
        <v>0</v>
      </c>
      <c r="H62" s="177"/>
      <c r="I62" s="51" t="s">
        <v>19</v>
      </c>
      <c r="J62" s="39">
        <f t="shared" si="1"/>
        <v>52</v>
      </c>
    </row>
    <row r="63" spans="1:10" ht="16" thickBot="1" x14ac:dyDescent="0.4">
      <c r="A63" s="39">
        <f t="shared" si="0"/>
        <v>53</v>
      </c>
      <c r="B63" s="40" t="s">
        <v>183</v>
      </c>
      <c r="C63" s="178">
        <f>SUM(C60:C62)</f>
        <v>0</v>
      </c>
      <c r="D63" s="165">
        <f>SUM(D60:D62)</f>
        <v>0</v>
      </c>
      <c r="G63" s="165">
        <f>SUM(G60:G62)</f>
        <v>0</v>
      </c>
      <c r="H63" s="177"/>
      <c r="I63" s="51" t="str">
        <f>"Sum Lines "&amp;A60&amp;" thru "&amp;A62</f>
        <v>Sum Lines 50 thru 52</v>
      </c>
      <c r="J63" s="39">
        <f t="shared" si="1"/>
        <v>53</v>
      </c>
    </row>
    <row r="64" spans="1:10" ht="16" thickTop="1" x14ac:dyDescent="0.35">
      <c r="A64" s="39">
        <f t="shared" si="0"/>
        <v>54</v>
      </c>
      <c r="H64" s="177"/>
      <c r="I64" s="51"/>
      <c r="J64" s="39">
        <f t="shared" si="1"/>
        <v>54</v>
      </c>
    </row>
    <row r="65" spans="1:10" ht="16" thickBot="1" x14ac:dyDescent="0.4">
      <c r="A65" s="39">
        <f t="shared" si="0"/>
        <v>55</v>
      </c>
      <c r="B65" s="44" t="s">
        <v>187</v>
      </c>
      <c r="G65" s="165">
        <f>G61+G62</f>
        <v>0</v>
      </c>
      <c r="H65" s="177"/>
      <c r="I65" s="51" t="str">
        <f>"Line "&amp;A61&amp;" + Line "&amp;A62&amp;"; Col. d"</f>
        <v>Line 51 + Line 52; Col. d</v>
      </c>
      <c r="J65" s="39">
        <f t="shared" si="1"/>
        <v>55</v>
      </c>
    </row>
    <row r="66" spans="1:10" ht="16" thickTop="1" x14ac:dyDescent="0.35">
      <c r="B66" s="44"/>
      <c r="G66" s="177"/>
      <c r="H66" s="177"/>
      <c r="I66" s="51"/>
      <c r="J66" s="39"/>
    </row>
    <row r="67" spans="1:10" x14ac:dyDescent="0.35">
      <c r="B67" s="44"/>
      <c r="G67" s="177"/>
      <c r="H67" s="177"/>
      <c r="I67" s="51"/>
      <c r="J67" s="39"/>
    </row>
    <row r="68" spans="1:10" ht="18" x14ac:dyDescent="0.35">
      <c r="A68" s="69">
        <v>1</v>
      </c>
      <c r="B68" s="18" t="s">
        <v>185</v>
      </c>
      <c r="G68" s="65"/>
      <c r="H68" s="65"/>
      <c r="J68" s="39" t="s">
        <v>11</v>
      </c>
    </row>
    <row r="69" spans="1:10" ht="18" x14ac:dyDescent="0.35">
      <c r="A69" s="184"/>
      <c r="B69" s="390"/>
      <c r="G69" s="65"/>
      <c r="H69" s="65"/>
      <c r="J69" s="39"/>
    </row>
    <row r="70" spans="1:10" ht="18" x14ac:dyDescent="0.35">
      <c r="A70" s="69"/>
      <c r="B70" s="18"/>
      <c r="D70" s="39"/>
      <c r="G70" s="65"/>
      <c r="H70" s="65"/>
      <c r="I70" s="510"/>
      <c r="J70" s="39"/>
    </row>
    <row r="71" spans="1:10" x14ac:dyDescent="0.35">
      <c r="B71" s="782" t="s">
        <v>332</v>
      </c>
      <c r="C71" s="782"/>
      <c r="D71" s="782"/>
      <c r="E71" s="782"/>
      <c r="F71" s="782"/>
      <c r="G71" s="782"/>
      <c r="H71" s="782"/>
      <c r="I71" s="782"/>
      <c r="J71" s="39"/>
    </row>
    <row r="72" spans="1:10" x14ac:dyDescent="0.35">
      <c r="B72" s="782" t="s">
        <v>127</v>
      </c>
      <c r="C72" s="782"/>
      <c r="D72" s="782"/>
      <c r="E72" s="782"/>
      <c r="F72" s="782"/>
      <c r="G72" s="782"/>
      <c r="H72" s="782"/>
      <c r="I72" s="782"/>
      <c r="J72" s="39"/>
    </row>
    <row r="73" spans="1:10" x14ac:dyDescent="0.35">
      <c r="B73" s="782" t="s">
        <v>128</v>
      </c>
      <c r="C73" s="782"/>
      <c r="D73" s="782"/>
      <c r="E73" s="782"/>
      <c r="F73" s="782"/>
      <c r="G73" s="782"/>
      <c r="H73" s="782"/>
      <c r="I73" s="782"/>
      <c r="J73" s="39"/>
    </row>
    <row r="74" spans="1:10" x14ac:dyDescent="0.35">
      <c r="B74" s="785" t="str">
        <f>B5</f>
        <v>Base Period &amp; True-Up Period 12 - Months Ending December 31, 2020</v>
      </c>
      <c r="C74" s="785"/>
      <c r="D74" s="785"/>
      <c r="E74" s="785"/>
      <c r="F74" s="785"/>
      <c r="G74" s="785"/>
      <c r="H74" s="785"/>
      <c r="I74" s="785"/>
      <c r="J74" s="39"/>
    </row>
    <row r="75" spans="1:10" x14ac:dyDescent="0.35">
      <c r="B75" s="784" t="s">
        <v>1</v>
      </c>
      <c r="C75" s="786"/>
      <c r="D75" s="786"/>
      <c r="E75" s="786"/>
      <c r="F75" s="786"/>
      <c r="G75" s="786"/>
      <c r="H75" s="786"/>
      <c r="I75" s="786"/>
      <c r="J75" s="39"/>
    </row>
    <row r="76" spans="1:10" x14ac:dyDescent="0.35">
      <c r="B76" s="39"/>
      <c r="C76" s="39"/>
      <c r="D76" s="39"/>
      <c r="E76" s="39"/>
      <c r="F76" s="39"/>
      <c r="G76" s="39"/>
      <c r="H76" s="39"/>
      <c r="I76" s="51"/>
      <c r="J76" s="39"/>
    </row>
    <row r="77" spans="1:10" x14ac:dyDescent="0.35">
      <c r="A77" s="39" t="s">
        <v>2</v>
      </c>
      <c r="B77" s="495"/>
      <c r="C77" s="495"/>
      <c r="D77" s="495"/>
      <c r="E77" s="495"/>
      <c r="F77" s="495"/>
      <c r="G77" s="495"/>
      <c r="H77" s="495"/>
      <c r="I77" s="51"/>
      <c r="J77" s="39" t="s">
        <v>2</v>
      </c>
    </row>
    <row r="78" spans="1:10" x14ac:dyDescent="0.35">
      <c r="A78" s="39" t="s">
        <v>6</v>
      </c>
      <c r="B78" s="39"/>
      <c r="C78" s="39"/>
      <c r="D78" s="39"/>
      <c r="E78" s="39"/>
      <c r="F78" s="39"/>
      <c r="G78" s="416" t="s">
        <v>4</v>
      </c>
      <c r="H78" s="495"/>
      <c r="I78" s="469" t="s">
        <v>5</v>
      </c>
      <c r="J78" s="39" t="s">
        <v>6</v>
      </c>
    </row>
    <row r="79" spans="1:10" x14ac:dyDescent="0.35">
      <c r="G79" s="39"/>
      <c r="H79" s="39"/>
      <c r="I79" s="51"/>
      <c r="J79" s="39"/>
    </row>
    <row r="80" spans="1:10" ht="17.5" x14ac:dyDescent="0.35">
      <c r="A80" s="39">
        <v>1</v>
      </c>
      <c r="B80" s="44" t="s">
        <v>334</v>
      </c>
      <c r="E80" s="495"/>
      <c r="F80" s="495"/>
      <c r="G80" s="185"/>
      <c r="H80" s="185"/>
      <c r="I80" s="51"/>
      <c r="J80" s="39">
        <v>1</v>
      </c>
    </row>
    <row r="81" spans="1:13" x14ac:dyDescent="0.35">
      <c r="A81" s="39">
        <f>A80+1</f>
        <v>2</v>
      </c>
      <c r="B81" s="186"/>
      <c r="E81" s="495"/>
      <c r="F81" s="495"/>
      <c r="G81" s="185"/>
      <c r="H81" s="185"/>
      <c r="I81" s="51"/>
      <c r="J81" s="39">
        <f>J80+1</f>
        <v>2</v>
      </c>
    </row>
    <row r="82" spans="1:13" x14ac:dyDescent="0.35">
      <c r="A82" s="39">
        <f>A81+1</f>
        <v>3</v>
      </c>
      <c r="B82" s="44" t="s">
        <v>335</v>
      </c>
      <c r="E82" s="495"/>
      <c r="F82" s="495"/>
      <c r="G82" s="185"/>
      <c r="H82" s="185"/>
      <c r="I82" s="51"/>
      <c r="J82" s="39">
        <f>J81+1</f>
        <v>3</v>
      </c>
    </row>
    <row r="83" spans="1:13" x14ac:dyDescent="0.35">
      <c r="A83" s="39">
        <f>A82+1</f>
        <v>4</v>
      </c>
      <c r="B83" s="495"/>
      <c r="C83" s="495"/>
      <c r="D83" s="495"/>
      <c r="E83" s="495"/>
      <c r="F83" s="495"/>
      <c r="G83" s="185"/>
      <c r="H83" s="185"/>
      <c r="I83" s="51"/>
      <c r="J83" s="39">
        <f>J82+1</f>
        <v>4</v>
      </c>
    </row>
    <row r="84" spans="1:13" x14ac:dyDescent="0.35">
      <c r="A84" s="39">
        <f t="shared" ref="A84:A110" si="2">A83+1</f>
        <v>5</v>
      </c>
      <c r="B84" s="46" t="s">
        <v>188</v>
      </c>
      <c r="C84" s="495"/>
      <c r="D84" s="495"/>
      <c r="E84" s="495"/>
      <c r="F84" s="495"/>
      <c r="G84" s="185"/>
      <c r="H84" s="185"/>
      <c r="I84" s="187"/>
      <c r="J84" s="39">
        <f t="shared" ref="J84:J110" si="3">J83+1</f>
        <v>5</v>
      </c>
    </row>
    <row r="85" spans="1:13" x14ac:dyDescent="0.35">
      <c r="A85" s="39">
        <f t="shared" si="2"/>
        <v>6</v>
      </c>
      <c r="B85" s="40" t="s">
        <v>189</v>
      </c>
      <c r="D85" s="495"/>
      <c r="E85" s="495"/>
      <c r="F85" s="495"/>
      <c r="G85" s="188">
        <f>G52</f>
        <v>5.9534869804339169E-2</v>
      </c>
      <c r="H85" s="495"/>
      <c r="I85" s="51" t="str">
        <f>"AV1; Line "&amp;A52</f>
        <v>AV1; Line 42</v>
      </c>
      <c r="J85" s="39">
        <f t="shared" si="3"/>
        <v>6</v>
      </c>
      <c r="L85" s="39"/>
    </row>
    <row r="86" spans="1:13" x14ac:dyDescent="0.35">
      <c r="A86" s="39">
        <f t="shared" si="2"/>
        <v>7</v>
      </c>
      <c r="B86" s="40" t="s">
        <v>190</v>
      </c>
      <c r="D86" s="495"/>
      <c r="E86" s="495"/>
      <c r="F86" s="495"/>
      <c r="G86" s="189">
        <v>264.76299999999998</v>
      </c>
      <c r="H86" s="495"/>
      <c r="I86" s="51" t="s">
        <v>449</v>
      </c>
      <c r="J86" s="39">
        <f t="shared" si="3"/>
        <v>7</v>
      </c>
      <c r="L86" s="39"/>
    </row>
    <row r="87" spans="1:13" ht="18" x14ac:dyDescent="0.35">
      <c r="A87" s="39">
        <f t="shared" si="2"/>
        <v>8</v>
      </c>
      <c r="B87" s="40" t="s">
        <v>336</v>
      </c>
      <c r="D87" s="495"/>
      <c r="E87" s="495"/>
      <c r="F87" s="495"/>
      <c r="G87" s="190">
        <v>8264.7629899999993</v>
      </c>
      <c r="H87" s="495"/>
      <c r="I87" s="182" t="s">
        <v>450</v>
      </c>
      <c r="J87" s="39">
        <f t="shared" si="3"/>
        <v>8</v>
      </c>
      <c r="L87" s="495"/>
    </row>
    <row r="88" spans="1:13" x14ac:dyDescent="0.35">
      <c r="A88" s="39">
        <f t="shared" si="2"/>
        <v>9</v>
      </c>
      <c r="B88" s="40" t="s">
        <v>192</v>
      </c>
      <c r="D88" s="495"/>
      <c r="E88" s="191"/>
      <c r="F88" s="495"/>
      <c r="G88" s="192">
        <f>'Pg12 Rev AV-4'!C36</f>
        <v>4521288.1634267867</v>
      </c>
      <c r="H88" s="25" t="s">
        <v>16</v>
      </c>
      <c r="I88" s="182" t="s">
        <v>557</v>
      </c>
      <c r="J88" s="39">
        <f t="shared" si="3"/>
        <v>9</v>
      </c>
    </row>
    <row r="89" spans="1:13" x14ac:dyDescent="0.35">
      <c r="A89" s="39">
        <f t="shared" si="2"/>
        <v>10</v>
      </c>
      <c r="B89" s="40" t="s">
        <v>193</v>
      </c>
      <c r="D89" s="193"/>
      <c r="E89" s="495"/>
      <c r="F89" s="495"/>
      <c r="G89" s="481">
        <v>0.21</v>
      </c>
      <c r="H89" s="495"/>
      <c r="I89" s="51" t="s">
        <v>194</v>
      </c>
      <c r="J89" s="39">
        <f t="shared" si="3"/>
        <v>10</v>
      </c>
      <c r="M89" s="194"/>
    </row>
    <row r="90" spans="1:13" x14ac:dyDescent="0.35">
      <c r="A90" s="39">
        <f t="shared" si="2"/>
        <v>11</v>
      </c>
      <c r="G90" s="39"/>
      <c r="H90" s="39"/>
      <c r="J90" s="39">
        <f t="shared" si="3"/>
        <v>11</v>
      </c>
    </row>
    <row r="91" spans="1:13" x14ac:dyDescent="0.35">
      <c r="A91" s="39">
        <f t="shared" si="2"/>
        <v>12</v>
      </c>
      <c r="B91" s="40" t="s">
        <v>195</v>
      </c>
      <c r="D91" s="495"/>
      <c r="E91" s="495"/>
      <c r="F91" s="495"/>
      <c r="G91" s="195">
        <f>(((G85)+(G87/G88))*G89-(G86/G88))/(1-G89)</f>
        <v>1.6237514447434154E-2</v>
      </c>
      <c r="H91" s="25"/>
      <c r="I91" s="51" t="s">
        <v>196</v>
      </c>
      <c r="J91" s="39">
        <f t="shared" si="3"/>
        <v>12</v>
      </c>
      <c r="M91" s="196"/>
    </row>
    <row r="92" spans="1:13" x14ac:dyDescent="0.35">
      <c r="A92" s="39">
        <f t="shared" si="2"/>
        <v>13</v>
      </c>
      <c r="B92" s="197" t="s">
        <v>197</v>
      </c>
      <c r="G92" s="39"/>
      <c r="H92" s="39"/>
      <c r="J92" s="39">
        <f t="shared" si="3"/>
        <v>13</v>
      </c>
    </row>
    <row r="93" spans="1:13" x14ac:dyDescent="0.35">
      <c r="A93" s="39">
        <f t="shared" si="2"/>
        <v>14</v>
      </c>
      <c r="G93" s="39"/>
      <c r="H93" s="39"/>
      <c r="J93" s="39">
        <f t="shared" si="3"/>
        <v>14</v>
      </c>
    </row>
    <row r="94" spans="1:13" x14ac:dyDescent="0.35">
      <c r="A94" s="39">
        <f t="shared" si="2"/>
        <v>15</v>
      </c>
      <c r="B94" s="44" t="s">
        <v>198</v>
      </c>
      <c r="C94" s="495"/>
      <c r="D94" s="495"/>
      <c r="E94" s="495"/>
      <c r="F94" s="495"/>
      <c r="G94" s="198"/>
      <c r="H94" s="198"/>
      <c r="I94" s="199"/>
      <c r="J94" s="39">
        <f t="shared" si="3"/>
        <v>15</v>
      </c>
      <c r="L94" s="200"/>
    </row>
    <row r="95" spans="1:13" x14ac:dyDescent="0.35">
      <c r="A95" s="39">
        <f t="shared" si="2"/>
        <v>16</v>
      </c>
      <c r="B95" s="55"/>
      <c r="C95" s="495"/>
      <c r="D95" s="495"/>
      <c r="E95" s="495"/>
      <c r="F95" s="495"/>
      <c r="G95" s="198"/>
      <c r="H95" s="198"/>
      <c r="I95" s="201"/>
      <c r="J95" s="39">
        <f t="shared" si="3"/>
        <v>16</v>
      </c>
      <c r="L95" s="495"/>
    </row>
    <row r="96" spans="1:13" x14ac:dyDescent="0.35">
      <c r="A96" s="39">
        <f t="shared" si="2"/>
        <v>17</v>
      </c>
      <c r="B96" s="46" t="s">
        <v>188</v>
      </c>
      <c r="C96" s="495"/>
      <c r="D96" s="495"/>
      <c r="E96" s="495"/>
      <c r="F96" s="495"/>
      <c r="G96" s="198"/>
      <c r="H96" s="198"/>
      <c r="I96" s="201"/>
      <c r="J96" s="39">
        <f t="shared" si="3"/>
        <v>17</v>
      </c>
      <c r="L96" s="495"/>
    </row>
    <row r="97" spans="1:13" x14ac:dyDescent="0.35">
      <c r="A97" s="39">
        <f t="shared" si="2"/>
        <v>18</v>
      </c>
      <c r="B97" s="40" t="s">
        <v>189</v>
      </c>
      <c r="D97" s="495"/>
      <c r="E97" s="495"/>
      <c r="F97" s="495"/>
      <c r="G97" s="173">
        <f>G85</f>
        <v>5.9534869804339169E-2</v>
      </c>
      <c r="H97" s="173"/>
      <c r="I97" s="51" t="str">
        <f>"Line "&amp;A85&amp;" Above"</f>
        <v>Line 6 Above</v>
      </c>
      <c r="J97" s="39">
        <f t="shared" si="3"/>
        <v>18</v>
      </c>
      <c r="L97" s="39"/>
    </row>
    <row r="98" spans="1:13" x14ac:dyDescent="0.35">
      <c r="A98" s="39">
        <f t="shared" si="2"/>
        <v>19</v>
      </c>
      <c r="B98" s="40" t="s">
        <v>199</v>
      </c>
      <c r="D98" s="495"/>
      <c r="E98" s="495"/>
      <c r="F98" s="495"/>
      <c r="G98" s="202">
        <f>G87</f>
        <v>8264.7629899999993</v>
      </c>
      <c r="H98" s="202"/>
      <c r="I98" s="51" t="str">
        <f>"Line "&amp;A87&amp;" Above"</f>
        <v>Line 8 Above</v>
      </c>
      <c r="J98" s="39">
        <f t="shared" si="3"/>
        <v>19</v>
      </c>
      <c r="L98" s="39"/>
    </row>
    <row r="99" spans="1:13" x14ac:dyDescent="0.35">
      <c r="A99" s="39">
        <f t="shared" si="2"/>
        <v>20</v>
      </c>
      <c r="B99" s="40" t="s">
        <v>200</v>
      </c>
      <c r="D99" s="495"/>
      <c r="E99" s="495"/>
      <c r="F99" s="495"/>
      <c r="G99" s="203">
        <f>G88</f>
        <v>4521288.1634267867</v>
      </c>
      <c r="H99" s="25" t="s">
        <v>16</v>
      </c>
      <c r="I99" s="51" t="str">
        <f>"Line "&amp;A88&amp;" Above"</f>
        <v>Line 9 Above</v>
      </c>
      <c r="J99" s="39">
        <f t="shared" si="3"/>
        <v>20</v>
      </c>
      <c r="L99" s="39"/>
    </row>
    <row r="100" spans="1:13" x14ac:dyDescent="0.35">
      <c r="A100" s="39">
        <f t="shared" si="2"/>
        <v>21</v>
      </c>
      <c r="B100" s="40" t="s">
        <v>201</v>
      </c>
      <c r="D100" s="495"/>
      <c r="E100" s="495"/>
      <c r="F100" s="495"/>
      <c r="G100" s="204">
        <f>G91</f>
        <v>1.6237514447434154E-2</v>
      </c>
      <c r="H100" s="25"/>
      <c r="I100" s="51" t="str">
        <f>"Line "&amp;A91&amp;" Above"</f>
        <v>Line 12 Above</v>
      </c>
      <c r="J100" s="39">
        <f t="shared" si="3"/>
        <v>21</v>
      </c>
    </row>
    <row r="101" spans="1:13" x14ac:dyDescent="0.35">
      <c r="A101" s="39">
        <f t="shared" si="2"/>
        <v>22</v>
      </c>
      <c r="B101" s="40" t="s">
        <v>202</v>
      </c>
      <c r="D101" s="495"/>
      <c r="E101" s="495"/>
      <c r="F101" s="495"/>
      <c r="G101" s="482" t="s">
        <v>203</v>
      </c>
      <c r="H101" s="495"/>
      <c r="I101" s="51" t="s">
        <v>204</v>
      </c>
      <c r="J101" s="39">
        <f t="shared" si="3"/>
        <v>22</v>
      </c>
    </row>
    <row r="102" spans="1:13" x14ac:dyDescent="0.35">
      <c r="A102" s="39">
        <f t="shared" si="2"/>
        <v>23</v>
      </c>
      <c r="B102" s="496"/>
      <c r="D102" s="495"/>
      <c r="E102" s="495"/>
      <c r="F102" s="495"/>
      <c r="G102" s="205"/>
      <c r="H102" s="205"/>
      <c r="I102" s="201"/>
      <c r="J102" s="39">
        <f t="shared" si="3"/>
        <v>23</v>
      </c>
    </row>
    <row r="103" spans="1:13" x14ac:dyDescent="0.35">
      <c r="A103" s="39">
        <f t="shared" si="2"/>
        <v>24</v>
      </c>
      <c r="B103" s="40" t="s">
        <v>205</v>
      </c>
      <c r="C103" s="39"/>
      <c r="D103" s="39"/>
      <c r="E103" s="495"/>
      <c r="F103" s="495"/>
      <c r="G103" s="483">
        <f>((G97)+(G98/G99)+G91)*G101/(1-G101)</f>
        <v>7.5250888552036649E-3</v>
      </c>
      <c r="H103" s="25"/>
      <c r="I103" s="51" t="s">
        <v>206</v>
      </c>
      <c r="J103" s="39">
        <f t="shared" si="3"/>
        <v>24</v>
      </c>
    </row>
    <row r="104" spans="1:13" x14ac:dyDescent="0.35">
      <c r="A104" s="39">
        <f t="shared" si="2"/>
        <v>25</v>
      </c>
      <c r="B104" s="197" t="s">
        <v>207</v>
      </c>
      <c r="G104" s="39"/>
      <c r="H104" s="39"/>
      <c r="I104" s="51"/>
      <c r="J104" s="39">
        <f t="shared" si="3"/>
        <v>25</v>
      </c>
      <c r="L104" s="39"/>
    </row>
    <row r="105" spans="1:13" x14ac:dyDescent="0.35">
      <c r="A105" s="39">
        <f t="shared" si="2"/>
        <v>26</v>
      </c>
      <c r="G105" s="39"/>
      <c r="H105" s="39"/>
      <c r="I105" s="51"/>
      <c r="J105" s="39">
        <f t="shared" si="3"/>
        <v>26</v>
      </c>
      <c r="L105" s="39"/>
    </row>
    <row r="106" spans="1:13" x14ac:dyDescent="0.35">
      <c r="A106" s="39">
        <f t="shared" si="2"/>
        <v>27</v>
      </c>
      <c r="B106" s="44" t="s">
        <v>208</v>
      </c>
      <c r="G106" s="195">
        <f>G103+G91</f>
        <v>2.3762603302637818E-2</v>
      </c>
      <c r="H106" s="25"/>
      <c r="I106" s="51" t="str">
        <f>"Line "&amp;A91&amp;" + Line "&amp;A103</f>
        <v>Line 12 + Line 24</v>
      </c>
      <c r="J106" s="39">
        <f t="shared" si="3"/>
        <v>27</v>
      </c>
      <c r="L106" s="39"/>
    </row>
    <row r="107" spans="1:13" x14ac:dyDescent="0.35">
      <c r="A107" s="39">
        <f t="shared" si="2"/>
        <v>28</v>
      </c>
      <c r="G107" s="39"/>
      <c r="H107" s="39"/>
      <c r="I107" s="51"/>
      <c r="J107" s="39">
        <f t="shared" si="3"/>
        <v>28</v>
      </c>
      <c r="L107" s="39"/>
    </row>
    <row r="108" spans="1:13" x14ac:dyDescent="0.35">
      <c r="A108" s="39">
        <f t="shared" si="2"/>
        <v>29</v>
      </c>
      <c r="B108" s="44" t="s">
        <v>209</v>
      </c>
      <c r="G108" s="484">
        <f>G50</f>
        <v>7.6903381456357389E-2</v>
      </c>
      <c r="H108" s="495"/>
      <c r="I108" s="51" t="str">
        <f>"AV1; Line "&amp;A50</f>
        <v>AV1; Line 40</v>
      </c>
      <c r="J108" s="39">
        <f t="shared" si="3"/>
        <v>29</v>
      </c>
      <c r="L108" s="39"/>
    </row>
    <row r="109" spans="1:13" x14ac:dyDescent="0.35">
      <c r="A109" s="39">
        <f t="shared" si="2"/>
        <v>30</v>
      </c>
      <c r="G109" s="173"/>
      <c r="H109" s="173"/>
      <c r="I109" s="51"/>
      <c r="J109" s="39">
        <f t="shared" si="3"/>
        <v>30</v>
      </c>
      <c r="L109" s="39"/>
    </row>
    <row r="110" spans="1:13" ht="18" thickBot="1" x14ac:dyDescent="0.4">
      <c r="A110" s="39">
        <f t="shared" si="2"/>
        <v>31</v>
      </c>
      <c r="B110" s="44" t="s">
        <v>337</v>
      </c>
      <c r="G110" s="207">
        <f>G106+G108</f>
        <v>0.10066598475899521</v>
      </c>
      <c r="H110" s="25"/>
      <c r="I110" s="51" t="str">
        <f>"Line "&amp;A106&amp;" + Line "&amp;A108</f>
        <v>Line 27 + Line 29</v>
      </c>
      <c r="J110" s="39">
        <f t="shared" si="3"/>
        <v>31</v>
      </c>
      <c r="L110" s="208"/>
      <c r="M110" s="196"/>
    </row>
    <row r="111" spans="1:13" ht="16" thickTop="1" x14ac:dyDescent="0.35">
      <c r="B111" s="44"/>
      <c r="G111" s="206"/>
      <c r="H111" s="206"/>
      <c r="I111" s="51"/>
      <c r="J111" s="39"/>
      <c r="L111" s="208"/>
      <c r="M111" s="196"/>
    </row>
    <row r="112" spans="1:13" x14ac:dyDescent="0.35">
      <c r="B112" s="44"/>
      <c r="G112" s="210"/>
      <c r="H112" s="210"/>
      <c r="I112" s="51"/>
      <c r="J112" s="39"/>
      <c r="L112" s="208"/>
      <c r="M112" s="196"/>
    </row>
    <row r="113" spans="1:13" x14ac:dyDescent="0.35">
      <c r="A113" s="25" t="s">
        <v>16</v>
      </c>
      <c r="B113" s="22" t="str">
        <f>'Pg2 App XII C4 Comparison'!B57</f>
        <v>Items in BOLD have changed to correct the over-allocation of "Duplicate Charges (Company Energy Use)" Credit in FERC Account no. 929.</v>
      </c>
      <c r="G113" s="210"/>
      <c r="H113" s="210"/>
      <c r="I113" s="51"/>
      <c r="J113" s="39"/>
      <c r="L113" s="208"/>
      <c r="M113" s="196"/>
    </row>
    <row r="114" spans="1:13" ht="18.5" x14ac:dyDescent="0.35">
      <c r="A114" s="485">
        <v>1</v>
      </c>
      <c r="B114" s="18" t="s">
        <v>338</v>
      </c>
      <c r="G114" s="210"/>
      <c r="H114" s="210"/>
      <c r="I114" s="51"/>
      <c r="J114" s="39"/>
      <c r="L114" s="208"/>
      <c r="M114" s="196"/>
    </row>
    <row r="115" spans="1:13" ht="18.5" x14ac:dyDescent="0.35">
      <c r="A115" s="485"/>
      <c r="B115" s="18"/>
      <c r="G115" s="210"/>
      <c r="H115" s="210"/>
      <c r="I115" s="51"/>
      <c r="J115" s="39"/>
      <c r="L115" s="208"/>
      <c r="M115" s="196"/>
    </row>
    <row r="116" spans="1:13" x14ac:dyDescent="0.35">
      <c r="A116" s="211"/>
      <c r="B116" s="496"/>
      <c r="C116" s="41"/>
      <c r="D116" s="41"/>
      <c r="E116" s="41"/>
      <c r="F116" s="41"/>
      <c r="G116" s="212"/>
      <c r="H116" s="212"/>
      <c r="I116" s="486"/>
      <c r="J116" s="39"/>
    </row>
    <row r="117" spans="1:13" x14ac:dyDescent="0.35">
      <c r="B117" s="782" t="s">
        <v>24</v>
      </c>
      <c r="C117" s="782"/>
      <c r="D117" s="782"/>
      <c r="E117" s="782"/>
      <c r="F117" s="782"/>
      <c r="G117" s="782"/>
      <c r="H117" s="782"/>
      <c r="I117" s="782"/>
    </row>
    <row r="118" spans="1:13" x14ac:dyDescent="0.35">
      <c r="B118" s="782" t="s">
        <v>127</v>
      </c>
      <c r="C118" s="782"/>
      <c r="D118" s="782"/>
      <c r="E118" s="782"/>
      <c r="F118" s="782"/>
      <c r="G118" s="782"/>
      <c r="H118" s="782"/>
      <c r="I118" s="782"/>
    </row>
    <row r="119" spans="1:13" x14ac:dyDescent="0.35">
      <c r="B119" s="782" t="s">
        <v>128</v>
      </c>
      <c r="C119" s="782"/>
      <c r="D119" s="782"/>
      <c r="E119" s="782"/>
      <c r="F119" s="782"/>
      <c r="G119" s="782"/>
      <c r="H119" s="782"/>
      <c r="I119" s="782"/>
    </row>
    <row r="120" spans="1:13" x14ac:dyDescent="0.35">
      <c r="B120" s="785" t="str">
        <f>B5</f>
        <v>Base Period &amp; True-Up Period 12 - Months Ending December 31, 2020</v>
      </c>
      <c r="C120" s="785"/>
      <c r="D120" s="785"/>
      <c r="E120" s="785"/>
      <c r="F120" s="785"/>
      <c r="G120" s="785"/>
      <c r="H120" s="785"/>
      <c r="I120" s="785"/>
    </row>
    <row r="121" spans="1:13" x14ac:dyDescent="0.35">
      <c r="B121" s="784" t="s">
        <v>1</v>
      </c>
      <c r="C121" s="786"/>
      <c r="D121" s="786"/>
      <c r="E121" s="786"/>
      <c r="F121" s="786"/>
      <c r="G121" s="786"/>
      <c r="H121" s="786"/>
      <c r="I121" s="786"/>
    </row>
    <row r="123" spans="1:13" x14ac:dyDescent="0.35">
      <c r="A123" s="39" t="s">
        <v>2</v>
      </c>
      <c r="B123" s="495"/>
      <c r="C123" s="495"/>
      <c r="D123" s="495"/>
      <c r="E123" s="495"/>
      <c r="F123" s="495"/>
      <c r="G123" s="495"/>
      <c r="H123" s="495"/>
      <c r="I123" s="51"/>
      <c r="J123" s="39" t="s">
        <v>2</v>
      </c>
    </row>
    <row r="124" spans="1:13" x14ac:dyDescent="0.35">
      <c r="A124" s="39" t="s">
        <v>6</v>
      </c>
      <c r="B124" s="39"/>
      <c r="C124" s="39"/>
      <c r="D124" s="39"/>
      <c r="E124" s="39"/>
      <c r="F124" s="39"/>
      <c r="G124" s="416" t="s">
        <v>4</v>
      </c>
      <c r="H124" s="495"/>
      <c r="I124" s="469" t="s">
        <v>5</v>
      </c>
      <c r="J124" s="39" t="s">
        <v>6</v>
      </c>
    </row>
    <row r="126" spans="1:13" ht="17.5" x14ac:dyDescent="0.35">
      <c r="A126" s="39">
        <v>1</v>
      </c>
      <c r="B126" s="44" t="s">
        <v>339</v>
      </c>
      <c r="J126" s="39">
        <v>1</v>
      </c>
    </row>
    <row r="127" spans="1:13" x14ac:dyDescent="0.35">
      <c r="A127" s="39">
        <f>A126+1</f>
        <v>2</v>
      </c>
      <c r="B127" s="186"/>
      <c r="J127" s="39">
        <f>J126+1</f>
        <v>2</v>
      </c>
    </row>
    <row r="128" spans="1:13" x14ac:dyDescent="0.35">
      <c r="A128" s="39">
        <f>A127+1</f>
        <v>3</v>
      </c>
      <c r="B128" s="44" t="s">
        <v>335</v>
      </c>
      <c r="J128" s="39">
        <f>J127+1</f>
        <v>3</v>
      </c>
    </row>
    <row r="129" spans="1:10" x14ac:dyDescent="0.35">
      <c r="A129" s="39">
        <f>A128+1</f>
        <v>4</v>
      </c>
      <c r="B129" s="495"/>
      <c r="J129" s="39">
        <f>J128+1</f>
        <v>4</v>
      </c>
    </row>
    <row r="130" spans="1:10" x14ac:dyDescent="0.35">
      <c r="A130" s="39">
        <f t="shared" ref="A130:A156" si="4">A129+1</f>
        <v>5</v>
      </c>
      <c r="B130" s="46" t="s">
        <v>188</v>
      </c>
      <c r="J130" s="39">
        <f t="shared" ref="J130:J156" si="5">J129+1</f>
        <v>5</v>
      </c>
    </row>
    <row r="131" spans="1:10" x14ac:dyDescent="0.35">
      <c r="A131" s="39">
        <f t="shared" si="4"/>
        <v>6</v>
      </c>
      <c r="B131" s="40" t="str">
        <f>B85</f>
        <v xml:space="preserve">     A = Sum of Preferred Stock and Return on Equity Component</v>
      </c>
      <c r="G131" s="188">
        <f>G65</f>
        <v>0</v>
      </c>
      <c r="I131" s="51" t="str">
        <f>"AV1; Line "&amp;A65</f>
        <v>AV1; Line 55</v>
      </c>
      <c r="J131" s="39">
        <f t="shared" si="5"/>
        <v>6</v>
      </c>
    </row>
    <row r="132" spans="1:10" x14ac:dyDescent="0.35">
      <c r="A132" s="39">
        <f t="shared" si="4"/>
        <v>7</v>
      </c>
      <c r="B132" s="40" t="str">
        <f>B86</f>
        <v xml:space="preserve">     B = Transmission Total Federal Tax Adjustments</v>
      </c>
      <c r="G132" s="209">
        <v>0</v>
      </c>
      <c r="I132" s="182" t="s">
        <v>19</v>
      </c>
      <c r="J132" s="39">
        <f t="shared" si="5"/>
        <v>7</v>
      </c>
    </row>
    <row r="133" spans="1:10" x14ac:dyDescent="0.35">
      <c r="A133" s="39">
        <f t="shared" si="4"/>
        <v>8</v>
      </c>
      <c r="B133" s="40" t="s">
        <v>191</v>
      </c>
      <c r="G133" s="487">
        <v>0</v>
      </c>
      <c r="I133" s="182" t="s">
        <v>19</v>
      </c>
      <c r="J133" s="39">
        <f t="shared" si="5"/>
        <v>8</v>
      </c>
    </row>
    <row r="134" spans="1:10" x14ac:dyDescent="0.35">
      <c r="A134" s="39">
        <f t="shared" si="4"/>
        <v>9</v>
      </c>
      <c r="B134" s="40" t="s">
        <v>210</v>
      </c>
      <c r="G134" s="487">
        <v>0</v>
      </c>
      <c r="I134" s="182" t="s">
        <v>19</v>
      </c>
      <c r="J134" s="39">
        <f t="shared" si="5"/>
        <v>9</v>
      </c>
    </row>
    <row r="135" spans="1:10" x14ac:dyDescent="0.35">
      <c r="A135" s="39">
        <f t="shared" si="4"/>
        <v>10</v>
      </c>
      <c r="B135" s="40" t="str">
        <f>B89</f>
        <v xml:space="preserve">     FT = Federal Income Tax Rate for Rate Effective Period</v>
      </c>
      <c r="G135" s="488">
        <f>G89</f>
        <v>0.21</v>
      </c>
      <c r="I135" s="51" t="str">
        <f>"AV2; Line "&amp;A89</f>
        <v>AV2; Line 10</v>
      </c>
      <c r="J135" s="39">
        <f t="shared" si="5"/>
        <v>10</v>
      </c>
    </row>
    <row r="136" spans="1:10" x14ac:dyDescent="0.35">
      <c r="A136" s="39">
        <f t="shared" si="4"/>
        <v>11</v>
      </c>
      <c r="G136" s="39"/>
      <c r="J136" s="39">
        <f t="shared" si="5"/>
        <v>11</v>
      </c>
    </row>
    <row r="137" spans="1:10" x14ac:dyDescent="0.35">
      <c r="A137" s="39">
        <f t="shared" si="4"/>
        <v>12</v>
      </c>
      <c r="B137" s="40" t="s">
        <v>211</v>
      </c>
      <c r="G137" s="195">
        <f>IFERROR((((G131)+(G133/G134))*G135-(G132/G134))/(1-G135),0)</f>
        <v>0</v>
      </c>
      <c r="I137" s="51" t="s">
        <v>212</v>
      </c>
      <c r="J137" s="39">
        <f t="shared" si="5"/>
        <v>12</v>
      </c>
    </row>
    <row r="138" spans="1:10" x14ac:dyDescent="0.35">
      <c r="A138" s="39">
        <f t="shared" si="4"/>
        <v>13</v>
      </c>
      <c r="B138" s="197" t="s">
        <v>197</v>
      </c>
      <c r="G138" s="181"/>
      <c r="J138" s="39">
        <f t="shared" si="5"/>
        <v>13</v>
      </c>
    </row>
    <row r="139" spans="1:10" x14ac:dyDescent="0.35">
      <c r="A139" s="39">
        <f t="shared" si="4"/>
        <v>14</v>
      </c>
      <c r="G139" s="39"/>
      <c r="J139" s="39">
        <f t="shared" si="5"/>
        <v>14</v>
      </c>
    </row>
    <row r="140" spans="1:10" x14ac:dyDescent="0.35">
      <c r="A140" s="39">
        <f t="shared" si="4"/>
        <v>15</v>
      </c>
      <c r="B140" s="44" t="s">
        <v>198</v>
      </c>
      <c r="G140" s="198"/>
      <c r="I140" s="199"/>
      <c r="J140" s="39">
        <f t="shared" si="5"/>
        <v>15</v>
      </c>
    </row>
    <row r="141" spans="1:10" x14ac:dyDescent="0.35">
      <c r="A141" s="39">
        <f t="shared" si="4"/>
        <v>16</v>
      </c>
      <c r="B141" s="55"/>
      <c r="G141" s="198"/>
      <c r="I141" s="187"/>
      <c r="J141" s="39">
        <f t="shared" si="5"/>
        <v>16</v>
      </c>
    </row>
    <row r="142" spans="1:10" x14ac:dyDescent="0.35">
      <c r="A142" s="39">
        <f t="shared" si="4"/>
        <v>17</v>
      </c>
      <c r="B142" s="46" t="s">
        <v>188</v>
      </c>
      <c r="G142" s="198"/>
      <c r="I142" s="187"/>
      <c r="J142" s="39">
        <f t="shared" si="5"/>
        <v>17</v>
      </c>
    </row>
    <row r="143" spans="1:10" x14ac:dyDescent="0.35">
      <c r="A143" s="39">
        <f t="shared" si="4"/>
        <v>18</v>
      </c>
      <c r="B143" s="40" t="str">
        <f>B97</f>
        <v xml:space="preserve">     A = Sum of Preferred Stock and Return on Equity Component</v>
      </c>
      <c r="G143" s="173">
        <f>G131</f>
        <v>0</v>
      </c>
      <c r="I143" s="51" t="str">
        <f>"Line "&amp;A131&amp;" Above"</f>
        <v>Line 6 Above</v>
      </c>
      <c r="J143" s="39">
        <f t="shared" si="5"/>
        <v>18</v>
      </c>
    </row>
    <row r="144" spans="1:10" x14ac:dyDescent="0.35">
      <c r="A144" s="39">
        <f t="shared" si="4"/>
        <v>19</v>
      </c>
      <c r="B144" s="40" t="str">
        <f>B98</f>
        <v xml:space="preserve">     B = Equity AFUDC Component of Transmission Depreciation Expense</v>
      </c>
      <c r="G144" s="202">
        <f>G133</f>
        <v>0</v>
      </c>
      <c r="I144" s="51" t="str">
        <f>"Line "&amp;A133&amp;" Above"</f>
        <v>Line 8 Above</v>
      </c>
      <c r="J144" s="39">
        <f t="shared" si="5"/>
        <v>19</v>
      </c>
    </row>
    <row r="145" spans="1:10" x14ac:dyDescent="0.35">
      <c r="A145" s="39">
        <f t="shared" si="4"/>
        <v>20</v>
      </c>
      <c r="B145" s="40" t="s">
        <v>213</v>
      </c>
      <c r="G145" s="202">
        <f>G134</f>
        <v>0</v>
      </c>
      <c r="I145" s="51" t="str">
        <f>"Line "&amp;A134&amp;" Above"</f>
        <v>Line 9 Above</v>
      </c>
      <c r="J145" s="39">
        <f t="shared" si="5"/>
        <v>20</v>
      </c>
    </row>
    <row r="146" spans="1:10" x14ac:dyDescent="0.35">
      <c r="A146" s="39">
        <f t="shared" si="4"/>
        <v>21</v>
      </c>
      <c r="B146" s="40" t="str">
        <f>B100</f>
        <v xml:space="preserve">     FT = Federal Income Tax Expense</v>
      </c>
      <c r="G146" s="204">
        <f>G137</f>
        <v>0</v>
      </c>
      <c r="I146" s="51" t="str">
        <f>"Line "&amp;A137&amp;" Above"</f>
        <v>Line 12 Above</v>
      </c>
      <c r="J146" s="39">
        <f t="shared" si="5"/>
        <v>21</v>
      </c>
    </row>
    <row r="147" spans="1:10" x14ac:dyDescent="0.35">
      <c r="A147" s="39">
        <f t="shared" si="4"/>
        <v>22</v>
      </c>
      <c r="B147" s="40" t="str">
        <f>B101</f>
        <v xml:space="preserve">     ST = State Income Tax Rate for Rate Effective Period</v>
      </c>
      <c r="G147" s="489" t="str">
        <f>G101</f>
        <v>8.84%</v>
      </c>
      <c r="I147" s="51" t="str">
        <f>"AV2; Line "&amp;A101</f>
        <v>AV2; Line 22</v>
      </c>
      <c r="J147" s="39">
        <f t="shared" si="5"/>
        <v>22</v>
      </c>
    </row>
    <row r="148" spans="1:10" x14ac:dyDescent="0.35">
      <c r="A148" s="39">
        <f t="shared" si="4"/>
        <v>23</v>
      </c>
      <c r="B148" s="496"/>
      <c r="G148" s="205"/>
      <c r="I148" s="201"/>
      <c r="J148" s="39">
        <f t="shared" si="5"/>
        <v>23</v>
      </c>
    </row>
    <row r="149" spans="1:10" x14ac:dyDescent="0.35">
      <c r="A149" s="39">
        <f t="shared" si="4"/>
        <v>24</v>
      </c>
      <c r="B149" s="40" t="s">
        <v>205</v>
      </c>
      <c r="G149" s="483">
        <f>IFERROR(((G143)+(G144/G145)+G137)*G147/(1-G147),0)</f>
        <v>0</v>
      </c>
      <c r="I149" s="51" t="s">
        <v>206</v>
      </c>
      <c r="J149" s="39">
        <f t="shared" si="5"/>
        <v>24</v>
      </c>
    </row>
    <row r="150" spans="1:10" x14ac:dyDescent="0.35">
      <c r="A150" s="39">
        <f t="shared" si="4"/>
        <v>25</v>
      </c>
      <c r="B150" s="197" t="s">
        <v>207</v>
      </c>
      <c r="G150" s="39"/>
      <c r="I150" s="51"/>
      <c r="J150" s="39">
        <f t="shared" si="5"/>
        <v>25</v>
      </c>
    </row>
    <row r="151" spans="1:10" x14ac:dyDescent="0.35">
      <c r="A151" s="39">
        <f t="shared" si="4"/>
        <v>26</v>
      </c>
      <c r="G151" s="39"/>
      <c r="I151" s="51"/>
      <c r="J151" s="39">
        <f t="shared" si="5"/>
        <v>26</v>
      </c>
    </row>
    <row r="152" spans="1:10" x14ac:dyDescent="0.35">
      <c r="A152" s="39">
        <f t="shared" si="4"/>
        <v>27</v>
      </c>
      <c r="B152" s="44" t="s">
        <v>208</v>
      </c>
      <c r="G152" s="195">
        <f>G149+G137</f>
        <v>0</v>
      </c>
      <c r="I152" s="51" t="str">
        <f>"Line "&amp;A137&amp;" + Line "&amp;A149</f>
        <v>Line 12 + Line 24</v>
      </c>
      <c r="J152" s="39">
        <f t="shared" si="5"/>
        <v>27</v>
      </c>
    </row>
    <row r="153" spans="1:10" x14ac:dyDescent="0.35">
      <c r="A153" s="39">
        <f t="shared" si="4"/>
        <v>28</v>
      </c>
      <c r="G153" s="39"/>
      <c r="I153" s="51"/>
      <c r="J153" s="39">
        <f t="shared" si="5"/>
        <v>28</v>
      </c>
    </row>
    <row r="154" spans="1:10" x14ac:dyDescent="0.35">
      <c r="A154" s="39">
        <f t="shared" si="4"/>
        <v>29</v>
      </c>
      <c r="B154" s="44" t="s">
        <v>214</v>
      </c>
      <c r="G154" s="490">
        <f>G63</f>
        <v>0</v>
      </c>
      <c r="I154" s="51" t="str">
        <f>"AV1; Line "&amp;A63</f>
        <v>AV1; Line 53</v>
      </c>
      <c r="J154" s="39">
        <f t="shared" si="5"/>
        <v>29</v>
      </c>
    </row>
    <row r="155" spans="1:10" x14ac:dyDescent="0.35">
      <c r="A155" s="39">
        <f t="shared" si="4"/>
        <v>30</v>
      </c>
      <c r="G155" s="39"/>
      <c r="I155" s="51"/>
      <c r="J155" s="39">
        <f t="shared" si="5"/>
        <v>30</v>
      </c>
    </row>
    <row r="156" spans="1:10" ht="18" thickBot="1" x14ac:dyDescent="0.4">
      <c r="A156" s="39">
        <f t="shared" si="4"/>
        <v>31</v>
      </c>
      <c r="B156" s="44" t="s">
        <v>340</v>
      </c>
      <c r="G156" s="213">
        <f>G152+G154</f>
        <v>0</v>
      </c>
      <c r="I156" s="51" t="str">
        <f>"Line "&amp;A152&amp;" + Line "&amp;A154</f>
        <v>Line 27 + Line 29</v>
      </c>
      <c r="J156" s="39">
        <f t="shared" si="5"/>
        <v>31</v>
      </c>
    </row>
    <row r="157" spans="1:10" ht="16" thickTop="1" x14ac:dyDescent="0.35"/>
    <row r="159" spans="1:10" ht="18" x14ac:dyDescent="0.35">
      <c r="A159" s="69"/>
      <c r="B159" s="18"/>
    </row>
  </sheetData>
  <mergeCells count="15">
    <mergeCell ref="B71:I71"/>
    <mergeCell ref="B2:I2"/>
    <mergeCell ref="B3:I3"/>
    <mergeCell ref="B4:I4"/>
    <mergeCell ref="B5:I5"/>
    <mergeCell ref="B6:I6"/>
    <mergeCell ref="B119:I119"/>
    <mergeCell ref="B120:I120"/>
    <mergeCell ref="B121:I121"/>
    <mergeCell ref="B72:I72"/>
    <mergeCell ref="B73:I73"/>
    <mergeCell ref="B74:I74"/>
    <mergeCell ref="B75:I75"/>
    <mergeCell ref="B117:I117"/>
    <mergeCell ref="B118:I118"/>
  </mergeCells>
  <printOptions horizontalCentered="1"/>
  <pageMargins left="0.25" right="0.25" top="0.5" bottom="0.5" header="0.35" footer="0.25"/>
  <pageSetup scale="55" orientation="portrait" r:id="rId1"/>
  <headerFooter scaleWithDoc="0" alignWithMargins="0">
    <oddHeader>&amp;C&amp;"Times New Roman,Bold"&amp;7REVISED</oddHeader>
    <oddFooter>&amp;L&amp;F&amp;CPage 10.&amp;P&amp;R&amp;A</oddFooter>
  </headerFooter>
  <rowBreaks count="2" manualBreakCount="2">
    <brk id="69" max="16383" man="1"/>
    <brk id="11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2688-7ED5-421D-AD82-B5DE25D5B956}">
  <dimension ref="A1:M161"/>
  <sheetViews>
    <sheetView zoomScale="80" zoomScaleNormal="80" workbookViewId="0"/>
  </sheetViews>
  <sheetFormatPr defaultColWidth="8.81640625" defaultRowHeight="15.5" x14ac:dyDescent="0.35"/>
  <cols>
    <col min="1" max="1" width="5.1796875" style="39" customWidth="1"/>
    <col min="2" max="2" width="55.453125" style="40" customWidth="1"/>
    <col min="3" max="5" width="15.54296875" style="40" customWidth="1"/>
    <col min="6" max="6" width="1.54296875" style="40" customWidth="1"/>
    <col min="7" max="7" width="16.81640625" style="40" customWidth="1"/>
    <col min="8" max="8" width="1.54296875" style="40" customWidth="1"/>
    <col min="9" max="9" width="38.81640625" style="158" customWidth="1"/>
    <col min="10" max="10" width="5.1796875" style="40" customWidth="1"/>
    <col min="11" max="11" width="27" style="40" bestFit="1" customWidth="1"/>
    <col min="12" max="12" width="15" style="40" bestFit="1" customWidth="1"/>
    <col min="13" max="13" width="10.453125" style="40" bestFit="1" customWidth="1"/>
    <col min="14" max="16384" width="8.81640625" style="40"/>
  </cols>
  <sheetData>
    <row r="1" spans="1:10" x14ac:dyDescent="0.35">
      <c r="A1" s="614" t="s">
        <v>661</v>
      </c>
    </row>
    <row r="2" spans="1:10" x14ac:dyDescent="0.35">
      <c r="A2" s="468"/>
      <c r="G2" s="65"/>
      <c r="H2" s="65"/>
      <c r="I2" s="182"/>
      <c r="J2" s="39"/>
    </row>
    <row r="3" spans="1:10" x14ac:dyDescent="0.35">
      <c r="B3" s="782" t="s">
        <v>332</v>
      </c>
      <c r="C3" s="782"/>
      <c r="D3" s="782"/>
      <c r="E3" s="782"/>
      <c r="F3" s="782"/>
      <c r="G3" s="782"/>
      <c r="H3" s="782"/>
      <c r="I3" s="782"/>
      <c r="J3" s="39"/>
    </row>
    <row r="4" spans="1:10" x14ac:dyDescent="0.35">
      <c r="B4" s="782" t="s">
        <v>127</v>
      </c>
      <c r="C4" s="782"/>
      <c r="D4" s="782"/>
      <c r="E4" s="782"/>
      <c r="F4" s="782"/>
      <c r="G4" s="782"/>
      <c r="H4" s="782"/>
      <c r="I4" s="782"/>
      <c r="J4" s="39"/>
    </row>
    <row r="5" spans="1:10" x14ac:dyDescent="0.35">
      <c r="B5" s="782" t="s">
        <v>128</v>
      </c>
      <c r="C5" s="782"/>
      <c r="D5" s="782"/>
      <c r="E5" s="782"/>
      <c r="F5" s="782"/>
      <c r="G5" s="782"/>
      <c r="H5" s="782"/>
      <c r="I5" s="782"/>
      <c r="J5" s="39"/>
    </row>
    <row r="6" spans="1:10" x14ac:dyDescent="0.35">
      <c r="B6" s="785" t="s">
        <v>512</v>
      </c>
      <c r="C6" s="785"/>
      <c r="D6" s="785"/>
      <c r="E6" s="785"/>
      <c r="F6" s="785"/>
      <c r="G6" s="785"/>
      <c r="H6" s="785"/>
      <c r="I6" s="785"/>
      <c r="J6" s="39"/>
    </row>
    <row r="7" spans="1:10" x14ac:dyDescent="0.35">
      <c r="B7" s="784" t="s">
        <v>1</v>
      </c>
      <c r="C7" s="786"/>
      <c r="D7" s="786"/>
      <c r="E7" s="786"/>
      <c r="F7" s="786"/>
      <c r="G7" s="786"/>
      <c r="H7" s="786"/>
      <c r="I7" s="786"/>
      <c r="J7" s="39"/>
    </row>
    <row r="8" spans="1:10" x14ac:dyDescent="0.35">
      <c r="B8" s="39"/>
      <c r="C8" s="39"/>
      <c r="D8" s="39"/>
      <c r="E8" s="39"/>
      <c r="F8" s="39"/>
      <c r="G8" s="39"/>
      <c r="H8" s="39"/>
      <c r="I8" s="51"/>
      <c r="J8" s="39"/>
    </row>
    <row r="9" spans="1:10" x14ac:dyDescent="0.35">
      <c r="A9" s="39" t="s">
        <v>2</v>
      </c>
      <c r="B9" s="495"/>
      <c r="C9" s="495"/>
      <c r="D9" s="495"/>
      <c r="E9" s="39" t="s">
        <v>27</v>
      </c>
      <c r="F9" s="495"/>
      <c r="G9" s="495"/>
      <c r="H9" s="495"/>
      <c r="I9" s="51"/>
      <c r="J9" s="39" t="s">
        <v>2</v>
      </c>
    </row>
    <row r="10" spans="1:10" x14ac:dyDescent="0.35">
      <c r="A10" s="39" t="s">
        <v>6</v>
      </c>
      <c r="B10" s="39"/>
      <c r="C10" s="39"/>
      <c r="D10" s="39"/>
      <c r="E10" s="416" t="s">
        <v>28</v>
      </c>
      <c r="F10" s="39"/>
      <c r="G10" s="417" t="s">
        <v>4</v>
      </c>
      <c r="H10" s="495"/>
      <c r="I10" s="469" t="s">
        <v>5</v>
      </c>
      <c r="J10" s="39" t="s">
        <v>6</v>
      </c>
    </row>
    <row r="11" spans="1:10" x14ac:dyDescent="0.35">
      <c r="B11" s="39"/>
      <c r="C11" s="39"/>
      <c r="D11" s="39"/>
      <c r="E11" s="39"/>
      <c r="F11" s="39"/>
      <c r="G11" s="39"/>
      <c r="H11" s="39"/>
      <c r="I11" s="51"/>
      <c r="J11" s="39"/>
    </row>
    <row r="12" spans="1:10" x14ac:dyDescent="0.35">
      <c r="A12" s="39">
        <v>1</v>
      </c>
      <c r="B12" s="44" t="s">
        <v>129</v>
      </c>
      <c r="I12" s="51"/>
      <c r="J12" s="39">
        <f>A12</f>
        <v>1</v>
      </c>
    </row>
    <row r="13" spans="1:10" x14ac:dyDescent="0.35">
      <c r="A13" s="39">
        <f>A12+1</f>
        <v>2</v>
      </c>
      <c r="B13" s="40" t="s">
        <v>130</v>
      </c>
      <c r="E13" s="39" t="s">
        <v>131</v>
      </c>
      <c r="G13" s="159">
        <v>6053573</v>
      </c>
      <c r="H13" s="495"/>
      <c r="I13" s="162"/>
      <c r="J13" s="39">
        <f>J12+1</f>
        <v>2</v>
      </c>
    </row>
    <row r="14" spans="1:10" x14ac:dyDescent="0.35">
      <c r="A14" s="39">
        <f t="shared" ref="A14:A66" si="0">A13+1</f>
        <v>3</v>
      </c>
      <c r="B14" s="40" t="s">
        <v>132</v>
      </c>
      <c r="E14" s="39" t="s">
        <v>133</v>
      </c>
      <c r="G14" s="160">
        <v>0</v>
      </c>
      <c r="H14" s="495"/>
      <c r="I14" s="162"/>
      <c r="J14" s="39">
        <f t="shared" ref="J14:J66" si="1">J13+1</f>
        <v>3</v>
      </c>
    </row>
    <row r="15" spans="1:10" x14ac:dyDescent="0.35">
      <c r="A15" s="39">
        <f t="shared" si="0"/>
        <v>4</v>
      </c>
      <c r="B15" s="40" t="s">
        <v>134</v>
      </c>
      <c r="E15" s="39" t="s">
        <v>135</v>
      </c>
      <c r="G15" s="160">
        <v>0</v>
      </c>
      <c r="H15" s="495"/>
      <c r="I15" s="162"/>
      <c r="J15" s="39">
        <f t="shared" si="1"/>
        <v>4</v>
      </c>
    </row>
    <row r="16" spans="1:10" x14ac:dyDescent="0.35">
      <c r="A16" s="39">
        <f t="shared" si="0"/>
        <v>5</v>
      </c>
      <c r="B16" s="40" t="s">
        <v>136</v>
      </c>
      <c r="E16" s="39" t="s">
        <v>137</v>
      </c>
      <c r="G16" s="160">
        <v>0</v>
      </c>
      <c r="H16" s="495"/>
      <c r="I16" s="162"/>
      <c r="J16" s="39">
        <f t="shared" si="1"/>
        <v>5</v>
      </c>
    </row>
    <row r="17" spans="1:10" x14ac:dyDescent="0.35">
      <c r="A17" s="39">
        <f t="shared" si="0"/>
        <v>6</v>
      </c>
      <c r="B17" s="40" t="s">
        <v>138</v>
      </c>
      <c r="E17" s="39" t="s">
        <v>139</v>
      </c>
      <c r="G17" s="160">
        <v>-13172.642</v>
      </c>
      <c r="H17" s="495"/>
      <c r="I17" s="162"/>
      <c r="J17" s="39">
        <f t="shared" si="1"/>
        <v>6</v>
      </c>
    </row>
    <row r="18" spans="1:10" x14ac:dyDescent="0.35">
      <c r="A18" s="39">
        <f t="shared" si="0"/>
        <v>7</v>
      </c>
      <c r="B18" s="40" t="s">
        <v>140</v>
      </c>
      <c r="G18" s="161">
        <f>SUM(G13:G17)</f>
        <v>6040400.358</v>
      </c>
      <c r="H18" s="155"/>
      <c r="I18" s="51" t="str">
        <f>"Sum Lines "&amp;A13&amp;" thru "&amp;A17</f>
        <v>Sum Lines 2 thru 6</v>
      </c>
      <c r="J18" s="39">
        <f t="shared" si="1"/>
        <v>7</v>
      </c>
    </row>
    <row r="19" spans="1:10" x14ac:dyDescent="0.35">
      <c r="A19" s="39">
        <f t="shared" si="0"/>
        <v>8</v>
      </c>
      <c r="I19" s="51"/>
      <c r="J19" s="39">
        <f t="shared" si="1"/>
        <v>8</v>
      </c>
    </row>
    <row r="20" spans="1:10" x14ac:dyDescent="0.35">
      <c r="A20" s="39">
        <f t="shared" si="0"/>
        <v>9</v>
      </c>
      <c r="B20" s="44" t="s">
        <v>141</v>
      </c>
      <c r="G20" s="38"/>
      <c r="H20" s="38"/>
      <c r="I20" s="51"/>
      <c r="J20" s="39">
        <f t="shared" si="1"/>
        <v>9</v>
      </c>
    </row>
    <row r="21" spans="1:10" x14ac:dyDescent="0.35">
      <c r="A21" s="39">
        <f t="shared" si="0"/>
        <v>10</v>
      </c>
      <c r="B21" s="40" t="s">
        <v>142</v>
      </c>
      <c r="E21" s="39" t="s">
        <v>143</v>
      </c>
      <c r="G21" s="159">
        <v>233778.584</v>
      </c>
      <c r="H21" s="495"/>
      <c r="I21" s="162"/>
      <c r="J21" s="39">
        <f t="shared" si="1"/>
        <v>10</v>
      </c>
    </row>
    <row r="22" spans="1:10" x14ac:dyDescent="0.35">
      <c r="A22" s="39">
        <f t="shared" si="0"/>
        <v>11</v>
      </c>
      <c r="B22" s="40" t="s">
        <v>144</v>
      </c>
      <c r="E22" s="39" t="s">
        <v>145</v>
      </c>
      <c r="G22" s="160">
        <v>4107.085</v>
      </c>
      <c r="H22" s="495"/>
      <c r="I22" s="162"/>
      <c r="J22" s="39">
        <f t="shared" si="1"/>
        <v>11</v>
      </c>
    </row>
    <row r="23" spans="1:10" x14ac:dyDescent="0.35">
      <c r="A23" s="39">
        <f t="shared" si="0"/>
        <v>12</v>
      </c>
      <c r="B23" s="40" t="s">
        <v>146</v>
      </c>
      <c r="E23" s="39" t="s">
        <v>147</v>
      </c>
      <c r="G23" s="160">
        <v>1449.7840000000001</v>
      </c>
      <c r="H23" s="495"/>
      <c r="I23" s="162"/>
      <c r="J23" s="39">
        <f t="shared" si="1"/>
        <v>12</v>
      </c>
    </row>
    <row r="24" spans="1:10" x14ac:dyDescent="0.35">
      <c r="A24" s="39">
        <f t="shared" si="0"/>
        <v>13</v>
      </c>
      <c r="B24" s="40" t="s">
        <v>148</v>
      </c>
      <c r="E24" s="39" t="s">
        <v>149</v>
      </c>
      <c r="G24" s="160">
        <v>0</v>
      </c>
      <c r="H24" s="495"/>
      <c r="I24" s="162"/>
      <c r="J24" s="39">
        <f t="shared" si="1"/>
        <v>13</v>
      </c>
    </row>
    <row r="25" spans="1:10" x14ac:dyDescent="0.35">
      <c r="A25" s="39">
        <f t="shared" si="0"/>
        <v>14</v>
      </c>
      <c r="B25" s="40" t="s">
        <v>150</v>
      </c>
      <c r="E25" s="39" t="s">
        <v>151</v>
      </c>
      <c r="G25" s="160">
        <v>0</v>
      </c>
      <c r="H25" s="495"/>
      <c r="I25" s="162"/>
      <c r="J25" s="39">
        <f t="shared" si="1"/>
        <v>14</v>
      </c>
    </row>
    <row r="26" spans="1:10" x14ac:dyDescent="0.35">
      <c r="A26" s="39">
        <f t="shared" si="0"/>
        <v>15</v>
      </c>
      <c r="B26" s="40" t="s">
        <v>152</v>
      </c>
      <c r="G26" s="163">
        <f>SUM(G21:G25)</f>
        <v>239335.45300000001</v>
      </c>
      <c r="H26" s="164"/>
      <c r="I26" s="51" t="str">
        <f>"Sum Lines "&amp;A21&amp;" thru "&amp;A25</f>
        <v>Sum Lines 10 thru 14</v>
      </c>
      <c r="J26" s="39">
        <f t="shared" si="1"/>
        <v>15</v>
      </c>
    </row>
    <row r="27" spans="1:10" x14ac:dyDescent="0.35">
      <c r="A27" s="39">
        <f t="shared" si="0"/>
        <v>16</v>
      </c>
      <c r="I27" s="51"/>
      <c r="J27" s="39">
        <f t="shared" si="1"/>
        <v>16</v>
      </c>
    </row>
    <row r="28" spans="1:10" ht="16" thickBot="1" x14ac:dyDescent="0.4">
      <c r="A28" s="39">
        <f t="shared" si="0"/>
        <v>17</v>
      </c>
      <c r="B28" s="44" t="s">
        <v>153</v>
      </c>
      <c r="G28" s="165">
        <f>G26/G18</f>
        <v>3.9622448648295373E-2</v>
      </c>
      <c r="H28" s="166"/>
      <c r="I28" s="51" t="str">
        <f>"Line "&amp;A26&amp;" / Line "&amp;A18</f>
        <v>Line 15 / Line 7</v>
      </c>
      <c r="J28" s="39">
        <f t="shared" si="1"/>
        <v>17</v>
      </c>
    </row>
    <row r="29" spans="1:10" ht="16" thickTop="1" x14ac:dyDescent="0.35">
      <c r="A29" s="39">
        <f t="shared" si="0"/>
        <v>18</v>
      </c>
      <c r="I29" s="51"/>
      <c r="J29" s="39">
        <f t="shared" si="1"/>
        <v>18</v>
      </c>
    </row>
    <row r="30" spans="1:10" x14ac:dyDescent="0.35">
      <c r="A30" s="39">
        <f t="shared" si="0"/>
        <v>19</v>
      </c>
      <c r="B30" s="44" t="s">
        <v>154</v>
      </c>
      <c r="I30" s="51"/>
      <c r="J30" s="39">
        <f t="shared" si="1"/>
        <v>19</v>
      </c>
    </row>
    <row r="31" spans="1:10" x14ac:dyDescent="0.35">
      <c r="A31" s="39">
        <f t="shared" si="0"/>
        <v>20</v>
      </c>
      <c r="B31" s="40" t="s">
        <v>155</v>
      </c>
      <c r="E31" s="39" t="s">
        <v>156</v>
      </c>
      <c r="G31" s="159">
        <v>0</v>
      </c>
      <c r="H31" s="495"/>
      <c r="I31" s="162"/>
      <c r="J31" s="39">
        <f t="shared" si="1"/>
        <v>20</v>
      </c>
    </row>
    <row r="32" spans="1:10" x14ac:dyDescent="0.35">
      <c r="A32" s="39">
        <f t="shared" si="0"/>
        <v>21</v>
      </c>
      <c r="B32" s="40" t="s">
        <v>157</v>
      </c>
      <c r="E32" s="39" t="s">
        <v>158</v>
      </c>
      <c r="G32" s="470">
        <v>0</v>
      </c>
      <c r="H32" s="495"/>
      <c r="I32" s="162"/>
      <c r="J32" s="39">
        <f t="shared" si="1"/>
        <v>21</v>
      </c>
    </row>
    <row r="33" spans="1:12" ht="16" thickBot="1" x14ac:dyDescent="0.4">
      <c r="A33" s="39">
        <f t="shared" si="0"/>
        <v>22</v>
      </c>
      <c r="B33" s="40" t="s">
        <v>159</v>
      </c>
      <c r="G33" s="165">
        <f>IFERROR((G32/G31),0)</f>
        <v>0</v>
      </c>
      <c r="H33" s="166"/>
      <c r="I33" s="51" t="str">
        <f>"Line "&amp;A32&amp;" / Line "&amp;A31</f>
        <v>Line 21 / Line 20</v>
      </c>
      <c r="J33" s="39">
        <f t="shared" si="1"/>
        <v>22</v>
      </c>
    </row>
    <row r="34" spans="1:12" ht="16" thickTop="1" x14ac:dyDescent="0.35">
      <c r="A34" s="39">
        <f t="shared" si="0"/>
        <v>23</v>
      </c>
      <c r="I34" s="51"/>
      <c r="J34" s="39">
        <f t="shared" si="1"/>
        <v>23</v>
      </c>
    </row>
    <row r="35" spans="1:12" x14ac:dyDescent="0.35">
      <c r="A35" s="39">
        <f t="shared" si="0"/>
        <v>24</v>
      </c>
      <c r="B35" s="44" t="s">
        <v>160</v>
      </c>
      <c r="I35" s="51"/>
      <c r="J35" s="39">
        <f t="shared" si="1"/>
        <v>24</v>
      </c>
    </row>
    <row r="36" spans="1:12" x14ac:dyDescent="0.35">
      <c r="A36" s="39">
        <f t="shared" si="0"/>
        <v>25</v>
      </c>
      <c r="B36" s="40" t="s">
        <v>161</v>
      </c>
      <c r="E36" s="39" t="s">
        <v>162</v>
      </c>
      <c r="G36" s="159">
        <v>7729413.6809999999</v>
      </c>
      <c r="H36" s="495"/>
      <c r="I36" s="162"/>
      <c r="J36" s="39">
        <f t="shared" si="1"/>
        <v>25</v>
      </c>
      <c r="K36" s="47"/>
      <c r="L36" s="471"/>
    </row>
    <row r="37" spans="1:12" x14ac:dyDescent="0.35">
      <c r="A37" s="39">
        <f t="shared" si="0"/>
        <v>26</v>
      </c>
      <c r="B37" s="40" t="s">
        <v>163</v>
      </c>
      <c r="E37" s="39" t="s">
        <v>156</v>
      </c>
      <c r="G37" s="167">
        <v>0</v>
      </c>
      <c r="H37" s="167"/>
      <c r="I37" s="51" t="str">
        <f>"Negative of Line "&amp;A31&amp;" Above"</f>
        <v>Negative of Line 20 Above</v>
      </c>
      <c r="J37" s="39">
        <f t="shared" si="1"/>
        <v>26</v>
      </c>
    </row>
    <row r="38" spans="1:12" x14ac:dyDescent="0.35">
      <c r="A38" s="39">
        <f t="shared" si="0"/>
        <v>27</v>
      </c>
      <c r="B38" s="40" t="s">
        <v>164</v>
      </c>
      <c r="E38" s="39" t="s">
        <v>165</v>
      </c>
      <c r="G38" s="160">
        <v>0</v>
      </c>
      <c r="H38" s="495"/>
      <c r="I38" s="162"/>
      <c r="J38" s="39">
        <f t="shared" si="1"/>
        <v>27</v>
      </c>
    </row>
    <row r="39" spans="1:12" x14ac:dyDescent="0.35">
      <c r="A39" s="39">
        <f t="shared" si="0"/>
        <v>28</v>
      </c>
      <c r="B39" s="40" t="s">
        <v>166</v>
      </c>
      <c r="E39" s="39" t="s">
        <v>167</v>
      </c>
      <c r="G39" s="160">
        <v>10034.102000000001</v>
      </c>
      <c r="H39" s="495"/>
      <c r="I39" s="162"/>
      <c r="J39" s="39">
        <f t="shared" si="1"/>
        <v>28</v>
      </c>
    </row>
    <row r="40" spans="1:12" ht="16" thickBot="1" x14ac:dyDescent="0.4">
      <c r="A40" s="39">
        <f t="shared" si="0"/>
        <v>29</v>
      </c>
      <c r="B40" s="40" t="s">
        <v>168</v>
      </c>
      <c r="G40" s="168">
        <f>SUM(G36:G39)</f>
        <v>7739447.7829999998</v>
      </c>
      <c r="H40" s="169"/>
      <c r="I40" s="51" t="str">
        <f>"Sum Lines "&amp;A36&amp;" thru "&amp;A39</f>
        <v>Sum Lines 25 thru 28</v>
      </c>
      <c r="J40" s="39">
        <f t="shared" si="1"/>
        <v>29</v>
      </c>
    </row>
    <row r="41" spans="1:12" ht="16.5" thickTop="1" thickBot="1" x14ac:dyDescent="0.4">
      <c r="A41" s="170">
        <f t="shared" si="0"/>
        <v>30</v>
      </c>
      <c r="B41" s="84"/>
      <c r="C41" s="84"/>
      <c r="D41" s="84"/>
      <c r="E41" s="84"/>
      <c r="F41" s="84"/>
      <c r="G41" s="84"/>
      <c r="H41" s="84"/>
      <c r="I41" s="171"/>
      <c r="J41" s="170">
        <f t="shared" si="1"/>
        <v>30</v>
      </c>
    </row>
    <row r="42" spans="1:12" x14ac:dyDescent="0.35">
      <c r="A42" s="39">
        <f>A41+1</f>
        <v>31</v>
      </c>
      <c r="I42" s="51"/>
      <c r="J42" s="39">
        <f>J41+1</f>
        <v>31</v>
      </c>
    </row>
    <row r="43" spans="1:12" ht="19" thickBot="1" x14ac:dyDescent="0.4">
      <c r="A43" s="39">
        <f>A42+1</f>
        <v>32</v>
      </c>
      <c r="B43" s="44" t="s">
        <v>342</v>
      </c>
      <c r="G43" s="172">
        <v>0.106</v>
      </c>
      <c r="H43" s="495"/>
      <c r="I43" s="39" t="s">
        <v>169</v>
      </c>
      <c r="J43" s="39">
        <f>J42+1</f>
        <v>32</v>
      </c>
    </row>
    <row r="44" spans="1:12" ht="16" thickTop="1" x14ac:dyDescent="0.35">
      <c r="A44" s="39">
        <f t="shared" si="0"/>
        <v>33</v>
      </c>
      <c r="C44" s="70" t="s">
        <v>10</v>
      </c>
      <c r="D44" s="70" t="s">
        <v>56</v>
      </c>
      <c r="E44" s="70" t="s">
        <v>170</v>
      </c>
      <c r="F44" s="70"/>
      <c r="G44" s="70" t="s">
        <v>171</v>
      </c>
      <c r="H44" s="70"/>
      <c r="I44" s="51"/>
      <c r="J44" s="39">
        <f t="shared" si="1"/>
        <v>33</v>
      </c>
    </row>
    <row r="45" spans="1:12" x14ac:dyDescent="0.35">
      <c r="A45" s="39">
        <f t="shared" si="0"/>
        <v>34</v>
      </c>
      <c r="D45" s="39" t="s">
        <v>172</v>
      </c>
      <c r="E45" s="39" t="s">
        <v>173</v>
      </c>
      <c r="F45" s="39"/>
      <c r="G45" s="39" t="s">
        <v>174</v>
      </c>
      <c r="H45" s="39"/>
      <c r="I45" s="51"/>
      <c r="J45" s="39">
        <f t="shared" si="1"/>
        <v>34</v>
      </c>
    </row>
    <row r="46" spans="1:12" ht="18" x14ac:dyDescent="0.35">
      <c r="A46" s="39">
        <f t="shared" si="0"/>
        <v>35</v>
      </c>
      <c r="B46" s="44" t="s">
        <v>175</v>
      </c>
      <c r="C46" s="416" t="s">
        <v>176</v>
      </c>
      <c r="D46" s="416" t="s">
        <v>177</v>
      </c>
      <c r="E46" s="416" t="s">
        <v>178</v>
      </c>
      <c r="F46" s="416"/>
      <c r="G46" s="416" t="s">
        <v>179</v>
      </c>
      <c r="H46" s="39"/>
      <c r="I46" s="51"/>
      <c r="J46" s="39">
        <f t="shared" si="1"/>
        <v>35</v>
      </c>
    </row>
    <row r="47" spans="1:12" x14ac:dyDescent="0.35">
      <c r="A47" s="39">
        <f t="shared" si="0"/>
        <v>36</v>
      </c>
      <c r="I47" s="51"/>
      <c r="J47" s="39">
        <f t="shared" si="1"/>
        <v>36</v>
      </c>
    </row>
    <row r="48" spans="1:12" x14ac:dyDescent="0.35">
      <c r="A48" s="39">
        <f t="shared" si="0"/>
        <v>37</v>
      </c>
      <c r="B48" s="40" t="s">
        <v>180</v>
      </c>
      <c r="C48" s="62">
        <f>G18</f>
        <v>6040400.358</v>
      </c>
      <c r="D48" s="173">
        <f>C48/C$51</f>
        <v>0.43835028486472494</v>
      </c>
      <c r="E48" s="174">
        <f>G28</f>
        <v>3.9622448648295373E-2</v>
      </c>
      <c r="G48" s="175">
        <f>D48*E48</f>
        <v>1.7368511652018213E-2</v>
      </c>
      <c r="H48" s="175"/>
      <c r="I48" s="51" t="str">
        <f>"Col. c = Line "&amp;A28&amp;" Above"</f>
        <v>Col. c = Line 17 Above</v>
      </c>
      <c r="J48" s="39">
        <f t="shared" si="1"/>
        <v>37</v>
      </c>
    </row>
    <row r="49" spans="1:10" x14ac:dyDescent="0.35">
      <c r="A49" s="39">
        <f t="shared" si="0"/>
        <v>38</v>
      </c>
      <c r="B49" s="40" t="s">
        <v>181</v>
      </c>
      <c r="C49" s="176">
        <f>G31</f>
        <v>0</v>
      </c>
      <c r="D49" s="173">
        <f>C49/C$51</f>
        <v>0</v>
      </c>
      <c r="E49" s="174">
        <f>G33</f>
        <v>0</v>
      </c>
      <c r="G49" s="175">
        <f>D49*E49</f>
        <v>0</v>
      </c>
      <c r="H49" s="175"/>
      <c r="I49" s="51" t="str">
        <f>"Col. c = Line "&amp;A33&amp;" Above"</f>
        <v>Col. c = Line 22 Above</v>
      </c>
      <c r="J49" s="39">
        <f t="shared" si="1"/>
        <v>38</v>
      </c>
    </row>
    <row r="50" spans="1:10" x14ac:dyDescent="0.35">
      <c r="A50" s="39">
        <f t="shared" si="0"/>
        <v>39</v>
      </c>
      <c r="B50" s="40" t="s">
        <v>182</v>
      </c>
      <c r="C50" s="176">
        <f>G40</f>
        <v>7739447.7829999998</v>
      </c>
      <c r="D50" s="472">
        <f>C50/C$51</f>
        <v>0.56164971513527517</v>
      </c>
      <c r="E50" s="177">
        <f>G43</f>
        <v>0.106</v>
      </c>
      <c r="G50" s="473">
        <f>D50*E50</f>
        <v>5.9534869804339169E-2</v>
      </c>
      <c r="H50" s="166"/>
      <c r="I50" s="51" t="str">
        <f>"Col. c = Line "&amp;A43&amp;" Above"</f>
        <v>Col. c = Line 32 Above</v>
      </c>
      <c r="J50" s="39">
        <f t="shared" si="1"/>
        <v>39</v>
      </c>
    </row>
    <row r="51" spans="1:10" ht="16" thickBot="1" x14ac:dyDescent="0.4">
      <c r="A51" s="39">
        <f t="shared" si="0"/>
        <v>40</v>
      </c>
      <c r="B51" s="40" t="s">
        <v>183</v>
      </c>
      <c r="C51" s="178">
        <f>SUM(C48:C50)</f>
        <v>13779848.140999999</v>
      </c>
      <c r="D51" s="179">
        <f>SUM(D48:D50)</f>
        <v>1</v>
      </c>
      <c r="G51" s="165">
        <f>SUM(G48:G50)</f>
        <v>7.6903381456357389E-2</v>
      </c>
      <c r="H51" s="166"/>
      <c r="I51" s="51" t="str">
        <f>"Sum Lines "&amp;A48&amp;" thru "&amp;A50</f>
        <v>Sum Lines 37 thru 39</v>
      </c>
      <c r="J51" s="39">
        <f t="shared" si="1"/>
        <v>40</v>
      </c>
    </row>
    <row r="52" spans="1:10" ht="16" thickTop="1" x14ac:dyDescent="0.35">
      <c r="A52" s="39">
        <f t="shared" si="0"/>
        <v>41</v>
      </c>
      <c r="I52" s="51"/>
      <c r="J52" s="39">
        <f t="shared" si="1"/>
        <v>41</v>
      </c>
    </row>
    <row r="53" spans="1:10" ht="16" thickBot="1" x14ac:dyDescent="0.4">
      <c r="A53" s="39">
        <f t="shared" si="0"/>
        <v>42</v>
      </c>
      <c r="B53" s="44" t="s">
        <v>184</v>
      </c>
      <c r="G53" s="165">
        <f>G49+G50</f>
        <v>5.9534869804339169E-2</v>
      </c>
      <c r="H53" s="166"/>
      <c r="I53" s="51" t="str">
        <f>"Line "&amp;A49&amp;" + Line "&amp;A50&amp;"; Col. d"</f>
        <v>Line 38 + Line 39; Col. d</v>
      </c>
      <c r="J53" s="39">
        <f t="shared" si="1"/>
        <v>42</v>
      </c>
    </row>
    <row r="54" spans="1:10" ht="16.5" thickTop="1" thickBot="1" x14ac:dyDescent="0.4">
      <c r="A54" s="170">
        <f t="shared" si="0"/>
        <v>43</v>
      </c>
      <c r="B54" s="183"/>
      <c r="C54" s="84"/>
      <c r="D54" s="84"/>
      <c r="E54" s="84"/>
      <c r="F54" s="84"/>
      <c r="G54" s="474"/>
      <c r="H54" s="474"/>
      <c r="I54" s="171"/>
      <c r="J54" s="170">
        <f t="shared" si="1"/>
        <v>43</v>
      </c>
    </row>
    <row r="55" spans="1:10" x14ac:dyDescent="0.35">
      <c r="A55" s="39">
        <f t="shared" si="0"/>
        <v>44</v>
      </c>
      <c r="B55" s="44"/>
      <c r="G55" s="177"/>
      <c r="H55" s="177"/>
      <c r="I55" s="51"/>
      <c r="J55" s="39">
        <f t="shared" si="1"/>
        <v>44</v>
      </c>
    </row>
    <row r="56" spans="1:10" ht="16" thickBot="1" x14ac:dyDescent="0.4">
      <c r="A56" s="39">
        <f t="shared" si="0"/>
        <v>45</v>
      </c>
      <c r="B56" s="44" t="s">
        <v>333</v>
      </c>
      <c r="G56" s="475">
        <v>0</v>
      </c>
      <c r="H56" s="177"/>
      <c r="I56" s="51" t="s">
        <v>19</v>
      </c>
      <c r="J56" s="39">
        <f t="shared" si="1"/>
        <v>45</v>
      </c>
    </row>
    <row r="57" spans="1:10" ht="16" thickTop="1" x14ac:dyDescent="0.35">
      <c r="A57" s="39">
        <f t="shared" si="0"/>
        <v>46</v>
      </c>
      <c r="C57" s="70" t="s">
        <v>10</v>
      </c>
      <c r="D57" s="70" t="s">
        <v>56</v>
      </c>
      <c r="E57" s="70" t="s">
        <v>170</v>
      </c>
      <c r="F57" s="70"/>
      <c r="G57" s="70" t="s">
        <v>171</v>
      </c>
      <c r="H57" s="177"/>
      <c r="I57" s="51"/>
      <c r="J57" s="39">
        <f t="shared" si="1"/>
        <v>46</v>
      </c>
    </row>
    <row r="58" spans="1:10" x14ac:dyDescent="0.35">
      <c r="A58" s="39">
        <f t="shared" si="0"/>
        <v>47</v>
      </c>
      <c r="D58" s="39" t="s">
        <v>172</v>
      </c>
      <c r="E58" s="39" t="s">
        <v>173</v>
      </c>
      <c r="F58" s="39"/>
      <c r="G58" s="39" t="s">
        <v>174</v>
      </c>
      <c r="H58" s="177"/>
      <c r="I58" s="51"/>
      <c r="J58" s="39">
        <f t="shared" si="1"/>
        <v>47</v>
      </c>
    </row>
    <row r="59" spans="1:10" ht="18" x14ac:dyDescent="0.35">
      <c r="A59" s="39">
        <f t="shared" si="0"/>
        <v>48</v>
      </c>
      <c r="B59" s="44" t="s">
        <v>186</v>
      </c>
      <c r="C59" s="416" t="s">
        <v>176</v>
      </c>
      <c r="D59" s="416" t="s">
        <v>177</v>
      </c>
      <c r="E59" s="416" t="s">
        <v>178</v>
      </c>
      <c r="F59" s="416"/>
      <c r="G59" s="416" t="s">
        <v>179</v>
      </c>
      <c r="H59" s="177"/>
      <c r="I59" s="51"/>
      <c r="J59" s="39">
        <f t="shared" si="1"/>
        <v>48</v>
      </c>
    </row>
    <row r="60" spans="1:10" x14ac:dyDescent="0.35">
      <c r="A60" s="39">
        <f t="shared" si="0"/>
        <v>49</v>
      </c>
      <c r="G60" s="177"/>
      <c r="H60" s="177"/>
      <c r="I60" s="51"/>
      <c r="J60" s="39">
        <f t="shared" si="1"/>
        <v>49</v>
      </c>
    </row>
    <row r="61" spans="1:10" x14ac:dyDescent="0.35">
      <c r="A61" s="39">
        <f t="shared" si="0"/>
        <v>50</v>
      </c>
      <c r="B61" s="40" t="s">
        <v>180</v>
      </c>
      <c r="C61" s="476">
        <v>0</v>
      </c>
      <c r="D61" s="477">
        <v>0</v>
      </c>
      <c r="E61" s="180">
        <v>0</v>
      </c>
      <c r="G61" s="175">
        <f>D61*E61</f>
        <v>0</v>
      </c>
      <c r="H61" s="177"/>
      <c r="I61" s="51" t="s">
        <v>19</v>
      </c>
      <c r="J61" s="39">
        <f t="shared" si="1"/>
        <v>50</v>
      </c>
    </row>
    <row r="62" spans="1:10" x14ac:dyDescent="0.35">
      <c r="A62" s="39">
        <f t="shared" si="0"/>
        <v>51</v>
      </c>
      <c r="B62" s="40" t="s">
        <v>181</v>
      </c>
      <c r="C62" s="478">
        <v>0</v>
      </c>
      <c r="D62" s="477">
        <v>0</v>
      </c>
      <c r="E62" s="180">
        <v>0</v>
      </c>
      <c r="G62" s="175">
        <f>D62*E62</f>
        <v>0</v>
      </c>
      <c r="H62" s="177"/>
      <c r="I62" s="51" t="s">
        <v>19</v>
      </c>
      <c r="J62" s="39">
        <f t="shared" si="1"/>
        <v>51</v>
      </c>
    </row>
    <row r="63" spans="1:10" x14ac:dyDescent="0.35">
      <c r="A63" s="39">
        <f t="shared" si="0"/>
        <v>52</v>
      </c>
      <c r="B63" s="40" t="s">
        <v>182</v>
      </c>
      <c r="C63" s="478">
        <v>0</v>
      </c>
      <c r="D63" s="479">
        <v>0</v>
      </c>
      <c r="E63" s="480">
        <v>0</v>
      </c>
      <c r="G63" s="473">
        <f>D63*E63</f>
        <v>0</v>
      </c>
      <c r="H63" s="177"/>
      <c r="I63" s="51" t="s">
        <v>19</v>
      </c>
      <c r="J63" s="39">
        <f t="shared" si="1"/>
        <v>52</v>
      </c>
    </row>
    <row r="64" spans="1:10" ht="16" thickBot="1" x14ac:dyDescent="0.4">
      <c r="A64" s="39">
        <f t="shared" si="0"/>
        <v>53</v>
      </c>
      <c r="B64" s="40" t="s">
        <v>183</v>
      </c>
      <c r="C64" s="178">
        <f>SUM(C61:C63)</f>
        <v>0</v>
      </c>
      <c r="D64" s="165">
        <f>SUM(D61:D63)</f>
        <v>0</v>
      </c>
      <c r="G64" s="165">
        <f>SUM(G61:G63)</f>
        <v>0</v>
      </c>
      <c r="H64" s="177"/>
      <c r="I64" s="51" t="str">
        <f>"Sum Lines "&amp;A61&amp;" thru "&amp;A63</f>
        <v>Sum Lines 50 thru 52</v>
      </c>
      <c r="J64" s="39">
        <f t="shared" si="1"/>
        <v>53</v>
      </c>
    </row>
    <row r="65" spans="1:10" ht="16" thickTop="1" x14ac:dyDescent="0.35">
      <c r="A65" s="39">
        <f t="shared" si="0"/>
        <v>54</v>
      </c>
      <c r="H65" s="177"/>
      <c r="I65" s="51"/>
      <c r="J65" s="39">
        <f t="shared" si="1"/>
        <v>54</v>
      </c>
    </row>
    <row r="66" spans="1:10" ht="16" thickBot="1" x14ac:dyDescent="0.4">
      <c r="A66" s="39">
        <f t="shared" si="0"/>
        <v>55</v>
      </c>
      <c r="B66" s="44" t="s">
        <v>187</v>
      </c>
      <c r="G66" s="165">
        <f>G62+G63</f>
        <v>0</v>
      </c>
      <c r="H66" s="177"/>
      <c r="I66" s="51" t="str">
        <f>"Line "&amp;A62&amp;" + Line "&amp;A63&amp;"; Col. d"</f>
        <v>Line 51 + Line 52; Col. d</v>
      </c>
      <c r="J66" s="39">
        <f t="shared" si="1"/>
        <v>55</v>
      </c>
    </row>
    <row r="67" spans="1:10" ht="16" thickTop="1" x14ac:dyDescent="0.35">
      <c r="B67" s="44"/>
      <c r="G67" s="177"/>
      <c r="H67" s="177"/>
      <c r="I67" s="51"/>
      <c r="J67" s="39"/>
    </row>
    <row r="68" spans="1:10" x14ac:dyDescent="0.35">
      <c r="B68" s="44"/>
      <c r="G68" s="177"/>
      <c r="H68" s="177"/>
      <c r="I68" s="51"/>
      <c r="J68" s="39"/>
    </row>
    <row r="69" spans="1:10" ht="18" x14ac:dyDescent="0.35">
      <c r="A69" s="69">
        <v>1</v>
      </c>
      <c r="B69" s="18" t="s">
        <v>185</v>
      </c>
      <c r="G69" s="65"/>
      <c r="H69" s="65"/>
      <c r="J69" s="39" t="s">
        <v>11</v>
      </c>
    </row>
    <row r="70" spans="1:10" ht="18" x14ac:dyDescent="0.35">
      <c r="A70" s="184"/>
      <c r="B70" s="390"/>
      <c r="G70" s="65"/>
      <c r="H70" s="65"/>
      <c r="J70" s="39"/>
    </row>
    <row r="71" spans="1:10" ht="18" x14ac:dyDescent="0.35">
      <c r="A71" s="69"/>
      <c r="B71" s="18"/>
      <c r="D71" s="39"/>
      <c r="G71" s="65"/>
      <c r="H71" s="65"/>
      <c r="I71" s="510"/>
      <c r="J71" s="39"/>
    </row>
    <row r="72" spans="1:10" x14ac:dyDescent="0.35">
      <c r="B72" s="782" t="s">
        <v>332</v>
      </c>
      <c r="C72" s="782"/>
      <c r="D72" s="782"/>
      <c r="E72" s="782"/>
      <c r="F72" s="782"/>
      <c r="G72" s="782"/>
      <c r="H72" s="782"/>
      <c r="I72" s="782"/>
      <c r="J72" s="39"/>
    </row>
    <row r="73" spans="1:10" x14ac:dyDescent="0.35">
      <c r="B73" s="782" t="s">
        <v>127</v>
      </c>
      <c r="C73" s="782"/>
      <c r="D73" s="782"/>
      <c r="E73" s="782"/>
      <c r="F73" s="782"/>
      <c r="G73" s="782"/>
      <c r="H73" s="782"/>
      <c r="I73" s="782"/>
      <c r="J73" s="39"/>
    </row>
    <row r="74" spans="1:10" x14ac:dyDescent="0.35">
      <c r="B74" s="782" t="s">
        <v>128</v>
      </c>
      <c r="C74" s="782"/>
      <c r="D74" s="782"/>
      <c r="E74" s="782"/>
      <c r="F74" s="782"/>
      <c r="G74" s="782"/>
      <c r="H74" s="782"/>
      <c r="I74" s="782"/>
      <c r="J74" s="39"/>
    </row>
    <row r="75" spans="1:10" x14ac:dyDescent="0.35">
      <c r="B75" s="785" t="str">
        <f>B6</f>
        <v>Base Period &amp; True-Up Period 12 - Months Ending December 31, 2020</v>
      </c>
      <c r="C75" s="785"/>
      <c r="D75" s="785"/>
      <c r="E75" s="785"/>
      <c r="F75" s="785"/>
      <c r="G75" s="785"/>
      <c r="H75" s="785"/>
      <c r="I75" s="785"/>
      <c r="J75" s="39"/>
    </row>
    <row r="76" spans="1:10" x14ac:dyDescent="0.35">
      <c r="B76" s="784" t="s">
        <v>1</v>
      </c>
      <c r="C76" s="786"/>
      <c r="D76" s="786"/>
      <c r="E76" s="786"/>
      <c r="F76" s="786"/>
      <c r="G76" s="786"/>
      <c r="H76" s="786"/>
      <c r="I76" s="786"/>
      <c r="J76" s="39"/>
    </row>
    <row r="77" spans="1:10" x14ac:dyDescent="0.35">
      <c r="B77" s="39"/>
      <c r="C77" s="39"/>
      <c r="D77" s="39"/>
      <c r="E77" s="39"/>
      <c r="F77" s="39"/>
      <c r="G77" s="39"/>
      <c r="H77" s="39"/>
      <c r="I77" s="51"/>
      <c r="J77" s="39"/>
    </row>
    <row r="78" spans="1:10" x14ac:dyDescent="0.35">
      <c r="A78" s="39" t="s">
        <v>2</v>
      </c>
      <c r="B78" s="495"/>
      <c r="C78" s="495"/>
      <c r="D78" s="495"/>
      <c r="E78" s="495"/>
      <c r="F78" s="495"/>
      <c r="G78" s="495"/>
      <c r="H78" s="495"/>
      <c r="I78" s="51"/>
      <c r="J78" s="39" t="s">
        <v>2</v>
      </c>
    </row>
    <row r="79" spans="1:10" x14ac:dyDescent="0.35">
      <c r="A79" s="39" t="s">
        <v>6</v>
      </c>
      <c r="B79" s="39"/>
      <c r="C79" s="39"/>
      <c r="D79" s="39"/>
      <c r="E79" s="39"/>
      <c r="F79" s="39"/>
      <c r="G79" s="416" t="s">
        <v>4</v>
      </c>
      <c r="H79" s="495"/>
      <c r="I79" s="469" t="s">
        <v>5</v>
      </c>
      <c r="J79" s="39" t="s">
        <v>6</v>
      </c>
    </row>
    <row r="80" spans="1:10" x14ac:dyDescent="0.35">
      <c r="G80" s="39"/>
      <c r="H80" s="39"/>
      <c r="I80" s="51"/>
      <c r="J80" s="39"/>
    </row>
    <row r="81" spans="1:13" ht="17.5" x14ac:dyDescent="0.35">
      <c r="A81" s="39">
        <v>1</v>
      </c>
      <c r="B81" s="44" t="s">
        <v>334</v>
      </c>
      <c r="E81" s="495"/>
      <c r="F81" s="495"/>
      <c r="G81" s="185"/>
      <c r="H81" s="185"/>
      <c r="I81" s="51"/>
      <c r="J81" s="39">
        <v>1</v>
      </c>
    </row>
    <row r="82" spans="1:13" x14ac:dyDescent="0.35">
      <c r="A82" s="39">
        <f>A81+1</f>
        <v>2</v>
      </c>
      <c r="B82" s="186"/>
      <c r="E82" s="495"/>
      <c r="F82" s="495"/>
      <c r="G82" s="185"/>
      <c r="H82" s="185"/>
      <c r="I82" s="51"/>
      <c r="J82" s="39">
        <f>J81+1</f>
        <v>2</v>
      </c>
    </row>
    <row r="83" spans="1:13" x14ac:dyDescent="0.35">
      <c r="A83" s="39">
        <f>A82+1</f>
        <v>3</v>
      </c>
      <c r="B83" s="44" t="s">
        <v>335</v>
      </c>
      <c r="E83" s="495"/>
      <c r="F83" s="495"/>
      <c r="G83" s="185"/>
      <c r="H83" s="185"/>
      <c r="I83" s="51"/>
      <c r="J83" s="39">
        <f>J82+1</f>
        <v>3</v>
      </c>
    </row>
    <row r="84" spans="1:13" x14ac:dyDescent="0.35">
      <c r="A84" s="39">
        <f>A83+1</f>
        <v>4</v>
      </c>
      <c r="B84" s="495"/>
      <c r="C84" s="495"/>
      <c r="D84" s="495"/>
      <c r="E84" s="495"/>
      <c r="F84" s="495"/>
      <c r="G84" s="185"/>
      <c r="H84" s="185"/>
      <c r="I84" s="51"/>
      <c r="J84" s="39">
        <f>J83+1</f>
        <v>4</v>
      </c>
    </row>
    <row r="85" spans="1:13" x14ac:dyDescent="0.35">
      <c r="A85" s="39">
        <f t="shared" ref="A85:A111" si="2">A84+1</f>
        <v>5</v>
      </c>
      <c r="B85" s="46" t="s">
        <v>188</v>
      </c>
      <c r="C85" s="495"/>
      <c r="D85" s="495"/>
      <c r="E85" s="495"/>
      <c r="F85" s="495"/>
      <c r="G85" s="185"/>
      <c r="H85" s="185"/>
      <c r="I85" s="187"/>
      <c r="J85" s="39">
        <f t="shared" ref="J85:J111" si="3">J84+1</f>
        <v>5</v>
      </c>
    </row>
    <row r="86" spans="1:13" x14ac:dyDescent="0.35">
      <c r="A86" s="39">
        <f t="shared" si="2"/>
        <v>6</v>
      </c>
      <c r="B86" s="40" t="s">
        <v>189</v>
      </c>
      <c r="D86" s="495"/>
      <c r="E86" s="495"/>
      <c r="F86" s="495"/>
      <c r="G86" s="188">
        <f>G53</f>
        <v>5.9534869804339169E-2</v>
      </c>
      <c r="H86" s="495"/>
      <c r="I86" s="51" t="str">
        <f>"AV1; Line "&amp;A53</f>
        <v>AV1; Line 42</v>
      </c>
      <c r="J86" s="39">
        <f t="shared" si="3"/>
        <v>6</v>
      </c>
      <c r="L86" s="39"/>
    </row>
    <row r="87" spans="1:13" x14ac:dyDescent="0.35">
      <c r="A87" s="39">
        <f t="shared" si="2"/>
        <v>7</v>
      </c>
      <c r="B87" s="40" t="s">
        <v>190</v>
      </c>
      <c r="D87" s="495"/>
      <c r="E87" s="495"/>
      <c r="F87" s="495"/>
      <c r="G87" s="189">
        <v>264.76299999999998</v>
      </c>
      <c r="H87" s="495"/>
      <c r="I87" s="51" t="s">
        <v>449</v>
      </c>
      <c r="J87" s="39">
        <f t="shared" si="3"/>
        <v>7</v>
      </c>
      <c r="L87" s="39"/>
    </row>
    <row r="88" spans="1:13" ht="18" x14ac:dyDescent="0.35">
      <c r="A88" s="39">
        <f t="shared" si="2"/>
        <v>8</v>
      </c>
      <c r="B88" s="40" t="s">
        <v>336</v>
      </c>
      <c r="D88" s="495"/>
      <c r="E88" s="495"/>
      <c r="F88" s="495"/>
      <c r="G88" s="190">
        <v>8264.7629899999993</v>
      </c>
      <c r="H88" s="495"/>
      <c r="I88" s="182" t="s">
        <v>450</v>
      </c>
      <c r="J88" s="39">
        <f t="shared" si="3"/>
        <v>8</v>
      </c>
      <c r="L88" s="495"/>
    </row>
    <row r="89" spans="1:13" x14ac:dyDescent="0.35">
      <c r="A89" s="39">
        <f t="shared" si="2"/>
        <v>9</v>
      </c>
      <c r="B89" s="40" t="s">
        <v>192</v>
      </c>
      <c r="D89" s="495"/>
      <c r="E89" s="191"/>
      <c r="F89" s="495"/>
      <c r="G89" s="192">
        <v>4521280.2903342741</v>
      </c>
      <c r="H89" s="25" t="s">
        <v>16</v>
      </c>
      <c r="I89" s="182" t="s">
        <v>647</v>
      </c>
      <c r="J89" s="39">
        <f t="shared" si="3"/>
        <v>9</v>
      </c>
    </row>
    <row r="90" spans="1:13" x14ac:dyDescent="0.35">
      <c r="A90" s="39">
        <f t="shared" si="2"/>
        <v>10</v>
      </c>
      <c r="B90" s="40" t="s">
        <v>193</v>
      </c>
      <c r="D90" s="193"/>
      <c r="E90" s="495"/>
      <c r="F90" s="495"/>
      <c r="G90" s="481">
        <v>0.21</v>
      </c>
      <c r="H90" s="495"/>
      <c r="I90" s="51" t="s">
        <v>194</v>
      </c>
      <c r="J90" s="39">
        <f t="shared" si="3"/>
        <v>10</v>
      </c>
      <c r="M90" s="194"/>
    </row>
    <row r="91" spans="1:13" x14ac:dyDescent="0.35">
      <c r="A91" s="39">
        <f t="shared" si="2"/>
        <v>11</v>
      </c>
      <c r="G91" s="39"/>
      <c r="H91" s="39"/>
      <c r="J91" s="39">
        <f t="shared" si="3"/>
        <v>11</v>
      </c>
    </row>
    <row r="92" spans="1:13" x14ac:dyDescent="0.35">
      <c r="A92" s="39">
        <f t="shared" si="2"/>
        <v>12</v>
      </c>
      <c r="B92" s="40" t="s">
        <v>195</v>
      </c>
      <c r="D92" s="495"/>
      <c r="E92" s="495"/>
      <c r="F92" s="495"/>
      <c r="G92" s="716">
        <f>(((G86)+(G88/G89))*G90-(G87/G89))/(1-G90)</f>
        <v>1.6237515164500366E-2</v>
      </c>
      <c r="H92" s="25" t="s">
        <v>16</v>
      </c>
      <c r="I92" s="51" t="s">
        <v>196</v>
      </c>
      <c r="J92" s="39">
        <f t="shared" si="3"/>
        <v>12</v>
      </c>
      <c r="M92" s="196"/>
    </row>
    <row r="93" spans="1:13" x14ac:dyDescent="0.35">
      <c r="A93" s="39">
        <f t="shared" si="2"/>
        <v>13</v>
      </c>
      <c r="B93" s="197" t="s">
        <v>197</v>
      </c>
      <c r="G93" s="39"/>
      <c r="H93" s="39"/>
      <c r="J93" s="39">
        <f t="shared" si="3"/>
        <v>13</v>
      </c>
    </row>
    <row r="94" spans="1:13" x14ac:dyDescent="0.35">
      <c r="A94" s="39">
        <f t="shared" si="2"/>
        <v>14</v>
      </c>
      <c r="G94" s="39"/>
      <c r="H94" s="39"/>
      <c r="J94" s="39">
        <f t="shared" si="3"/>
        <v>14</v>
      </c>
    </row>
    <row r="95" spans="1:13" x14ac:dyDescent="0.35">
      <c r="A95" s="39">
        <f t="shared" si="2"/>
        <v>15</v>
      </c>
      <c r="B95" s="44" t="s">
        <v>198</v>
      </c>
      <c r="C95" s="495"/>
      <c r="D95" s="495"/>
      <c r="E95" s="495"/>
      <c r="F95" s="495"/>
      <c r="G95" s="198"/>
      <c r="H95" s="198"/>
      <c r="I95" s="199"/>
      <c r="J95" s="39">
        <f t="shared" si="3"/>
        <v>15</v>
      </c>
      <c r="L95" s="200"/>
    </row>
    <row r="96" spans="1:13" x14ac:dyDescent="0.35">
      <c r="A96" s="39">
        <f t="shared" si="2"/>
        <v>16</v>
      </c>
      <c r="B96" s="55"/>
      <c r="C96" s="495"/>
      <c r="D96" s="495"/>
      <c r="E96" s="495"/>
      <c r="F96" s="495"/>
      <c r="G96" s="198"/>
      <c r="H96" s="198"/>
      <c r="I96" s="201"/>
      <c r="J96" s="39">
        <f t="shared" si="3"/>
        <v>16</v>
      </c>
      <c r="L96" s="495"/>
    </row>
    <row r="97" spans="1:13" x14ac:dyDescent="0.35">
      <c r="A97" s="39">
        <f t="shared" si="2"/>
        <v>17</v>
      </c>
      <c r="B97" s="46" t="s">
        <v>188</v>
      </c>
      <c r="C97" s="495"/>
      <c r="D97" s="495"/>
      <c r="E97" s="495"/>
      <c r="F97" s="495"/>
      <c r="G97" s="198"/>
      <c r="H97" s="198"/>
      <c r="I97" s="201"/>
      <c r="J97" s="39">
        <f t="shared" si="3"/>
        <v>17</v>
      </c>
      <c r="L97" s="495"/>
    </row>
    <row r="98" spans="1:13" x14ac:dyDescent="0.35">
      <c r="A98" s="39">
        <f t="shared" si="2"/>
        <v>18</v>
      </c>
      <c r="B98" s="40" t="s">
        <v>189</v>
      </c>
      <c r="D98" s="495"/>
      <c r="E98" s="495"/>
      <c r="F98" s="495"/>
      <c r="G98" s="173">
        <f>G86</f>
        <v>5.9534869804339169E-2</v>
      </c>
      <c r="H98" s="173"/>
      <c r="I98" s="51" t="str">
        <f>"Line "&amp;A86&amp;" Above"</f>
        <v>Line 6 Above</v>
      </c>
      <c r="J98" s="39">
        <f t="shared" si="3"/>
        <v>18</v>
      </c>
      <c r="L98" s="39"/>
    </row>
    <row r="99" spans="1:13" x14ac:dyDescent="0.35">
      <c r="A99" s="39">
        <f t="shared" si="2"/>
        <v>19</v>
      </c>
      <c r="B99" s="40" t="s">
        <v>199</v>
      </c>
      <c r="D99" s="495"/>
      <c r="E99" s="495"/>
      <c r="F99" s="495"/>
      <c r="G99" s="202">
        <f>G88</f>
        <v>8264.7629899999993</v>
      </c>
      <c r="H99" s="202"/>
      <c r="I99" s="51" t="str">
        <f>"Line "&amp;A88&amp;" Above"</f>
        <v>Line 8 Above</v>
      </c>
      <c r="J99" s="39">
        <f t="shared" si="3"/>
        <v>19</v>
      </c>
      <c r="L99" s="39"/>
    </row>
    <row r="100" spans="1:13" x14ac:dyDescent="0.35">
      <c r="A100" s="39">
        <f t="shared" si="2"/>
        <v>20</v>
      </c>
      <c r="B100" s="40" t="s">
        <v>200</v>
      </c>
      <c r="D100" s="495"/>
      <c r="E100" s="495"/>
      <c r="F100" s="495"/>
      <c r="G100" s="203">
        <f>G89</f>
        <v>4521280.2903342741</v>
      </c>
      <c r="H100" s="25" t="s">
        <v>16</v>
      </c>
      <c r="I100" s="51" t="str">
        <f>"Line "&amp;A89&amp;" Above"</f>
        <v>Line 9 Above</v>
      </c>
      <c r="J100" s="39">
        <f t="shared" si="3"/>
        <v>20</v>
      </c>
      <c r="L100" s="39"/>
    </row>
    <row r="101" spans="1:13" x14ac:dyDescent="0.35">
      <c r="A101" s="39">
        <f t="shared" si="2"/>
        <v>21</v>
      </c>
      <c r="B101" s="40" t="s">
        <v>201</v>
      </c>
      <c r="D101" s="495"/>
      <c r="E101" s="495"/>
      <c r="F101" s="495"/>
      <c r="G101" s="204">
        <f>G92</f>
        <v>1.6237515164500366E-2</v>
      </c>
      <c r="H101" s="25" t="s">
        <v>16</v>
      </c>
      <c r="I101" s="51" t="str">
        <f>"Line "&amp;A92&amp;" Above"</f>
        <v>Line 12 Above</v>
      </c>
      <c r="J101" s="39">
        <f t="shared" si="3"/>
        <v>21</v>
      </c>
    </row>
    <row r="102" spans="1:13" x14ac:dyDescent="0.35">
      <c r="A102" s="39">
        <f t="shared" si="2"/>
        <v>22</v>
      </c>
      <c r="B102" s="40" t="s">
        <v>202</v>
      </c>
      <c r="D102" s="495"/>
      <c r="E102" s="495"/>
      <c r="F102" s="495"/>
      <c r="G102" s="482" t="s">
        <v>203</v>
      </c>
      <c r="H102" s="495"/>
      <c r="I102" s="51" t="s">
        <v>204</v>
      </c>
      <c r="J102" s="39">
        <f t="shared" si="3"/>
        <v>22</v>
      </c>
    </row>
    <row r="103" spans="1:13" x14ac:dyDescent="0.35">
      <c r="A103" s="39">
        <f t="shared" si="2"/>
        <v>23</v>
      </c>
      <c r="B103" s="496"/>
      <c r="D103" s="495"/>
      <c r="E103" s="495"/>
      <c r="F103" s="495"/>
      <c r="G103" s="205"/>
      <c r="H103" s="205"/>
      <c r="I103" s="201"/>
      <c r="J103" s="39">
        <f t="shared" si="3"/>
        <v>23</v>
      </c>
    </row>
    <row r="104" spans="1:13" x14ac:dyDescent="0.35">
      <c r="A104" s="39">
        <f t="shared" si="2"/>
        <v>24</v>
      </c>
      <c r="B104" s="40" t="s">
        <v>205</v>
      </c>
      <c r="C104" s="39"/>
      <c r="D104" s="39"/>
      <c r="E104" s="495"/>
      <c r="F104" s="495"/>
      <c r="G104" s="483">
        <f>((G98)+(G99/G100)+G92)*G102/(1-G102)</f>
        <v>7.5250892334132909E-3</v>
      </c>
      <c r="H104" s="25"/>
      <c r="I104" s="51" t="s">
        <v>206</v>
      </c>
      <c r="J104" s="39">
        <f t="shared" si="3"/>
        <v>24</v>
      </c>
    </row>
    <row r="105" spans="1:13" x14ac:dyDescent="0.35">
      <c r="A105" s="39">
        <f t="shared" si="2"/>
        <v>25</v>
      </c>
      <c r="B105" s="197" t="s">
        <v>207</v>
      </c>
      <c r="G105" s="39"/>
      <c r="H105" s="39"/>
      <c r="I105" s="51"/>
      <c r="J105" s="39">
        <f t="shared" si="3"/>
        <v>25</v>
      </c>
      <c r="L105" s="39"/>
    </row>
    <row r="106" spans="1:13" x14ac:dyDescent="0.35">
      <c r="A106" s="39">
        <f t="shared" si="2"/>
        <v>26</v>
      </c>
      <c r="G106" s="39"/>
      <c r="H106" s="39"/>
      <c r="I106" s="51"/>
      <c r="J106" s="39">
        <f t="shared" si="3"/>
        <v>26</v>
      </c>
      <c r="L106" s="39"/>
    </row>
    <row r="107" spans="1:13" x14ac:dyDescent="0.35">
      <c r="A107" s="39">
        <f t="shared" si="2"/>
        <v>27</v>
      </c>
      <c r="B107" s="44" t="s">
        <v>208</v>
      </c>
      <c r="G107" s="716">
        <f>G104+G92</f>
        <v>2.3762604397913657E-2</v>
      </c>
      <c r="H107" s="25" t="s">
        <v>16</v>
      </c>
      <c r="I107" s="51" t="str">
        <f>"Line "&amp;A92&amp;" + Line "&amp;A104</f>
        <v>Line 12 + Line 24</v>
      </c>
      <c r="J107" s="39">
        <f t="shared" si="3"/>
        <v>27</v>
      </c>
      <c r="L107" s="39"/>
    </row>
    <row r="108" spans="1:13" x14ac:dyDescent="0.35">
      <c r="A108" s="39">
        <f t="shared" si="2"/>
        <v>28</v>
      </c>
      <c r="G108" s="39"/>
      <c r="H108" s="39"/>
      <c r="I108" s="51"/>
      <c r="J108" s="39">
        <f t="shared" si="3"/>
        <v>28</v>
      </c>
      <c r="L108" s="39"/>
    </row>
    <row r="109" spans="1:13" x14ac:dyDescent="0.35">
      <c r="A109" s="39">
        <f t="shared" si="2"/>
        <v>29</v>
      </c>
      <c r="B109" s="44" t="s">
        <v>209</v>
      </c>
      <c r="G109" s="484">
        <f>G51</f>
        <v>7.6903381456357389E-2</v>
      </c>
      <c r="H109" s="495"/>
      <c r="I109" s="51" t="str">
        <f>"AV1; Line "&amp;A51</f>
        <v>AV1; Line 40</v>
      </c>
      <c r="J109" s="39">
        <f t="shared" si="3"/>
        <v>29</v>
      </c>
      <c r="L109" s="39"/>
    </row>
    <row r="110" spans="1:13" x14ac:dyDescent="0.35">
      <c r="A110" s="39">
        <f t="shared" si="2"/>
        <v>30</v>
      </c>
      <c r="G110" s="173"/>
      <c r="H110" s="173"/>
      <c r="I110" s="51"/>
      <c r="J110" s="39">
        <f t="shared" si="3"/>
        <v>30</v>
      </c>
      <c r="L110" s="39"/>
    </row>
    <row r="111" spans="1:13" ht="18" thickBot="1" x14ac:dyDescent="0.4">
      <c r="A111" s="39">
        <f t="shared" si="2"/>
        <v>31</v>
      </c>
      <c r="B111" s="44" t="s">
        <v>337</v>
      </c>
      <c r="G111" s="207">
        <f>G107+G109</f>
        <v>0.10066598585427104</v>
      </c>
      <c r="H111" s="25"/>
      <c r="I111" s="51" t="str">
        <f>"Line "&amp;A107&amp;" + Line "&amp;A109</f>
        <v>Line 27 + Line 29</v>
      </c>
      <c r="J111" s="39">
        <f t="shared" si="3"/>
        <v>31</v>
      </c>
      <c r="L111" s="208"/>
      <c r="M111" s="196"/>
    </row>
    <row r="112" spans="1:13" ht="16" thickTop="1" x14ac:dyDescent="0.35">
      <c r="B112" s="44"/>
      <c r="G112" s="206"/>
      <c r="H112" s="206"/>
      <c r="I112" s="51"/>
      <c r="J112" s="39"/>
      <c r="L112" s="208"/>
      <c r="M112" s="196"/>
    </row>
    <row r="113" spans="1:13" x14ac:dyDescent="0.35">
      <c r="B113" s="44"/>
      <c r="G113" s="210"/>
      <c r="H113" s="210"/>
      <c r="I113" s="51"/>
      <c r="J113" s="39"/>
      <c r="L113" s="208"/>
      <c r="M113" s="196"/>
    </row>
    <row r="114" spans="1:13" x14ac:dyDescent="0.35">
      <c r="A114" s="25" t="s">
        <v>16</v>
      </c>
      <c r="B114" s="22" t="s">
        <v>648</v>
      </c>
      <c r="G114" s="210"/>
      <c r="H114" s="210"/>
      <c r="I114" s="51"/>
      <c r="J114" s="39"/>
      <c r="L114" s="208"/>
      <c r="M114" s="196"/>
    </row>
    <row r="115" spans="1:13" x14ac:dyDescent="0.35">
      <c r="A115" s="25"/>
      <c r="B115" s="22" t="s">
        <v>649</v>
      </c>
      <c r="G115" s="210"/>
      <c r="H115" s="210"/>
      <c r="I115" s="51"/>
      <c r="J115" s="39"/>
      <c r="L115" s="208"/>
      <c r="M115" s="196"/>
    </row>
    <row r="116" spans="1:13" ht="18.5" x14ac:dyDescent="0.35">
      <c r="A116" s="485">
        <v>1</v>
      </c>
      <c r="B116" s="18" t="s">
        <v>338</v>
      </c>
      <c r="G116" s="210"/>
      <c r="H116" s="210"/>
      <c r="I116" s="51"/>
      <c r="J116" s="39"/>
      <c r="L116" s="208"/>
      <c r="M116" s="196"/>
    </row>
    <row r="117" spans="1:13" ht="18.5" x14ac:dyDescent="0.35">
      <c r="A117" s="485"/>
      <c r="B117" s="18"/>
      <c r="G117" s="210"/>
      <c r="H117" s="210"/>
      <c r="I117" s="51"/>
      <c r="J117" s="39"/>
      <c r="L117" s="208"/>
      <c r="M117" s="196"/>
    </row>
    <row r="118" spans="1:13" x14ac:dyDescent="0.35">
      <c r="A118" s="211"/>
      <c r="B118" s="496"/>
      <c r="C118" s="41"/>
      <c r="D118" s="41"/>
      <c r="E118" s="41"/>
      <c r="F118" s="41"/>
      <c r="G118" s="212"/>
      <c r="H118" s="212"/>
      <c r="I118" s="486"/>
      <c r="J118" s="39"/>
    </row>
    <row r="119" spans="1:13" x14ac:dyDescent="0.35">
      <c r="B119" s="782" t="s">
        <v>24</v>
      </c>
      <c r="C119" s="782"/>
      <c r="D119" s="782"/>
      <c r="E119" s="782"/>
      <c r="F119" s="782"/>
      <c r="G119" s="782"/>
      <c r="H119" s="782"/>
      <c r="I119" s="782"/>
    </row>
    <row r="120" spans="1:13" x14ac:dyDescent="0.35">
      <c r="B120" s="782" t="s">
        <v>127</v>
      </c>
      <c r="C120" s="782"/>
      <c r="D120" s="782"/>
      <c r="E120" s="782"/>
      <c r="F120" s="782"/>
      <c r="G120" s="782"/>
      <c r="H120" s="782"/>
      <c r="I120" s="782"/>
    </row>
    <row r="121" spans="1:13" x14ac:dyDescent="0.35">
      <c r="B121" s="782" t="s">
        <v>128</v>
      </c>
      <c r="C121" s="782"/>
      <c r="D121" s="782"/>
      <c r="E121" s="782"/>
      <c r="F121" s="782"/>
      <c r="G121" s="782"/>
      <c r="H121" s="782"/>
      <c r="I121" s="782"/>
    </row>
    <row r="122" spans="1:13" x14ac:dyDescent="0.35">
      <c r="B122" s="785" t="str">
        <f>B6</f>
        <v>Base Period &amp; True-Up Period 12 - Months Ending December 31, 2020</v>
      </c>
      <c r="C122" s="785"/>
      <c r="D122" s="785"/>
      <c r="E122" s="785"/>
      <c r="F122" s="785"/>
      <c r="G122" s="785"/>
      <c r="H122" s="785"/>
      <c r="I122" s="785"/>
    </row>
    <row r="123" spans="1:13" x14ac:dyDescent="0.35">
      <c r="B123" s="784" t="s">
        <v>1</v>
      </c>
      <c r="C123" s="786"/>
      <c r="D123" s="786"/>
      <c r="E123" s="786"/>
      <c r="F123" s="786"/>
      <c r="G123" s="786"/>
      <c r="H123" s="786"/>
      <c r="I123" s="786"/>
    </row>
    <row r="125" spans="1:13" x14ac:dyDescent="0.35">
      <c r="A125" s="39" t="s">
        <v>2</v>
      </c>
      <c r="B125" s="495"/>
      <c r="C125" s="495"/>
      <c r="D125" s="495"/>
      <c r="E125" s="495"/>
      <c r="F125" s="495"/>
      <c r="G125" s="495"/>
      <c r="H125" s="495"/>
      <c r="I125" s="51"/>
      <c r="J125" s="39" t="s">
        <v>2</v>
      </c>
    </row>
    <row r="126" spans="1:13" x14ac:dyDescent="0.35">
      <c r="A126" s="39" t="s">
        <v>6</v>
      </c>
      <c r="B126" s="39"/>
      <c r="C126" s="39"/>
      <c r="D126" s="39"/>
      <c r="E126" s="39"/>
      <c r="F126" s="39"/>
      <c r="G126" s="416" t="s">
        <v>4</v>
      </c>
      <c r="H126" s="495"/>
      <c r="I126" s="469" t="s">
        <v>5</v>
      </c>
      <c r="J126" s="39" t="s">
        <v>6</v>
      </c>
    </row>
    <row r="128" spans="1:13" ht="17.5" x14ac:dyDescent="0.35">
      <c r="A128" s="39">
        <v>1</v>
      </c>
      <c r="B128" s="44" t="s">
        <v>339</v>
      </c>
      <c r="J128" s="39">
        <v>1</v>
      </c>
    </row>
    <row r="129" spans="1:10" x14ac:dyDescent="0.35">
      <c r="A129" s="39">
        <f>A128+1</f>
        <v>2</v>
      </c>
      <c r="B129" s="186"/>
      <c r="J129" s="39">
        <f>J128+1</f>
        <v>2</v>
      </c>
    </row>
    <row r="130" spans="1:10" x14ac:dyDescent="0.35">
      <c r="A130" s="39">
        <f>A129+1</f>
        <v>3</v>
      </c>
      <c r="B130" s="44" t="s">
        <v>335</v>
      </c>
      <c r="J130" s="39">
        <f>J129+1</f>
        <v>3</v>
      </c>
    </row>
    <row r="131" spans="1:10" x14ac:dyDescent="0.35">
      <c r="A131" s="39">
        <f>A130+1</f>
        <v>4</v>
      </c>
      <c r="B131" s="495"/>
      <c r="J131" s="39">
        <f>J130+1</f>
        <v>4</v>
      </c>
    </row>
    <row r="132" spans="1:10" x14ac:dyDescent="0.35">
      <c r="A132" s="39">
        <f t="shared" ref="A132:A158" si="4">A131+1</f>
        <v>5</v>
      </c>
      <c r="B132" s="46" t="s">
        <v>188</v>
      </c>
      <c r="J132" s="39">
        <f t="shared" ref="J132:J158" si="5">J131+1</f>
        <v>5</v>
      </c>
    </row>
    <row r="133" spans="1:10" x14ac:dyDescent="0.35">
      <c r="A133" s="39">
        <f t="shared" si="4"/>
        <v>6</v>
      </c>
      <c r="B133" s="40" t="str">
        <f>B86</f>
        <v xml:space="preserve">     A = Sum of Preferred Stock and Return on Equity Component</v>
      </c>
      <c r="G133" s="188">
        <f>G66</f>
        <v>0</v>
      </c>
      <c r="I133" s="51" t="str">
        <f>"AV1; Line "&amp;A66</f>
        <v>AV1; Line 55</v>
      </c>
      <c r="J133" s="39">
        <f t="shared" si="5"/>
        <v>6</v>
      </c>
    </row>
    <row r="134" spans="1:10" x14ac:dyDescent="0.35">
      <c r="A134" s="39">
        <f t="shared" si="4"/>
        <v>7</v>
      </c>
      <c r="B134" s="40" t="str">
        <f>B87</f>
        <v xml:space="preserve">     B = Transmission Total Federal Tax Adjustments</v>
      </c>
      <c r="G134" s="209">
        <v>0</v>
      </c>
      <c r="I134" s="182" t="s">
        <v>19</v>
      </c>
      <c r="J134" s="39">
        <f t="shared" si="5"/>
        <v>7</v>
      </c>
    </row>
    <row r="135" spans="1:10" x14ac:dyDescent="0.35">
      <c r="A135" s="39">
        <f t="shared" si="4"/>
        <v>8</v>
      </c>
      <c r="B135" s="40" t="s">
        <v>191</v>
      </c>
      <c r="G135" s="487">
        <v>0</v>
      </c>
      <c r="I135" s="182" t="s">
        <v>19</v>
      </c>
      <c r="J135" s="39">
        <f t="shared" si="5"/>
        <v>8</v>
      </c>
    </row>
    <row r="136" spans="1:10" x14ac:dyDescent="0.35">
      <c r="A136" s="39">
        <f t="shared" si="4"/>
        <v>9</v>
      </c>
      <c r="B136" s="40" t="s">
        <v>210</v>
      </c>
      <c r="G136" s="487">
        <v>0</v>
      </c>
      <c r="I136" s="182" t="s">
        <v>19</v>
      </c>
      <c r="J136" s="39">
        <f t="shared" si="5"/>
        <v>9</v>
      </c>
    </row>
    <row r="137" spans="1:10" x14ac:dyDescent="0.35">
      <c r="A137" s="39">
        <f t="shared" si="4"/>
        <v>10</v>
      </c>
      <c r="B137" s="40" t="str">
        <f>B90</f>
        <v xml:space="preserve">     FT = Federal Income Tax Rate for Rate Effective Period</v>
      </c>
      <c r="G137" s="488">
        <f>G90</f>
        <v>0.21</v>
      </c>
      <c r="I137" s="51" t="str">
        <f>"AV2; Line "&amp;A90</f>
        <v>AV2; Line 10</v>
      </c>
      <c r="J137" s="39">
        <f t="shared" si="5"/>
        <v>10</v>
      </c>
    </row>
    <row r="138" spans="1:10" x14ac:dyDescent="0.35">
      <c r="A138" s="39">
        <f t="shared" si="4"/>
        <v>11</v>
      </c>
      <c r="G138" s="39"/>
      <c r="J138" s="39">
        <f t="shared" si="5"/>
        <v>11</v>
      </c>
    </row>
    <row r="139" spans="1:10" x14ac:dyDescent="0.35">
      <c r="A139" s="39">
        <f t="shared" si="4"/>
        <v>12</v>
      </c>
      <c r="B139" s="40" t="s">
        <v>211</v>
      </c>
      <c r="G139" s="195">
        <f>IFERROR((((G133)+(G135/G136))*G137-(G134/G136))/(1-G137),0)</f>
        <v>0</v>
      </c>
      <c r="I139" s="51" t="s">
        <v>212</v>
      </c>
      <c r="J139" s="39">
        <f t="shared" si="5"/>
        <v>12</v>
      </c>
    </row>
    <row r="140" spans="1:10" x14ac:dyDescent="0.35">
      <c r="A140" s="39">
        <f t="shared" si="4"/>
        <v>13</v>
      </c>
      <c r="B140" s="197" t="s">
        <v>197</v>
      </c>
      <c r="G140" s="181"/>
      <c r="J140" s="39">
        <f t="shared" si="5"/>
        <v>13</v>
      </c>
    </row>
    <row r="141" spans="1:10" x14ac:dyDescent="0.35">
      <c r="A141" s="39">
        <f t="shared" si="4"/>
        <v>14</v>
      </c>
      <c r="G141" s="39"/>
      <c r="J141" s="39">
        <f t="shared" si="5"/>
        <v>14</v>
      </c>
    </row>
    <row r="142" spans="1:10" x14ac:dyDescent="0.35">
      <c r="A142" s="39">
        <f t="shared" si="4"/>
        <v>15</v>
      </c>
      <c r="B142" s="44" t="s">
        <v>198</v>
      </c>
      <c r="G142" s="198"/>
      <c r="I142" s="199"/>
      <c r="J142" s="39">
        <f t="shared" si="5"/>
        <v>15</v>
      </c>
    </row>
    <row r="143" spans="1:10" x14ac:dyDescent="0.35">
      <c r="A143" s="39">
        <f t="shared" si="4"/>
        <v>16</v>
      </c>
      <c r="B143" s="55"/>
      <c r="G143" s="198"/>
      <c r="I143" s="187"/>
      <c r="J143" s="39">
        <f t="shared" si="5"/>
        <v>16</v>
      </c>
    </row>
    <row r="144" spans="1:10" x14ac:dyDescent="0.35">
      <c r="A144" s="39">
        <f t="shared" si="4"/>
        <v>17</v>
      </c>
      <c r="B144" s="46" t="s">
        <v>188</v>
      </c>
      <c r="G144" s="198"/>
      <c r="I144" s="187"/>
      <c r="J144" s="39">
        <f t="shared" si="5"/>
        <v>17</v>
      </c>
    </row>
    <row r="145" spans="1:10" x14ac:dyDescent="0.35">
      <c r="A145" s="39">
        <f t="shared" si="4"/>
        <v>18</v>
      </c>
      <c r="B145" s="40" t="str">
        <f>B98</f>
        <v xml:space="preserve">     A = Sum of Preferred Stock and Return on Equity Component</v>
      </c>
      <c r="G145" s="173">
        <f>G133</f>
        <v>0</v>
      </c>
      <c r="I145" s="51" t="str">
        <f>"Line "&amp;A133&amp;" Above"</f>
        <v>Line 6 Above</v>
      </c>
      <c r="J145" s="39">
        <f t="shared" si="5"/>
        <v>18</v>
      </c>
    </row>
    <row r="146" spans="1:10" x14ac:dyDescent="0.35">
      <c r="A146" s="39">
        <f t="shared" si="4"/>
        <v>19</v>
      </c>
      <c r="B146" s="40" t="str">
        <f>B99</f>
        <v xml:space="preserve">     B = Equity AFUDC Component of Transmission Depreciation Expense</v>
      </c>
      <c r="G146" s="202">
        <f>G135</f>
        <v>0</v>
      </c>
      <c r="I146" s="51" t="str">
        <f>"Line "&amp;A135&amp;" Above"</f>
        <v>Line 8 Above</v>
      </c>
      <c r="J146" s="39">
        <f t="shared" si="5"/>
        <v>19</v>
      </c>
    </row>
    <row r="147" spans="1:10" x14ac:dyDescent="0.35">
      <c r="A147" s="39">
        <f t="shared" si="4"/>
        <v>20</v>
      </c>
      <c r="B147" s="40" t="s">
        <v>213</v>
      </c>
      <c r="G147" s="202">
        <f>G136</f>
        <v>0</v>
      </c>
      <c r="I147" s="51" t="str">
        <f>"Line "&amp;A136&amp;" Above"</f>
        <v>Line 9 Above</v>
      </c>
      <c r="J147" s="39">
        <f t="shared" si="5"/>
        <v>20</v>
      </c>
    </row>
    <row r="148" spans="1:10" x14ac:dyDescent="0.35">
      <c r="A148" s="39">
        <f t="shared" si="4"/>
        <v>21</v>
      </c>
      <c r="B148" s="40" t="str">
        <f>B101</f>
        <v xml:space="preserve">     FT = Federal Income Tax Expense</v>
      </c>
      <c r="G148" s="204">
        <f>G139</f>
        <v>0</v>
      </c>
      <c r="I148" s="51" t="str">
        <f>"Line "&amp;A139&amp;" Above"</f>
        <v>Line 12 Above</v>
      </c>
      <c r="J148" s="39">
        <f t="shared" si="5"/>
        <v>21</v>
      </c>
    </row>
    <row r="149" spans="1:10" x14ac:dyDescent="0.35">
      <c r="A149" s="39">
        <f t="shared" si="4"/>
        <v>22</v>
      </c>
      <c r="B149" s="40" t="str">
        <f>B102</f>
        <v xml:space="preserve">     ST = State Income Tax Rate for Rate Effective Period</v>
      </c>
      <c r="G149" s="489" t="str">
        <f>G102</f>
        <v>8.84%</v>
      </c>
      <c r="I149" s="51" t="str">
        <f>"AV2; Line "&amp;A102</f>
        <v>AV2; Line 22</v>
      </c>
      <c r="J149" s="39">
        <f t="shared" si="5"/>
        <v>22</v>
      </c>
    </row>
    <row r="150" spans="1:10" x14ac:dyDescent="0.35">
      <c r="A150" s="39">
        <f t="shared" si="4"/>
        <v>23</v>
      </c>
      <c r="B150" s="496"/>
      <c r="G150" s="205"/>
      <c r="I150" s="201"/>
      <c r="J150" s="39">
        <f t="shared" si="5"/>
        <v>23</v>
      </c>
    </row>
    <row r="151" spans="1:10" x14ac:dyDescent="0.35">
      <c r="A151" s="39">
        <f t="shared" si="4"/>
        <v>24</v>
      </c>
      <c r="B151" s="40" t="s">
        <v>205</v>
      </c>
      <c r="G151" s="483">
        <f>IFERROR(((G145)+(G146/G147)+G139)*G149/(1-G149),0)</f>
        <v>0</v>
      </c>
      <c r="I151" s="51" t="s">
        <v>206</v>
      </c>
      <c r="J151" s="39">
        <f t="shared" si="5"/>
        <v>24</v>
      </c>
    </row>
    <row r="152" spans="1:10" x14ac:dyDescent="0.35">
      <c r="A152" s="39">
        <f t="shared" si="4"/>
        <v>25</v>
      </c>
      <c r="B152" s="197" t="s">
        <v>207</v>
      </c>
      <c r="G152" s="39"/>
      <c r="I152" s="51"/>
      <c r="J152" s="39">
        <f t="shared" si="5"/>
        <v>25</v>
      </c>
    </row>
    <row r="153" spans="1:10" x14ac:dyDescent="0.35">
      <c r="A153" s="39">
        <f t="shared" si="4"/>
        <v>26</v>
      </c>
      <c r="G153" s="39"/>
      <c r="I153" s="51"/>
      <c r="J153" s="39">
        <f t="shared" si="5"/>
        <v>26</v>
      </c>
    </row>
    <row r="154" spans="1:10" x14ac:dyDescent="0.35">
      <c r="A154" s="39">
        <f t="shared" si="4"/>
        <v>27</v>
      </c>
      <c r="B154" s="44" t="s">
        <v>208</v>
      </c>
      <c r="G154" s="195">
        <f>G151+G139</f>
        <v>0</v>
      </c>
      <c r="I154" s="51" t="str">
        <f>"Line "&amp;A139&amp;" + Line "&amp;A151</f>
        <v>Line 12 + Line 24</v>
      </c>
      <c r="J154" s="39">
        <f t="shared" si="5"/>
        <v>27</v>
      </c>
    </row>
    <row r="155" spans="1:10" x14ac:dyDescent="0.35">
      <c r="A155" s="39">
        <f t="shared" si="4"/>
        <v>28</v>
      </c>
      <c r="G155" s="39"/>
      <c r="I155" s="51"/>
      <c r="J155" s="39">
        <f t="shared" si="5"/>
        <v>28</v>
      </c>
    </row>
    <row r="156" spans="1:10" x14ac:dyDescent="0.35">
      <c r="A156" s="39">
        <f t="shared" si="4"/>
        <v>29</v>
      </c>
      <c r="B156" s="44" t="s">
        <v>214</v>
      </c>
      <c r="G156" s="490">
        <f>G64</f>
        <v>0</v>
      </c>
      <c r="I156" s="51" t="str">
        <f>"AV1; Line "&amp;A64</f>
        <v>AV1; Line 53</v>
      </c>
      <c r="J156" s="39">
        <f t="shared" si="5"/>
        <v>29</v>
      </c>
    </row>
    <row r="157" spans="1:10" x14ac:dyDescent="0.35">
      <c r="A157" s="39">
        <f t="shared" si="4"/>
        <v>30</v>
      </c>
      <c r="G157" s="39"/>
      <c r="I157" s="51"/>
      <c r="J157" s="39">
        <f t="shared" si="5"/>
        <v>30</v>
      </c>
    </row>
    <row r="158" spans="1:10" ht="18" thickBot="1" x14ac:dyDescent="0.4">
      <c r="A158" s="39">
        <f t="shared" si="4"/>
        <v>31</v>
      </c>
      <c r="B158" s="44" t="s">
        <v>340</v>
      </c>
      <c r="G158" s="213">
        <f>G154+G156</f>
        <v>0</v>
      </c>
      <c r="I158" s="51" t="str">
        <f>"Line "&amp;A154&amp;" + Line "&amp;A156</f>
        <v>Line 27 + Line 29</v>
      </c>
      <c r="J158" s="39">
        <f t="shared" si="5"/>
        <v>31</v>
      </c>
    </row>
    <row r="159" spans="1:10" ht="16" thickTop="1" x14ac:dyDescent="0.35"/>
    <row r="161" spans="1:2" ht="18" x14ac:dyDescent="0.35">
      <c r="A161" s="69"/>
      <c r="B161" s="18"/>
    </row>
  </sheetData>
  <mergeCells count="15">
    <mergeCell ref="B3:I3"/>
    <mergeCell ref="B4:I4"/>
    <mergeCell ref="B5:I5"/>
    <mergeCell ref="B6:I6"/>
    <mergeCell ref="B7:I7"/>
    <mergeCell ref="B123:I123"/>
    <mergeCell ref="B120:I120"/>
    <mergeCell ref="B121:I121"/>
    <mergeCell ref="B122:I122"/>
    <mergeCell ref="B72:I72"/>
    <mergeCell ref="B73:I73"/>
    <mergeCell ref="B74:I74"/>
    <mergeCell ref="B75:I75"/>
    <mergeCell ref="B119:I119"/>
    <mergeCell ref="B76:I76"/>
  </mergeCells>
  <printOptions horizontalCentered="1"/>
  <pageMargins left="0.25" right="0.25" top="0.5" bottom="0.5" header="0.35" footer="0.25"/>
  <pageSetup scale="59" orientation="portrait" r:id="rId1"/>
  <headerFooter scaleWithDoc="0" alignWithMargins="0">
    <oddHeader>&amp;C&amp;"Times New Roman,Bold"&amp;7AS FILED  STMT AV WITH COST ADJ. INCL. IN APPENDIX XII CYCLE 6 (ER24-175)</oddHeader>
    <oddFooter>&amp;L&amp;F&amp;CPage 11.&amp;P&amp;R&amp;A</oddFooter>
  </headerFooter>
  <rowBreaks count="2" manualBreakCount="2">
    <brk id="70" max="16383" man="1"/>
    <brk id="11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3BA4-DE86-449D-A930-561ACDA25218}">
  <dimension ref="A1:H88"/>
  <sheetViews>
    <sheetView zoomScale="80" zoomScaleNormal="80" workbookViewId="0"/>
  </sheetViews>
  <sheetFormatPr defaultColWidth="8.81640625" defaultRowHeight="15.5" x14ac:dyDescent="0.35"/>
  <cols>
    <col min="1" max="1" width="5.1796875" style="565" customWidth="1"/>
    <col min="2" max="2" width="85.453125" style="512" customWidth="1"/>
    <col min="3" max="3" width="19.54296875" style="512" customWidth="1"/>
    <col min="4" max="4" width="1.54296875" style="512" customWidth="1"/>
    <col min="5" max="5" width="46.1796875" style="512" customWidth="1"/>
    <col min="6" max="6" width="5.1796875" style="565" customWidth="1"/>
    <col min="7" max="16384" width="8.81640625" style="512"/>
  </cols>
  <sheetData>
    <row r="1" spans="1:6" x14ac:dyDescent="0.35">
      <c r="A1" s="498"/>
      <c r="B1" s="223"/>
      <c r="C1" s="511"/>
      <c r="D1" s="511"/>
      <c r="E1" s="493"/>
      <c r="F1" s="498"/>
    </row>
    <row r="2" spans="1:6" x14ac:dyDescent="0.35">
      <c r="A2" s="498"/>
      <c r="B2" s="775" t="s">
        <v>24</v>
      </c>
      <c r="C2" s="796"/>
      <c r="D2" s="796"/>
      <c r="E2" s="796"/>
      <c r="F2" s="498"/>
    </row>
    <row r="3" spans="1:6" x14ac:dyDescent="0.35">
      <c r="A3" s="498" t="s">
        <v>11</v>
      </c>
      <c r="B3" s="775" t="s">
        <v>343</v>
      </c>
      <c r="C3" s="796"/>
      <c r="D3" s="796"/>
      <c r="E3" s="796"/>
      <c r="F3" s="498" t="s">
        <v>11</v>
      </c>
    </row>
    <row r="4" spans="1:6" x14ac:dyDescent="0.35">
      <c r="A4" s="498"/>
      <c r="B4" s="793" t="s">
        <v>512</v>
      </c>
      <c r="C4" s="794"/>
      <c r="D4" s="794"/>
      <c r="E4" s="794"/>
      <c r="F4" s="498"/>
    </row>
    <row r="5" spans="1:6" x14ac:dyDescent="0.35">
      <c r="A5" s="498"/>
      <c r="B5" s="795" t="s">
        <v>1</v>
      </c>
      <c r="C5" s="796"/>
      <c r="D5" s="796"/>
      <c r="E5" s="796"/>
      <c r="F5" s="498"/>
    </row>
    <row r="6" spans="1:6" x14ac:dyDescent="0.35">
      <c r="A6" s="498"/>
      <c r="B6" s="513"/>
      <c r="C6" s="223"/>
      <c r="D6" s="223"/>
      <c r="E6" s="223"/>
      <c r="F6" s="498"/>
    </row>
    <row r="7" spans="1:6" x14ac:dyDescent="0.35">
      <c r="A7" s="498" t="s">
        <v>2</v>
      </c>
      <c r="B7" s="223"/>
      <c r="C7" s="514"/>
      <c r="D7" s="514"/>
      <c r="E7" s="222"/>
      <c r="F7" s="498" t="s">
        <v>2</v>
      </c>
    </row>
    <row r="8" spans="1:6" x14ac:dyDescent="0.35">
      <c r="A8" s="498" t="s">
        <v>6</v>
      </c>
      <c r="B8" s="223" t="s">
        <v>11</v>
      </c>
      <c r="C8" s="515" t="s">
        <v>4</v>
      </c>
      <c r="D8" s="514"/>
      <c r="E8" s="516" t="s">
        <v>5</v>
      </c>
      <c r="F8" s="498" t="s">
        <v>6</v>
      </c>
    </row>
    <row r="9" spans="1:6" x14ac:dyDescent="0.35">
      <c r="A9" s="498"/>
      <c r="B9" s="419" t="s">
        <v>344</v>
      </c>
      <c r="C9" s="517"/>
      <c r="D9" s="514"/>
      <c r="E9" s="222"/>
      <c r="F9" s="498"/>
    </row>
    <row r="10" spans="1:6" x14ac:dyDescent="0.35">
      <c r="A10" s="498"/>
      <c r="B10" s="518"/>
      <c r="C10" s="517"/>
      <c r="D10" s="514"/>
      <c r="E10" s="222"/>
      <c r="F10" s="498"/>
    </row>
    <row r="11" spans="1:6" x14ac:dyDescent="0.35">
      <c r="A11" s="498">
        <v>1</v>
      </c>
      <c r="B11" s="419" t="s">
        <v>345</v>
      </c>
      <c r="C11" s="517"/>
      <c r="D11" s="517"/>
      <c r="E11" s="222"/>
      <c r="F11" s="498">
        <f>A11</f>
        <v>1</v>
      </c>
    </row>
    <row r="12" spans="1:6" x14ac:dyDescent="0.35">
      <c r="A12" s="498">
        <f>A11+1</f>
        <v>2</v>
      </c>
      <c r="B12" s="243" t="s">
        <v>346</v>
      </c>
      <c r="C12" s="519">
        <f>C78</f>
        <v>5269034.3880361523</v>
      </c>
      <c r="D12" s="520"/>
      <c r="E12" s="268" t="s">
        <v>459</v>
      </c>
      <c r="F12" s="498">
        <f>F11+1</f>
        <v>2</v>
      </c>
    </row>
    <row r="13" spans="1:6" x14ac:dyDescent="0.35">
      <c r="A13" s="498">
        <f t="shared" ref="A13:A48" si="0">A12+1</f>
        <v>3</v>
      </c>
      <c r="B13" s="243" t="s">
        <v>20</v>
      </c>
      <c r="C13" s="521">
        <f>C79</f>
        <v>3382.0175231314279</v>
      </c>
      <c r="D13" s="522"/>
      <c r="E13" s="268" t="s">
        <v>460</v>
      </c>
      <c r="F13" s="498">
        <f t="shared" ref="F13:F48" si="1">F12+1</f>
        <v>3</v>
      </c>
    </row>
    <row r="14" spans="1:6" x14ac:dyDescent="0.35">
      <c r="A14" s="498">
        <f t="shared" si="0"/>
        <v>4</v>
      </c>
      <c r="B14" s="243" t="s">
        <v>21</v>
      </c>
      <c r="C14" s="521">
        <f>C80</f>
        <v>27998.281415386165</v>
      </c>
      <c r="D14" s="522"/>
      <c r="E14" s="268" t="s">
        <v>461</v>
      </c>
      <c r="F14" s="498">
        <f t="shared" si="1"/>
        <v>4</v>
      </c>
    </row>
    <row r="15" spans="1:6" x14ac:dyDescent="0.35">
      <c r="A15" s="498">
        <f t="shared" si="0"/>
        <v>5</v>
      </c>
      <c r="B15" s="243" t="s">
        <v>347</v>
      </c>
      <c r="C15" s="523">
        <f>C81</f>
        <v>58913.955560284558</v>
      </c>
      <c r="D15" s="522"/>
      <c r="E15" s="268" t="s">
        <v>462</v>
      </c>
      <c r="F15" s="498">
        <f t="shared" si="1"/>
        <v>5</v>
      </c>
    </row>
    <row r="16" spans="1:6" x14ac:dyDescent="0.35">
      <c r="A16" s="498">
        <f t="shared" si="0"/>
        <v>6</v>
      </c>
      <c r="B16" s="243" t="s">
        <v>348</v>
      </c>
      <c r="C16" s="524">
        <f>SUM(C12:C15)</f>
        <v>5359328.6425349545</v>
      </c>
      <c r="D16" s="525"/>
      <c r="E16" s="268" t="s">
        <v>453</v>
      </c>
      <c r="F16" s="498">
        <f t="shared" si="1"/>
        <v>6</v>
      </c>
    </row>
    <row r="17" spans="1:6" x14ac:dyDescent="0.35">
      <c r="A17" s="498">
        <f t="shared" si="0"/>
        <v>7</v>
      </c>
      <c r="B17" s="302"/>
      <c r="C17" s="526"/>
      <c r="D17" s="527"/>
      <c r="E17" s="222"/>
      <c r="F17" s="498">
        <f t="shared" si="1"/>
        <v>7</v>
      </c>
    </row>
    <row r="18" spans="1:6" x14ac:dyDescent="0.35">
      <c r="A18" s="498">
        <f t="shared" si="0"/>
        <v>8</v>
      </c>
      <c r="B18" s="419" t="s">
        <v>349</v>
      </c>
      <c r="C18" s="526"/>
      <c r="D18" s="527"/>
      <c r="E18" s="222"/>
      <c r="F18" s="498">
        <f t="shared" si="1"/>
        <v>8</v>
      </c>
    </row>
    <row r="19" spans="1:6" x14ac:dyDescent="0.35">
      <c r="A19" s="498">
        <f t="shared" si="0"/>
        <v>9</v>
      </c>
      <c r="B19" s="243" t="s">
        <v>350</v>
      </c>
      <c r="C19" s="528">
        <v>0</v>
      </c>
      <c r="D19" s="514"/>
      <c r="E19" s="268" t="s">
        <v>463</v>
      </c>
      <c r="F19" s="498">
        <f t="shared" si="1"/>
        <v>9</v>
      </c>
    </row>
    <row r="20" spans="1:6" x14ac:dyDescent="0.35">
      <c r="A20" s="498">
        <f t="shared" si="0"/>
        <v>10</v>
      </c>
      <c r="B20" s="243" t="s">
        <v>351</v>
      </c>
      <c r="C20" s="529">
        <v>0</v>
      </c>
      <c r="D20" s="514"/>
      <c r="E20" s="268" t="s">
        <v>464</v>
      </c>
      <c r="F20" s="498">
        <f t="shared" si="1"/>
        <v>10</v>
      </c>
    </row>
    <row r="21" spans="1:6" x14ac:dyDescent="0.35">
      <c r="A21" s="498">
        <f t="shared" si="0"/>
        <v>11</v>
      </c>
      <c r="B21" s="243" t="s">
        <v>352</v>
      </c>
      <c r="C21" s="530">
        <f>C19+C20</f>
        <v>0</v>
      </c>
      <c r="D21" s="531"/>
      <c r="E21" s="268" t="s">
        <v>465</v>
      </c>
      <c r="F21" s="498">
        <f t="shared" si="1"/>
        <v>11</v>
      </c>
    </row>
    <row r="22" spans="1:6" x14ac:dyDescent="0.35">
      <c r="A22" s="498">
        <f t="shared" si="0"/>
        <v>12</v>
      </c>
      <c r="B22" s="243"/>
      <c r="C22" s="532"/>
      <c r="D22" s="511"/>
      <c r="E22" s="222"/>
      <c r="F22" s="498">
        <f t="shared" si="1"/>
        <v>12</v>
      </c>
    </row>
    <row r="23" spans="1:6" x14ac:dyDescent="0.35">
      <c r="A23" s="498">
        <f t="shared" si="0"/>
        <v>13</v>
      </c>
      <c r="B23" s="419" t="s">
        <v>353</v>
      </c>
      <c r="C23" s="526"/>
      <c r="D23" s="527"/>
      <c r="E23" s="222"/>
      <c r="F23" s="498">
        <f t="shared" si="1"/>
        <v>13</v>
      </c>
    </row>
    <row r="24" spans="1:6" x14ac:dyDescent="0.35">
      <c r="A24" s="498">
        <f t="shared" si="0"/>
        <v>14</v>
      </c>
      <c r="B24" s="302" t="s">
        <v>354</v>
      </c>
      <c r="C24" s="533">
        <v>-936333.43527335429</v>
      </c>
      <c r="D24" s="25"/>
      <c r="E24" s="268" t="s">
        <v>627</v>
      </c>
      <c r="F24" s="498">
        <f t="shared" si="1"/>
        <v>14</v>
      </c>
    </row>
    <row r="25" spans="1:6" x14ac:dyDescent="0.35">
      <c r="A25" s="498">
        <f t="shared" si="0"/>
        <v>15</v>
      </c>
      <c r="B25" s="302" t="s">
        <v>355</v>
      </c>
      <c r="C25" s="534">
        <v>0</v>
      </c>
      <c r="D25" s="514"/>
      <c r="E25" s="268" t="s">
        <v>466</v>
      </c>
      <c r="F25" s="498">
        <f t="shared" si="1"/>
        <v>15</v>
      </c>
    </row>
    <row r="26" spans="1:6" x14ac:dyDescent="0.35">
      <c r="A26" s="498">
        <f t="shared" si="0"/>
        <v>16</v>
      </c>
      <c r="B26" s="243" t="s">
        <v>356</v>
      </c>
      <c r="C26" s="524">
        <f>SUM(C24:C25)</f>
        <v>-936333.43527335429</v>
      </c>
      <c r="D26" s="25"/>
      <c r="E26" s="268" t="s">
        <v>467</v>
      </c>
      <c r="F26" s="498">
        <f t="shared" si="1"/>
        <v>16</v>
      </c>
    </row>
    <row r="27" spans="1:6" x14ac:dyDescent="0.35">
      <c r="A27" s="498">
        <f t="shared" si="0"/>
        <v>17</v>
      </c>
      <c r="B27" s="223"/>
      <c r="C27" s="535"/>
      <c r="D27" s="536"/>
      <c r="E27" s="222"/>
      <c r="F27" s="498">
        <f t="shared" si="1"/>
        <v>17</v>
      </c>
    </row>
    <row r="28" spans="1:6" x14ac:dyDescent="0.35">
      <c r="A28" s="498">
        <f t="shared" si="0"/>
        <v>18</v>
      </c>
      <c r="B28" s="419" t="s">
        <v>357</v>
      </c>
      <c r="C28" s="535"/>
      <c r="D28" s="536"/>
      <c r="E28" s="222"/>
      <c r="F28" s="498">
        <f t="shared" si="1"/>
        <v>18</v>
      </c>
    </row>
    <row r="29" spans="1:6" x14ac:dyDescent="0.35">
      <c r="A29" s="498">
        <f t="shared" si="0"/>
        <v>19</v>
      </c>
      <c r="B29" s="243" t="s">
        <v>358</v>
      </c>
      <c r="C29" s="519">
        <v>50942.738895107723</v>
      </c>
      <c r="D29" s="514"/>
      <c r="E29" s="268" t="s">
        <v>671</v>
      </c>
      <c r="F29" s="498">
        <f t="shared" si="1"/>
        <v>19</v>
      </c>
    </row>
    <row r="30" spans="1:6" x14ac:dyDescent="0.35">
      <c r="A30" s="498">
        <f t="shared" si="0"/>
        <v>20</v>
      </c>
      <c r="B30" s="243" t="s">
        <v>359</v>
      </c>
      <c r="C30" s="521">
        <v>37071.055296898827</v>
      </c>
      <c r="D30" s="514"/>
      <c r="E30" s="268" t="s">
        <v>672</v>
      </c>
      <c r="F30" s="498">
        <f t="shared" si="1"/>
        <v>20</v>
      </c>
    </row>
    <row r="31" spans="1:6" x14ac:dyDescent="0.35">
      <c r="A31" s="498">
        <f t="shared" si="0"/>
        <v>21</v>
      </c>
      <c r="B31" s="243" t="s">
        <v>360</v>
      </c>
      <c r="C31" s="537">
        <f>'Pg9 Rev Stmt AL'!E29</f>
        <v>10279.161973179571</v>
      </c>
      <c r="D31" s="25" t="s">
        <v>16</v>
      </c>
      <c r="E31" s="268" t="s">
        <v>556</v>
      </c>
      <c r="F31" s="498">
        <f t="shared" si="1"/>
        <v>21</v>
      </c>
    </row>
    <row r="32" spans="1:6" x14ac:dyDescent="0.35">
      <c r="A32" s="498">
        <f t="shared" si="0"/>
        <v>22</v>
      </c>
      <c r="B32" s="243" t="s">
        <v>361</v>
      </c>
      <c r="C32" s="538">
        <f>SUM(C29:C31)</f>
        <v>98292.956165186115</v>
      </c>
      <c r="D32" s="25" t="s">
        <v>16</v>
      </c>
      <c r="E32" s="268" t="s">
        <v>468</v>
      </c>
      <c r="F32" s="498">
        <f t="shared" si="1"/>
        <v>22</v>
      </c>
    </row>
    <row r="33" spans="1:6" x14ac:dyDescent="0.35">
      <c r="A33" s="498">
        <f t="shared" si="0"/>
        <v>23</v>
      </c>
      <c r="B33" s="245"/>
      <c r="C33" s="539"/>
      <c r="D33" s="540"/>
      <c r="E33" s="222"/>
      <c r="F33" s="498">
        <f t="shared" si="1"/>
        <v>23</v>
      </c>
    </row>
    <row r="34" spans="1:6" x14ac:dyDescent="0.35">
      <c r="A34" s="498">
        <f t="shared" si="0"/>
        <v>24</v>
      </c>
      <c r="B34" s="243" t="s">
        <v>362</v>
      </c>
      <c r="C34" s="541">
        <v>0</v>
      </c>
      <c r="D34" s="514"/>
      <c r="E34" s="268" t="s">
        <v>469</v>
      </c>
      <c r="F34" s="498">
        <f t="shared" si="1"/>
        <v>24</v>
      </c>
    </row>
    <row r="35" spans="1:6" x14ac:dyDescent="0.35">
      <c r="A35" s="498">
        <f t="shared" si="0"/>
        <v>25</v>
      </c>
      <c r="B35" s="243"/>
      <c r="C35" s="539"/>
      <c r="D35" s="540"/>
      <c r="E35" s="222"/>
      <c r="F35" s="498">
        <f t="shared" si="1"/>
        <v>25</v>
      </c>
    </row>
    <row r="36" spans="1:6" ht="16" thickBot="1" x14ac:dyDescent="0.4">
      <c r="A36" s="498">
        <f t="shared" si="0"/>
        <v>26</v>
      </c>
      <c r="B36" s="243" t="s">
        <v>363</v>
      </c>
      <c r="C36" s="542">
        <f>C16+C21+C26+C32+C34</f>
        <v>4521288.1634267867</v>
      </c>
      <c r="D36" s="25" t="s">
        <v>16</v>
      </c>
      <c r="E36" s="268" t="s">
        <v>470</v>
      </c>
      <c r="F36" s="498">
        <f t="shared" si="1"/>
        <v>26</v>
      </c>
    </row>
    <row r="37" spans="1:6" ht="16" thickTop="1" x14ac:dyDescent="0.35">
      <c r="A37" s="498">
        <f t="shared" si="0"/>
        <v>27</v>
      </c>
      <c r="B37" s="245"/>
      <c r="C37" s="543"/>
      <c r="D37" s="525"/>
      <c r="E37" s="222"/>
      <c r="F37" s="498">
        <f t="shared" si="1"/>
        <v>27</v>
      </c>
    </row>
    <row r="38" spans="1:6" x14ac:dyDescent="0.35">
      <c r="A38" s="498">
        <f t="shared" si="0"/>
        <v>28</v>
      </c>
      <c r="B38" s="419" t="s">
        <v>364</v>
      </c>
      <c r="C38" s="543"/>
      <c r="D38" s="525"/>
      <c r="E38" s="222"/>
      <c r="F38" s="498">
        <f t="shared" si="1"/>
        <v>28</v>
      </c>
    </row>
    <row r="39" spans="1:6" x14ac:dyDescent="0.35">
      <c r="A39" s="498">
        <f t="shared" si="0"/>
        <v>29</v>
      </c>
      <c r="B39" s="243" t="s">
        <v>365</v>
      </c>
      <c r="C39" s="544">
        <v>0</v>
      </c>
      <c r="D39" s="545"/>
      <c r="E39" s="268" t="s">
        <v>19</v>
      </c>
      <c r="F39" s="498">
        <f t="shared" si="1"/>
        <v>29</v>
      </c>
    </row>
    <row r="40" spans="1:6" x14ac:dyDescent="0.35">
      <c r="A40" s="498">
        <f t="shared" si="0"/>
        <v>30</v>
      </c>
      <c r="B40" s="243" t="s">
        <v>366</v>
      </c>
      <c r="C40" s="546">
        <v>0</v>
      </c>
      <c r="D40" s="514"/>
      <c r="E40" s="268" t="s">
        <v>19</v>
      </c>
      <c r="F40" s="498">
        <f t="shared" si="1"/>
        <v>30</v>
      </c>
    </row>
    <row r="41" spans="1:6" x14ac:dyDescent="0.35">
      <c r="A41" s="498">
        <f t="shared" si="0"/>
        <v>31</v>
      </c>
      <c r="B41" s="302" t="s">
        <v>367</v>
      </c>
      <c r="C41" s="538">
        <f>C39+C40</f>
        <v>0</v>
      </c>
      <c r="D41" s="525"/>
      <c r="E41" s="268" t="s">
        <v>471</v>
      </c>
      <c r="F41" s="498">
        <f t="shared" si="1"/>
        <v>31</v>
      </c>
    </row>
    <row r="42" spans="1:6" x14ac:dyDescent="0.35">
      <c r="A42" s="498">
        <f t="shared" si="0"/>
        <v>32</v>
      </c>
      <c r="B42" s="245"/>
      <c r="C42" s="543"/>
      <c r="D42" s="525"/>
      <c r="E42" s="222"/>
      <c r="F42" s="498">
        <f t="shared" si="1"/>
        <v>32</v>
      </c>
    </row>
    <row r="43" spans="1:6" x14ac:dyDescent="0.35">
      <c r="A43" s="498">
        <f t="shared" si="0"/>
        <v>33</v>
      </c>
      <c r="B43" s="419" t="s">
        <v>368</v>
      </c>
      <c r="C43" s="543"/>
      <c r="D43" s="525"/>
      <c r="E43" s="222"/>
      <c r="F43" s="498">
        <f t="shared" si="1"/>
        <v>33</v>
      </c>
    </row>
    <row r="44" spans="1:6" x14ac:dyDescent="0.35">
      <c r="A44" s="498">
        <f t="shared" si="0"/>
        <v>34</v>
      </c>
      <c r="B44" s="243" t="s">
        <v>369</v>
      </c>
      <c r="C44" s="544">
        <v>0</v>
      </c>
      <c r="D44" s="514"/>
      <c r="E44" s="268" t="s">
        <v>19</v>
      </c>
      <c r="F44" s="498">
        <f t="shared" si="1"/>
        <v>34</v>
      </c>
    </row>
    <row r="45" spans="1:6" x14ac:dyDescent="0.35">
      <c r="A45" s="498">
        <f t="shared" si="0"/>
        <v>35</v>
      </c>
      <c r="B45" s="302" t="s">
        <v>370</v>
      </c>
      <c r="C45" s="547">
        <v>0</v>
      </c>
      <c r="D45" s="514"/>
      <c r="E45" s="268" t="s">
        <v>19</v>
      </c>
      <c r="F45" s="498">
        <f t="shared" si="1"/>
        <v>35</v>
      </c>
    </row>
    <row r="46" spans="1:6" x14ac:dyDescent="0.35">
      <c r="A46" s="498">
        <f t="shared" si="0"/>
        <v>36</v>
      </c>
      <c r="B46" s="302" t="s">
        <v>371</v>
      </c>
      <c r="C46" s="538">
        <f>C44+C45</f>
        <v>0</v>
      </c>
      <c r="D46" s="525"/>
      <c r="E46" s="268" t="s">
        <v>472</v>
      </c>
      <c r="F46" s="498">
        <f t="shared" si="1"/>
        <v>36</v>
      </c>
    </row>
    <row r="47" spans="1:6" x14ac:dyDescent="0.35">
      <c r="A47" s="498">
        <f t="shared" si="0"/>
        <v>37</v>
      </c>
      <c r="B47" s="245"/>
      <c r="C47" s="543"/>
      <c r="D47" s="525"/>
      <c r="E47" s="222"/>
      <c r="F47" s="498">
        <f t="shared" si="1"/>
        <v>37</v>
      </c>
    </row>
    <row r="48" spans="1:6" ht="16" thickBot="1" x14ac:dyDescent="0.4">
      <c r="A48" s="498">
        <f t="shared" si="0"/>
        <v>38</v>
      </c>
      <c r="B48" s="419" t="s">
        <v>372</v>
      </c>
      <c r="C48" s="548">
        <v>0</v>
      </c>
      <c r="D48" s="514"/>
      <c r="E48" s="268" t="s">
        <v>19</v>
      </c>
      <c r="F48" s="498">
        <f t="shared" si="1"/>
        <v>38</v>
      </c>
    </row>
    <row r="49" spans="1:8" ht="16" thickTop="1" x14ac:dyDescent="0.35">
      <c r="A49" s="498"/>
      <c r="B49" s="245"/>
      <c r="C49" s="543"/>
      <c r="D49" s="525"/>
      <c r="E49" s="222"/>
      <c r="F49" s="498"/>
    </row>
    <row r="50" spans="1:8" x14ac:dyDescent="0.35">
      <c r="A50" s="498"/>
      <c r="B50" s="245"/>
      <c r="C50" s="543"/>
      <c r="D50" s="525"/>
      <c r="E50" s="222"/>
      <c r="F50" s="498"/>
    </row>
    <row r="51" spans="1:8" x14ac:dyDescent="0.35">
      <c r="A51" s="25" t="s">
        <v>16</v>
      </c>
      <c r="B51" s="245" t="str">
        <f>'Pg10 Rev Stmt AV'!B113</f>
        <v>Items in BOLD have changed to correct the over-allocation of "Duplicate Charges (Company Energy Use)" Credit in FERC Account no. 929.</v>
      </c>
      <c r="C51" s="223"/>
      <c r="D51" s="223"/>
      <c r="E51" s="223"/>
      <c r="F51" s="498"/>
    </row>
    <row r="52" spans="1:8" x14ac:dyDescent="0.35">
      <c r="A52" s="25"/>
      <c r="B52" s="22"/>
      <c r="C52" s="223"/>
      <c r="D52" s="223"/>
      <c r="E52" s="223"/>
      <c r="F52" s="498"/>
    </row>
    <row r="53" spans="1:8" x14ac:dyDescent="0.35">
      <c r="A53" s="25"/>
      <c r="B53" s="22"/>
      <c r="C53" s="223"/>
      <c r="D53" s="223"/>
      <c r="E53" s="223"/>
      <c r="F53" s="498"/>
    </row>
    <row r="54" spans="1:8" x14ac:dyDescent="0.35">
      <c r="A54" s="498"/>
      <c r="B54" s="775" t="str">
        <f>B2</f>
        <v>SAN DIEGO GAS &amp; ELECTRIC COMPANY</v>
      </c>
      <c r="C54" s="796"/>
      <c r="D54" s="796"/>
      <c r="E54" s="796"/>
      <c r="F54" s="498"/>
    </row>
    <row r="55" spans="1:8" x14ac:dyDescent="0.35">
      <c r="A55" s="498"/>
      <c r="B55" s="775" t="str">
        <f>B3</f>
        <v xml:space="preserve">Derivation of End Use Transmission Rate Base </v>
      </c>
      <c r="C55" s="796"/>
      <c r="D55" s="796"/>
      <c r="E55" s="796"/>
      <c r="F55" s="498"/>
    </row>
    <row r="56" spans="1:8" x14ac:dyDescent="0.35">
      <c r="A56" s="498"/>
      <c r="B56" s="793" t="str">
        <f>B4</f>
        <v>Base Period &amp; True-Up Period 12 - Months Ending December 31, 2020</v>
      </c>
      <c r="C56" s="794"/>
      <c r="D56" s="794"/>
      <c r="E56" s="794"/>
      <c r="F56" s="498"/>
    </row>
    <row r="57" spans="1:8" x14ac:dyDescent="0.35">
      <c r="A57" s="498"/>
      <c r="B57" s="795" t="s">
        <v>1</v>
      </c>
      <c r="C57" s="796"/>
      <c r="D57" s="796"/>
      <c r="E57" s="796"/>
      <c r="F57" s="498"/>
    </row>
    <row r="58" spans="1:8" x14ac:dyDescent="0.35">
      <c r="A58" s="498"/>
      <c r="B58" s="513"/>
      <c r="C58" s="223"/>
      <c r="D58" s="223"/>
      <c r="E58" s="223"/>
      <c r="F58" s="498"/>
    </row>
    <row r="59" spans="1:8" x14ac:dyDescent="0.35">
      <c r="A59" s="498" t="s">
        <v>2</v>
      </c>
      <c r="B59" s="513"/>
      <c r="C59" s="223"/>
      <c r="D59" s="223"/>
      <c r="E59" s="223"/>
      <c r="F59" s="498"/>
    </row>
    <row r="60" spans="1:8" x14ac:dyDescent="0.35">
      <c r="A60" s="498" t="s">
        <v>6</v>
      </c>
      <c r="B60" s="513"/>
      <c r="C60" s="223"/>
      <c r="D60" s="223"/>
      <c r="E60" s="223"/>
      <c r="F60" s="498"/>
    </row>
    <row r="61" spans="1:8" x14ac:dyDescent="0.35">
      <c r="A61" s="498"/>
      <c r="B61" s="419" t="s">
        <v>373</v>
      </c>
      <c r="C61" s="223"/>
      <c r="D61" s="223"/>
      <c r="E61" s="223"/>
      <c r="F61" s="498"/>
    </row>
    <row r="62" spans="1:8" x14ac:dyDescent="0.35">
      <c r="A62" s="498"/>
      <c r="B62" s="518"/>
      <c r="C62" s="514"/>
      <c r="D62" s="514"/>
      <c r="E62" s="222"/>
      <c r="F62" s="498"/>
    </row>
    <row r="63" spans="1:8" x14ac:dyDescent="0.35">
      <c r="A63" s="498">
        <v>1</v>
      </c>
      <c r="B63" s="419" t="s">
        <v>374</v>
      </c>
      <c r="C63" s="514"/>
      <c r="D63" s="514"/>
      <c r="E63" s="222"/>
      <c r="F63" s="498">
        <f t="shared" ref="F63:F87" si="2">A63</f>
        <v>1</v>
      </c>
    </row>
    <row r="64" spans="1:8" x14ac:dyDescent="0.35">
      <c r="A64" s="498">
        <v>2</v>
      </c>
      <c r="B64" s="243" t="s">
        <v>346</v>
      </c>
      <c r="C64" s="549">
        <v>6655921.0157284606</v>
      </c>
      <c r="D64" s="514"/>
      <c r="E64" s="268" t="s">
        <v>451</v>
      </c>
      <c r="F64" s="498">
        <f t="shared" si="2"/>
        <v>2</v>
      </c>
      <c r="G64" s="550"/>
      <c r="H64" s="551"/>
    </row>
    <row r="65" spans="1:8" x14ac:dyDescent="0.35">
      <c r="A65" s="498">
        <v>3</v>
      </c>
      <c r="B65" s="243" t="s">
        <v>375</v>
      </c>
      <c r="C65" s="552">
        <v>18940.175478315465</v>
      </c>
      <c r="D65" s="514"/>
      <c r="E65" s="268" t="s">
        <v>452</v>
      </c>
      <c r="F65" s="498">
        <f t="shared" si="2"/>
        <v>3</v>
      </c>
      <c r="G65" s="550"/>
      <c r="H65" s="551"/>
    </row>
    <row r="66" spans="1:8" x14ac:dyDescent="0.35">
      <c r="A66" s="498">
        <v>4</v>
      </c>
      <c r="B66" s="243" t="s">
        <v>21</v>
      </c>
      <c r="C66" s="552">
        <v>47346.684623217821</v>
      </c>
      <c r="D66" s="514"/>
      <c r="E66" s="268" t="s">
        <v>434</v>
      </c>
      <c r="F66" s="498">
        <f t="shared" si="2"/>
        <v>4</v>
      </c>
      <c r="G66" s="550"/>
      <c r="H66" s="553"/>
    </row>
    <row r="67" spans="1:8" x14ac:dyDescent="0.35">
      <c r="A67" s="498">
        <v>5</v>
      </c>
      <c r="B67" s="243" t="s">
        <v>347</v>
      </c>
      <c r="C67" s="554">
        <v>117174.75292124566</v>
      </c>
      <c r="D67" s="514"/>
      <c r="E67" s="268" t="s">
        <v>435</v>
      </c>
      <c r="F67" s="498">
        <f t="shared" si="2"/>
        <v>5</v>
      </c>
      <c r="G67" s="551"/>
      <c r="H67" s="551"/>
    </row>
    <row r="68" spans="1:8" x14ac:dyDescent="0.35">
      <c r="A68" s="498">
        <v>6</v>
      </c>
      <c r="B68" s="243" t="s">
        <v>376</v>
      </c>
      <c r="C68" s="524">
        <f>SUM(C64:C67)</f>
        <v>6839382.6287512407</v>
      </c>
      <c r="D68" s="525"/>
      <c r="E68" s="268" t="s">
        <v>453</v>
      </c>
      <c r="F68" s="498">
        <f t="shared" si="2"/>
        <v>6</v>
      </c>
      <c r="G68" s="550"/>
      <c r="H68" s="551"/>
    </row>
    <row r="69" spans="1:8" x14ac:dyDescent="0.35">
      <c r="A69" s="498">
        <v>7</v>
      </c>
      <c r="B69" s="302"/>
      <c r="C69" s="555"/>
      <c r="D69" s="514"/>
      <c r="E69" s="222"/>
      <c r="F69" s="498">
        <f t="shared" si="2"/>
        <v>7</v>
      </c>
      <c r="G69" s="551"/>
      <c r="H69" s="551"/>
    </row>
    <row r="70" spans="1:8" x14ac:dyDescent="0.35">
      <c r="A70" s="498">
        <v>8</v>
      </c>
      <c r="B70" s="418" t="s">
        <v>377</v>
      </c>
      <c r="C70" s="555"/>
      <c r="D70" s="514"/>
      <c r="E70" s="222"/>
      <c r="F70" s="498">
        <f t="shared" si="2"/>
        <v>8</v>
      </c>
      <c r="G70" s="551"/>
      <c r="H70" s="551"/>
    </row>
    <row r="71" spans="1:8" x14ac:dyDescent="0.35">
      <c r="A71" s="498">
        <v>9</v>
      </c>
      <c r="B71" s="302" t="s">
        <v>378</v>
      </c>
      <c r="C71" s="549">
        <v>1386886.627692308</v>
      </c>
      <c r="D71" s="514"/>
      <c r="E71" s="268" t="s">
        <v>454</v>
      </c>
      <c r="F71" s="498">
        <f t="shared" si="2"/>
        <v>9</v>
      </c>
      <c r="G71" s="551"/>
      <c r="H71" s="551"/>
    </row>
    <row r="72" spans="1:8" x14ac:dyDescent="0.35">
      <c r="A72" s="498">
        <v>10</v>
      </c>
      <c r="B72" s="302" t="s">
        <v>379</v>
      </c>
      <c r="C72" s="552">
        <v>15558.157955184037</v>
      </c>
      <c r="D72" s="514"/>
      <c r="E72" s="268" t="s">
        <v>455</v>
      </c>
      <c r="F72" s="498">
        <f t="shared" si="2"/>
        <v>10</v>
      </c>
      <c r="G72" s="551"/>
      <c r="H72" s="551"/>
    </row>
    <row r="73" spans="1:8" x14ac:dyDescent="0.35">
      <c r="A73" s="498">
        <v>11</v>
      </c>
      <c r="B73" s="302" t="s">
        <v>380</v>
      </c>
      <c r="C73" s="552">
        <v>19348.403207831656</v>
      </c>
      <c r="D73" s="514"/>
      <c r="E73" s="268" t="s">
        <v>456</v>
      </c>
      <c r="F73" s="498">
        <f t="shared" si="2"/>
        <v>11</v>
      </c>
      <c r="G73" s="551"/>
      <c r="H73" s="551"/>
    </row>
    <row r="74" spans="1:8" x14ac:dyDescent="0.35">
      <c r="A74" s="498">
        <v>12</v>
      </c>
      <c r="B74" s="302" t="s">
        <v>381</v>
      </c>
      <c r="C74" s="554">
        <v>58260.7973609611</v>
      </c>
      <c r="D74" s="514"/>
      <c r="E74" s="268" t="s">
        <v>457</v>
      </c>
      <c r="F74" s="498">
        <f t="shared" si="2"/>
        <v>12</v>
      </c>
      <c r="G74" s="551"/>
      <c r="H74" s="551"/>
    </row>
    <row r="75" spans="1:8" x14ac:dyDescent="0.35">
      <c r="A75" s="498">
        <v>13</v>
      </c>
      <c r="B75" s="556" t="s">
        <v>382</v>
      </c>
      <c r="C75" s="524">
        <f>SUM(C71:C74)</f>
        <v>1480053.9862162848</v>
      </c>
      <c r="D75" s="525"/>
      <c r="E75" s="268" t="s">
        <v>458</v>
      </c>
      <c r="F75" s="498">
        <f t="shared" si="2"/>
        <v>13</v>
      </c>
      <c r="G75" s="551"/>
      <c r="H75" s="551"/>
    </row>
    <row r="76" spans="1:8" x14ac:dyDescent="0.35">
      <c r="A76" s="498">
        <v>14</v>
      </c>
      <c r="B76" s="556"/>
      <c r="C76" s="535"/>
      <c r="D76" s="536"/>
      <c r="E76" s="222"/>
      <c r="F76" s="498">
        <f t="shared" si="2"/>
        <v>14</v>
      </c>
      <c r="G76" s="551"/>
      <c r="H76" s="551"/>
    </row>
    <row r="77" spans="1:8" x14ac:dyDescent="0.35">
      <c r="A77" s="498">
        <v>15</v>
      </c>
      <c r="B77" s="419" t="s">
        <v>345</v>
      </c>
      <c r="C77" s="535"/>
      <c r="D77" s="536"/>
      <c r="E77" s="222"/>
      <c r="F77" s="498">
        <f t="shared" si="2"/>
        <v>15</v>
      </c>
      <c r="G77" s="551"/>
      <c r="H77" s="551"/>
    </row>
    <row r="78" spans="1:8" x14ac:dyDescent="0.35">
      <c r="A78" s="498">
        <v>16</v>
      </c>
      <c r="B78" s="243" t="s">
        <v>346</v>
      </c>
      <c r="C78" s="557">
        <f>C64-C71</f>
        <v>5269034.3880361523</v>
      </c>
      <c r="D78" s="558"/>
      <c r="E78" s="268" t="str">
        <f>"Line "&amp;A64&amp;" Minus Line "&amp;A71</f>
        <v>Line 2 Minus Line 9</v>
      </c>
      <c r="F78" s="498">
        <f t="shared" si="2"/>
        <v>16</v>
      </c>
      <c r="G78" s="551"/>
      <c r="H78" s="551"/>
    </row>
    <row r="79" spans="1:8" x14ac:dyDescent="0.35">
      <c r="A79" s="498">
        <v>17</v>
      </c>
      <c r="B79" s="243" t="s">
        <v>20</v>
      </c>
      <c r="C79" s="559">
        <f>C65-C72</f>
        <v>3382.0175231314279</v>
      </c>
      <c r="D79" s="560"/>
      <c r="E79" s="268" t="str">
        <f>"Line "&amp;A65&amp;" Minus Line "&amp;A72</f>
        <v>Line 3 Minus Line 10</v>
      </c>
      <c r="F79" s="498">
        <f t="shared" si="2"/>
        <v>17</v>
      </c>
      <c r="G79" s="551"/>
      <c r="H79" s="551"/>
    </row>
    <row r="80" spans="1:8" x14ac:dyDescent="0.35">
      <c r="A80" s="498">
        <v>18</v>
      </c>
      <c r="B80" s="243" t="s">
        <v>21</v>
      </c>
      <c r="C80" s="559">
        <f>C66-C73</f>
        <v>27998.281415386165</v>
      </c>
      <c r="D80" s="560"/>
      <c r="E80" s="268" t="str">
        <f>"Line "&amp;A66&amp;" Minus Line "&amp;A73</f>
        <v>Line 4 Minus Line 11</v>
      </c>
      <c r="F80" s="498">
        <f t="shared" si="2"/>
        <v>18</v>
      </c>
    </row>
    <row r="81" spans="1:6" x14ac:dyDescent="0.35">
      <c r="A81" s="498">
        <v>19</v>
      </c>
      <c r="B81" s="243" t="s">
        <v>347</v>
      </c>
      <c r="C81" s="561">
        <f>C67-C74</f>
        <v>58913.955560284558</v>
      </c>
      <c r="D81" s="562"/>
      <c r="E81" s="268" t="str">
        <f>"Line "&amp;A67&amp;" Minus Line "&amp;A74</f>
        <v>Line 5 Minus Line 12</v>
      </c>
      <c r="F81" s="498">
        <f t="shared" si="2"/>
        <v>19</v>
      </c>
    </row>
    <row r="82" spans="1:6" ht="16" thickBot="1" x14ac:dyDescent="0.4">
      <c r="A82" s="498">
        <v>20</v>
      </c>
      <c r="B82" s="302" t="s">
        <v>348</v>
      </c>
      <c r="C82" s="563">
        <f>SUM(C78:C81)</f>
        <v>5359328.6425349545</v>
      </c>
      <c r="D82" s="525"/>
      <c r="E82" s="268" t="str">
        <f>"Sum Lines "&amp;A78&amp;" thru "&amp;A81</f>
        <v>Sum Lines 16 thru 19</v>
      </c>
      <c r="F82" s="498">
        <f t="shared" si="2"/>
        <v>20</v>
      </c>
    </row>
    <row r="83" spans="1:6" ht="16" thickTop="1" x14ac:dyDescent="0.35">
      <c r="A83" s="498">
        <v>21</v>
      </c>
      <c r="B83" s="245"/>
      <c r="C83" s="525"/>
      <c r="D83" s="525"/>
      <c r="E83" s="222"/>
      <c r="F83" s="498">
        <f t="shared" si="2"/>
        <v>21</v>
      </c>
    </row>
    <row r="84" spans="1:6" x14ac:dyDescent="0.35">
      <c r="A84" s="498">
        <v>22</v>
      </c>
      <c r="B84" s="419" t="s">
        <v>383</v>
      </c>
      <c r="C84" s="525"/>
      <c r="D84" s="525"/>
      <c r="E84" s="222"/>
      <c r="F84" s="498">
        <f t="shared" si="2"/>
        <v>22</v>
      </c>
    </row>
    <row r="85" spans="1:6" x14ac:dyDescent="0.35">
      <c r="A85" s="498">
        <v>23</v>
      </c>
      <c r="B85" s="243" t="s">
        <v>384</v>
      </c>
      <c r="C85" s="544">
        <v>0</v>
      </c>
      <c r="D85" s="525"/>
      <c r="E85" s="268" t="s">
        <v>19</v>
      </c>
      <c r="F85" s="498">
        <f t="shared" si="2"/>
        <v>23</v>
      </c>
    </row>
    <row r="86" spans="1:6" x14ac:dyDescent="0.35">
      <c r="A86" s="498">
        <v>24</v>
      </c>
      <c r="B86" s="302" t="s">
        <v>385</v>
      </c>
      <c r="C86" s="547">
        <v>0</v>
      </c>
      <c r="D86" s="525"/>
      <c r="E86" s="268" t="s">
        <v>19</v>
      </c>
      <c r="F86" s="498">
        <f t="shared" si="2"/>
        <v>24</v>
      </c>
    </row>
    <row r="87" spans="1:6" ht="16" thickBot="1" x14ac:dyDescent="0.4">
      <c r="A87" s="498">
        <v>25</v>
      </c>
      <c r="B87" s="243" t="s">
        <v>386</v>
      </c>
      <c r="C87" s="564">
        <f>C85-C86</f>
        <v>0</v>
      </c>
      <c r="D87" s="525"/>
      <c r="E87" s="268" t="str">
        <f>"Line "&amp;A85&amp;" Minus Line "&amp;A86</f>
        <v>Line 23 Minus Line 24</v>
      </c>
      <c r="F87" s="498">
        <f t="shared" si="2"/>
        <v>25</v>
      </c>
    </row>
    <row r="88" spans="1:6" ht="16" thickTop="1" x14ac:dyDescent="0.35">
      <c r="A88" s="498"/>
    </row>
  </sheetData>
  <mergeCells count="8">
    <mergeCell ref="B56:E56"/>
    <mergeCell ref="B57:E57"/>
    <mergeCell ref="B2:E2"/>
    <mergeCell ref="B3:E3"/>
    <mergeCell ref="B4:E4"/>
    <mergeCell ref="B5:E5"/>
    <mergeCell ref="B54:E54"/>
    <mergeCell ref="B55:E55"/>
  </mergeCells>
  <printOptions horizontalCentered="1"/>
  <pageMargins left="0.25" right="0.25" top="0.5" bottom="0.5" header="0.35" footer="0.25"/>
  <pageSetup scale="60" orientation="portrait" r:id="rId1"/>
  <headerFooter scaleWithDoc="0" alignWithMargins="0">
    <oddHeader>&amp;C&amp;"Times New Roman,Bold"&amp;7REVISED</oddHeader>
    <oddFooter>&amp;L&amp;F&amp;CPage 12.&amp;P&amp;R&amp;A</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8C0E-4FF5-4670-8B52-8A405C4003E9}">
  <sheetPr>
    <pageSetUpPr fitToPage="1"/>
  </sheetPr>
  <dimension ref="A1:M58"/>
  <sheetViews>
    <sheetView zoomScale="80" zoomScaleNormal="80" workbookViewId="0"/>
  </sheetViews>
  <sheetFormatPr defaultColWidth="8.81640625" defaultRowHeight="15.5" x14ac:dyDescent="0.35"/>
  <cols>
    <col min="1" max="1" width="5.1796875" style="39" customWidth="1"/>
    <col min="2" max="2" width="70.54296875" style="18" customWidth="1"/>
    <col min="3" max="3" width="17.90625" style="18" customWidth="1"/>
    <col min="4" max="4" width="1.54296875" style="18" customWidth="1"/>
    <col min="5" max="5" width="20.81640625" style="18" customWidth="1"/>
    <col min="6" max="6" width="1.54296875" style="18" customWidth="1"/>
    <col min="7" max="7" width="12.54296875" style="18" customWidth="1"/>
    <col min="8" max="8" width="40.54296875" style="18" customWidth="1"/>
    <col min="9" max="9" width="5.1796875" style="39" customWidth="1"/>
    <col min="10" max="10" width="8.81640625" style="18"/>
    <col min="11" max="11" width="10.54296875" style="18" customWidth="1"/>
    <col min="12" max="16384" width="8.81640625" style="18"/>
  </cols>
  <sheetData>
    <row r="1" spans="1:11" x14ac:dyDescent="0.35">
      <c r="A1" s="221"/>
      <c r="B1" s="222"/>
      <c r="C1" s="222"/>
      <c r="D1" s="222"/>
      <c r="E1" s="222"/>
      <c r="F1" s="222"/>
      <c r="G1" s="222"/>
      <c r="H1" s="222"/>
      <c r="I1" s="221"/>
    </row>
    <row r="2" spans="1:11" x14ac:dyDescent="0.35">
      <c r="A2" s="221"/>
      <c r="B2" s="775" t="s">
        <v>24</v>
      </c>
      <c r="C2" s="775"/>
      <c r="D2" s="775"/>
      <c r="E2" s="775"/>
      <c r="F2" s="775"/>
      <c r="G2" s="775"/>
      <c r="H2" s="775"/>
      <c r="I2" s="222"/>
    </row>
    <row r="3" spans="1:11" x14ac:dyDescent="0.35">
      <c r="B3" s="775" t="s">
        <v>216</v>
      </c>
      <c r="C3" s="775"/>
      <c r="D3" s="775"/>
      <c r="E3" s="775"/>
      <c r="F3" s="775"/>
      <c r="G3" s="775"/>
      <c r="H3" s="775"/>
      <c r="I3" s="219"/>
    </row>
    <row r="4" spans="1:11" x14ac:dyDescent="0.35">
      <c r="B4" s="775" t="s">
        <v>576</v>
      </c>
      <c r="C4" s="775"/>
      <c r="D4" s="775"/>
      <c r="E4" s="775"/>
      <c r="F4" s="775"/>
      <c r="G4" s="775"/>
      <c r="H4" s="775"/>
      <c r="I4" s="219"/>
    </row>
    <row r="5" spans="1:11" x14ac:dyDescent="0.35">
      <c r="B5" s="775" t="s">
        <v>487</v>
      </c>
      <c r="C5" s="775"/>
      <c r="D5" s="775"/>
      <c r="E5" s="775"/>
      <c r="F5" s="775"/>
      <c r="G5" s="775"/>
      <c r="H5" s="775"/>
      <c r="I5" s="219"/>
    </row>
    <row r="6" spans="1:11" x14ac:dyDescent="0.35">
      <c r="B6" s="776" t="s">
        <v>1</v>
      </c>
      <c r="C6" s="775"/>
      <c r="D6" s="775"/>
      <c r="E6" s="775"/>
      <c r="F6" s="775"/>
      <c r="G6" s="775"/>
      <c r="H6" s="775"/>
      <c r="I6" s="219"/>
    </row>
    <row r="7" spans="1:11" x14ac:dyDescent="0.35">
      <c r="A7" s="221"/>
      <c r="B7" s="222"/>
      <c r="C7" s="223"/>
      <c r="D7" s="223"/>
      <c r="E7" s="223"/>
      <c r="F7" s="223"/>
      <c r="G7" s="223"/>
      <c r="H7" s="223"/>
      <c r="I7" s="221"/>
    </row>
    <row r="8" spans="1:11" ht="16" thickBot="1" x14ac:dyDescent="0.4">
      <c r="A8" s="221"/>
      <c r="B8" s="222"/>
      <c r="C8" s="299" t="s">
        <v>12</v>
      </c>
      <c r="D8" s="298"/>
      <c r="E8" s="299" t="s">
        <v>7</v>
      </c>
      <c r="F8" s="298"/>
      <c r="G8" s="299" t="s">
        <v>13</v>
      </c>
      <c r="H8" s="223"/>
      <c r="I8" s="221"/>
    </row>
    <row r="9" spans="1:11" ht="60.5" x14ac:dyDescent="0.35">
      <c r="A9" s="570" t="s">
        <v>2</v>
      </c>
      <c r="B9" s="300"/>
      <c r="C9" s="304" t="s">
        <v>489</v>
      </c>
      <c r="D9" s="222"/>
      <c r="E9" s="21" t="s">
        <v>575</v>
      </c>
      <c r="F9" s="21"/>
      <c r="G9" s="23" t="s">
        <v>14</v>
      </c>
      <c r="H9" s="228"/>
      <c r="I9" s="569" t="s">
        <v>2</v>
      </c>
    </row>
    <row r="10" spans="1:11" x14ac:dyDescent="0.35">
      <c r="A10" s="225" t="s">
        <v>6</v>
      </c>
      <c r="B10" s="230" t="s">
        <v>218</v>
      </c>
      <c r="C10" s="230" t="s">
        <v>4</v>
      </c>
      <c r="D10" s="230"/>
      <c r="E10" s="230" t="s">
        <v>4</v>
      </c>
      <c r="F10" s="230"/>
      <c r="G10" s="568" t="s">
        <v>15</v>
      </c>
      <c r="H10" s="230" t="s">
        <v>5</v>
      </c>
      <c r="I10" s="229" t="s">
        <v>6</v>
      </c>
    </row>
    <row r="11" spans="1:11" x14ac:dyDescent="0.35">
      <c r="A11" s="225"/>
      <c r="B11" s="301"/>
      <c r="C11" s="234"/>
      <c r="D11" s="233"/>
      <c r="E11" s="233"/>
      <c r="F11" s="233"/>
      <c r="G11" s="233"/>
      <c r="H11" s="234"/>
      <c r="I11" s="229"/>
    </row>
    <row r="12" spans="1:11" x14ac:dyDescent="0.35">
      <c r="A12" s="225">
        <v>1</v>
      </c>
      <c r="B12" s="243" t="s">
        <v>219</v>
      </c>
      <c r="C12" s="292">
        <f>'Pg3 Rev App XII C4'!C11</f>
        <v>0</v>
      </c>
      <c r="D12" s="237"/>
      <c r="E12" s="292">
        <f>'Pg4 As Filed App XII C4 FERC'!C12</f>
        <v>0</v>
      </c>
      <c r="F12" s="237"/>
      <c r="G12" s="237">
        <f>C12-E12</f>
        <v>0</v>
      </c>
      <c r="H12" s="8" t="s">
        <v>474</v>
      </c>
      <c r="I12" s="229">
        <f>A12</f>
        <v>1</v>
      </c>
      <c r="K12" s="20"/>
    </row>
    <row r="13" spans="1:11" x14ac:dyDescent="0.35">
      <c r="A13" s="225">
        <f>A12+1</f>
        <v>2</v>
      </c>
      <c r="B13" s="302"/>
      <c r="C13" s="241"/>
      <c r="D13" s="241"/>
      <c r="E13" s="241"/>
      <c r="F13" s="241"/>
      <c r="G13" s="241"/>
      <c r="H13" s="222"/>
      <c r="I13" s="229">
        <f>I12+1</f>
        <v>2</v>
      </c>
    </row>
    <row r="14" spans="1:11" x14ac:dyDescent="0.35">
      <c r="A14" s="225">
        <f t="shared" ref="A14:A29" si="0">A13+1</f>
        <v>3</v>
      </c>
      <c r="B14" s="243" t="s">
        <v>220</v>
      </c>
      <c r="C14" s="765">
        <f>'Pg3 Rev App XII C4'!C13</f>
        <v>873.66166509278685</v>
      </c>
      <c r="D14" s="25" t="s">
        <v>16</v>
      </c>
      <c r="E14" s="293">
        <f>'Pg4 As Filed App XII C4 FERC'!C14</f>
        <v>873.33705721092872</v>
      </c>
      <c r="F14" s="218"/>
      <c r="G14" s="767">
        <f>C14-E14+1</f>
        <v>1.3246078818581282</v>
      </c>
      <c r="H14" s="8" t="s">
        <v>475</v>
      </c>
      <c r="I14" s="229">
        <f t="shared" ref="I14:I29" si="1">I13+1</f>
        <v>3</v>
      </c>
      <c r="K14" s="28"/>
    </row>
    <row r="15" spans="1:11" x14ac:dyDescent="0.35">
      <c r="A15" s="225">
        <f t="shared" si="0"/>
        <v>4</v>
      </c>
      <c r="B15" s="302"/>
      <c r="C15" s="241"/>
      <c r="D15" s="241"/>
      <c r="E15" s="241"/>
      <c r="F15" s="241"/>
      <c r="G15" s="241"/>
      <c r="H15" s="242"/>
      <c r="I15" s="229">
        <f t="shared" si="1"/>
        <v>4</v>
      </c>
    </row>
    <row r="16" spans="1:11" x14ac:dyDescent="0.35">
      <c r="A16" s="225">
        <f t="shared" si="0"/>
        <v>5</v>
      </c>
      <c r="B16" s="243" t="s">
        <v>221</v>
      </c>
      <c r="C16" s="32">
        <f>'Pg3 Rev App XII C4'!C15</f>
        <v>-76.86620554291548</v>
      </c>
      <c r="D16" s="244"/>
      <c r="E16" s="32">
        <f>'Pg4 As Filed App XII C4 FERC'!C16</f>
        <v>-76.86620554291548</v>
      </c>
      <c r="F16" s="244"/>
      <c r="G16" s="290">
        <f>C16-E16</f>
        <v>0</v>
      </c>
      <c r="H16" s="8" t="s">
        <v>476</v>
      </c>
      <c r="I16" s="229">
        <f t="shared" si="1"/>
        <v>5</v>
      </c>
      <c r="K16" s="28"/>
    </row>
    <row r="17" spans="1:13" x14ac:dyDescent="0.35">
      <c r="A17" s="225">
        <f t="shared" si="0"/>
        <v>6</v>
      </c>
      <c r="B17" s="245"/>
      <c r="C17" s="244"/>
      <c r="D17" s="244"/>
      <c r="E17" s="244"/>
      <c r="F17" s="244"/>
      <c r="G17" s="244"/>
      <c r="H17" s="238"/>
      <c r="I17" s="229">
        <f t="shared" si="1"/>
        <v>6</v>
      </c>
      <c r="K17" s="28"/>
    </row>
    <row r="18" spans="1:13" x14ac:dyDescent="0.35">
      <c r="A18" s="225">
        <f t="shared" si="0"/>
        <v>7</v>
      </c>
      <c r="B18" s="303" t="s">
        <v>389</v>
      </c>
      <c r="C18" s="726">
        <f>'Pg3 Rev App XII C4'!C17</f>
        <v>796.79545954987134</v>
      </c>
      <c r="D18" s="25" t="s">
        <v>16</v>
      </c>
      <c r="E18" s="291">
        <f>'Pg4 As Filed App XII C4 FERC'!C18</f>
        <v>796.47085166801321</v>
      </c>
      <c r="F18" s="218"/>
      <c r="G18" s="726">
        <f>C18-E18+1</f>
        <v>1.3246078818581282</v>
      </c>
      <c r="H18" s="247" t="str">
        <f>"Sum Lines "&amp;A12&amp;", "&amp;A14&amp;", "&amp;A16</f>
        <v>Sum Lines 1, 3, 5</v>
      </c>
      <c r="I18" s="229">
        <f t="shared" si="1"/>
        <v>7</v>
      </c>
      <c r="K18" s="28"/>
    </row>
    <row r="19" spans="1:13" x14ac:dyDescent="0.35">
      <c r="A19" s="225">
        <f t="shared" si="0"/>
        <v>8</v>
      </c>
      <c r="B19" s="245"/>
      <c r="C19" s="241"/>
      <c r="D19" s="241"/>
      <c r="E19" s="241"/>
      <c r="F19" s="241"/>
      <c r="G19" s="241"/>
      <c r="H19" s="249"/>
      <c r="I19" s="229">
        <f t="shared" si="1"/>
        <v>8</v>
      </c>
      <c r="K19" s="28"/>
    </row>
    <row r="20" spans="1:13" x14ac:dyDescent="0.35">
      <c r="A20" s="225">
        <f t="shared" si="0"/>
        <v>9</v>
      </c>
      <c r="B20" s="243" t="s">
        <v>222</v>
      </c>
      <c r="C20" s="765">
        <f>'Pg3 Rev App XII C4'!C19</f>
        <v>-115.1917165332448</v>
      </c>
      <c r="D20" s="25" t="s">
        <v>16</v>
      </c>
      <c r="E20" s="294">
        <f>'Pg4 As Filed App XII C4 FERC'!C20</f>
        <v>-115.52299387759145</v>
      </c>
      <c r="F20" s="218"/>
      <c r="G20" s="767">
        <f>C20-E20+1</f>
        <v>1.3312773443466455</v>
      </c>
      <c r="H20" s="8" t="s">
        <v>477</v>
      </c>
      <c r="I20" s="229">
        <f t="shared" si="1"/>
        <v>9</v>
      </c>
      <c r="K20" s="28"/>
    </row>
    <row r="21" spans="1:13" x14ac:dyDescent="0.35">
      <c r="A21" s="225">
        <f t="shared" si="0"/>
        <v>10</v>
      </c>
      <c r="B21" s="243"/>
      <c r="C21" s="241"/>
      <c r="D21" s="241"/>
      <c r="E21" s="241"/>
      <c r="F21" s="241"/>
      <c r="G21" s="241"/>
      <c r="H21" s="250"/>
      <c r="I21" s="229">
        <f t="shared" si="1"/>
        <v>10</v>
      </c>
    </row>
    <row r="22" spans="1:13" x14ac:dyDescent="0.35">
      <c r="A22" s="225">
        <f t="shared" si="0"/>
        <v>11</v>
      </c>
      <c r="B22" s="243" t="s">
        <v>223</v>
      </c>
      <c r="C22" s="32">
        <f>'Pg3 Rev App XII C4'!C21</f>
        <v>-2.6155405682218507</v>
      </c>
      <c r="D22" s="244"/>
      <c r="E22" s="32">
        <f>'Pg4 As Filed App XII C4 FERC'!C22</f>
        <v>-2.6155405682218507</v>
      </c>
      <c r="F22" s="244"/>
      <c r="G22" s="290">
        <f>C22-E22</f>
        <v>0</v>
      </c>
      <c r="H22" s="8" t="s">
        <v>478</v>
      </c>
      <c r="I22" s="229">
        <f t="shared" si="1"/>
        <v>11</v>
      </c>
    </row>
    <row r="23" spans="1:13" x14ac:dyDescent="0.35">
      <c r="A23" s="225">
        <f t="shared" si="0"/>
        <v>12</v>
      </c>
      <c r="B23" s="245"/>
      <c r="C23" s="252"/>
      <c r="D23" s="252"/>
      <c r="E23" s="252"/>
      <c r="F23" s="252"/>
      <c r="G23" s="252"/>
      <c r="H23" s="247"/>
      <c r="I23" s="229">
        <f t="shared" si="1"/>
        <v>12</v>
      </c>
    </row>
    <row r="24" spans="1:13" x14ac:dyDescent="0.35">
      <c r="A24" s="225">
        <f t="shared" si="0"/>
        <v>13</v>
      </c>
      <c r="B24" s="245" t="s">
        <v>224</v>
      </c>
      <c r="C24" s="78">
        <f>'Pg3 Rev App XII C4'!C23</f>
        <v>678.98820244840476</v>
      </c>
      <c r="D24" s="25" t="s">
        <v>16</v>
      </c>
      <c r="E24" s="37">
        <f>'Pg4 As Filed App XII C4 FERC'!C24</f>
        <v>677.33231722219989</v>
      </c>
      <c r="F24" s="218"/>
      <c r="G24" s="78">
        <f>C24-E24</f>
        <v>1.6558852262048731</v>
      </c>
      <c r="H24" s="247" t="str">
        <f>"Sum Lines "&amp;A18&amp;", "&amp;A20&amp;", "&amp;A22</f>
        <v>Sum Lines 7, 9, 11</v>
      </c>
      <c r="I24" s="229">
        <f t="shared" si="1"/>
        <v>13</v>
      </c>
      <c r="K24" s="28"/>
    </row>
    <row r="25" spans="1:13" x14ac:dyDescent="0.35">
      <c r="A25" s="225">
        <f t="shared" si="0"/>
        <v>14</v>
      </c>
      <c r="B25" s="253"/>
      <c r="C25" s="76"/>
      <c r="D25" s="76"/>
      <c r="E25" s="76"/>
      <c r="F25" s="76"/>
      <c r="G25" s="76"/>
      <c r="H25" s="247"/>
      <c r="I25" s="229">
        <f t="shared" si="1"/>
        <v>14</v>
      </c>
      <c r="K25" s="28"/>
    </row>
    <row r="26" spans="1:13" x14ac:dyDescent="0.35">
      <c r="A26" s="225">
        <f t="shared" si="0"/>
        <v>15</v>
      </c>
      <c r="B26" s="243" t="s">
        <v>225</v>
      </c>
      <c r="C26" s="567">
        <f>'Pg3 Rev App XII C4'!C25</f>
        <v>-26.403206586286924</v>
      </c>
      <c r="D26" s="76"/>
      <c r="E26" s="295">
        <f>'Pg4 As Filed App XII C4 FERC'!C26</f>
        <v>-26.403206586286924</v>
      </c>
      <c r="F26" s="76"/>
      <c r="G26" s="85"/>
      <c r="H26" s="8" t="s">
        <v>479</v>
      </c>
      <c r="I26" s="229">
        <f t="shared" si="1"/>
        <v>15</v>
      </c>
      <c r="K26" s="28"/>
    </row>
    <row r="27" spans="1:13" x14ac:dyDescent="0.35">
      <c r="A27" s="225">
        <f t="shared" si="0"/>
        <v>16</v>
      </c>
      <c r="B27" s="223"/>
      <c r="C27" s="255"/>
      <c r="D27" s="255"/>
      <c r="E27" s="255"/>
      <c r="F27" s="255"/>
      <c r="G27" s="600"/>
      <c r="H27" s="247"/>
      <c r="I27" s="229">
        <f t="shared" si="1"/>
        <v>16</v>
      </c>
    </row>
    <row r="28" spans="1:13" ht="16" thickBot="1" x14ac:dyDescent="0.4">
      <c r="A28" s="225">
        <f t="shared" si="0"/>
        <v>17</v>
      </c>
      <c r="B28" s="303" t="s">
        <v>226</v>
      </c>
      <c r="C28" s="766">
        <f>'Pg3 Rev App XII C4'!C27</f>
        <v>652.58499586211781</v>
      </c>
      <c r="D28" s="25" t="s">
        <v>16</v>
      </c>
      <c r="E28" s="297">
        <f>'Pg4 As Filed App XII C4 FERC'!C28</f>
        <v>650.92911063591293</v>
      </c>
      <c r="F28" s="218"/>
      <c r="G28" s="768">
        <f>C28-E28</f>
        <v>1.6558852262048731</v>
      </c>
      <c r="H28" s="247" t="str">
        <f>"Line "&amp;A24&amp;" + Line "&amp;A26</f>
        <v>Line 13 + Line 15</v>
      </c>
      <c r="I28" s="229">
        <f t="shared" si="1"/>
        <v>17</v>
      </c>
      <c r="L28" s="20"/>
      <c r="M28" s="257"/>
    </row>
    <row r="29" spans="1:13" ht="16.5" thickTop="1" thickBot="1" x14ac:dyDescent="0.4">
      <c r="A29" s="225">
        <f t="shared" si="0"/>
        <v>18</v>
      </c>
      <c r="B29" s="224"/>
      <c r="C29" s="305"/>
      <c r="D29" s="224"/>
      <c r="E29" s="224"/>
      <c r="F29" s="224"/>
      <c r="G29" s="224"/>
      <c r="H29" s="224"/>
      <c r="I29" s="229">
        <f t="shared" si="1"/>
        <v>18</v>
      </c>
    </row>
    <row r="31" spans="1:13" ht="16" thickBot="1" x14ac:dyDescent="0.4">
      <c r="A31" s="221"/>
      <c r="B31" s="260"/>
      <c r="C31" s="261"/>
      <c r="D31" s="261"/>
      <c r="E31" s="261"/>
      <c r="F31" s="261"/>
      <c r="G31" s="261"/>
      <c r="H31" s="261"/>
      <c r="I31" s="221"/>
    </row>
    <row r="32" spans="1:13" ht="60.5" x14ac:dyDescent="0.35">
      <c r="A32" s="570" t="s">
        <v>2</v>
      </c>
      <c r="B32" s="222"/>
      <c r="C32" s="307" t="str">
        <f>C9</f>
        <v>Revised - Appendix XII Cycle 4</v>
      </c>
      <c r="D32" s="222"/>
      <c r="E32" s="306" t="str">
        <f>E9</f>
        <v>As Filed - Appendix XII Cycle 4 ER22-133, ER23-110 and ER24-175</v>
      </c>
      <c r="F32" s="222"/>
      <c r="G32" s="222" t="str">
        <f>G9</f>
        <v>Difference</v>
      </c>
      <c r="H32" s="222"/>
      <c r="I32" s="569" t="s">
        <v>2</v>
      </c>
    </row>
    <row r="33" spans="1:11" x14ac:dyDescent="0.35">
      <c r="A33" s="225" t="s">
        <v>6</v>
      </c>
      <c r="B33" s="230" t="s">
        <v>227</v>
      </c>
      <c r="C33" s="230" t="str">
        <f>C10</f>
        <v>Amounts</v>
      </c>
      <c r="D33" s="230"/>
      <c r="E33" s="230" t="str">
        <f>E10</f>
        <v>Amounts</v>
      </c>
      <c r="F33" s="230"/>
      <c r="G33" s="230" t="str">
        <f>G10</f>
        <v>Incr (Decr)</v>
      </c>
      <c r="H33" s="230" t="str">
        <f>H10</f>
        <v>Reference</v>
      </c>
      <c r="I33" s="229" t="s">
        <v>6</v>
      </c>
    </row>
    <row r="34" spans="1:11" x14ac:dyDescent="0.35">
      <c r="A34" s="225">
        <f>A29+1</f>
        <v>19</v>
      </c>
      <c r="B34" s="223"/>
      <c r="C34" s="234"/>
      <c r="D34" s="233"/>
      <c r="E34" s="233"/>
      <c r="F34" s="233"/>
      <c r="G34" s="233"/>
      <c r="H34" s="234"/>
      <c r="I34" s="229">
        <f>I29+1</f>
        <v>19</v>
      </c>
    </row>
    <row r="35" spans="1:11" x14ac:dyDescent="0.35">
      <c r="A35" s="225">
        <f>A34+1</f>
        <v>20</v>
      </c>
      <c r="B35" s="243" t="str">
        <f>B12</f>
        <v>Section 1 - Direct Maintenance Expense Cost Component</v>
      </c>
      <c r="C35" s="265">
        <f>'Pg3 Rev App XII C4'!C34</f>
        <v>0</v>
      </c>
      <c r="D35" s="265"/>
      <c r="E35" s="265">
        <f>'Pg4 As Filed App XII C4 FERC'!C35</f>
        <v>0</v>
      </c>
      <c r="F35" s="265"/>
      <c r="G35" s="265">
        <f>C35-E35</f>
        <v>0</v>
      </c>
      <c r="H35" s="8" t="s">
        <v>480</v>
      </c>
      <c r="I35" s="229">
        <f>I34+1</f>
        <v>20</v>
      </c>
    </row>
    <row r="36" spans="1:11" x14ac:dyDescent="0.35">
      <c r="A36" s="225">
        <f t="shared" ref="A36:A54" si="2">A35+1</f>
        <v>21</v>
      </c>
      <c r="B36" s="302"/>
      <c r="C36" s="267"/>
      <c r="D36" s="267"/>
      <c r="E36" s="267"/>
      <c r="F36" s="267"/>
      <c r="G36" s="267"/>
      <c r="H36" s="268"/>
      <c r="I36" s="229">
        <f t="shared" ref="I36:I54" si="3">I35+1</f>
        <v>21</v>
      </c>
    </row>
    <row r="37" spans="1:11" x14ac:dyDescent="0.35">
      <c r="A37" s="225">
        <f t="shared" si="2"/>
        <v>22</v>
      </c>
      <c r="B37" s="243" t="str">
        <f>B14</f>
        <v>Section 2 - Non-Direct Expense Cost Component</v>
      </c>
      <c r="C37" s="308">
        <f>'Pg3 Rev App XII C4'!C36</f>
        <v>72.805138757732237</v>
      </c>
      <c r="D37" s="25" t="s">
        <v>16</v>
      </c>
      <c r="E37" s="313">
        <f>'Pg4 As Filed App XII C4 FERC'!C37</f>
        <v>72.778088100910722</v>
      </c>
      <c r="F37" s="218"/>
      <c r="G37" s="601">
        <f>C37-E37</f>
        <v>2.7050656821515418E-2</v>
      </c>
      <c r="H37" s="8" t="s">
        <v>481</v>
      </c>
      <c r="I37" s="229">
        <f t="shared" si="3"/>
        <v>22</v>
      </c>
    </row>
    <row r="38" spans="1:11" x14ac:dyDescent="0.35">
      <c r="A38" s="225">
        <f t="shared" si="2"/>
        <v>23</v>
      </c>
      <c r="B38" s="302"/>
      <c r="C38" s="309"/>
      <c r="D38" s="271"/>
      <c r="E38" s="271"/>
      <c r="F38" s="271"/>
      <c r="G38" s="271"/>
      <c r="H38" s="272"/>
      <c r="I38" s="229">
        <f t="shared" si="3"/>
        <v>23</v>
      </c>
    </row>
    <row r="39" spans="1:11" x14ac:dyDescent="0.35">
      <c r="A39" s="225">
        <f t="shared" si="2"/>
        <v>24</v>
      </c>
      <c r="B39" s="243" t="str">
        <f>B16</f>
        <v>Section 3 - Cost Component Containing Other Specific Expenses</v>
      </c>
      <c r="C39" s="314">
        <f>'Pg3 Rev App XII C4'!C38</f>
        <v>-6.4055171285762897</v>
      </c>
      <c r="D39" s="25"/>
      <c r="E39" s="314">
        <f>'Pg4 As Filed App XII C4 FERC'!C39</f>
        <v>-6.4055171285762897</v>
      </c>
      <c r="F39" s="273"/>
      <c r="G39" s="671">
        <f>C39-E39</f>
        <v>0</v>
      </c>
      <c r="H39" s="8" t="s">
        <v>482</v>
      </c>
      <c r="I39" s="229">
        <f t="shared" si="3"/>
        <v>24</v>
      </c>
    </row>
    <row r="40" spans="1:11" x14ac:dyDescent="0.35">
      <c r="A40" s="225">
        <f t="shared" si="2"/>
        <v>25</v>
      </c>
      <c r="B40" s="245"/>
      <c r="C40" s="271"/>
      <c r="D40" s="271"/>
      <c r="E40" s="271"/>
      <c r="F40" s="271"/>
      <c r="G40" s="271"/>
      <c r="H40" s="238"/>
      <c r="I40" s="229">
        <f t="shared" si="3"/>
        <v>25</v>
      </c>
    </row>
    <row r="41" spans="1:11" x14ac:dyDescent="0.35">
      <c r="A41" s="225">
        <f t="shared" si="2"/>
        <v>26</v>
      </c>
      <c r="B41" s="303" t="s">
        <v>390</v>
      </c>
      <c r="C41" s="310">
        <f>'Pg3 Rev App XII C4'!C40</f>
        <v>66.399621629155945</v>
      </c>
      <c r="D41" s="25" t="s">
        <v>16</v>
      </c>
      <c r="E41" s="317">
        <f>'Pg4 As Filed App XII C4 FERC'!C41</f>
        <v>66.372570972334429</v>
      </c>
      <c r="F41" s="218"/>
      <c r="G41" s="602">
        <f>C41-E41</f>
        <v>2.7050656821515418E-2</v>
      </c>
      <c r="H41" s="247" t="str">
        <f>"Sum Lines "&amp;A35&amp;", "&amp;A37&amp;", "&amp;A39</f>
        <v>Sum Lines 20, 22, 24</v>
      </c>
      <c r="I41" s="229">
        <f t="shared" si="3"/>
        <v>26</v>
      </c>
    </row>
    <row r="42" spans="1:11" x14ac:dyDescent="0.35">
      <c r="A42" s="225">
        <f t="shared" si="2"/>
        <v>27</v>
      </c>
      <c r="B42" s="223"/>
      <c r="C42" s="309"/>
      <c r="D42" s="271"/>
      <c r="E42" s="271"/>
      <c r="F42" s="271"/>
      <c r="G42" s="271"/>
      <c r="H42" s="242"/>
      <c r="I42" s="229">
        <f t="shared" si="3"/>
        <v>27</v>
      </c>
    </row>
    <row r="43" spans="1:11" x14ac:dyDescent="0.35">
      <c r="A43" s="225">
        <f t="shared" si="2"/>
        <v>28</v>
      </c>
      <c r="B43" s="243" t="str">
        <f>LEFT(B20,45)</f>
        <v>Section 4 - True-Up Adjustment Cost Component</v>
      </c>
      <c r="C43" s="308">
        <f>'Pg3 Rev App XII C4'!C42</f>
        <v>-9.599309711103734</v>
      </c>
      <c r="D43" s="25" t="s">
        <v>16</v>
      </c>
      <c r="E43" s="315">
        <f>'Pg4 As Filed App XII C4 FERC'!C43</f>
        <v>-9.6269161564659544</v>
      </c>
      <c r="F43" s="218"/>
      <c r="G43" s="601">
        <f>C43-E43</f>
        <v>2.7606445362220455E-2</v>
      </c>
      <c r="H43" s="8" t="s">
        <v>483</v>
      </c>
      <c r="I43" s="229">
        <f t="shared" si="3"/>
        <v>28</v>
      </c>
      <c r="J43" s="672"/>
    </row>
    <row r="44" spans="1:11" x14ac:dyDescent="0.35">
      <c r="A44" s="225">
        <f t="shared" si="2"/>
        <v>29</v>
      </c>
      <c r="B44" s="243"/>
      <c r="C44" s="309"/>
      <c r="D44" s="271"/>
      <c r="E44" s="271"/>
      <c r="F44" s="271"/>
      <c r="G44" s="271"/>
      <c r="H44" s="276"/>
      <c r="I44" s="229">
        <f t="shared" si="3"/>
        <v>29</v>
      </c>
    </row>
    <row r="45" spans="1:11" x14ac:dyDescent="0.35">
      <c r="A45" s="225">
        <f t="shared" si="2"/>
        <v>30</v>
      </c>
      <c r="B45" s="243" t="str">
        <f>B22</f>
        <v>Section 5 - Interest True-Up Adjustment Cost Component</v>
      </c>
      <c r="C45" s="273">
        <f>'Pg3 Rev App XII C4'!C44</f>
        <v>-0.21796171401848755</v>
      </c>
      <c r="D45" s="273"/>
      <c r="E45" s="273">
        <f>'Pg4 As Filed App XII C4 FERC'!C45</f>
        <v>-0.21796171401848755</v>
      </c>
      <c r="F45" s="273"/>
      <c r="G45" s="273">
        <f>C45-E45</f>
        <v>0</v>
      </c>
      <c r="H45" s="8" t="s">
        <v>484</v>
      </c>
      <c r="I45" s="229">
        <f t="shared" si="3"/>
        <v>30</v>
      </c>
    </row>
    <row r="46" spans="1:11" x14ac:dyDescent="0.35">
      <c r="A46" s="225">
        <f t="shared" si="2"/>
        <v>31</v>
      </c>
      <c r="B46" s="245"/>
      <c r="C46" s="30"/>
      <c r="D46" s="29"/>
      <c r="E46" s="29"/>
      <c r="F46" s="29"/>
      <c r="G46" s="29"/>
      <c r="H46" s="279"/>
      <c r="I46" s="229">
        <f t="shared" si="3"/>
        <v>31</v>
      </c>
    </row>
    <row r="47" spans="1:11" x14ac:dyDescent="0.35">
      <c r="A47" s="225">
        <f t="shared" si="2"/>
        <v>32</v>
      </c>
      <c r="B47" s="243" t="str">
        <f>B26</f>
        <v>Other Adjustments</v>
      </c>
      <c r="C47" s="314">
        <f>'Pg3 Rev App XII C4'!C46</f>
        <v>-2.2002672155239105</v>
      </c>
      <c r="D47" s="273"/>
      <c r="E47" s="314">
        <f>'Pg4 As Filed App XII C4 FERC'!C47</f>
        <v>-2.2002672155239105</v>
      </c>
      <c r="F47" s="273"/>
      <c r="G47" s="314">
        <f>C47-E47</f>
        <v>0</v>
      </c>
      <c r="H47" s="8" t="s">
        <v>485</v>
      </c>
      <c r="I47" s="229">
        <f t="shared" si="3"/>
        <v>32</v>
      </c>
    </row>
    <row r="48" spans="1:11" x14ac:dyDescent="0.35">
      <c r="A48" s="225">
        <f t="shared" si="2"/>
        <v>33</v>
      </c>
      <c r="B48" s="245"/>
      <c r="C48" s="30"/>
      <c r="D48" s="29"/>
      <c r="E48" s="29"/>
      <c r="F48" s="29"/>
      <c r="G48" s="29"/>
      <c r="H48" s="279"/>
      <c r="I48" s="229">
        <f t="shared" si="3"/>
        <v>33</v>
      </c>
      <c r="K48" s="744"/>
    </row>
    <row r="49" spans="1:11" x14ac:dyDescent="0.35">
      <c r="A49" s="225">
        <f t="shared" si="2"/>
        <v>34</v>
      </c>
      <c r="B49" s="245" t="s">
        <v>228</v>
      </c>
      <c r="C49" s="311">
        <f>'Pg3 Rev App XII C4'!C48</f>
        <v>54.382082988509815</v>
      </c>
      <c r="D49" s="25" t="s">
        <v>16</v>
      </c>
      <c r="E49" s="316">
        <f>'Pg4 As Filed App XII C4 FERC'!C49</f>
        <v>54.244092552992747</v>
      </c>
      <c r="F49" s="218"/>
      <c r="G49" s="743">
        <f>C49-E49</f>
        <v>0.13799043551706802</v>
      </c>
      <c r="H49" s="247" t="str">
        <f>"Sum Lines "&amp;A41&amp;", "&amp;A43&amp;", "&amp;A45&amp;", "&amp;A47</f>
        <v>Sum Lines 26, 28, 30, 32</v>
      </c>
      <c r="I49" s="229">
        <f t="shared" si="3"/>
        <v>34</v>
      </c>
      <c r="K49" s="742"/>
    </row>
    <row r="50" spans="1:11" x14ac:dyDescent="0.35">
      <c r="A50" s="225">
        <f t="shared" si="2"/>
        <v>35</v>
      </c>
      <c r="B50" s="223"/>
      <c r="C50" s="312"/>
      <c r="D50" s="282"/>
      <c r="E50" s="282"/>
      <c r="F50" s="282"/>
      <c r="G50" s="282"/>
      <c r="H50" s="283"/>
      <c r="I50" s="229">
        <f t="shared" si="3"/>
        <v>35</v>
      </c>
    </row>
    <row r="51" spans="1:11" x14ac:dyDescent="0.35">
      <c r="A51" s="225">
        <f t="shared" si="2"/>
        <v>36</v>
      </c>
      <c r="B51" s="302" t="s">
        <v>229</v>
      </c>
      <c r="C51" s="319">
        <f>'Pg3 Rev App XII C4'!C50</f>
        <v>12</v>
      </c>
      <c r="D51" s="284"/>
      <c r="E51" s="319">
        <f>'Pg4 As Filed App XII C4 FERC'!C51</f>
        <v>12</v>
      </c>
      <c r="F51" s="284"/>
      <c r="G51" s="320">
        <f>C51-E51</f>
        <v>0</v>
      </c>
      <c r="H51" s="283"/>
      <c r="I51" s="229">
        <f t="shared" si="3"/>
        <v>36</v>
      </c>
    </row>
    <row r="52" spans="1:11" x14ac:dyDescent="0.35">
      <c r="A52" s="225">
        <f t="shared" si="2"/>
        <v>37</v>
      </c>
      <c r="B52" s="223"/>
      <c r="C52" s="312"/>
      <c r="D52" s="282"/>
      <c r="E52" s="282"/>
      <c r="F52" s="282"/>
      <c r="G52" s="282"/>
      <c r="H52" s="285"/>
      <c r="I52" s="229">
        <f t="shared" si="3"/>
        <v>37</v>
      </c>
    </row>
    <row r="53" spans="1:11" ht="16" thickBot="1" x14ac:dyDescent="0.4">
      <c r="A53" s="225">
        <f t="shared" si="2"/>
        <v>38</v>
      </c>
      <c r="B53" s="303" t="str">
        <f>B28</f>
        <v>Total Annual Costs</v>
      </c>
      <c r="C53" s="769">
        <f>'Pg3 Rev App XII C4'!C52</f>
        <v>652.58499586211781</v>
      </c>
      <c r="D53" s="25"/>
      <c r="E53" s="588">
        <f>'Pg4 As Filed App XII C4 FERC'!C53</f>
        <v>650.92911063591293</v>
      </c>
      <c r="F53" s="218"/>
      <c r="G53" s="768">
        <f>C53-E53</f>
        <v>1.6558852262048731</v>
      </c>
      <c r="H53" s="8" t="s">
        <v>486</v>
      </c>
      <c r="I53" s="229">
        <f t="shared" si="3"/>
        <v>38</v>
      </c>
      <c r="K53" s="727"/>
    </row>
    <row r="54" spans="1:11" ht="16.5" thickTop="1" thickBot="1" x14ac:dyDescent="0.4">
      <c r="A54" s="225">
        <f t="shared" si="2"/>
        <v>39</v>
      </c>
      <c r="B54" s="224"/>
      <c r="C54" s="318"/>
      <c r="D54" s="288"/>
      <c r="E54" s="288"/>
      <c r="F54" s="288"/>
      <c r="G54" s="288"/>
      <c r="H54" s="289"/>
      <c r="I54" s="229">
        <f t="shared" si="3"/>
        <v>39</v>
      </c>
    </row>
    <row r="57" spans="1:11" x14ac:dyDescent="0.35">
      <c r="A57" s="25" t="s">
        <v>16</v>
      </c>
      <c r="B57" s="148" t="s">
        <v>720</v>
      </c>
    </row>
    <row r="58" spans="1:11" x14ac:dyDescent="0.35">
      <c r="B58" s="22"/>
    </row>
  </sheetData>
  <mergeCells count="5">
    <mergeCell ref="B2:H2"/>
    <mergeCell ref="B3:H3"/>
    <mergeCell ref="B4:H4"/>
    <mergeCell ref="B6:H6"/>
    <mergeCell ref="B5:H5"/>
  </mergeCells>
  <printOptions horizontalCentered="1"/>
  <pageMargins left="0.25" right="0.25" top="0.5" bottom="0.5" header="0.25" footer="0.25"/>
  <pageSetup scale="59" orientation="portrait" r:id="rId1"/>
  <headerFooter scaleWithDoc="0" alignWithMargins="0">
    <oddFooter>&amp;L&amp;F&amp;CPage 2&amp;R&amp;A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52ED-41FC-4DCB-BE64-590F0CFFF747}">
  <dimension ref="A1:H93"/>
  <sheetViews>
    <sheetView zoomScale="80" zoomScaleNormal="80" workbookViewId="0"/>
  </sheetViews>
  <sheetFormatPr defaultColWidth="8.81640625" defaultRowHeight="15.5" x14ac:dyDescent="0.35"/>
  <cols>
    <col min="1" max="1" width="5.1796875" style="565" customWidth="1"/>
    <col min="2" max="2" width="85.453125" style="512" customWidth="1"/>
    <col min="3" max="3" width="19.54296875" style="512" customWidth="1"/>
    <col min="4" max="4" width="1.54296875" style="512" customWidth="1"/>
    <col min="5" max="5" width="46.1796875" style="512" customWidth="1"/>
    <col min="6" max="6" width="5.1796875" style="565" customWidth="1"/>
    <col min="7" max="16384" width="8.81640625" style="512"/>
  </cols>
  <sheetData>
    <row r="1" spans="1:6" x14ac:dyDescent="0.35">
      <c r="A1" s="614" t="s">
        <v>660</v>
      </c>
    </row>
    <row r="2" spans="1:6" x14ac:dyDescent="0.35">
      <c r="A2" s="498"/>
      <c r="B2" s="223"/>
      <c r="C2" s="511"/>
      <c r="D2" s="511"/>
      <c r="E2" s="493"/>
      <c r="F2" s="498"/>
    </row>
    <row r="3" spans="1:6" x14ac:dyDescent="0.35">
      <c r="A3" s="498"/>
      <c r="B3" s="775" t="s">
        <v>24</v>
      </c>
      <c r="C3" s="796"/>
      <c r="D3" s="796"/>
      <c r="E3" s="796"/>
      <c r="F3" s="498"/>
    </row>
    <row r="4" spans="1:6" x14ac:dyDescent="0.35">
      <c r="A4" s="498" t="s">
        <v>11</v>
      </c>
      <c r="B4" s="775" t="s">
        <v>343</v>
      </c>
      <c r="C4" s="796"/>
      <c r="D4" s="796"/>
      <c r="E4" s="796"/>
      <c r="F4" s="498" t="s">
        <v>11</v>
      </c>
    </row>
    <row r="5" spans="1:6" x14ac:dyDescent="0.35">
      <c r="A5" s="498"/>
      <c r="B5" s="793" t="s">
        <v>512</v>
      </c>
      <c r="C5" s="794"/>
      <c r="D5" s="794"/>
      <c r="E5" s="794"/>
      <c r="F5" s="498"/>
    </row>
    <row r="6" spans="1:6" x14ac:dyDescent="0.35">
      <c r="A6" s="498"/>
      <c r="B6" s="795" t="s">
        <v>1</v>
      </c>
      <c r="C6" s="796"/>
      <c r="D6" s="796"/>
      <c r="E6" s="796"/>
      <c r="F6" s="498"/>
    </row>
    <row r="7" spans="1:6" x14ac:dyDescent="0.35">
      <c r="A7" s="498"/>
      <c r="B7" s="513"/>
      <c r="C7" s="223"/>
      <c r="D7" s="223"/>
      <c r="E7" s="223"/>
      <c r="F7" s="498"/>
    </row>
    <row r="8" spans="1:6" x14ac:dyDescent="0.35">
      <c r="A8" s="498" t="s">
        <v>2</v>
      </c>
      <c r="B8" s="223"/>
      <c r="C8" s="514"/>
      <c r="D8" s="514"/>
      <c r="E8" s="222"/>
      <c r="F8" s="498" t="s">
        <v>2</v>
      </c>
    </row>
    <row r="9" spans="1:6" x14ac:dyDescent="0.35">
      <c r="A9" s="498" t="s">
        <v>6</v>
      </c>
      <c r="B9" s="223" t="s">
        <v>11</v>
      </c>
      <c r="C9" s="515" t="s">
        <v>4</v>
      </c>
      <c r="D9" s="514"/>
      <c r="E9" s="516" t="s">
        <v>5</v>
      </c>
      <c r="F9" s="498" t="s">
        <v>6</v>
      </c>
    </row>
    <row r="10" spans="1:6" x14ac:dyDescent="0.35">
      <c r="A10" s="498"/>
      <c r="B10" s="419" t="s">
        <v>344</v>
      </c>
      <c r="C10" s="517"/>
      <c r="D10" s="514"/>
      <c r="E10" s="222"/>
      <c r="F10" s="498"/>
    </row>
    <row r="11" spans="1:6" x14ac:dyDescent="0.35">
      <c r="A11" s="498"/>
      <c r="B11" s="518"/>
      <c r="C11" s="517"/>
      <c r="D11" s="514"/>
      <c r="E11" s="222"/>
      <c r="F11" s="498"/>
    </row>
    <row r="12" spans="1:6" x14ac:dyDescent="0.35">
      <c r="A12" s="498">
        <v>1</v>
      </c>
      <c r="B12" s="419" t="s">
        <v>345</v>
      </c>
      <c r="C12" s="517"/>
      <c r="D12" s="517"/>
      <c r="E12" s="222"/>
      <c r="F12" s="498">
        <f>A12</f>
        <v>1</v>
      </c>
    </row>
    <row r="13" spans="1:6" x14ac:dyDescent="0.35">
      <c r="A13" s="498">
        <f>A12+1</f>
        <v>2</v>
      </c>
      <c r="B13" s="243" t="s">
        <v>346</v>
      </c>
      <c r="C13" s="708">
        <f>C80</f>
        <v>5269034.3880361523</v>
      </c>
      <c r="D13" s="25" t="s">
        <v>16</v>
      </c>
      <c r="E13" s="268" t="s">
        <v>459</v>
      </c>
      <c r="F13" s="498">
        <f>F12+1</f>
        <v>2</v>
      </c>
    </row>
    <row r="14" spans="1:6" x14ac:dyDescent="0.35">
      <c r="A14" s="498">
        <f t="shared" ref="A14:A49" si="0">A13+1</f>
        <v>3</v>
      </c>
      <c r="B14" s="243" t="s">
        <v>20</v>
      </c>
      <c r="C14" s="459">
        <f>C81</f>
        <v>3382.0175231314279</v>
      </c>
      <c r="D14" s="25" t="s">
        <v>16</v>
      </c>
      <c r="E14" s="268" t="s">
        <v>460</v>
      </c>
      <c r="F14" s="498">
        <f t="shared" ref="F14:F49" si="1">F13+1</f>
        <v>3</v>
      </c>
    </row>
    <row r="15" spans="1:6" x14ac:dyDescent="0.35">
      <c r="A15" s="498">
        <f t="shared" si="0"/>
        <v>4</v>
      </c>
      <c r="B15" s="243" t="s">
        <v>21</v>
      </c>
      <c r="C15" s="459">
        <f>C82</f>
        <v>27998.281415386165</v>
      </c>
      <c r="D15" s="25" t="s">
        <v>16</v>
      </c>
      <c r="E15" s="268" t="s">
        <v>461</v>
      </c>
      <c r="F15" s="498">
        <f t="shared" si="1"/>
        <v>4</v>
      </c>
    </row>
    <row r="16" spans="1:6" x14ac:dyDescent="0.35">
      <c r="A16" s="498">
        <f t="shared" si="0"/>
        <v>5</v>
      </c>
      <c r="B16" s="243" t="s">
        <v>347</v>
      </c>
      <c r="C16" s="537">
        <f>C83</f>
        <v>58913.955560284558</v>
      </c>
      <c r="D16" s="25" t="s">
        <v>16</v>
      </c>
      <c r="E16" s="268" t="s">
        <v>462</v>
      </c>
      <c r="F16" s="498">
        <f t="shared" si="1"/>
        <v>5</v>
      </c>
    </row>
    <row r="17" spans="1:6" x14ac:dyDescent="0.35">
      <c r="A17" s="498">
        <f t="shared" si="0"/>
        <v>6</v>
      </c>
      <c r="B17" s="243" t="s">
        <v>348</v>
      </c>
      <c r="C17" s="538">
        <f>SUM(C13:C16)</f>
        <v>5359328.6425349545</v>
      </c>
      <c r="D17" s="25" t="s">
        <v>16</v>
      </c>
      <c r="E17" s="268" t="s">
        <v>453</v>
      </c>
      <c r="F17" s="498">
        <f t="shared" si="1"/>
        <v>6</v>
      </c>
    </row>
    <row r="18" spans="1:6" x14ac:dyDescent="0.35">
      <c r="A18" s="498">
        <f t="shared" si="0"/>
        <v>7</v>
      </c>
      <c r="B18" s="302"/>
      <c r="C18" s="526"/>
      <c r="D18" s="527"/>
      <c r="E18" s="222"/>
      <c r="F18" s="498">
        <f t="shared" si="1"/>
        <v>7</v>
      </c>
    </row>
    <row r="19" spans="1:6" x14ac:dyDescent="0.35">
      <c r="A19" s="498">
        <f t="shared" si="0"/>
        <v>8</v>
      </c>
      <c r="B19" s="419" t="s">
        <v>349</v>
      </c>
      <c r="C19" s="526"/>
      <c r="D19" s="527"/>
      <c r="E19" s="222"/>
      <c r="F19" s="498">
        <f t="shared" si="1"/>
        <v>8</v>
      </c>
    </row>
    <row r="20" spans="1:6" x14ac:dyDescent="0.35">
      <c r="A20" s="498">
        <f t="shared" si="0"/>
        <v>9</v>
      </c>
      <c r="B20" s="243" t="s">
        <v>350</v>
      </c>
      <c r="C20" s="528">
        <v>0</v>
      </c>
      <c r="D20" s="514"/>
      <c r="E20" s="268" t="s">
        <v>463</v>
      </c>
      <c r="F20" s="498">
        <f t="shared" si="1"/>
        <v>9</v>
      </c>
    </row>
    <row r="21" spans="1:6" x14ac:dyDescent="0.35">
      <c r="A21" s="498">
        <f t="shared" si="0"/>
        <v>10</v>
      </c>
      <c r="B21" s="243" t="s">
        <v>351</v>
      </c>
      <c r="C21" s="529">
        <v>0</v>
      </c>
      <c r="D21" s="514"/>
      <c r="E21" s="268" t="s">
        <v>464</v>
      </c>
      <c r="F21" s="498">
        <f t="shared" si="1"/>
        <v>10</v>
      </c>
    </row>
    <row r="22" spans="1:6" x14ac:dyDescent="0.35">
      <c r="A22" s="498">
        <f t="shared" si="0"/>
        <v>11</v>
      </c>
      <c r="B22" s="243" t="s">
        <v>352</v>
      </c>
      <c r="C22" s="530">
        <f>C20+C21</f>
        <v>0</v>
      </c>
      <c r="D22" s="531"/>
      <c r="E22" s="268" t="s">
        <v>465</v>
      </c>
      <c r="F22" s="498">
        <f t="shared" si="1"/>
        <v>11</v>
      </c>
    </row>
    <row r="23" spans="1:6" x14ac:dyDescent="0.35">
      <c r="A23" s="498">
        <f t="shared" si="0"/>
        <v>12</v>
      </c>
      <c r="B23" s="243"/>
      <c r="C23" s="532"/>
      <c r="D23" s="511"/>
      <c r="E23" s="222"/>
      <c r="F23" s="498">
        <f t="shared" si="1"/>
        <v>12</v>
      </c>
    </row>
    <row r="24" spans="1:6" x14ac:dyDescent="0.35">
      <c r="A24" s="498">
        <f t="shared" si="0"/>
        <v>13</v>
      </c>
      <c r="B24" s="419" t="s">
        <v>353</v>
      </c>
      <c r="C24" s="526"/>
      <c r="D24" s="527"/>
      <c r="E24" s="222"/>
      <c r="F24" s="498">
        <f t="shared" si="1"/>
        <v>13</v>
      </c>
    </row>
    <row r="25" spans="1:6" x14ac:dyDescent="0.35">
      <c r="A25" s="498">
        <f t="shared" si="0"/>
        <v>14</v>
      </c>
      <c r="B25" s="302" t="s">
        <v>354</v>
      </c>
      <c r="C25" s="709">
        <v>-936333.43527335429</v>
      </c>
      <c r="D25" s="25" t="s">
        <v>16</v>
      </c>
      <c r="E25" s="268" t="s">
        <v>627</v>
      </c>
      <c r="F25" s="498">
        <f t="shared" si="1"/>
        <v>14</v>
      </c>
    </row>
    <row r="26" spans="1:6" x14ac:dyDescent="0.35">
      <c r="A26" s="498">
        <f t="shared" si="0"/>
        <v>15</v>
      </c>
      <c r="B26" s="302" t="s">
        <v>355</v>
      </c>
      <c r="C26" s="534">
        <v>0</v>
      </c>
      <c r="D26" s="514"/>
      <c r="E26" s="268" t="s">
        <v>466</v>
      </c>
      <c r="F26" s="498">
        <f t="shared" si="1"/>
        <v>15</v>
      </c>
    </row>
    <row r="27" spans="1:6" x14ac:dyDescent="0.35">
      <c r="A27" s="498">
        <f t="shared" si="0"/>
        <v>16</v>
      </c>
      <c r="B27" s="243" t="s">
        <v>356</v>
      </c>
      <c r="C27" s="538">
        <f>SUM(C25:C26)</f>
        <v>-936333.43527335429</v>
      </c>
      <c r="D27" s="25" t="s">
        <v>16</v>
      </c>
      <c r="E27" s="268" t="s">
        <v>467</v>
      </c>
      <c r="F27" s="498">
        <f t="shared" si="1"/>
        <v>16</v>
      </c>
    </row>
    <row r="28" spans="1:6" x14ac:dyDescent="0.35">
      <c r="A28" s="498">
        <f t="shared" si="0"/>
        <v>17</v>
      </c>
      <c r="B28" s="223"/>
      <c r="C28" s="535"/>
      <c r="D28" s="536"/>
      <c r="E28" s="222"/>
      <c r="F28" s="498">
        <f t="shared" si="1"/>
        <v>17</v>
      </c>
    </row>
    <row r="29" spans="1:6" x14ac:dyDescent="0.35">
      <c r="A29" s="498">
        <f t="shared" si="0"/>
        <v>18</v>
      </c>
      <c r="B29" s="419" t="s">
        <v>357</v>
      </c>
      <c r="C29" s="535"/>
      <c r="D29" s="536"/>
      <c r="E29" s="222"/>
      <c r="F29" s="498">
        <f t="shared" si="1"/>
        <v>18</v>
      </c>
    </row>
    <row r="30" spans="1:6" x14ac:dyDescent="0.35">
      <c r="A30" s="498">
        <f t="shared" si="0"/>
        <v>19</v>
      </c>
      <c r="B30" s="243" t="s">
        <v>358</v>
      </c>
      <c r="C30" s="708">
        <v>50942.738895107723</v>
      </c>
      <c r="D30" s="25" t="s">
        <v>16</v>
      </c>
      <c r="E30" s="268" t="s">
        <v>628</v>
      </c>
      <c r="F30" s="498">
        <f t="shared" si="1"/>
        <v>19</v>
      </c>
    </row>
    <row r="31" spans="1:6" x14ac:dyDescent="0.35">
      <c r="A31" s="498">
        <f t="shared" si="0"/>
        <v>20</v>
      </c>
      <c r="B31" s="243" t="s">
        <v>359</v>
      </c>
      <c r="C31" s="459">
        <v>37071.055296898827</v>
      </c>
      <c r="D31" s="25" t="s">
        <v>16</v>
      </c>
      <c r="E31" s="268" t="s">
        <v>629</v>
      </c>
      <c r="F31" s="498">
        <f t="shared" si="1"/>
        <v>20</v>
      </c>
    </row>
    <row r="32" spans="1:6" x14ac:dyDescent="0.35">
      <c r="A32" s="498">
        <f t="shared" si="0"/>
        <v>21</v>
      </c>
      <c r="B32" s="243" t="s">
        <v>360</v>
      </c>
      <c r="C32" s="537">
        <v>10271.288880667182</v>
      </c>
      <c r="D32" s="25" t="s">
        <v>16</v>
      </c>
      <c r="E32" s="268" t="s">
        <v>630</v>
      </c>
      <c r="F32" s="498">
        <f t="shared" si="1"/>
        <v>21</v>
      </c>
    </row>
    <row r="33" spans="1:6" x14ac:dyDescent="0.35">
      <c r="A33" s="498">
        <f t="shared" si="0"/>
        <v>22</v>
      </c>
      <c r="B33" s="243" t="s">
        <v>361</v>
      </c>
      <c r="C33" s="538">
        <f>SUM(C30:C32)</f>
        <v>98285.083072673733</v>
      </c>
      <c r="D33" s="25" t="s">
        <v>16</v>
      </c>
      <c r="E33" s="268" t="s">
        <v>468</v>
      </c>
      <c r="F33" s="498">
        <f t="shared" si="1"/>
        <v>22</v>
      </c>
    </row>
    <row r="34" spans="1:6" x14ac:dyDescent="0.35">
      <c r="A34" s="498">
        <f t="shared" si="0"/>
        <v>23</v>
      </c>
      <c r="B34" s="245"/>
      <c r="C34" s="539"/>
      <c r="D34" s="540"/>
      <c r="E34" s="222"/>
      <c r="F34" s="498">
        <f t="shared" si="1"/>
        <v>23</v>
      </c>
    </row>
    <row r="35" spans="1:6" x14ac:dyDescent="0.35">
      <c r="A35" s="498">
        <f t="shared" si="0"/>
        <v>24</v>
      </c>
      <c r="B35" s="243" t="s">
        <v>362</v>
      </c>
      <c r="C35" s="541">
        <v>0</v>
      </c>
      <c r="D35" s="514"/>
      <c r="E35" s="268" t="s">
        <v>469</v>
      </c>
      <c r="F35" s="498">
        <f t="shared" si="1"/>
        <v>24</v>
      </c>
    </row>
    <row r="36" spans="1:6" x14ac:dyDescent="0.35">
      <c r="A36" s="498">
        <f t="shared" si="0"/>
        <v>25</v>
      </c>
      <c r="B36" s="243"/>
      <c r="C36" s="539"/>
      <c r="D36" s="540"/>
      <c r="E36" s="222"/>
      <c r="F36" s="498">
        <f t="shared" si="1"/>
        <v>25</v>
      </c>
    </row>
    <row r="37" spans="1:6" ht="16" thickBot="1" x14ac:dyDescent="0.4">
      <c r="A37" s="498">
        <f t="shared" si="0"/>
        <v>26</v>
      </c>
      <c r="B37" s="243" t="s">
        <v>363</v>
      </c>
      <c r="C37" s="542">
        <f>C17+C22+C27+C33+C35</f>
        <v>4521280.2903342741</v>
      </c>
      <c r="D37" s="25" t="s">
        <v>16</v>
      </c>
      <c r="E37" s="268" t="s">
        <v>470</v>
      </c>
      <c r="F37" s="498">
        <f t="shared" si="1"/>
        <v>26</v>
      </c>
    </row>
    <row r="38" spans="1:6" ht="16" thickTop="1" x14ac:dyDescent="0.35">
      <c r="A38" s="498">
        <f t="shared" si="0"/>
        <v>27</v>
      </c>
      <c r="B38" s="245"/>
      <c r="C38" s="543"/>
      <c r="D38" s="525"/>
      <c r="E38" s="222"/>
      <c r="F38" s="498">
        <f t="shared" si="1"/>
        <v>27</v>
      </c>
    </row>
    <row r="39" spans="1:6" x14ac:dyDescent="0.35">
      <c r="A39" s="498">
        <f t="shared" si="0"/>
        <v>28</v>
      </c>
      <c r="B39" s="419" t="s">
        <v>364</v>
      </c>
      <c r="C39" s="543"/>
      <c r="D39" s="525"/>
      <c r="E39" s="222"/>
      <c r="F39" s="498">
        <f t="shared" si="1"/>
        <v>28</v>
      </c>
    </row>
    <row r="40" spans="1:6" x14ac:dyDescent="0.35">
      <c r="A40" s="498">
        <f t="shared" si="0"/>
        <v>29</v>
      </c>
      <c r="B40" s="243" t="s">
        <v>365</v>
      </c>
      <c r="C40" s="544">
        <v>0</v>
      </c>
      <c r="D40" s="545"/>
      <c r="E40" s="268" t="s">
        <v>19</v>
      </c>
      <c r="F40" s="498">
        <f t="shared" si="1"/>
        <v>29</v>
      </c>
    </row>
    <row r="41" spans="1:6" x14ac:dyDescent="0.35">
      <c r="A41" s="498">
        <f t="shared" si="0"/>
        <v>30</v>
      </c>
      <c r="B41" s="243" t="s">
        <v>366</v>
      </c>
      <c r="C41" s="546">
        <v>0</v>
      </c>
      <c r="D41" s="514"/>
      <c r="E41" s="268" t="s">
        <v>19</v>
      </c>
      <c r="F41" s="498">
        <f t="shared" si="1"/>
        <v>30</v>
      </c>
    </row>
    <row r="42" spans="1:6" x14ac:dyDescent="0.35">
      <c r="A42" s="498">
        <f t="shared" si="0"/>
        <v>31</v>
      </c>
      <c r="B42" s="302" t="s">
        <v>367</v>
      </c>
      <c r="C42" s="538">
        <f>C40+C41</f>
        <v>0</v>
      </c>
      <c r="D42" s="525"/>
      <c r="E42" s="268" t="s">
        <v>471</v>
      </c>
      <c r="F42" s="498">
        <f t="shared" si="1"/>
        <v>31</v>
      </c>
    </row>
    <row r="43" spans="1:6" x14ac:dyDescent="0.35">
      <c r="A43" s="498">
        <f t="shared" si="0"/>
        <v>32</v>
      </c>
      <c r="B43" s="245"/>
      <c r="C43" s="543"/>
      <c r="D43" s="525"/>
      <c r="E43" s="222"/>
      <c r="F43" s="498">
        <f t="shared" si="1"/>
        <v>32</v>
      </c>
    </row>
    <row r="44" spans="1:6" x14ac:dyDescent="0.35">
      <c r="A44" s="498">
        <f t="shared" si="0"/>
        <v>33</v>
      </c>
      <c r="B44" s="419" t="s">
        <v>368</v>
      </c>
      <c r="C44" s="543"/>
      <c r="D44" s="525"/>
      <c r="E44" s="222"/>
      <c r="F44" s="498">
        <f t="shared" si="1"/>
        <v>33</v>
      </c>
    </row>
    <row r="45" spans="1:6" x14ac:dyDescent="0.35">
      <c r="A45" s="498">
        <f t="shared" si="0"/>
        <v>34</v>
      </c>
      <c r="B45" s="243" t="s">
        <v>369</v>
      </c>
      <c r="C45" s="544">
        <v>0</v>
      </c>
      <c r="D45" s="514"/>
      <c r="E45" s="268" t="s">
        <v>19</v>
      </c>
      <c r="F45" s="498">
        <f t="shared" si="1"/>
        <v>34</v>
      </c>
    </row>
    <row r="46" spans="1:6" x14ac:dyDescent="0.35">
      <c r="A46" s="498">
        <f t="shared" si="0"/>
        <v>35</v>
      </c>
      <c r="B46" s="302" t="s">
        <v>370</v>
      </c>
      <c r="C46" s="547">
        <v>0</v>
      </c>
      <c r="D46" s="514"/>
      <c r="E46" s="268" t="s">
        <v>19</v>
      </c>
      <c r="F46" s="498">
        <f t="shared" si="1"/>
        <v>35</v>
      </c>
    </row>
    <row r="47" spans="1:6" x14ac:dyDescent="0.35">
      <c r="A47" s="498">
        <f t="shared" si="0"/>
        <v>36</v>
      </c>
      <c r="B47" s="302" t="s">
        <v>371</v>
      </c>
      <c r="C47" s="538">
        <f>C45+C46</f>
        <v>0</v>
      </c>
      <c r="D47" s="525"/>
      <c r="E47" s="268" t="s">
        <v>472</v>
      </c>
      <c r="F47" s="498">
        <f t="shared" si="1"/>
        <v>36</v>
      </c>
    </row>
    <row r="48" spans="1:6" x14ac:dyDescent="0.35">
      <c r="A48" s="498">
        <f t="shared" si="0"/>
        <v>37</v>
      </c>
      <c r="B48" s="245"/>
      <c r="C48" s="543"/>
      <c r="D48" s="525"/>
      <c r="E48" s="222"/>
      <c r="F48" s="498">
        <f t="shared" si="1"/>
        <v>37</v>
      </c>
    </row>
    <row r="49" spans="1:6" ht="16" thickBot="1" x14ac:dyDescent="0.4">
      <c r="A49" s="498">
        <f t="shared" si="0"/>
        <v>38</v>
      </c>
      <c r="B49" s="419" t="s">
        <v>372</v>
      </c>
      <c r="C49" s="548">
        <v>0</v>
      </c>
      <c r="D49" s="514"/>
      <c r="E49" s="268" t="s">
        <v>19</v>
      </c>
      <c r="F49" s="498">
        <f t="shared" si="1"/>
        <v>38</v>
      </c>
    </row>
    <row r="50" spans="1:6" ht="16" thickTop="1" x14ac:dyDescent="0.35">
      <c r="A50" s="498"/>
      <c r="B50" s="245"/>
      <c r="C50" s="543"/>
      <c r="D50" s="525"/>
      <c r="E50" s="222"/>
      <c r="F50" s="498"/>
    </row>
    <row r="51" spans="1:6" x14ac:dyDescent="0.35">
      <c r="A51" s="498"/>
      <c r="B51" s="245"/>
      <c r="C51" s="543"/>
      <c r="D51" s="525"/>
      <c r="E51" s="222"/>
      <c r="F51" s="498"/>
    </row>
    <row r="52" spans="1:6" x14ac:dyDescent="0.35">
      <c r="A52" s="25" t="s">
        <v>16</v>
      </c>
      <c r="B52" s="22" t="s">
        <v>631</v>
      </c>
      <c r="C52" s="223"/>
      <c r="D52" s="223"/>
      <c r="E52" s="223"/>
      <c r="F52" s="498"/>
    </row>
    <row r="53" spans="1:6" x14ac:dyDescent="0.35">
      <c r="A53" s="25"/>
      <c r="B53" s="22" t="s">
        <v>632</v>
      </c>
      <c r="C53" s="223"/>
      <c r="D53" s="223"/>
      <c r="E53" s="223"/>
      <c r="F53" s="498"/>
    </row>
    <row r="54" spans="1:6" x14ac:dyDescent="0.35">
      <c r="A54" s="25"/>
      <c r="B54" s="22"/>
      <c r="C54" s="223"/>
      <c r="D54" s="223"/>
      <c r="E54" s="223"/>
      <c r="F54" s="498"/>
    </row>
    <row r="55" spans="1:6" x14ac:dyDescent="0.35">
      <c r="A55" s="25"/>
      <c r="B55" s="22"/>
      <c r="C55" s="223"/>
      <c r="D55" s="223"/>
      <c r="E55" s="223"/>
      <c r="F55" s="498"/>
    </row>
    <row r="56" spans="1:6" x14ac:dyDescent="0.35">
      <c r="A56" s="498"/>
      <c r="B56" s="775" t="str">
        <f>B3</f>
        <v>SAN DIEGO GAS &amp; ELECTRIC COMPANY</v>
      </c>
      <c r="C56" s="796"/>
      <c r="D56" s="796"/>
      <c r="E56" s="796"/>
      <c r="F56" s="498"/>
    </row>
    <row r="57" spans="1:6" x14ac:dyDescent="0.35">
      <c r="A57" s="498"/>
      <c r="B57" s="775" t="str">
        <f>B4</f>
        <v xml:space="preserve">Derivation of End Use Transmission Rate Base </v>
      </c>
      <c r="C57" s="796"/>
      <c r="D57" s="796"/>
      <c r="E57" s="796"/>
      <c r="F57" s="498"/>
    </row>
    <row r="58" spans="1:6" x14ac:dyDescent="0.35">
      <c r="A58" s="498"/>
      <c r="B58" s="793" t="str">
        <f>B5</f>
        <v>Base Period &amp; True-Up Period 12 - Months Ending December 31, 2020</v>
      </c>
      <c r="C58" s="794"/>
      <c r="D58" s="794"/>
      <c r="E58" s="794"/>
      <c r="F58" s="498"/>
    </row>
    <row r="59" spans="1:6" x14ac:dyDescent="0.35">
      <c r="A59" s="498"/>
      <c r="B59" s="795" t="s">
        <v>1</v>
      </c>
      <c r="C59" s="796"/>
      <c r="D59" s="796"/>
      <c r="E59" s="796"/>
      <c r="F59" s="498"/>
    </row>
    <row r="60" spans="1:6" x14ac:dyDescent="0.35">
      <c r="A60" s="498"/>
      <c r="B60" s="513"/>
      <c r="C60" s="223"/>
      <c r="D60" s="223"/>
      <c r="E60" s="223"/>
      <c r="F60" s="498"/>
    </row>
    <row r="61" spans="1:6" x14ac:dyDescent="0.35">
      <c r="A61" s="498" t="s">
        <v>2</v>
      </c>
      <c r="B61" s="513"/>
      <c r="C61" s="223"/>
      <c r="D61" s="223"/>
      <c r="E61" s="223"/>
      <c r="F61" s="498"/>
    </row>
    <row r="62" spans="1:6" x14ac:dyDescent="0.35">
      <c r="A62" s="498" t="s">
        <v>6</v>
      </c>
      <c r="B62" s="513"/>
      <c r="C62" s="223"/>
      <c r="D62" s="223"/>
      <c r="E62" s="223"/>
      <c r="F62" s="498"/>
    </row>
    <row r="63" spans="1:6" x14ac:dyDescent="0.35">
      <c r="A63" s="498"/>
      <c r="B63" s="419" t="s">
        <v>373</v>
      </c>
      <c r="C63" s="223"/>
      <c r="D63" s="223"/>
      <c r="E63" s="223"/>
      <c r="F63" s="498"/>
    </row>
    <row r="64" spans="1:6" x14ac:dyDescent="0.35">
      <c r="A64" s="498"/>
      <c r="B64" s="518"/>
      <c r="C64" s="514"/>
      <c r="D64" s="514"/>
      <c r="E64" s="222"/>
      <c r="F64" s="498"/>
    </row>
    <row r="65" spans="1:8" x14ac:dyDescent="0.35">
      <c r="A65" s="498">
        <v>1</v>
      </c>
      <c r="B65" s="419" t="s">
        <v>374</v>
      </c>
      <c r="C65" s="514"/>
      <c r="D65" s="514"/>
      <c r="E65" s="222"/>
      <c r="F65" s="498">
        <f t="shared" ref="F65:F89" si="2">A65</f>
        <v>1</v>
      </c>
    </row>
    <row r="66" spans="1:8" x14ac:dyDescent="0.35">
      <c r="A66" s="498">
        <v>2</v>
      </c>
      <c r="B66" s="243" t="s">
        <v>346</v>
      </c>
      <c r="C66" s="710">
        <v>6655921.0157284606</v>
      </c>
      <c r="D66" s="25" t="s">
        <v>16</v>
      </c>
      <c r="E66" s="268" t="s">
        <v>633</v>
      </c>
      <c r="F66" s="498">
        <f t="shared" si="2"/>
        <v>2</v>
      </c>
      <c r="G66" s="550"/>
      <c r="H66" s="551"/>
    </row>
    <row r="67" spans="1:8" x14ac:dyDescent="0.35">
      <c r="A67" s="498">
        <v>3</v>
      </c>
      <c r="B67" s="243" t="s">
        <v>375</v>
      </c>
      <c r="C67" s="711">
        <v>18940.175478315465</v>
      </c>
      <c r="D67" s="25" t="s">
        <v>16</v>
      </c>
      <c r="E67" s="268" t="s">
        <v>634</v>
      </c>
      <c r="F67" s="498">
        <f t="shared" si="2"/>
        <v>3</v>
      </c>
      <c r="G67" s="550"/>
      <c r="H67" s="551"/>
    </row>
    <row r="68" spans="1:8" x14ac:dyDescent="0.35">
      <c r="A68" s="498">
        <v>4</v>
      </c>
      <c r="B68" s="243" t="s">
        <v>21</v>
      </c>
      <c r="C68" s="711">
        <v>47346.684623217821</v>
      </c>
      <c r="D68" s="25" t="s">
        <v>16</v>
      </c>
      <c r="E68" s="268" t="s">
        <v>635</v>
      </c>
      <c r="F68" s="498">
        <f t="shared" si="2"/>
        <v>4</v>
      </c>
      <c r="G68" s="550"/>
      <c r="H68" s="553"/>
    </row>
    <row r="69" spans="1:8" x14ac:dyDescent="0.35">
      <c r="A69" s="498">
        <v>5</v>
      </c>
      <c r="B69" s="243" t="s">
        <v>347</v>
      </c>
      <c r="C69" s="712">
        <v>117174.75292124566</v>
      </c>
      <c r="D69" s="25" t="s">
        <v>16</v>
      </c>
      <c r="E69" s="268" t="s">
        <v>636</v>
      </c>
      <c r="F69" s="498">
        <f t="shared" si="2"/>
        <v>5</v>
      </c>
      <c r="G69" s="551"/>
      <c r="H69" s="551"/>
    </row>
    <row r="70" spans="1:8" x14ac:dyDescent="0.35">
      <c r="A70" s="498">
        <v>6</v>
      </c>
      <c r="B70" s="243" t="s">
        <v>376</v>
      </c>
      <c r="C70" s="538">
        <f>SUM(C66:C69)</f>
        <v>6839382.6287512407</v>
      </c>
      <c r="D70" s="25" t="s">
        <v>16</v>
      </c>
      <c r="E70" s="268" t="s">
        <v>453</v>
      </c>
      <c r="F70" s="498">
        <f t="shared" si="2"/>
        <v>6</v>
      </c>
      <c r="G70" s="550"/>
      <c r="H70" s="551"/>
    </row>
    <row r="71" spans="1:8" x14ac:dyDescent="0.35">
      <c r="A71" s="498">
        <v>7</v>
      </c>
      <c r="B71" s="302"/>
      <c r="C71" s="555"/>
      <c r="D71" s="514"/>
      <c r="E71" s="222"/>
      <c r="F71" s="498">
        <f t="shared" si="2"/>
        <v>7</v>
      </c>
      <c r="G71" s="551"/>
      <c r="H71" s="551"/>
    </row>
    <row r="72" spans="1:8" x14ac:dyDescent="0.35">
      <c r="A72" s="498">
        <v>8</v>
      </c>
      <c r="B72" s="418" t="s">
        <v>377</v>
      </c>
      <c r="C72" s="555"/>
      <c r="D72" s="514"/>
      <c r="E72" s="222"/>
      <c r="F72" s="498">
        <f t="shared" si="2"/>
        <v>8</v>
      </c>
      <c r="G72" s="551"/>
      <c r="H72" s="551"/>
    </row>
    <row r="73" spans="1:8" x14ac:dyDescent="0.35">
      <c r="A73" s="498">
        <v>9</v>
      </c>
      <c r="B73" s="302" t="s">
        <v>378</v>
      </c>
      <c r="C73" s="710">
        <v>1386886.627692308</v>
      </c>
      <c r="D73" s="25" t="s">
        <v>16</v>
      </c>
      <c r="E73" s="268" t="s">
        <v>637</v>
      </c>
      <c r="F73" s="498">
        <f t="shared" si="2"/>
        <v>9</v>
      </c>
      <c r="G73" s="551"/>
      <c r="H73" s="551"/>
    </row>
    <row r="74" spans="1:8" x14ac:dyDescent="0.35">
      <c r="A74" s="498">
        <v>10</v>
      </c>
      <c r="B74" s="302" t="s">
        <v>379</v>
      </c>
      <c r="C74" s="552">
        <v>15558.157955184037</v>
      </c>
      <c r="D74" s="514"/>
      <c r="E74" s="268" t="s">
        <v>638</v>
      </c>
      <c r="F74" s="498">
        <f t="shared" si="2"/>
        <v>10</v>
      </c>
      <c r="G74" s="551"/>
      <c r="H74" s="551"/>
    </row>
    <row r="75" spans="1:8" x14ac:dyDescent="0.35">
      <c r="A75" s="498">
        <v>11</v>
      </c>
      <c r="B75" s="302" t="s">
        <v>380</v>
      </c>
      <c r="C75" s="711">
        <v>19348.403207831656</v>
      </c>
      <c r="D75" s="25" t="s">
        <v>16</v>
      </c>
      <c r="E75" s="268" t="s">
        <v>639</v>
      </c>
      <c r="F75" s="498">
        <f t="shared" si="2"/>
        <v>11</v>
      </c>
      <c r="G75" s="551"/>
      <c r="H75" s="551"/>
    </row>
    <row r="76" spans="1:8" x14ac:dyDescent="0.35">
      <c r="A76" s="498">
        <v>12</v>
      </c>
      <c r="B76" s="302" t="s">
        <v>381</v>
      </c>
      <c r="C76" s="712">
        <v>58260.7973609611</v>
      </c>
      <c r="D76" s="25" t="s">
        <v>16</v>
      </c>
      <c r="E76" s="268" t="s">
        <v>640</v>
      </c>
      <c r="F76" s="498">
        <f t="shared" si="2"/>
        <v>12</v>
      </c>
      <c r="G76" s="551"/>
      <c r="H76" s="551"/>
    </row>
    <row r="77" spans="1:8" x14ac:dyDescent="0.35">
      <c r="A77" s="498">
        <v>13</v>
      </c>
      <c r="B77" s="556" t="s">
        <v>382</v>
      </c>
      <c r="C77" s="538">
        <f>SUM(C73:C76)</f>
        <v>1480053.9862162848</v>
      </c>
      <c r="D77" s="25" t="s">
        <v>16</v>
      </c>
      <c r="E77" s="268" t="s">
        <v>458</v>
      </c>
      <c r="F77" s="498">
        <f t="shared" si="2"/>
        <v>13</v>
      </c>
      <c r="G77" s="551"/>
      <c r="H77" s="551"/>
    </row>
    <row r="78" spans="1:8" x14ac:dyDescent="0.35">
      <c r="A78" s="498">
        <v>14</v>
      </c>
      <c r="B78" s="556"/>
      <c r="C78" s="535"/>
      <c r="D78" s="536"/>
      <c r="E78" s="222"/>
      <c r="F78" s="498">
        <f t="shared" si="2"/>
        <v>14</v>
      </c>
      <c r="G78" s="551"/>
      <c r="H78" s="551"/>
    </row>
    <row r="79" spans="1:8" x14ac:dyDescent="0.35">
      <c r="A79" s="498">
        <v>15</v>
      </c>
      <c r="B79" s="419" t="s">
        <v>345</v>
      </c>
      <c r="C79" s="535"/>
      <c r="D79" s="536"/>
      <c r="E79" s="222"/>
      <c r="F79" s="498">
        <f t="shared" si="2"/>
        <v>15</v>
      </c>
      <c r="G79" s="551"/>
      <c r="H79" s="551"/>
    </row>
    <row r="80" spans="1:8" x14ac:dyDescent="0.35">
      <c r="A80" s="498">
        <v>16</v>
      </c>
      <c r="B80" s="243" t="s">
        <v>346</v>
      </c>
      <c r="C80" s="713">
        <f>C66-C73</f>
        <v>5269034.3880361523</v>
      </c>
      <c r="D80" s="25" t="s">
        <v>16</v>
      </c>
      <c r="E80" s="268" t="s">
        <v>641</v>
      </c>
      <c r="F80" s="498">
        <f t="shared" si="2"/>
        <v>16</v>
      </c>
      <c r="G80" s="551"/>
      <c r="H80" s="551"/>
    </row>
    <row r="81" spans="1:8" x14ac:dyDescent="0.35">
      <c r="A81" s="498">
        <v>17</v>
      </c>
      <c r="B81" s="243" t="s">
        <v>20</v>
      </c>
      <c r="C81" s="535">
        <f>C67-C74</f>
        <v>3382.0175231314279</v>
      </c>
      <c r="D81" s="25" t="s">
        <v>16</v>
      </c>
      <c r="E81" s="268" t="s">
        <v>642</v>
      </c>
      <c r="F81" s="498">
        <f t="shared" si="2"/>
        <v>17</v>
      </c>
      <c r="G81" s="551"/>
      <c r="H81" s="551"/>
    </row>
    <row r="82" spans="1:8" x14ac:dyDescent="0.35">
      <c r="A82" s="498">
        <v>18</v>
      </c>
      <c r="B82" s="243" t="s">
        <v>21</v>
      </c>
      <c r="C82" s="535">
        <f>C68-C75</f>
        <v>27998.281415386165</v>
      </c>
      <c r="D82" s="25" t="s">
        <v>16</v>
      </c>
      <c r="E82" s="268" t="s">
        <v>643</v>
      </c>
      <c r="F82" s="498">
        <f t="shared" si="2"/>
        <v>18</v>
      </c>
    </row>
    <row r="83" spans="1:8" x14ac:dyDescent="0.35">
      <c r="A83" s="498">
        <v>19</v>
      </c>
      <c r="B83" s="243" t="s">
        <v>347</v>
      </c>
      <c r="C83" s="714">
        <f>C69-C76</f>
        <v>58913.955560284558</v>
      </c>
      <c r="D83" s="25" t="s">
        <v>16</v>
      </c>
      <c r="E83" s="268" t="s">
        <v>644</v>
      </c>
      <c r="F83" s="498">
        <f t="shared" si="2"/>
        <v>19</v>
      </c>
    </row>
    <row r="84" spans="1:8" ht="16" thickBot="1" x14ac:dyDescent="0.4">
      <c r="A84" s="498">
        <v>20</v>
      </c>
      <c r="B84" s="302" t="s">
        <v>348</v>
      </c>
      <c r="C84" s="715">
        <f>SUM(C80:C83)</f>
        <v>5359328.6425349545</v>
      </c>
      <c r="D84" s="25" t="s">
        <v>16</v>
      </c>
      <c r="E84" s="268" t="s">
        <v>645</v>
      </c>
      <c r="F84" s="498">
        <f t="shared" si="2"/>
        <v>20</v>
      </c>
    </row>
    <row r="85" spans="1:8" ht="16" thickTop="1" x14ac:dyDescent="0.35">
      <c r="A85" s="498">
        <v>21</v>
      </c>
      <c r="B85" s="245"/>
      <c r="C85" s="525"/>
      <c r="D85" s="525"/>
      <c r="E85" s="222"/>
      <c r="F85" s="498">
        <f t="shared" si="2"/>
        <v>21</v>
      </c>
    </row>
    <row r="86" spans="1:8" x14ac:dyDescent="0.35">
      <c r="A86" s="498">
        <v>22</v>
      </c>
      <c r="B86" s="419" t="s">
        <v>383</v>
      </c>
      <c r="C86" s="525"/>
      <c r="D86" s="525"/>
      <c r="E86" s="222"/>
      <c r="F86" s="498">
        <f t="shared" si="2"/>
        <v>22</v>
      </c>
    </row>
    <row r="87" spans="1:8" x14ac:dyDescent="0.35">
      <c r="A87" s="498">
        <v>23</v>
      </c>
      <c r="B87" s="243" t="s">
        <v>384</v>
      </c>
      <c r="C87" s="544">
        <v>0</v>
      </c>
      <c r="D87" s="525"/>
      <c r="E87" s="268" t="s">
        <v>19</v>
      </c>
      <c r="F87" s="498">
        <f t="shared" si="2"/>
        <v>23</v>
      </c>
    </row>
    <row r="88" spans="1:8" x14ac:dyDescent="0.35">
      <c r="A88" s="498">
        <v>24</v>
      </c>
      <c r="B88" s="302" t="s">
        <v>385</v>
      </c>
      <c r="C88" s="547">
        <v>0</v>
      </c>
      <c r="D88" s="525"/>
      <c r="E88" s="268" t="s">
        <v>19</v>
      </c>
      <c r="F88" s="498">
        <f t="shared" si="2"/>
        <v>24</v>
      </c>
    </row>
    <row r="89" spans="1:8" ht="16" thickBot="1" x14ac:dyDescent="0.4">
      <c r="A89" s="498">
        <v>25</v>
      </c>
      <c r="B89" s="243" t="s">
        <v>386</v>
      </c>
      <c r="C89" s="564">
        <f>C87-C88</f>
        <v>0</v>
      </c>
      <c r="D89" s="525"/>
      <c r="E89" s="268" t="s">
        <v>646</v>
      </c>
      <c r="F89" s="498">
        <f t="shared" si="2"/>
        <v>25</v>
      </c>
    </row>
    <row r="90" spans="1:8" ht="16" thickTop="1" x14ac:dyDescent="0.35">
      <c r="A90" s="498"/>
    </row>
    <row r="92" spans="1:8" x14ac:dyDescent="0.35">
      <c r="A92" s="25" t="s">
        <v>16</v>
      </c>
      <c r="B92" s="22" t="s">
        <v>631</v>
      </c>
    </row>
    <row r="93" spans="1:8" x14ac:dyDescent="0.35">
      <c r="A93" s="25"/>
      <c r="B93" s="22" t="s">
        <v>632</v>
      </c>
    </row>
  </sheetData>
  <mergeCells count="8">
    <mergeCell ref="B3:E3"/>
    <mergeCell ref="B56:E56"/>
    <mergeCell ref="B58:E58"/>
    <mergeCell ref="B59:E59"/>
    <mergeCell ref="B4:E4"/>
    <mergeCell ref="B5:E5"/>
    <mergeCell ref="B6:E6"/>
    <mergeCell ref="B57:E57"/>
  </mergeCells>
  <printOptions horizontalCentered="1"/>
  <pageMargins left="0.25" right="0.25" top="0.5" bottom="0.5" header="0.35" footer="0.25"/>
  <pageSetup scale="60" orientation="portrait" r:id="rId1"/>
  <headerFooter scaleWithDoc="0" alignWithMargins="0">
    <oddHeader>&amp;C&amp;"Times New Roman,Bold"&amp;7AS FILED AV-4 WITH COST ADJ INCL. IN APPENDIX XII CYCLE 6 (ER24-175)</oddHeader>
    <oddFooter>&amp;L&amp;F&amp;CPage 13.&amp;P&amp;R&amp;A</oddFooter>
  </headerFooter>
  <rowBreaks count="1" manualBreakCount="1">
    <brk id="54"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A807-1DE4-4ADF-941E-CC22067CC8C7}">
  <sheetPr>
    <pageSetUpPr fitToPage="1"/>
  </sheetPr>
  <dimension ref="A1:K86"/>
  <sheetViews>
    <sheetView zoomScale="80" zoomScaleNormal="80" workbookViewId="0"/>
  </sheetViews>
  <sheetFormatPr defaultColWidth="9.1796875" defaultRowHeight="15.5" x14ac:dyDescent="0.35"/>
  <cols>
    <col min="1" max="1" width="5.1796875" style="565" customWidth="1"/>
    <col min="2" max="2" width="12.54296875" style="571" customWidth="1"/>
    <col min="3" max="3" width="20" style="571" customWidth="1"/>
    <col min="4" max="8" width="21.54296875" style="571" customWidth="1"/>
    <col min="9" max="9" width="5.1796875" style="565" customWidth="1"/>
    <col min="10" max="10" width="13.54296875" style="571" customWidth="1"/>
    <col min="11" max="11" width="12.54296875" style="571" customWidth="1"/>
    <col min="12" max="16384" width="9.1796875" style="571"/>
  </cols>
  <sheetData>
    <row r="1" spans="1:9" x14ac:dyDescent="0.35">
      <c r="D1" s="572"/>
    </row>
    <row r="2" spans="1:9" x14ac:dyDescent="0.35">
      <c r="B2" s="797" t="s">
        <v>24</v>
      </c>
      <c r="C2" s="797"/>
      <c r="D2" s="797"/>
      <c r="E2" s="797"/>
      <c r="F2" s="797"/>
      <c r="G2" s="797"/>
      <c r="H2" s="797"/>
      <c r="I2" s="573"/>
    </row>
    <row r="3" spans="1:9" x14ac:dyDescent="0.35">
      <c r="B3" s="797" t="s">
        <v>216</v>
      </c>
      <c r="C3" s="797"/>
      <c r="D3" s="797"/>
      <c r="E3" s="797"/>
      <c r="F3" s="797"/>
      <c r="G3" s="797"/>
      <c r="H3" s="797"/>
      <c r="I3" s="573"/>
    </row>
    <row r="4" spans="1:9" x14ac:dyDescent="0.35">
      <c r="B4" s="798" t="s">
        <v>577</v>
      </c>
      <c r="C4" s="798"/>
      <c r="D4" s="798"/>
      <c r="E4" s="798"/>
      <c r="F4" s="798"/>
      <c r="G4" s="798"/>
      <c r="H4" s="798"/>
      <c r="I4" s="573"/>
    </row>
    <row r="5" spans="1:9" x14ac:dyDescent="0.35">
      <c r="B5" s="798" t="s">
        <v>513</v>
      </c>
      <c r="C5" s="798"/>
      <c r="D5" s="798"/>
      <c r="E5" s="798"/>
      <c r="F5" s="798"/>
      <c r="G5" s="798"/>
      <c r="H5" s="798"/>
      <c r="I5" s="573"/>
    </row>
    <row r="6" spans="1:9" x14ac:dyDescent="0.35">
      <c r="B6" s="799" t="s">
        <v>1</v>
      </c>
      <c r="C6" s="799"/>
      <c r="D6" s="799"/>
      <c r="E6" s="799"/>
      <c r="F6" s="799"/>
      <c r="G6" s="799"/>
      <c r="H6" s="799"/>
      <c r="I6" s="573"/>
    </row>
    <row r="7" spans="1:9" x14ac:dyDescent="0.35">
      <c r="A7" s="573"/>
      <c r="B7" s="573"/>
      <c r="C7" s="573"/>
      <c r="D7" s="573"/>
      <c r="E7" s="573"/>
      <c r="F7" s="573"/>
      <c r="G7" s="573"/>
      <c r="H7" s="573"/>
      <c r="I7" s="573"/>
    </row>
    <row r="8" spans="1:9" x14ac:dyDescent="0.35">
      <c r="A8" s="39" t="s">
        <v>2</v>
      </c>
      <c r="B8" s="55"/>
      <c r="I8" s="39" t="s">
        <v>2</v>
      </c>
    </row>
    <row r="9" spans="1:9" x14ac:dyDescent="0.35">
      <c r="A9" s="416" t="s">
        <v>6</v>
      </c>
      <c r="B9" s="55"/>
      <c r="I9" s="416" t="s">
        <v>6</v>
      </c>
    </row>
    <row r="10" spans="1:9" x14ac:dyDescent="0.35">
      <c r="A10" s="39">
        <v>1</v>
      </c>
      <c r="C10" s="408" t="s">
        <v>271</v>
      </c>
      <c r="D10" s="408" t="s">
        <v>272</v>
      </c>
      <c r="E10" s="408" t="s">
        <v>273</v>
      </c>
      <c r="F10" s="408" t="s">
        <v>274</v>
      </c>
      <c r="G10" s="408" t="s">
        <v>275</v>
      </c>
      <c r="H10" s="408" t="s">
        <v>276</v>
      </c>
      <c r="I10" s="39">
        <v>1</v>
      </c>
    </row>
    <row r="11" spans="1:9" x14ac:dyDescent="0.35">
      <c r="A11" s="39">
        <f t="shared" ref="A11:A62" si="0">A10+1</f>
        <v>2</v>
      </c>
      <c r="B11" s="574" t="s">
        <v>277</v>
      </c>
      <c r="C11" s="39"/>
      <c r="D11" s="70" t="s">
        <v>395</v>
      </c>
      <c r="E11" s="39"/>
      <c r="F11" s="39" t="s">
        <v>396</v>
      </c>
      <c r="G11" s="39" t="s">
        <v>397</v>
      </c>
      <c r="H11" s="70" t="s">
        <v>398</v>
      </c>
      <c r="I11" s="39">
        <f t="shared" ref="I11:I62" si="1">I10+1</f>
        <v>2</v>
      </c>
    </row>
    <row r="12" spans="1:9" x14ac:dyDescent="0.35">
      <c r="A12" s="39">
        <f t="shared" si="0"/>
        <v>3</v>
      </c>
      <c r="B12" s="574"/>
      <c r="C12" s="39"/>
      <c r="D12" s="70"/>
      <c r="E12" s="39"/>
      <c r="F12" s="39"/>
      <c r="G12" s="39"/>
      <c r="H12" s="70"/>
      <c r="I12" s="39">
        <f t="shared" si="1"/>
        <v>3</v>
      </c>
    </row>
    <row r="13" spans="1:9" x14ac:dyDescent="0.35">
      <c r="A13" s="39">
        <f t="shared" si="0"/>
        <v>4</v>
      </c>
      <c r="C13" s="408"/>
      <c r="F13" s="495" t="s">
        <v>278</v>
      </c>
      <c r="H13" s="495" t="s">
        <v>278</v>
      </c>
      <c r="I13" s="39">
        <f t="shared" si="1"/>
        <v>4</v>
      </c>
    </row>
    <row r="14" spans="1:9" x14ac:dyDescent="0.35">
      <c r="A14" s="39">
        <f t="shared" si="0"/>
        <v>5</v>
      </c>
      <c r="C14" s="408"/>
      <c r="D14" s="495" t="s">
        <v>279</v>
      </c>
      <c r="E14" s="495"/>
      <c r="F14" s="495" t="s">
        <v>280</v>
      </c>
      <c r="H14" s="495" t="s">
        <v>280</v>
      </c>
      <c r="I14" s="39">
        <f t="shared" si="1"/>
        <v>5</v>
      </c>
    </row>
    <row r="15" spans="1:9" x14ac:dyDescent="0.35">
      <c r="A15" s="39">
        <f t="shared" si="0"/>
        <v>6</v>
      </c>
      <c r="C15" s="495"/>
      <c r="D15" s="495" t="s">
        <v>280</v>
      </c>
      <c r="E15" s="495" t="s">
        <v>279</v>
      </c>
      <c r="F15" s="495" t="s">
        <v>281</v>
      </c>
      <c r="H15" s="495" t="s">
        <v>281</v>
      </c>
      <c r="I15" s="39">
        <f t="shared" si="1"/>
        <v>6</v>
      </c>
    </row>
    <row r="16" spans="1:9" x14ac:dyDescent="0.35">
      <c r="A16" s="39">
        <f t="shared" si="0"/>
        <v>7</v>
      </c>
      <c r="C16" s="495"/>
      <c r="D16" s="495" t="s">
        <v>281</v>
      </c>
      <c r="E16" s="495" t="s">
        <v>282</v>
      </c>
      <c r="F16" s="495" t="s">
        <v>283</v>
      </c>
      <c r="G16" s="495"/>
      <c r="H16" s="495" t="s">
        <v>283</v>
      </c>
      <c r="I16" s="39">
        <f t="shared" si="1"/>
        <v>7</v>
      </c>
    </row>
    <row r="17" spans="1:10" ht="18" x14ac:dyDescent="0.35">
      <c r="A17" s="39">
        <f t="shared" si="0"/>
        <v>8</v>
      </c>
      <c r="B17" s="575" t="s">
        <v>284</v>
      </c>
      <c r="C17" s="575" t="s">
        <v>285</v>
      </c>
      <c r="D17" s="428" t="s">
        <v>283</v>
      </c>
      <c r="E17" s="428" t="s">
        <v>399</v>
      </c>
      <c r="F17" s="428" t="s">
        <v>286</v>
      </c>
      <c r="G17" s="576" t="s">
        <v>282</v>
      </c>
      <c r="H17" s="428" t="s">
        <v>287</v>
      </c>
      <c r="I17" s="39">
        <f t="shared" si="1"/>
        <v>8</v>
      </c>
    </row>
    <row r="18" spans="1:10" x14ac:dyDescent="0.35">
      <c r="A18" s="39">
        <f t="shared" si="0"/>
        <v>9</v>
      </c>
      <c r="B18" s="156" t="s">
        <v>288</v>
      </c>
      <c r="C18" s="409">
        <v>2020</v>
      </c>
      <c r="D18" s="689">
        <f>'Pg2 App XII C4 Comparison'!G28/12</f>
        <v>0.13799043551707277</v>
      </c>
      <c r="E18" s="578">
        <v>4.1999999999999997E-3</v>
      </c>
      <c r="F18" s="758">
        <f>+D18</f>
        <v>0.13799043551707277</v>
      </c>
      <c r="G18" s="748">
        <f>(D18/2)*E18</f>
        <v>2.8977991458585279E-4</v>
      </c>
      <c r="H18" s="749">
        <f t="shared" ref="H18:H77" si="2">F18+G18</f>
        <v>0.13828021543165861</v>
      </c>
      <c r="I18" s="39">
        <f t="shared" si="1"/>
        <v>9</v>
      </c>
      <c r="J18" s="579"/>
    </row>
    <row r="19" spans="1:10" x14ac:dyDescent="0.35">
      <c r="A19" s="39">
        <f t="shared" si="0"/>
        <v>10</v>
      </c>
      <c r="B19" s="156" t="s">
        <v>289</v>
      </c>
      <c r="C19" s="409">
        <f>C18</f>
        <v>2020</v>
      </c>
      <c r="D19" s="690">
        <f>D18</f>
        <v>0.13799043551707277</v>
      </c>
      <c r="E19" s="578">
        <v>3.8999999999999998E-3</v>
      </c>
      <c r="F19" s="759">
        <f t="shared" ref="F19:F70" si="3">H18+D19</f>
        <v>0.27627065094873138</v>
      </c>
      <c r="G19" s="750">
        <f t="shared" ref="G19:G70" si="4">(H18+F19)/2*E19</f>
        <v>8.083741894417604E-4</v>
      </c>
      <c r="H19" s="750">
        <f t="shared" si="2"/>
        <v>0.27707902513817312</v>
      </c>
      <c r="I19" s="39">
        <f t="shared" si="1"/>
        <v>10</v>
      </c>
      <c r="J19" s="579"/>
    </row>
    <row r="20" spans="1:10" x14ac:dyDescent="0.35">
      <c r="A20" s="39">
        <f t="shared" si="0"/>
        <v>11</v>
      </c>
      <c r="B20" s="156" t="s">
        <v>290</v>
      </c>
      <c r="C20" s="409">
        <f t="shared" ref="C20:D28" si="5">C19</f>
        <v>2020</v>
      </c>
      <c r="D20" s="690">
        <f t="shared" si="5"/>
        <v>0.13799043551707277</v>
      </c>
      <c r="E20" s="578">
        <v>4.1999999999999997E-3</v>
      </c>
      <c r="F20" s="759">
        <f t="shared" si="3"/>
        <v>0.41506946065524586</v>
      </c>
      <c r="G20" s="750">
        <f t="shared" si="4"/>
        <v>1.45351182016618E-3</v>
      </c>
      <c r="H20" s="750">
        <f t="shared" si="2"/>
        <v>0.41652297247541203</v>
      </c>
      <c r="I20" s="39">
        <f t="shared" si="1"/>
        <v>11</v>
      </c>
      <c r="J20" s="579"/>
    </row>
    <row r="21" spans="1:10" x14ac:dyDescent="0.35">
      <c r="A21" s="39">
        <f t="shared" si="0"/>
        <v>12</v>
      </c>
      <c r="B21" s="156" t="s">
        <v>291</v>
      </c>
      <c r="C21" s="409">
        <f t="shared" si="5"/>
        <v>2020</v>
      </c>
      <c r="D21" s="690">
        <f t="shared" si="5"/>
        <v>0.13799043551707277</v>
      </c>
      <c r="E21" s="578">
        <v>3.8999999999999998E-3</v>
      </c>
      <c r="F21" s="759">
        <f t="shared" si="3"/>
        <v>0.55451340799248483</v>
      </c>
      <c r="G21" s="750">
        <f t="shared" si="4"/>
        <v>1.8935209419123989E-3</v>
      </c>
      <c r="H21" s="750">
        <f t="shared" si="2"/>
        <v>0.55640692893439725</v>
      </c>
      <c r="I21" s="39">
        <f t="shared" si="1"/>
        <v>12</v>
      </c>
      <c r="J21" s="579"/>
    </row>
    <row r="22" spans="1:10" x14ac:dyDescent="0.35">
      <c r="A22" s="39">
        <f t="shared" si="0"/>
        <v>13</v>
      </c>
      <c r="B22" s="156" t="s">
        <v>292</v>
      </c>
      <c r="C22" s="409">
        <f t="shared" si="5"/>
        <v>2020</v>
      </c>
      <c r="D22" s="690">
        <f t="shared" si="5"/>
        <v>0.13799043551707277</v>
      </c>
      <c r="E22" s="578">
        <v>4.0000000000000001E-3</v>
      </c>
      <c r="F22" s="759">
        <f t="shared" si="3"/>
        <v>0.69439736445147004</v>
      </c>
      <c r="G22" s="750">
        <f t="shared" si="4"/>
        <v>2.5016085867717343E-3</v>
      </c>
      <c r="H22" s="750">
        <f t="shared" si="2"/>
        <v>0.69689897303824178</v>
      </c>
      <c r="I22" s="39">
        <f t="shared" si="1"/>
        <v>13</v>
      </c>
      <c r="J22" s="579"/>
    </row>
    <row r="23" spans="1:10" x14ac:dyDescent="0.35">
      <c r="A23" s="39">
        <f t="shared" si="0"/>
        <v>14</v>
      </c>
      <c r="B23" s="156" t="s">
        <v>293</v>
      </c>
      <c r="C23" s="409">
        <f t="shared" si="5"/>
        <v>2020</v>
      </c>
      <c r="D23" s="690">
        <f t="shared" si="5"/>
        <v>0.13799043551707277</v>
      </c>
      <c r="E23" s="578">
        <v>3.8999999999999998E-3</v>
      </c>
      <c r="F23" s="759">
        <f t="shared" si="3"/>
        <v>0.83488940855531457</v>
      </c>
      <c r="G23" s="750">
        <f t="shared" si="4"/>
        <v>2.9869873441074348E-3</v>
      </c>
      <c r="H23" s="750">
        <f t="shared" si="2"/>
        <v>0.83787639589942198</v>
      </c>
      <c r="I23" s="39">
        <f t="shared" si="1"/>
        <v>14</v>
      </c>
      <c r="J23" s="579"/>
    </row>
    <row r="24" spans="1:10" x14ac:dyDescent="0.35">
      <c r="A24" s="39">
        <f t="shared" si="0"/>
        <v>15</v>
      </c>
      <c r="B24" s="156" t="s">
        <v>294</v>
      </c>
      <c r="C24" s="409">
        <f t="shared" si="5"/>
        <v>2020</v>
      </c>
      <c r="D24" s="690">
        <f t="shared" si="5"/>
        <v>0.13799043551707277</v>
      </c>
      <c r="E24" s="578">
        <v>2.8999999999999998E-3</v>
      </c>
      <c r="F24" s="759">
        <f t="shared" si="3"/>
        <v>0.97586683141649477</v>
      </c>
      <c r="G24" s="750">
        <f t="shared" si="4"/>
        <v>2.6299276796080792E-3</v>
      </c>
      <c r="H24" s="750">
        <f t="shared" si="2"/>
        <v>0.9784967590961029</v>
      </c>
      <c r="I24" s="39">
        <f t="shared" si="1"/>
        <v>15</v>
      </c>
      <c r="J24" s="579"/>
    </row>
    <row r="25" spans="1:10" x14ac:dyDescent="0.35">
      <c r="A25" s="39">
        <f t="shared" si="0"/>
        <v>16</v>
      </c>
      <c r="B25" s="156" t="s">
        <v>295</v>
      </c>
      <c r="C25" s="409">
        <f t="shared" si="5"/>
        <v>2020</v>
      </c>
      <c r="D25" s="690">
        <f t="shared" si="5"/>
        <v>0.13799043551707277</v>
      </c>
      <c r="E25" s="578">
        <v>2.8999999999999998E-3</v>
      </c>
      <c r="F25" s="759">
        <f t="shared" si="3"/>
        <v>1.1164871946131756</v>
      </c>
      <c r="G25" s="750">
        <f t="shared" si="4"/>
        <v>3.0377267328784538E-3</v>
      </c>
      <c r="H25" s="750">
        <f t="shared" si="2"/>
        <v>1.1195249213460541</v>
      </c>
      <c r="I25" s="39">
        <f t="shared" si="1"/>
        <v>16</v>
      </c>
      <c r="J25" s="579"/>
    </row>
    <row r="26" spans="1:10" x14ac:dyDescent="0.35">
      <c r="A26" s="39">
        <f t="shared" si="0"/>
        <v>17</v>
      </c>
      <c r="B26" s="156" t="s">
        <v>296</v>
      </c>
      <c r="C26" s="409">
        <f t="shared" si="5"/>
        <v>2020</v>
      </c>
      <c r="D26" s="690">
        <f t="shared" si="5"/>
        <v>0.13799043551707277</v>
      </c>
      <c r="E26" s="578">
        <v>2.8E-3</v>
      </c>
      <c r="F26" s="759">
        <f t="shared" si="3"/>
        <v>1.2575153568631268</v>
      </c>
      <c r="G26" s="750">
        <f t="shared" si="4"/>
        <v>3.3278563894928535E-3</v>
      </c>
      <c r="H26" s="750">
        <f t="shared" si="2"/>
        <v>1.2608432132526197</v>
      </c>
      <c r="I26" s="39">
        <f t="shared" si="1"/>
        <v>17</v>
      </c>
      <c r="J26" s="579"/>
    </row>
    <row r="27" spans="1:10" x14ac:dyDescent="0.35">
      <c r="A27" s="39">
        <f t="shared" si="0"/>
        <v>18</v>
      </c>
      <c r="B27" s="156" t="s">
        <v>297</v>
      </c>
      <c r="C27" s="409">
        <f t="shared" si="5"/>
        <v>2020</v>
      </c>
      <c r="D27" s="690">
        <f t="shared" si="5"/>
        <v>0.13799043551707277</v>
      </c>
      <c r="E27" s="578">
        <v>2.8E-3</v>
      </c>
      <c r="F27" s="759">
        <f t="shared" si="3"/>
        <v>1.3988336487696924</v>
      </c>
      <c r="G27" s="750">
        <f t="shared" si="4"/>
        <v>3.7235476068312374E-3</v>
      </c>
      <c r="H27" s="750">
        <f t="shared" si="2"/>
        <v>1.4025571963765235</v>
      </c>
      <c r="I27" s="39">
        <f t="shared" si="1"/>
        <v>18</v>
      </c>
      <c r="J27" s="579"/>
    </row>
    <row r="28" spans="1:10" x14ac:dyDescent="0.35">
      <c r="A28" s="39">
        <f t="shared" si="0"/>
        <v>19</v>
      </c>
      <c r="B28" s="156" t="s">
        <v>298</v>
      </c>
      <c r="C28" s="409">
        <f t="shared" si="5"/>
        <v>2020</v>
      </c>
      <c r="D28" s="690">
        <f t="shared" si="5"/>
        <v>0.13799043551707277</v>
      </c>
      <c r="E28" s="578">
        <v>2.7000000000000001E-3</v>
      </c>
      <c r="F28" s="759">
        <f t="shared" si="3"/>
        <v>1.5405476318935962</v>
      </c>
      <c r="G28" s="750">
        <f t="shared" si="4"/>
        <v>3.9731915181646623E-3</v>
      </c>
      <c r="H28" s="750">
        <f t="shared" si="2"/>
        <v>1.5445208234117609</v>
      </c>
      <c r="I28" s="39">
        <f t="shared" si="1"/>
        <v>19</v>
      </c>
      <c r="J28" s="579"/>
    </row>
    <row r="29" spans="1:10" x14ac:dyDescent="0.35">
      <c r="A29" s="39">
        <f t="shared" si="0"/>
        <v>20</v>
      </c>
      <c r="B29" s="410" t="s">
        <v>299</v>
      </c>
      <c r="C29" s="411">
        <f>C28</f>
        <v>2020</v>
      </c>
      <c r="D29" s="691">
        <f t="shared" ref="D29" si="6">D28</f>
        <v>0.13799043551707277</v>
      </c>
      <c r="E29" s="581">
        <v>2.8E-3</v>
      </c>
      <c r="F29" s="760">
        <f t="shared" si="3"/>
        <v>1.6825112589288336</v>
      </c>
      <c r="G29" s="751">
        <f t="shared" si="4"/>
        <v>4.5178449152768318E-3</v>
      </c>
      <c r="H29" s="751">
        <f t="shared" si="2"/>
        <v>1.6870291038441103</v>
      </c>
      <c r="I29" s="39">
        <f t="shared" si="1"/>
        <v>20</v>
      </c>
      <c r="J29" s="579"/>
    </row>
    <row r="30" spans="1:10" x14ac:dyDescent="0.35">
      <c r="A30" s="39">
        <f t="shared" si="0"/>
        <v>21</v>
      </c>
      <c r="B30" s="156" t="s">
        <v>288</v>
      </c>
      <c r="C30" s="409">
        <f>C29+1</f>
        <v>2021</v>
      </c>
      <c r="D30" s="577"/>
      <c r="E30" s="578">
        <v>2.8E-3</v>
      </c>
      <c r="F30" s="759">
        <f t="shared" si="3"/>
        <v>1.6870291038441103</v>
      </c>
      <c r="G30" s="750">
        <f t="shared" si="4"/>
        <v>4.7236814907635092E-3</v>
      </c>
      <c r="H30" s="750">
        <f t="shared" si="2"/>
        <v>1.6917527853348737</v>
      </c>
      <c r="I30" s="39">
        <f t="shared" si="1"/>
        <v>21</v>
      </c>
      <c r="J30" s="579"/>
    </row>
    <row r="31" spans="1:10" x14ac:dyDescent="0.35">
      <c r="A31" s="39">
        <f t="shared" si="0"/>
        <v>22</v>
      </c>
      <c r="B31" s="156" t="s">
        <v>289</v>
      </c>
      <c r="C31" s="409">
        <f>C30</f>
        <v>2021</v>
      </c>
      <c r="D31" s="577"/>
      <c r="E31" s="578">
        <v>2.5000000000000001E-3</v>
      </c>
      <c r="F31" s="759">
        <f t="shared" si="3"/>
        <v>1.6917527853348737</v>
      </c>
      <c r="G31" s="750">
        <f t="shared" si="4"/>
        <v>4.2293819633371843E-3</v>
      </c>
      <c r="H31" s="750">
        <f t="shared" si="2"/>
        <v>1.6959821672982109</v>
      </c>
      <c r="I31" s="39">
        <f t="shared" si="1"/>
        <v>22</v>
      </c>
      <c r="J31" s="579"/>
    </row>
    <row r="32" spans="1:10" x14ac:dyDescent="0.35">
      <c r="A32" s="39">
        <f t="shared" si="0"/>
        <v>23</v>
      </c>
      <c r="B32" s="156" t="s">
        <v>290</v>
      </c>
      <c r="C32" s="409">
        <f t="shared" ref="C32:C40" si="7">C31</f>
        <v>2021</v>
      </c>
      <c r="D32" s="577"/>
      <c r="E32" s="578">
        <v>2.8E-3</v>
      </c>
      <c r="F32" s="759">
        <f t="shared" si="3"/>
        <v>1.6959821672982109</v>
      </c>
      <c r="G32" s="750">
        <f t="shared" si="4"/>
        <v>4.7487500684349907E-3</v>
      </c>
      <c r="H32" s="750">
        <f t="shared" si="2"/>
        <v>1.7007309173666458</v>
      </c>
      <c r="I32" s="39">
        <f t="shared" si="1"/>
        <v>23</v>
      </c>
      <c r="J32" s="579"/>
    </row>
    <row r="33" spans="1:10" x14ac:dyDescent="0.35">
      <c r="A33" s="39">
        <f t="shared" si="0"/>
        <v>24</v>
      </c>
      <c r="B33" s="156" t="s">
        <v>291</v>
      </c>
      <c r="C33" s="409">
        <f t="shared" si="7"/>
        <v>2021</v>
      </c>
      <c r="D33" s="577"/>
      <c r="E33" s="578">
        <v>2.7000000000000001E-3</v>
      </c>
      <c r="F33" s="759">
        <f t="shared" si="3"/>
        <v>1.7007309173666458</v>
      </c>
      <c r="G33" s="750">
        <f t="shared" si="4"/>
        <v>4.5919734768899443E-3</v>
      </c>
      <c r="H33" s="750">
        <f t="shared" si="2"/>
        <v>1.7053228908435358</v>
      </c>
      <c r="I33" s="39">
        <f t="shared" si="1"/>
        <v>24</v>
      </c>
      <c r="J33" s="579"/>
    </row>
    <row r="34" spans="1:10" x14ac:dyDescent="0.35">
      <c r="A34" s="39">
        <f t="shared" si="0"/>
        <v>25</v>
      </c>
      <c r="B34" s="156" t="s">
        <v>292</v>
      </c>
      <c r="C34" s="409">
        <f t="shared" si="7"/>
        <v>2021</v>
      </c>
      <c r="D34" s="577"/>
      <c r="E34" s="578">
        <v>2.8E-3</v>
      </c>
      <c r="F34" s="759">
        <f t="shared" si="3"/>
        <v>1.7053228908435358</v>
      </c>
      <c r="G34" s="750">
        <f t="shared" si="4"/>
        <v>4.7749040943619002E-3</v>
      </c>
      <c r="H34" s="750">
        <f t="shared" si="2"/>
        <v>1.7100977949378977</v>
      </c>
      <c r="I34" s="39">
        <f t="shared" si="1"/>
        <v>25</v>
      </c>
      <c r="J34" s="579"/>
    </row>
    <row r="35" spans="1:10" x14ac:dyDescent="0.35">
      <c r="A35" s="39">
        <f t="shared" si="0"/>
        <v>26</v>
      </c>
      <c r="B35" s="156" t="s">
        <v>293</v>
      </c>
      <c r="C35" s="409">
        <f t="shared" si="7"/>
        <v>2021</v>
      </c>
      <c r="D35" s="577"/>
      <c r="E35" s="578">
        <v>2.7000000000000001E-3</v>
      </c>
      <c r="F35" s="759">
        <f t="shared" si="3"/>
        <v>1.7100977949378977</v>
      </c>
      <c r="G35" s="750">
        <f t="shared" si="4"/>
        <v>4.6172640463323237E-3</v>
      </c>
      <c r="H35" s="750">
        <f t="shared" si="2"/>
        <v>1.7147150589842299</v>
      </c>
      <c r="I35" s="39">
        <f t="shared" si="1"/>
        <v>26</v>
      </c>
      <c r="J35" s="579"/>
    </row>
    <row r="36" spans="1:10" x14ac:dyDescent="0.35">
      <c r="A36" s="39">
        <f t="shared" si="0"/>
        <v>27</v>
      </c>
      <c r="B36" s="156" t="s">
        <v>294</v>
      </c>
      <c r="C36" s="409">
        <f t="shared" si="7"/>
        <v>2021</v>
      </c>
      <c r="D36" s="577"/>
      <c r="E36" s="578">
        <v>2.8E-3</v>
      </c>
      <c r="F36" s="759">
        <f t="shared" si="3"/>
        <v>1.7147150589842299</v>
      </c>
      <c r="G36" s="750">
        <f t="shared" si="4"/>
        <v>4.8012021651558439E-3</v>
      </c>
      <c r="H36" s="750">
        <f t="shared" si="2"/>
        <v>1.7195162611493857</v>
      </c>
      <c r="I36" s="39">
        <f t="shared" si="1"/>
        <v>27</v>
      </c>
      <c r="J36" s="579"/>
    </row>
    <row r="37" spans="1:10" x14ac:dyDescent="0.35">
      <c r="A37" s="39">
        <f t="shared" si="0"/>
        <v>28</v>
      </c>
      <c r="B37" s="156" t="s">
        <v>295</v>
      </c>
      <c r="C37" s="409">
        <f t="shared" si="7"/>
        <v>2021</v>
      </c>
      <c r="D37" s="577"/>
      <c r="E37" s="578">
        <v>2.8E-3</v>
      </c>
      <c r="F37" s="759">
        <f t="shared" si="3"/>
        <v>1.7195162611493857</v>
      </c>
      <c r="G37" s="750">
        <f t="shared" si="4"/>
        <v>4.8146455312182796E-3</v>
      </c>
      <c r="H37" s="750">
        <f t="shared" si="2"/>
        <v>1.7243309066806041</v>
      </c>
      <c r="I37" s="39">
        <f t="shared" si="1"/>
        <v>28</v>
      </c>
      <c r="J37" s="579"/>
    </row>
    <row r="38" spans="1:10" x14ac:dyDescent="0.35">
      <c r="A38" s="39">
        <f t="shared" si="0"/>
        <v>29</v>
      </c>
      <c r="B38" s="156" t="s">
        <v>296</v>
      </c>
      <c r="C38" s="409">
        <f t="shared" si="7"/>
        <v>2021</v>
      </c>
      <c r="D38" s="577"/>
      <c r="E38" s="578">
        <v>2.7000000000000001E-3</v>
      </c>
      <c r="F38" s="759">
        <f t="shared" si="3"/>
        <v>1.7243309066806041</v>
      </c>
      <c r="G38" s="750">
        <f t="shared" si="4"/>
        <v>4.6556934480376311E-3</v>
      </c>
      <c r="H38" s="750">
        <f t="shared" si="2"/>
        <v>1.7289866001286418</v>
      </c>
      <c r="I38" s="39">
        <f t="shared" si="1"/>
        <v>29</v>
      </c>
      <c r="J38" s="579"/>
    </row>
    <row r="39" spans="1:10" x14ac:dyDescent="0.35">
      <c r="A39" s="39">
        <f t="shared" si="0"/>
        <v>30</v>
      </c>
      <c r="B39" s="156" t="s">
        <v>297</v>
      </c>
      <c r="C39" s="409">
        <f t="shared" si="7"/>
        <v>2021</v>
      </c>
      <c r="D39" s="577"/>
      <c r="E39" s="578">
        <v>2.8E-3</v>
      </c>
      <c r="F39" s="759">
        <f t="shared" si="3"/>
        <v>1.7289866001286418</v>
      </c>
      <c r="G39" s="750">
        <f t="shared" si="4"/>
        <v>4.8411624803601973E-3</v>
      </c>
      <c r="H39" s="750">
        <f t="shared" si="2"/>
        <v>1.733827762609002</v>
      </c>
      <c r="I39" s="39">
        <f t="shared" si="1"/>
        <v>30</v>
      </c>
      <c r="J39" s="579"/>
    </row>
    <row r="40" spans="1:10" x14ac:dyDescent="0.35">
      <c r="A40" s="39">
        <f t="shared" si="0"/>
        <v>31</v>
      </c>
      <c r="B40" s="156" t="s">
        <v>298</v>
      </c>
      <c r="C40" s="409">
        <f t="shared" si="7"/>
        <v>2021</v>
      </c>
      <c r="D40" s="577"/>
      <c r="E40" s="578">
        <v>2.7000000000000001E-3</v>
      </c>
      <c r="F40" s="759">
        <f t="shared" si="3"/>
        <v>1.733827762609002</v>
      </c>
      <c r="G40" s="750">
        <f t="shared" si="4"/>
        <v>4.6813349590443054E-3</v>
      </c>
      <c r="H40" s="750">
        <f t="shared" si="2"/>
        <v>1.7385090975680462</v>
      </c>
      <c r="I40" s="39">
        <f t="shared" si="1"/>
        <v>31</v>
      </c>
      <c r="J40" s="579"/>
    </row>
    <row r="41" spans="1:10" x14ac:dyDescent="0.35">
      <c r="A41" s="39">
        <f t="shared" si="0"/>
        <v>32</v>
      </c>
      <c r="B41" s="410" t="s">
        <v>299</v>
      </c>
      <c r="C41" s="411">
        <f>C40</f>
        <v>2021</v>
      </c>
      <c r="D41" s="580"/>
      <c r="E41" s="581">
        <v>2.8E-3</v>
      </c>
      <c r="F41" s="760">
        <f t="shared" si="3"/>
        <v>1.7385090975680462</v>
      </c>
      <c r="G41" s="751">
        <f t="shared" si="4"/>
        <v>4.8678254731905294E-3</v>
      </c>
      <c r="H41" s="751">
        <f t="shared" si="2"/>
        <v>1.7433769230412366</v>
      </c>
      <c r="I41" s="39">
        <f t="shared" si="1"/>
        <v>32</v>
      </c>
      <c r="J41" s="579"/>
    </row>
    <row r="42" spans="1:10" x14ac:dyDescent="0.35">
      <c r="A42" s="39">
        <f t="shared" si="0"/>
        <v>33</v>
      </c>
      <c r="B42" s="156" t="s">
        <v>288</v>
      </c>
      <c r="C42" s="409">
        <v>2022</v>
      </c>
      <c r="D42" s="577"/>
      <c r="E42" s="578">
        <v>2.8E-3</v>
      </c>
      <c r="F42" s="759">
        <f t="shared" si="3"/>
        <v>1.7433769230412366</v>
      </c>
      <c r="G42" s="750">
        <f t="shared" si="4"/>
        <v>4.8814553845154627E-3</v>
      </c>
      <c r="H42" s="750">
        <f t="shared" si="2"/>
        <v>1.7482583784257522</v>
      </c>
      <c r="I42" s="39">
        <f t="shared" si="1"/>
        <v>33</v>
      </c>
      <c r="J42" s="579"/>
    </row>
    <row r="43" spans="1:10" x14ac:dyDescent="0.35">
      <c r="A43" s="39">
        <f t="shared" si="0"/>
        <v>34</v>
      </c>
      <c r="B43" s="156" t="s">
        <v>289</v>
      </c>
      <c r="C43" s="409">
        <v>2022</v>
      </c>
      <c r="D43" s="577"/>
      <c r="E43" s="578">
        <v>2.5000000000000001E-3</v>
      </c>
      <c r="F43" s="759">
        <f t="shared" si="3"/>
        <v>1.7482583784257522</v>
      </c>
      <c r="G43" s="750">
        <f t="shared" si="4"/>
        <v>4.3706459460643807E-3</v>
      </c>
      <c r="H43" s="750">
        <f t="shared" si="2"/>
        <v>1.7526290243718166</v>
      </c>
      <c r="I43" s="39">
        <f t="shared" si="1"/>
        <v>34</v>
      </c>
      <c r="J43" s="579"/>
    </row>
    <row r="44" spans="1:10" x14ac:dyDescent="0.35">
      <c r="A44" s="39">
        <f t="shared" si="0"/>
        <v>35</v>
      </c>
      <c r="B44" s="156" t="s">
        <v>290</v>
      </c>
      <c r="C44" s="409">
        <v>2022</v>
      </c>
      <c r="D44" s="577"/>
      <c r="E44" s="578">
        <v>2.8E-3</v>
      </c>
      <c r="F44" s="759">
        <f t="shared" si="3"/>
        <v>1.7526290243718166</v>
      </c>
      <c r="G44" s="750">
        <f t="shared" si="4"/>
        <v>4.9073612682410863E-3</v>
      </c>
      <c r="H44" s="750">
        <f t="shared" si="2"/>
        <v>1.7575363856400577</v>
      </c>
      <c r="I44" s="39">
        <f t="shared" si="1"/>
        <v>35</v>
      </c>
      <c r="J44" s="579"/>
    </row>
    <row r="45" spans="1:10" x14ac:dyDescent="0.35">
      <c r="A45" s="39">
        <f t="shared" si="0"/>
        <v>36</v>
      </c>
      <c r="B45" s="156" t="s">
        <v>291</v>
      </c>
      <c r="C45" s="409">
        <v>2022</v>
      </c>
      <c r="D45" s="577"/>
      <c r="E45" s="578">
        <v>2.7000000000000001E-3</v>
      </c>
      <c r="F45" s="759">
        <f t="shared" si="3"/>
        <v>1.7575363856400577</v>
      </c>
      <c r="G45" s="750">
        <f t="shared" si="4"/>
        <v>4.7453482412281563E-3</v>
      </c>
      <c r="H45" s="750">
        <f t="shared" si="2"/>
        <v>1.7622817338812857</v>
      </c>
      <c r="I45" s="39">
        <f t="shared" si="1"/>
        <v>36</v>
      </c>
      <c r="J45" s="579"/>
    </row>
    <row r="46" spans="1:10" x14ac:dyDescent="0.35">
      <c r="A46" s="39">
        <f t="shared" si="0"/>
        <v>37</v>
      </c>
      <c r="B46" s="156" t="s">
        <v>292</v>
      </c>
      <c r="C46" s="409">
        <v>2022</v>
      </c>
      <c r="D46" s="577"/>
      <c r="E46" s="578">
        <v>2.8E-3</v>
      </c>
      <c r="F46" s="759">
        <f t="shared" si="3"/>
        <v>1.7622817338812857</v>
      </c>
      <c r="G46" s="750">
        <f t="shared" si="4"/>
        <v>4.9343888548675999E-3</v>
      </c>
      <c r="H46" s="750">
        <f t="shared" si="2"/>
        <v>1.7672161227361534</v>
      </c>
      <c r="I46" s="39">
        <f t="shared" si="1"/>
        <v>37</v>
      </c>
      <c r="J46" s="579"/>
    </row>
    <row r="47" spans="1:10" x14ac:dyDescent="0.35">
      <c r="A47" s="39">
        <f t="shared" si="0"/>
        <v>38</v>
      </c>
      <c r="B47" s="156" t="s">
        <v>293</v>
      </c>
      <c r="C47" s="409">
        <v>2022</v>
      </c>
      <c r="D47" s="577"/>
      <c r="E47" s="578">
        <v>2.7000000000000001E-3</v>
      </c>
      <c r="F47" s="759">
        <f t="shared" si="3"/>
        <v>1.7672161227361534</v>
      </c>
      <c r="G47" s="750">
        <f t="shared" si="4"/>
        <v>4.7714835313876144E-3</v>
      </c>
      <c r="H47" s="750">
        <f t="shared" si="2"/>
        <v>1.771987606267541</v>
      </c>
      <c r="I47" s="39">
        <f t="shared" si="1"/>
        <v>38</v>
      </c>
      <c r="J47" s="579"/>
    </row>
    <row r="48" spans="1:10" x14ac:dyDescent="0.35">
      <c r="A48" s="39">
        <f t="shared" si="0"/>
        <v>39</v>
      </c>
      <c r="B48" s="156" t="s">
        <v>294</v>
      </c>
      <c r="C48" s="409">
        <v>2022</v>
      </c>
      <c r="D48" s="577"/>
      <c r="E48" s="578">
        <v>3.0999999999999999E-3</v>
      </c>
      <c r="F48" s="759">
        <f t="shared" si="3"/>
        <v>1.771987606267541</v>
      </c>
      <c r="G48" s="750">
        <f t="shared" si="4"/>
        <v>5.4931615794293768E-3</v>
      </c>
      <c r="H48" s="750">
        <f t="shared" si="2"/>
        <v>1.7774807678469704</v>
      </c>
      <c r="I48" s="39">
        <f t="shared" si="1"/>
        <v>39</v>
      </c>
      <c r="J48" s="579"/>
    </row>
    <row r="49" spans="1:10" x14ac:dyDescent="0.35">
      <c r="A49" s="39">
        <f t="shared" si="0"/>
        <v>40</v>
      </c>
      <c r="B49" s="156" t="s">
        <v>295</v>
      </c>
      <c r="C49" s="409">
        <v>2022</v>
      </c>
      <c r="D49" s="577"/>
      <c r="E49" s="578">
        <v>3.0999999999999999E-3</v>
      </c>
      <c r="F49" s="759">
        <f t="shared" si="3"/>
        <v>1.7774807678469704</v>
      </c>
      <c r="G49" s="750">
        <f t="shared" si="4"/>
        <v>5.5101903803256077E-3</v>
      </c>
      <c r="H49" s="750">
        <f t="shared" si="2"/>
        <v>1.782990958227296</v>
      </c>
      <c r="I49" s="39">
        <f t="shared" si="1"/>
        <v>40</v>
      </c>
      <c r="J49" s="579"/>
    </row>
    <row r="50" spans="1:10" x14ac:dyDescent="0.35">
      <c r="A50" s="39">
        <f t="shared" si="0"/>
        <v>41</v>
      </c>
      <c r="B50" s="156" t="s">
        <v>296</v>
      </c>
      <c r="C50" s="409">
        <v>2022</v>
      </c>
      <c r="D50" s="577"/>
      <c r="E50" s="578">
        <v>3.0000000000000001E-3</v>
      </c>
      <c r="F50" s="759">
        <f t="shared" si="3"/>
        <v>1.782990958227296</v>
      </c>
      <c r="G50" s="750">
        <f t="shared" si="4"/>
        <v>5.3489728746818881E-3</v>
      </c>
      <c r="H50" s="750">
        <f t="shared" si="2"/>
        <v>1.7883399311019779</v>
      </c>
      <c r="I50" s="39">
        <f t="shared" si="1"/>
        <v>41</v>
      </c>
      <c r="J50" s="579"/>
    </row>
    <row r="51" spans="1:10" x14ac:dyDescent="0.35">
      <c r="A51" s="39">
        <f t="shared" si="0"/>
        <v>42</v>
      </c>
      <c r="B51" s="156" t="s">
        <v>297</v>
      </c>
      <c r="C51" s="409">
        <v>2022</v>
      </c>
      <c r="D51" s="577"/>
      <c r="E51" s="578">
        <v>4.1999999999999997E-3</v>
      </c>
      <c r="F51" s="759">
        <f t="shared" si="3"/>
        <v>1.7883399311019779</v>
      </c>
      <c r="G51" s="750">
        <f t="shared" si="4"/>
        <v>7.5110277106283062E-3</v>
      </c>
      <c r="H51" s="750">
        <f t="shared" si="2"/>
        <v>1.7958509588126061</v>
      </c>
      <c r="I51" s="39">
        <f t="shared" si="1"/>
        <v>42</v>
      </c>
      <c r="J51" s="579"/>
    </row>
    <row r="52" spans="1:10" x14ac:dyDescent="0.35">
      <c r="A52" s="39">
        <f t="shared" si="0"/>
        <v>43</v>
      </c>
      <c r="B52" s="156" t="s">
        <v>298</v>
      </c>
      <c r="C52" s="409">
        <v>2022</v>
      </c>
      <c r="D52" s="577"/>
      <c r="E52" s="578">
        <v>4.0000000000000001E-3</v>
      </c>
      <c r="F52" s="759">
        <f t="shared" si="3"/>
        <v>1.7958509588126061</v>
      </c>
      <c r="G52" s="750">
        <f t="shared" si="4"/>
        <v>7.1834038352504249E-3</v>
      </c>
      <c r="H52" s="750">
        <f t="shared" si="2"/>
        <v>1.8030343626478567</v>
      </c>
      <c r="I52" s="39">
        <f t="shared" si="1"/>
        <v>43</v>
      </c>
      <c r="J52" s="579"/>
    </row>
    <row r="53" spans="1:10" x14ac:dyDescent="0.35">
      <c r="A53" s="39">
        <f t="shared" si="0"/>
        <v>44</v>
      </c>
      <c r="B53" s="410" t="s">
        <v>299</v>
      </c>
      <c r="C53" s="411">
        <v>2022</v>
      </c>
      <c r="D53" s="580"/>
      <c r="E53" s="581">
        <v>4.1999999999999997E-3</v>
      </c>
      <c r="F53" s="760">
        <f t="shared" si="3"/>
        <v>1.8030343626478567</v>
      </c>
      <c r="G53" s="751">
        <f t="shared" si="4"/>
        <v>7.5727443231209971E-3</v>
      </c>
      <c r="H53" s="751">
        <f t="shared" si="2"/>
        <v>1.8106071069709777</v>
      </c>
      <c r="I53" s="39">
        <f t="shared" si="1"/>
        <v>44</v>
      </c>
      <c r="J53" s="579"/>
    </row>
    <row r="54" spans="1:10" x14ac:dyDescent="0.35">
      <c r="A54" s="39">
        <f t="shared" si="0"/>
        <v>45</v>
      </c>
      <c r="B54" s="156" t="s">
        <v>288</v>
      </c>
      <c r="C54" s="409">
        <v>2023</v>
      </c>
      <c r="D54" s="577"/>
      <c r="E54" s="578">
        <v>5.4000000000000003E-3</v>
      </c>
      <c r="F54" s="759">
        <f t="shared" si="3"/>
        <v>1.8106071069709777</v>
      </c>
      <c r="G54" s="750">
        <f t="shared" si="4"/>
        <v>9.7772783776432799E-3</v>
      </c>
      <c r="H54" s="750">
        <f t="shared" si="2"/>
        <v>1.820384385348621</v>
      </c>
      <c r="I54" s="39">
        <f t="shared" si="1"/>
        <v>45</v>
      </c>
      <c r="J54" s="579"/>
    </row>
    <row r="55" spans="1:10" x14ac:dyDescent="0.35">
      <c r="A55" s="39">
        <f t="shared" si="0"/>
        <v>46</v>
      </c>
      <c r="B55" s="156" t="s">
        <v>289</v>
      </c>
      <c r="C55" s="409">
        <v>2023</v>
      </c>
      <c r="D55" s="577"/>
      <c r="E55" s="578">
        <v>4.7999999999999996E-3</v>
      </c>
      <c r="F55" s="759">
        <f t="shared" si="3"/>
        <v>1.820384385348621</v>
      </c>
      <c r="G55" s="750">
        <f t="shared" si="4"/>
        <v>8.7378450496733793E-3</v>
      </c>
      <c r="H55" s="750">
        <f t="shared" si="2"/>
        <v>1.8291222303982944</v>
      </c>
      <c r="I55" s="39">
        <f t="shared" si="1"/>
        <v>46</v>
      </c>
      <c r="J55" s="579"/>
    </row>
    <row r="56" spans="1:10" x14ac:dyDescent="0.35">
      <c r="A56" s="39">
        <f t="shared" si="0"/>
        <v>47</v>
      </c>
      <c r="B56" s="156" t="s">
        <v>290</v>
      </c>
      <c r="C56" s="409">
        <v>2023</v>
      </c>
      <c r="D56" s="577"/>
      <c r="E56" s="578">
        <v>5.4000000000000003E-3</v>
      </c>
      <c r="F56" s="759">
        <f t="shared" si="3"/>
        <v>1.8291222303982944</v>
      </c>
      <c r="G56" s="750">
        <f t="shared" si="4"/>
        <v>9.8772600441507895E-3</v>
      </c>
      <c r="H56" s="750">
        <f t="shared" si="2"/>
        <v>1.8389994904424452</v>
      </c>
      <c r="I56" s="39">
        <f t="shared" si="1"/>
        <v>47</v>
      </c>
      <c r="J56" s="579"/>
    </row>
    <row r="57" spans="1:10" x14ac:dyDescent="0.35">
      <c r="A57" s="39">
        <f t="shared" si="0"/>
        <v>48</v>
      </c>
      <c r="B57" s="156" t="s">
        <v>291</v>
      </c>
      <c r="C57" s="409">
        <v>2023</v>
      </c>
      <c r="D57" s="577"/>
      <c r="E57" s="578">
        <v>6.1999999999999998E-3</v>
      </c>
      <c r="F57" s="759">
        <f t="shared" si="3"/>
        <v>1.8389994904424452</v>
      </c>
      <c r="G57" s="750">
        <f t="shared" si="4"/>
        <v>1.140179684074316E-2</v>
      </c>
      <c r="H57" s="750">
        <f t="shared" si="2"/>
        <v>1.8504012872831883</v>
      </c>
      <c r="I57" s="39">
        <f t="shared" si="1"/>
        <v>48</v>
      </c>
      <c r="J57" s="579"/>
    </row>
    <row r="58" spans="1:10" x14ac:dyDescent="0.35">
      <c r="A58" s="39">
        <f t="shared" si="0"/>
        <v>49</v>
      </c>
      <c r="B58" s="156" t="s">
        <v>292</v>
      </c>
      <c r="C58" s="409">
        <v>2023</v>
      </c>
      <c r="D58" s="577"/>
      <c r="E58" s="578">
        <v>6.4000000000000003E-3</v>
      </c>
      <c r="F58" s="759">
        <f t="shared" si="3"/>
        <v>1.8504012872831883</v>
      </c>
      <c r="G58" s="750">
        <f t="shared" si="4"/>
        <v>1.1842568238612405E-2</v>
      </c>
      <c r="H58" s="750">
        <f t="shared" si="2"/>
        <v>1.8622438555218008</v>
      </c>
      <c r="I58" s="39">
        <f t="shared" si="1"/>
        <v>49</v>
      </c>
      <c r="J58" s="579"/>
    </row>
    <row r="59" spans="1:10" x14ac:dyDescent="0.35">
      <c r="A59" s="39">
        <f t="shared" si="0"/>
        <v>50</v>
      </c>
      <c r="B59" s="156" t="s">
        <v>293</v>
      </c>
      <c r="C59" s="409">
        <v>2023</v>
      </c>
      <c r="D59" s="577"/>
      <c r="E59" s="578">
        <v>6.1999999999999998E-3</v>
      </c>
      <c r="F59" s="759">
        <f t="shared" si="3"/>
        <v>1.8622438555218008</v>
      </c>
      <c r="G59" s="750">
        <f t="shared" si="4"/>
        <v>1.1545911904235165E-2</v>
      </c>
      <c r="H59" s="750">
        <f t="shared" si="2"/>
        <v>1.873789767426036</v>
      </c>
      <c r="I59" s="39">
        <f t="shared" si="1"/>
        <v>50</v>
      </c>
      <c r="J59" s="579"/>
    </row>
    <row r="60" spans="1:10" x14ac:dyDescent="0.35">
      <c r="A60" s="39">
        <f t="shared" si="0"/>
        <v>51</v>
      </c>
      <c r="B60" s="156" t="s">
        <v>294</v>
      </c>
      <c r="C60" s="409">
        <v>2023</v>
      </c>
      <c r="D60" s="577"/>
      <c r="E60" s="578">
        <v>6.7999999999999996E-3</v>
      </c>
      <c r="F60" s="759">
        <f t="shared" si="3"/>
        <v>1.873789767426036</v>
      </c>
      <c r="G60" s="750">
        <f t="shared" si="4"/>
        <v>1.2741770418497044E-2</v>
      </c>
      <c r="H60" s="750">
        <f t="shared" si="2"/>
        <v>1.8865315378445331</v>
      </c>
      <c r="I60" s="39">
        <f t="shared" si="1"/>
        <v>51</v>
      </c>
      <c r="J60" s="579"/>
    </row>
    <row r="61" spans="1:10" x14ac:dyDescent="0.35">
      <c r="A61" s="39">
        <f t="shared" si="0"/>
        <v>52</v>
      </c>
      <c r="B61" s="156" t="s">
        <v>295</v>
      </c>
      <c r="C61" s="409">
        <v>2023</v>
      </c>
      <c r="D61" s="577"/>
      <c r="E61" s="578">
        <v>6.7999999999999996E-3</v>
      </c>
      <c r="F61" s="759">
        <f t="shared" si="3"/>
        <v>1.8865315378445331</v>
      </c>
      <c r="G61" s="750">
        <f t="shared" si="4"/>
        <v>1.2828414457342825E-2</v>
      </c>
      <c r="H61" s="750">
        <f t="shared" si="2"/>
        <v>1.8993599523018758</v>
      </c>
      <c r="I61" s="39">
        <f t="shared" si="1"/>
        <v>52</v>
      </c>
      <c r="J61" s="579"/>
    </row>
    <row r="62" spans="1:10" x14ac:dyDescent="0.35">
      <c r="A62" s="39">
        <f t="shared" si="0"/>
        <v>53</v>
      </c>
      <c r="B62" s="156" t="s">
        <v>296</v>
      </c>
      <c r="C62" s="409">
        <v>2023</v>
      </c>
      <c r="D62" s="577"/>
      <c r="E62" s="578">
        <v>6.6E-3</v>
      </c>
      <c r="F62" s="759">
        <f t="shared" si="3"/>
        <v>1.8993599523018758</v>
      </c>
      <c r="G62" s="750">
        <f t="shared" si="4"/>
        <v>1.2535775685192381E-2</v>
      </c>
      <c r="H62" s="750">
        <f t="shared" si="2"/>
        <v>1.9118957279870683</v>
      </c>
      <c r="I62" s="39">
        <f t="shared" si="1"/>
        <v>53</v>
      </c>
      <c r="J62" s="579"/>
    </row>
    <row r="63" spans="1:10" x14ac:dyDescent="0.35">
      <c r="A63" s="39">
        <f t="shared" ref="A63:A78" si="8">A62+1</f>
        <v>54</v>
      </c>
      <c r="B63" s="156" t="s">
        <v>297</v>
      </c>
      <c r="C63" s="409">
        <v>2023</v>
      </c>
      <c r="D63" s="577"/>
      <c r="E63" s="578">
        <v>7.1000000000000004E-3</v>
      </c>
      <c r="F63" s="759">
        <f t="shared" si="3"/>
        <v>1.9118957279870683</v>
      </c>
      <c r="G63" s="750">
        <f t="shared" si="4"/>
        <v>1.3574459668708187E-2</v>
      </c>
      <c r="H63" s="750">
        <f t="shared" si="2"/>
        <v>1.9254701876557765</v>
      </c>
      <c r="I63" s="39">
        <f t="shared" ref="I63:I78" si="9">I62+1</f>
        <v>54</v>
      </c>
      <c r="J63" s="579"/>
    </row>
    <row r="64" spans="1:10" x14ac:dyDescent="0.35">
      <c r="A64" s="39">
        <f t="shared" si="8"/>
        <v>55</v>
      </c>
      <c r="B64" s="156" t="s">
        <v>298</v>
      </c>
      <c r="C64" s="409">
        <v>2023</v>
      </c>
      <c r="D64" s="577"/>
      <c r="E64" s="578">
        <v>6.8999999999999999E-3</v>
      </c>
      <c r="F64" s="759">
        <f t="shared" si="3"/>
        <v>1.9254701876557765</v>
      </c>
      <c r="G64" s="750">
        <f t="shared" si="4"/>
        <v>1.3285744294824858E-2</v>
      </c>
      <c r="H64" s="750">
        <f t="shared" si="2"/>
        <v>1.9387559319506014</v>
      </c>
      <c r="I64" s="39">
        <f t="shared" si="9"/>
        <v>55</v>
      </c>
      <c r="J64" s="579"/>
    </row>
    <row r="65" spans="1:11" x14ac:dyDescent="0.35">
      <c r="A65" s="39">
        <f t="shared" si="8"/>
        <v>56</v>
      </c>
      <c r="B65" s="410" t="s">
        <v>299</v>
      </c>
      <c r="C65" s="411">
        <v>2023</v>
      </c>
      <c r="D65" s="580"/>
      <c r="E65" s="581">
        <v>7.1000000000000004E-3</v>
      </c>
      <c r="F65" s="760">
        <f t="shared" si="3"/>
        <v>1.9387559319506014</v>
      </c>
      <c r="G65" s="751">
        <f t="shared" si="4"/>
        <v>1.376516711684927E-2</v>
      </c>
      <c r="H65" s="751">
        <f t="shared" si="2"/>
        <v>1.9525210990674506</v>
      </c>
      <c r="I65" s="39">
        <f t="shared" si="9"/>
        <v>56</v>
      </c>
      <c r="J65" s="579"/>
    </row>
    <row r="66" spans="1:11" x14ac:dyDescent="0.35">
      <c r="A66" s="39">
        <f t="shared" si="8"/>
        <v>57</v>
      </c>
      <c r="B66" s="679" t="s">
        <v>288</v>
      </c>
      <c r="C66" s="680">
        <v>2024</v>
      </c>
      <c r="D66" s="620"/>
      <c r="E66" s="578">
        <v>7.1999999999999998E-3</v>
      </c>
      <c r="F66" s="759">
        <f t="shared" si="3"/>
        <v>1.9525210990674506</v>
      </c>
      <c r="G66" s="752">
        <f t="shared" si="4"/>
        <v>1.4058151913285645E-2</v>
      </c>
      <c r="H66" s="750">
        <f t="shared" si="2"/>
        <v>1.9665792509807363</v>
      </c>
      <c r="I66" s="39">
        <f t="shared" si="9"/>
        <v>57</v>
      </c>
      <c r="J66" s="579"/>
    </row>
    <row r="67" spans="1:11" x14ac:dyDescent="0.35">
      <c r="A67" s="39">
        <f t="shared" si="8"/>
        <v>58</v>
      </c>
      <c r="B67" s="679" t="s">
        <v>289</v>
      </c>
      <c r="C67" s="680">
        <v>2024</v>
      </c>
      <c r="D67" s="620"/>
      <c r="E67" s="578">
        <v>6.7999999999999996E-3</v>
      </c>
      <c r="F67" s="759">
        <f t="shared" si="3"/>
        <v>1.9665792509807363</v>
      </c>
      <c r="G67" s="752">
        <f t="shared" si="4"/>
        <v>1.3372738906669006E-2</v>
      </c>
      <c r="H67" s="750">
        <f t="shared" si="2"/>
        <v>1.9799519898874052</v>
      </c>
      <c r="I67" s="39">
        <f t="shared" si="9"/>
        <v>58</v>
      </c>
      <c r="J67" s="579"/>
    </row>
    <row r="68" spans="1:11" x14ac:dyDescent="0.35">
      <c r="A68" s="39">
        <f t="shared" si="8"/>
        <v>59</v>
      </c>
      <c r="B68" s="679" t="s">
        <v>290</v>
      </c>
      <c r="C68" s="680">
        <v>2024</v>
      </c>
      <c r="D68" s="620"/>
      <c r="E68" s="578">
        <v>7.1999999999999998E-3</v>
      </c>
      <c r="F68" s="759">
        <f t="shared" si="3"/>
        <v>1.9799519898874052</v>
      </c>
      <c r="G68" s="752">
        <f t="shared" si="4"/>
        <v>1.4255654327189317E-2</v>
      </c>
      <c r="H68" s="750">
        <f t="shared" si="2"/>
        <v>1.9942076442145944</v>
      </c>
      <c r="I68" s="39">
        <f t="shared" si="9"/>
        <v>59</v>
      </c>
      <c r="J68" s="579"/>
    </row>
    <row r="69" spans="1:11" x14ac:dyDescent="0.35">
      <c r="A69" s="39">
        <f t="shared" si="8"/>
        <v>60</v>
      </c>
      <c r="B69" s="679" t="s">
        <v>291</v>
      </c>
      <c r="C69" s="680">
        <v>2024</v>
      </c>
      <c r="D69" s="620"/>
      <c r="E69" s="578">
        <v>7.0000000000000001E-3</v>
      </c>
      <c r="F69" s="759">
        <f t="shared" si="3"/>
        <v>1.9942076442145944</v>
      </c>
      <c r="G69" s="752">
        <f t="shared" si="4"/>
        <v>1.3959453509502161E-2</v>
      </c>
      <c r="H69" s="750">
        <f t="shared" si="2"/>
        <v>2.0081670977240966</v>
      </c>
      <c r="I69" s="39">
        <f t="shared" si="9"/>
        <v>60</v>
      </c>
      <c r="J69" s="579"/>
    </row>
    <row r="70" spans="1:11" x14ac:dyDescent="0.35">
      <c r="A70" s="39">
        <f t="shared" si="8"/>
        <v>61</v>
      </c>
      <c r="B70" s="679" t="s">
        <v>292</v>
      </c>
      <c r="C70" s="680">
        <v>2024</v>
      </c>
      <c r="D70" s="620"/>
      <c r="E70" s="578">
        <v>7.1999999999999998E-3</v>
      </c>
      <c r="F70" s="759">
        <f t="shared" si="3"/>
        <v>2.0081670977240966</v>
      </c>
      <c r="G70" s="752">
        <f t="shared" si="4"/>
        <v>1.4458803103613495E-2</v>
      </c>
      <c r="H70" s="750">
        <f t="shared" si="2"/>
        <v>2.0226259008277103</v>
      </c>
      <c r="I70" s="39">
        <f t="shared" si="9"/>
        <v>61</v>
      </c>
      <c r="J70" s="579"/>
    </row>
    <row r="71" spans="1:11" x14ac:dyDescent="0.35">
      <c r="A71" s="39">
        <f t="shared" si="8"/>
        <v>62</v>
      </c>
      <c r="B71" s="679" t="s">
        <v>293</v>
      </c>
      <c r="C71" s="680">
        <v>2024</v>
      </c>
      <c r="D71" s="681"/>
      <c r="E71" s="578">
        <v>7.0000000000000001E-3</v>
      </c>
      <c r="F71" s="759">
        <f>H70+D71</f>
        <v>2.0226259008277103</v>
      </c>
      <c r="G71" s="753">
        <f>(H70+F71)/2*E71</f>
        <v>1.4158381305793973E-2</v>
      </c>
      <c r="H71" s="750">
        <f t="shared" si="2"/>
        <v>2.0367842821335045</v>
      </c>
      <c r="I71" s="39">
        <f t="shared" si="9"/>
        <v>62</v>
      </c>
      <c r="J71" s="579"/>
    </row>
    <row r="72" spans="1:11" x14ac:dyDescent="0.35">
      <c r="A72" s="39">
        <f t="shared" si="8"/>
        <v>63</v>
      </c>
      <c r="B72" s="679" t="s">
        <v>294</v>
      </c>
      <c r="C72" s="680">
        <v>2024</v>
      </c>
      <c r="D72" s="620"/>
      <c r="E72" s="578">
        <v>7.1999999999999998E-3</v>
      </c>
      <c r="F72" s="759">
        <f t="shared" ref="F72:F77" si="10">H71+D72</f>
        <v>2.0367842821335045</v>
      </c>
      <c r="G72" s="753">
        <f t="shared" ref="G72:G77" si="11">(H71+F72)/2*E72</f>
        <v>1.4664846831361232E-2</v>
      </c>
      <c r="H72" s="750">
        <f t="shared" si="2"/>
        <v>2.0514491289648658</v>
      </c>
      <c r="I72" s="39">
        <f t="shared" si="9"/>
        <v>63</v>
      </c>
      <c r="J72" s="579"/>
    </row>
    <row r="73" spans="1:11" x14ac:dyDescent="0.35">
      <c r="A73" s="39">
        <f t="shared" si="8"/>
        <v>64</v>
      </c>
      <c r="B73" s="679" t="s">
        <v>295</v>
      </c>
      <c r="C73" s="680">
        <v>2024</v>
      </c>
      <c r="D73" s="620"/>
      <c r="E73" s="578">
        <v>7.1999999999999998E-3</v>
      </c>
      <c r="F73" s="759">
        <f t="shared" si="10"/>
        <v>2.0514491289648658</v>
      </c>
      <c r="G73" s="753">
        <f t="shared" si="11"/>
        <v>1.4770433728547033E-2</v>
      </c>
      <c r="H73" s="750">
        <f t="shared" si="2"/>
        <v>2.066219562693413</v>
      </c>
      <c r="I73" s="39">
        <f t="shared" si="9"/>
        <v>64</v>
      </c>
      <c r="J73" s="579"/>
    </row>
    <row r="74" spans="1:11" x14ac:dyDescent="0.35">
      <c r="A74" s="39">
        <f t="shared" si="8"/>
        <v>65</v>
      </c>
      <c r="B74" s="679" t="s">
        <v>296</v>
      </c>
      <c r="C74" s="680">
        <v>2024</v>
      </c>
      <c r="D74" s="620"/>
      <c r="E74" s="578">
        <v>7.0000000000000001E-3</v>
      </c>
      <c r="F74" s="759">
        <f t="shared" si="10"/>
        <v>2.066219562693413</v>
      </c>
      <c r="G74" s="753">
        <f t="shared" si="11"/>
        <v>1.4463536938853891E-2</v>
      </c>
      <c r="H74" s="750">
        <f t="shared" si="2"/>
        <v>2.0806830996322669</v>
      </c>
      <c r="I74" s="39">
        <f t="shared" si="9"/>
        <v>65</v>
      </c>
      <c r="J74" s="579"/>
    </row>
    <row r="75" spans="1:11" x14ac:dyDescent="0.35">
      <c r="A75" s="39">
        <f t="shared" si="8"/>
        <v>66</v>
      </c>
      <c r="B75" s="679" t="s">
        <v>297</v>
      </c>
      <c r="C75" s="680">
        <v>2024</v>
      </c>
      <c r="D75" s="620"/>
      <c r="E75" s="682">
        <v>7.0000000000000001E-3</v>
      </c>
      <c r="F75" s="759">
        <f t="shared" si="10"/>
        <v>2.0806830996322669</v>
      </c>
      <c r="G75" s="753">
        <f t="shared" si="11"/>
        <v>1.4564781697425869E-2</v>
      </c>
      <c r="H75" s="750">
        <f t="shared" si="2"/>
        <v>2.0952478813296929</v>
      </c>
      <c r="I75" s="39">
        <f t="shared" si="9"/>
        <v>66</v>
      </c>
      <c r="J75" s="579"/>
    </row>
    <row r="76" spans="1:11" x14ac:dyDescent="0.35">
      <c r="A76" s="39">
        <f t="shared" si="8"/>
        <v>67</v>
      </c>
      <c r="B76" s="679" t="s">
        <v>298</v>
      </c>
      <c r="C76" s="680">
        <v>2024</v>
      </c>
      <c r="D76" s="620"/>
      <c r="E76" s="682">
        <v>7.0000000000000001E-3</v>
      </c>
      <c r="F76" s="759">
        <f t="shared" si="10"/>
        <v>2.0952478813296929</v>
      </c>
      <c r="G76" s="753">
        <f t="shared" si="11"/>
        <v>1.4666735169307851E-2</v>
      </c>
      <c r="H76" s="750">
        <f t="shared" si="2"/>
        <v>2.1099146164990006</v>
      </c>
      <c r="I76" s="39">
        <f t="shared" si="9"/>
        <v>67</v>
      </c>
      <c r="J76" s="579"/>
    </row>
    <row r="77" spans="1:11" x14ac:dyDescent="0.35">
      <c r="A77" s="39">
        <f t="shared" si="8"/>
        <v>68</v>
      </c>
      <c r="B77" s="683" t="s">
        <v>299</v>
      </c>
      <c r="C77" s="684">
        <v>2024</v>
      </c>
      <c r="D77" s="685"/>
      <c r="E77" s="686">
        <v>7.0000000000000001E-3</v>
      </c>
      <c r="F77" s="760">
        <f t="shared" si="10"/>
        <v>2.1099146164990006</v>
      </c>
      <c r="G77" s="754">
        <f t="shared" si="11"/>
        <v>1.4769402315493004E-2</v>
      </c>
      <c r="H77" s="747">
        <f t="shared" si="2"/>
        <v>2.1246840188144938</v>
      </c>
      <c r="I77" s="39">
        <f t="shared" si="9"/>
        <v>68</v>
      </c>
      <c r="J77" s="579"/>
      <c r="K77" s="761"/>
    </row>
    <row r="78" spans="1:11" ht="16" thickBot="1" x14ac:dyDescent="0.4">
      <c r="A78" s="39">
        <f t="shared" si="8"/>
        <v>69</v>
      </c>
      <c r="D78" s="745">
        <f>SUM(D18:D77)</f>
        <v>1.6558852262048729</v>
      </c>
      <c r="E78" s="607"/>
      <c r="F78" s="582"/>
      <c r="G78" s="746">
        <f>SUM(G18:G77)</f>
        <v>0.46879879260962026</v>
      </c>
      <c r="H78" s="583"/>
      <c r="I78" s="39">
        <f t="shared" si="9"/>
        <v>69</v>
      </c>
    </row>
    <row r="79" spans="1:11" ht="16" thickTop="1" x14ac:dyDescent="0.35">
      <c r="D79" s="584"/>
      <c r="E79" s="584"/>
      <c r="F79" s="584"/>
      <c r="G79" s="414"/>
      <c r="H79" s="414"/>
    </row>
    <row r="80" spans="1:11" x14ac:dyDescent="0.35">
      <c r="B80" s="585"/>
    </row>
    <row r="81" spans="1:3" ht="18" x14ac:dyDescent="0.35">
      <c r="A81" s="415">
        <v>1</v>
      </c>
      <c r="B81" s="571" t="s">
        <v>300</v>
      </c>
      <c r="C81" s="586"/>
    </row>
    <row r="82" spans="1:3" ht="18" x14ac:dyDescent="0.35">
      <c r="A82" s="415">
        <v>2</v>
      </c>
      <c r="B82" s="571" t="s">
        <v>400</v>
      </c>
    </row>
    <row r="83" spans="1:3" ht="18" x14ac:dyDescent="0.35">
      <c r="A83" s="415">
        <v>3</v>
      </c>
      <c r="B83" s="571" t="s">
        <v>401</v>
      </c>
    </row>
    <row r="84" spans="1:3" x14ac:dyDescent="0.35">
      <c r="B84" s="571" t="s">
        <v>402</v>
      </c>
    </row>
    <row r="85" spans="1:3" x14ac:dyDescent="0.35">
      <c r="A85" s="658"/>
      <c r="B85" s="659" t="s">
        <v>551</v>
      </c>
      <c r="C85" s="659"/>
    </row>
    <row r="86" spans="1:3" x14ac:dyDescent="0.35">
      <c r="A86" s="687"/>
      <c r="B86" s="688" t="s">
        <v>595</v>
      </c>
      <c r="C86" s="688"/>
    </row>
  </sheetData>
  <mergeCells count="5">
    <mergeCell ref="B2:H2"/>
    <mergeCell ref="B3:H3"/>
    <mergeCell ref="B4:H4"/>
    <mergeCell ref="B5:H5"/>
    <mergeCell ref="B6:H6"/>
  </mergeCells>
  <printOptions horizontalCentered="1"/>
  <pageMargins left="0.25" right="0.25" top="0.5" bottom="0.75" header="0.25" footer="0.25"/>
  <pageSetup scale="52" orientation="portrait" r:id="rId1"/>
  <headerFooter scaleWithDoc="0" alignWithMargins="0">
    <oddFooter>&amp;L&amp;F&amp;CPage 14&amp;R&amp;A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259A-D38E-4BB6-A9E5-0318F07E76B3}">
  <sheetPr>
    <pageSetUpPr fitToPage="1"/>
  </sheetPr>
  <dimension ref="A1:J57"/>
  <sheetViews>
    <sheetView zoomScale="80" zoomScaleNormal="80" workbookViewId="0"/>
  </sheetViews>
  <sheetFormatPr defaultColWidth="8.81640625" defaultRowHeight="15.5" x14ac:dyDescent="0.35"/>
  <cols>
    <col min="1" max="1" width="5.1796875" style="39" customWidth="1"/>
    <col min="2" max="2" width="75.453125" style="18" customWidth="1"/>
    <col min="3" max="3" width="20.1796875" style="18" customWidth="1"/>
    <col min="4" max="4" width="1.54296875" style="18" customWidth="1"/>
    <col min="5" max="5" width="57.1796875" style="18" customWidth="1"/>
    <col min="6" max="6" width="5.1796875" style="39" customWidth="1"/>
    <col min="7" max="16384" width="8.81640625" style="18"/>
  </cols>
  <sheetData>
    <row r="1" spans="1:8" x14ac:dyDescent="0.35">
      <c r="A1" s="221"/>
      <c r="B1" s="222"/>
      <c r="C1" s="222"/>
      <c r="D1" s="222"/>
      <c r="E1" s="493"/>
      <c r="F1" s="221"/>
    </row>
    <row r="2" spans="1:8" x14ac:dyDescent="0.35">
      <c r="A2" s="221"/>
      <c r="B2" s="775" t="s">
        <v>24</v>
      </c>
      <c r="C2" s="775"/>
      <c r="D2" s="775"/>
      <c r="E2" s="775"/>
      <c r="F2" s="222"/>
    </row>
    <row r="3" spans="1:8" x14ac:dyDescent="0.35">
      <c r="B3" s="775" t="s">
        <v>216</v>
      </c>
      <c r="C3" s="775"/>
      <c r="D3" s="775"/>
      <c r="E3" s="775"/>
      <c r="F3" s="219"/>
    </row>
    <row r="4" spans="1:8" x14ac:dyDescent="0.35">
      <c r="B4" s="775" t="s">
        <v>217</v>
      </c>
      <c r="C4" s="775"/>
      <c r="D4" s="775"/>
      <c r="E4" s="775"/>
      <c r="F4" s="219"/>
    </row>
    <row r="5" spans="1:8" x14ac:dyDescent="0.35">
      <c r="A5" s="221"/>
      <c r="B5" s="777" t="s">
        <v>560</v>
      </c>
      <c r="C5" s="777"/>
      <c r="D5" s="777"/>
      <c r="E5" s="777"/>
      <c r="F5" s="221"/>
    </row>
    <row r="6" spans="1:8" x14ac:dyDescent="0.35">
      <c r="B6" s="776" t="s">
        <v>1</v>
      </c>
      <c r="C6" s="775"/>
      <c r="D6" s="775"/>
      <c r="E6" s="775"/>
      <c r="F6" s="219"/>
    </row>
    <row r="7" spans="1:8" ht="16" thickBot="1" x14ac:dyDescent="0.4">
      <c r="A7" s="221"/>
      <c r="B7" s="222"/>
      <c r="C7" s="223"/>
      <c r="D7" s="224"/>
      <c r="E7" s="223"/>
      <c r="F7" s="221"/>
    </row>
    <row r="8" spans="1:8" x14ac:dyDescent="0.35">
      <c r="A8" s="225" t="s">
        <v>2</v>
      </c>
      <c r="B8" s="226"/>
      <c r="C8" s="227"/>
      <c r="D8" s="222"/>
      <c r="E8" s="228"/>
      <c r="F8" s="229" t="s">
        <v>2</v>
      </c>
    </row>
    <row r="9" spans="1:8" x14ac:dyDescent="0.35">
      <c r="A9" s="225" t="s">
        <v>6</v>
      </c>
      <c r="B9" s="499" t="s">
        <v>218</v>
      </c>
      <c r="C9" s="500" t="s">
        <v>4</v>
      </c>
      <c r="D9" s="501"/>
      <c r="E9" s="501" t="s">
        <v>5</v>
      </c>
      <c r="F9" s="229" t="s">
        <v>6</v>
      </c>
    </row>
    <row r="10" spans="1:8" x14ac:dyDescent="0.35">
      <c r="A10" s="225"/>
      <c r="B10" s="231"/>
      <c r="C10" s="232"/>
      <c r="D10" s="233"/>
      <c r="E10" s="234"/>
      <c r="F10" s="229"/>
    </row>
    <row r="11" spans="1:8" x14ac:dyDescent="0.35">
      <c r="A11" s="225">
        <v>1</v>
      </c>
      <c r="B11" s="235" t="s">
        <v>219</v>
      </c>
      <c r="C11" s="236">
        <v>0</v>
      </c>
      <c r="D11" s="237"/>
      <c r="E11" s="238" t="s">
        <v>403</v>
      </c>
      <c r="F11" s="229">
        <f>A11</f>
        <v>1</v>
      </c>
      <c r="H11" s="20"/>
    </row>
    <row r="12" spans="1:8" x14ac:dyDescent="0.35">
      <c r="A12" s="225">
        <f>A11+1</f>
        <v>2</v>
      </c>
      <c r="B12" s="239"/>
      <c r="C12" s="240"/>
      <c r="D12" s="241"/>
      <c r="E12" s="222"/>
      <c r="F12" s="229">
        <f>F11+1</f>
        <v>2</v>
      </c>
    </row>
    <row r="13" spans="1:8" x14ac:dyDescent="0.35">
      <c r="A13" s="225">
        <f t="shared" ref="A13:A28" si="0">A12+1</f>
        <v>3</v>
      </c>
      <c r="B13" s="235" t="s">
        <v>220</v>
      </c>
      <c r="C13" s="646">
        <f>'Pg5 Rev Sec 2-Non-Dir Exp'!E35</f>
        <v>873.66166509278685</v>
      </c>
      <c r="D13" s="25" t="s">
        <v>16</v>
      </c>
      <c r="E13" s="238" t="s">
        <v>558</v>
      </c>
      <c r="F13" s="229">
        <f t="shared" ref="F13:F28" si="1">F12+1</f>
        <v>3</v>
      </c>
      <c r="H13" s="28"/>
    </row>
    <row r="14" spans="1:8" x14ac:dyDescent="0.35">
      <c r="A14" s="225">
        <f t="shared" si="0"/>
        <v>4</v>
      </c>
      <c r="B14" s="239"/>
      <c r="C14" s="240"/>
      <c r="D14" s="241"/>
      <c r="E14" s="242"/>
      <c r="F14" s="229">
        <f t="shared" si="1"/>
        <v>4</v>
      </c>
    </row>
    <row r="15" spans="1:8" x14ac:dyDescent="0.35">
      <c r="A15" s="225">
        <f t="shared" si="0"/>
        <v>5</v>
      </c>
      <c r="B15" s="243" t="s">
        <v>221</v>
      </c>
      <c r="C15" s="502">
        <v>-76.86620554291548</v>
      </c>
      <c r="D15" s="244"/>
      <c r="E15" s="238" t="s">
        <v>656</v>
      </c>
      <c r="F15" s="229">
        <f t="shared" si="1"/>
        <v>5</v>
      </c>
      <c r="H15" s="28"/>
    </row>
    <row r="16" spans="1:8" x14ac:dyDescent="0.35">
      <c r="A16" s="225">
        <f t="shared" si="0"/>
        <v>6</v>
      </c>
      <c r="B16" s="245"/>
      <c r="C16" s="115"/>
      <c r="D16" s="244"/>
      <c r="E16" s="238"/>
      <c r="F16" s="229">
        <f t="shared" si="1"/>
        <v>6</v>
      </c>
      <c r="H16" s="28"/>
    </row>
    <row r="17" spans="1:10" x14ac:dyDescent="0.35">
      <c r="A17" s="225">
        <f t="shared" si="0"/>
        <v>7</v>
      </c>
      <c r="B17" s="246" t="s">
        <v>389</v>
      </c>
      <c r="C17" s="647">
        <f>C11+C13+C15</f>
        <v>796.79545954987134</v>
      </c>
      <c r="D17" s="25" t="s">
        <v>16</v>
      </c>
      <c r="E17" s="247" t="s">
        <v>404</v>
      </c>
      <c r="F17" s="229">
        <f t="shared" si="1"/>
        <v>7</v>
      </c>
      <c r="H17" s="28"/>
    </row>
    <row r="18" spans="1:10" x14ac:dyDescent="0.35">
      <c r="A18" s="225">
        <f t="shared" si="0"/>
        <v>8</v>
      </c>
      <c r="B18" s="248"/>
      <c r="C18" s="240"/>
      <c r="D18" s="241"/>
      <c r="E18" s="249"/>
      <c r="F18" s="229">
        <f t="shared" si="1"/>
        <v>8</v>
      </c>
      <c r="H18" s="28"/>
    </row>
    <row r="19" spans="1:10" x14ac:dyDescent="0.35">
      <c r="A19" s="225">
        <f t="shared" si="0"/>
        <v>9</v>
      </c>
      <c r="B19" s="235" t="s">
        <v>222</v>
      </c>
      <c r="C19" s="646">
        <f>'Pg7 Rev Sec 4-TU'!N30</f>
        <v>-115.1917165332448</v>
      </c>
      <c r="D19" s="25" t="s">
        <v>16</v>
      </c>
      <c r="E19" s="238" t="s">
        <v>559</v>
      </c>
      <c r="F19" s="229">
        <f t="shared" si="1"/>
        <v>9</v>
      </c>
      <c r="H19" s="28"/>
    </row>
    <row r="20" spans="1:10" x14ac:dyDescent="0.35">
      <c r="A20" s="225">
        <f t="shared" si="0"/>
        <v>10</v>
      </c>
      <c r="B20" s="235"/>
      <c r="C20" s="240"/>
      <c r="D20" s="241"/>
      <c r="E20" s="250"/>
      <c r="F20" s="229">
        <f t="shared" si="1"/>
        <v>10</v>
      </c>
    </row>
    <row r="21" spans="1:10" x14ac:dyDescent="0.35">
      <c r="A21" s="225">
        <f t="shared" si="0"/>
        <v>11</v>
      </c>
      <c r="B21" s="235" t="s">
        <v>223</v>
      </c>
      <c r="C21" s="502">
        <v>-2.6155405682218507</v>
      </c>
      <c r="D21" s="244"/>
      <c r="E21" s="247" t="s">
        <v>405</v>
      </c>
      <c r="F21" s="229">
        <f t="shared" si="1"/>
        <v>11</v>
      </c>
    </row>
    <row r="22" spans="1:10" x14ac:dyDescent="0.35">
      <c r="A22" s="225">
        <f t="shared" si="0"/>
        <v>12</v>
      </c>
      <c r="B22" s="245"/>
      <c r="C22" s="251"/>
      <c r="D22" s="252"/>
      <c r="E22" s="247"/>
      <c r="F22" s="229">
        <f t="shared" si="1"/>
        <v>12</v>
      </c>
    </row>
    <row r="23" spans="1:10" x14ac:dyDescent="0.35">
      <c r="A23" s="225">
        <f t="shared" si="0"/>
        <v>13</v>
      </c>
      <c r="B23" s="245" t="s">
        <v>224</v>
      </c>
      <c r="C23" s="80">
        <f>C17+C19+C21</f>
        <v>678.98820244840476</v>
      </c>
      <c r="D23" s="25" t="s">
        <v>16</v>
      </c>
      <c r="E23" s="247" t="s">
        <v>406</v>
      </c>
      <c r="F23" s="229">
        <f t="shared" si="1"/>
        <v>13</v>
      </c>
      <c r="H23" s="28"/>
    </row>
    <row r="24" spans="1:10" x14ac:dyDescent="0.35">
      <c r="A24" s="225">
        <f t="shared" si="0"/>
        <v>14</v>
      </c>
      <c r="B24" s="253"/>
      <c r="C24" s="75"/>
      <c r="D24" s="76"/>
      <c r="E24" s="247"/>
      <c r="F24" s="229">
        <f t="shared" si="1"/>
        <v>14</v>
      </c>
      <c r="H24" s="28"/>
    </row>
    <row r="25" spans="1:10" x14ac:dyDescent="0.35">
      <c r="A25" s="225">
        <f t="shared" si="0"/>
        <v>15</v>
      </c>
      <c r="B25" s="243" t="s">
        <v>225</v>
      </c>
      <c r="C25" s="503">
        <v>-26.403206586286924</v>
      </c>
      <c r="D25" s="76"/>
      <c r="E25" s="247" t="s">
        <v>23</v>
      </c>
      <c r="F25" s="229">
        <f t="shared" si="1"/>
        <v>15</v>
      </c>
      <c r="H25" s="28"/>
    </row>
    <row r="26" spans="1:10" x14ac:dyDescent="0.35">
      <c r="A26" s="225">
        <f t="shared" si="0"/>
        <v>16</v>
      </c>
      <c r="B26" s="223"/>
      <c r="C26" s="254"/>
      <c r="D26" s="255"/>
      <c r="E26" s="247"/>
      <c r="F26" s="229">
        <f t="shared" si="1"/>
        <v>16</v>
      </c>
    </row>
    <row r="27" spans="1:10" ht="16" thickBot="1" x14ac:dyDescent="0.4">
      <c r="A27" s="225">
        <f t="shared" si="0"/>
        <v>17</v>
      </c>
      <c r="B27" s="246" t="s">
        <v>226</v>
      </c>
      <c r="C27" s="256">
        <f>C23+C25</f>
        <v>652.58499586211781</v>
      </c>
      <c r="D27" s="25" t="s">
        <v>16</v>
      </c>
      <c r="E27" s="247" t="s">
        <v>407</v>
      </c>
      <c r="F27" s="229">
        <f t="shared" si="1"/>
        <v>17</v>
      </c>
      <c r="I27" s="20"/>
      <c r="J27" s="257"/>
    </row>
    <row r="28" spans="1:10" ht="16.5" thickTop="1" thickBot="1" x14ac:dyDescent="0.4">
      <c r="A28" s="225">
        <f t="shared" si="0"/>
        <v>18</v>
      </c>
      <c r="B28" s="258"/>
      <c r="C28" s="259"/>
      <c r="D28" s="224"/>
      <c r="E28" s="224"/>
      <c r="F28" s="229">
        <f t="shared" si="1"/>
        <v>18</v>
      </c>
    </row>
    <row r="30" spans="1:10" ht="16" thickBot="1" x14ac:dyDescent="0.4">
      <c r="A30" s="221"/>
      <c r="B30" s="260"/>
      <c r="C30" s="261"/>
      <c r="D30" s="261"/>
      <c r="E30" s="261"/>
      <c r="F30" s="221"/>
    </row>
    <row r="31" spans="1:10" x14ac:dyDescent="0.35">
      <c r="A31" s="225" t="s">
        <v>2</v>
      </c>
      <c r="B31" s="262"/>
      <c r="C31" s="227"/>
      <c r="D31" s="222"/>
      <c r="E31" s="222"/>
      <c r="F31" s="229" t="s">
        <v>2</v>
      </c>
    </row>
    <row r="32" spans="1:10" x14ac:dyDescent="0.35">
      <c r="A32" s="225" t="s">
        <v>6</v>
      </c>
      <c r="B32" s="499" t="s">
        <v>227</v>
      </c>
      <c r="C32" s="500" t="str">
        <f>C9</f>
        <v>Amounts</v>
      </c>
      <c r="D32" s="501"/>
      <c r="E32" s="501" t="str">
        <f>E9</f>
        <v>Reference</v>
      </c>
      <c r="F32" s="229" t="s">
        <v>6</v>
      </c>
    </row>
    <row r="33" spans="1:6" x14ac:dyDescent="0.35">
      <c r="A33" s="225">
        <f>A28+1</f>
        <v>19</v>
      </c>
      <c r="B33" s="263"/>
      <c r="C33" s="232"/>
      <c r="D33" s="233"/>
      <c r="E33" s="234"/>
      <c r="F33" s="229">
        <f>F28+1</f>
        <v>19</v>
      </c>
    </row>
    <row r="34" spans="1:6" x14ac:dyDescent="0.35">
      <c r="A34" s="225">
        <f>A33+1</f>
        <v>20</v>
      </c>
      <c r="B34" s="235" t="str">
        <f>B11</f>
        <v>Section 1 - Direct Maintenance Expense Cost Component</v>
      </c>
      <c r="C34" s="264">
        <f>C11/12</f>
        <v>0</v>
      </c>
      <c r="D34" s="265"/>
      <c r="E34" s="238" t="str">
        <f>"Line "&amp;A11&amp;" / "&amp;C50&amp;" Months"</f>
        <v>Line 1 / 12 Months</v>
      </c>
      <c r="F34" s="229">
        <f>F33+1</f>
        <v>20</v>
      </c>
    </row>
    <row r="35" spans="1:6" x14ac:dyDescent="0.35">
      <c r="A35" s="225">
        <f t="shared" ref="A35:A53" si="2">A34+1</f>
        <v>21</v>
      </c>
      <c r="B35" s="239"/>
      <c r="C35" s="266"/>
      <c r="D35" s="267"/>
      <c r="E35" s="268"/>
      <c r="F35" s="229">
        <f t="shared" ref="F35:F53" si="3">F34+1</f>
        <v>21</v>
      </c>
    </row>
    <row r="36" spans="1:6" x14ac:dyDescent="0.35">
      <c r="A36" s="225">
        <f t="shared" si="2"/>
        <v>22</v>
      </c>
      <c r="B36" s="235" t="str">
        <f>B13</f>
        <v>Section 2 - Non-Direct Expense Cost Component</v>
      </c>
      <c r="C36" s="269">
        <f>C13/12</f>
        <v>72.805138757732237</v>
      </c>
      <c r="D36" s="25" t="s">
        <v>16</v>
      </c>
      <c r="E36" s="238" t="str">
        <f>"Line "&amp;A13&amp;" / "&amp;C50&amp;" Months"</f>
        <v>Line 3 / 12 Months</v>
      </c>
      <c r="F36" s="229">
        <f t="shared" si="3"/>
        <v>22</v>
      </c>
    </row>
    <row r="37" spans="1:6" x14ac:dyDescent="0.35">
      <c r="A37" s="225">
        <f t="shared" si="2"/>
        <v>23</v>
      </c>
      <c r="B37" s="239"/>
      <c r="C37" s="270"/>
      <c r="D37" s="271"/>
      <c r="E37" s="272"/>
      <c r="F37" s="229">
        <f t="shared" si="3"/>
        <v>23</v>
      </c>
    </row>
    <row r="38" spans="1:6" x14ac:dyDescent="0.35">
      <c r="A38" s="225">
        <f t="shared" si="2"/>
        <v>24</v>
      </c>
      <c r="B38" s="235" t="str">
        <f>B15</f>
        <v>Section 3 - Cost Component Containing Other Specific Expenses</v>
      </c>
      <c r="C38" s="504">
        <f>C15/12</f>
        <v>-6.4055171285762897</v>
      </c>
      <c r="D38" s="25"/>
      <c r="E38" s="238" t="str">
        <f>"Line "&amp;A15&amp;" / "&amp;C50&amp;" Months"</f>
        <v>Line 5 / 12 Months</v>
      </c>
      <c r="F38" s="229">
        <f t="shared" si="3"/>
        <v>24</v>
      </c>
    </row>
    <row r="39" spans="1:6" x14ac:dyDescent="0.35">
      <c r="A39" s="225">
        <f t="shared" si="2"/>
        <v>25</v>
      </c>
      <c r="B39" s="248"/>
      <c r="C39" s="274"/>
      <c r="D39" s="271"/>
      <c r="E39" s="238"/>
      <c r="F39" s="229">
        <f t="shared" si="3"/>
        <v>25</v>
      </c>
    </row>
    <row r="40" spans="1:6" x14ac:dyDescent="0.35">
      <c r="A40" s="225">
        <f t="shared" si="2"/>
        <v>26</v>
      </c>
      <c r="B40" s="246" t="s">
        <v>390</v>
      </c>
      <c r="C40" s="275">
        <f>C34+C36+C38</f>
        <v>66.399621629155945</v>
      </c>
      <c r="D40" s="25" t="s">
        <v>16</v>
      </c>
      <c r="E40" s="247" t="str">
        <f>"Sum Lines "&amp;A34&amp;", "&amp;A36&amp;", "&amp;A38</f>
        <v>Sum Lines 20, 22, 24</v>
      </c>
      <c r="F40" s="229">
        <f t="shared" si="3"/>
        <v>26</v>
      </c>
    </row>
    <row r="41" spans="1:6" x14ac:dyDescent="0.35">
      <c r="A41" s="225">
        <f t="shared" si="2"/>
        <v>27</v>
      </c>
      <c r="B41" s="263"/>
      <c r="C41" s="270"/>
      <c r="D41" s="271"/>
      <c r="E41" s="242"/>
      <c r="F41" s="229">
        <f t="shared" si="3"/>
        <v>27</v>
      </c>
    </row>
    <row r="42" spans="1:6" x14ac:dyDescent="0.35">
      <c r="A42" s="225">
        <f t="shared" si="2"/>
        <v>28</v>
      </c>
      <c r="B42" s="235" t="str">
        <f>LEFT(B19,45)</f>
        <v>Section 4 - True-Up Adjustment Cost Component</v>
      </c>
      <c r="C42" s="269">
        <f>C19/12</f>
        <v>-9.599309711103734</v>
      </c>
      <c r="D42" s="25" t="s">
        <v>16</v>
      </c>
      <c r="E42" s="238" t="str">
        <f>"Line "&amp;A19&amp;" / "&amp;C50&amp;" Months"</f>
        <v>Line 9 / 12 Months</v>
      </c>
      <c r="F42" s="229">
        <f t="shared" si="3"/>
        <v>28</v>
      </c>
    </row>
    <row r="43" spans="1:6" x14ac:dyDescent="0.35">
      <c r="A43" s="225">
        <f t="shared" si="2"/>
        <v>29</v>
      </c>
      <c r="B43" s="235"/>
      <c r="C43" s="270"/>
      <c r="D43" s="271"/>
      <c r="E43" s="276"/>
      <c r="F43" s="229">
        <f t="shared" si="3"/>
        <v>29</v>
      </c>
    </row>
    <row r="44" spans="1:6" x14ac:dyDescent="0.35">
      <c r="A44" s="225">
        <f t="shared" si="2"/>
        <v>30</v>
      </c>
      <c r="B44" s="235" t="str">
        <f>B21</f>
        <v>Section 5 - Interest True-Up Adjustment Cost Component</v>
      </c>
      <c r="C44" s="277">
        <f>C21/12</f>
        <v>-0.21796171401848755</v>
      </c>
      <c r="D44" s="273"/>
      <c r="E44" s="247" t="str">
        <f>"Line "&amp;A21&amp;" / "&amp;C50&amp;" Months"</f>
        <v>Line 11 / 12 Months</v>
      </c>
      <c r="F44" s="229">
        <f t="shared" si="3"/>
        <v>30</v>
      </c>
    </row>
    <row r="45" spans="1:6" x14ac:dyDescent="0.35">
      <c r="A45" s="225">
        <f t="shared" si="2"/>
        <v>31</v>
      </c>
      <c r="B45" s="248"/>
      <c r="C45" s="278"/>
      <c r="D45" s="29"/>
      <c r="E45" s="279"/>
      <c r="F45" s="229">
        <f t="shared" si="3"/>
        <v>31</v>
      </c>
    </row>
    <row r="46" spans="1:6" x14ac:dyDescent="0.35">
      <c r="A46" s="225">
        <f t="shared" si="2"/>
        <v>32</v>
      </c>
      <c r="B46" s="243" t="str">
        <f>B25</f>
        <v>Other Adjustments</v>
      </c>
      <c r="C46" s="504">
        <f>C25/12</f>
        <v>-2.2002672155239105</v>
      </c>
      <c r="D46" s="273"/>
      <c r="E46" s="247" t="str">
        <f>"Line "&amp;A25&amp;" / "&amp;C50&amp;" Months"</f>
        <v>Line 15 / 12 Months</v>
      </c>
      <c r="F46" s="229">
        <f t="shared" si="3"/>
        <v>32</v>
      </c>
    </row>
    <row r="47" spans="1:6" x14ac:dyDescent="0.35">
      <c r="A47" s="225">
        <f t="shared" si="2"/>
        <v>33</v>
      </c>
      <c r="B47" s="245"/>
      <c r="C47" s="278"/>
      <c r="D47" s="29"/>
      <c r="E47" s="279"/>
      <c r="F47" s="229">
        <f t="shared" si="3"/>
        <v>33</v>
      </c>
    </row>
    <row r="48" spans="1:6" ht="16" thickBot="1" x14ac:dyDescent="0.4">
      <c r="A48" s="225">
        <f t="shared" si="2"/>
        <v>34</v>
      </c>
      <c r="B48" s="245" t="s">
        <v>228</v>
      </c>
      <c r="C48" s="280">
        <f>C27/12</f>
        <v>54.382082988509815</v>
      </c>
      <c r="D48" s="25" t="s">
        <v>16</v>
      </c>
      <c r="E48" s="247" t="str">
        <f>"Sum Lines "&amp;A40&amp;", "&amp;A42&amp;", "&amp;A44&amp;", "&amp;A46</f>
        <v>Sum Lines 26, 28, 30, 32</v>
      </c>
      <c r="F48" s="229">
        <f t="shared" si="3"/>
        <v>34</v>
      </c>
    </row>
    <row r="49" spans="1:6" ht="16" thickTop="1" x14ac:dyDescent="0.35">
      <c r="A49" s="225">
        <f t="shared" si="2"/>
        <v>35</v>
      </c>
      <c r="B49" s="263"/>
      <c r="C49" s="281"/>
      <c r="D49" s="282"/>
      <c r="E49" s="283"/>
      <c r="F49" s="229">
        <f t="shared" si="3"/>
        <v>35</v>
      </c>
    </row>
    <row r="50" spans="1:6" x14ac:dyDescent="0.35">
      <c r="A50" s="225">
        <f t="shared" si="2"/>
        <v>36</v>
      </c>
      <c r="B50" s="239" t="s">
        <v>229</v>
      </c>
      <c r="C50" s="505">
        <v>12</v>
      </c>
      <c r="D50" s="284"/>
      <c r="E50" s="283"/>
      <c r="F50" s="229">
        <f t="shared" si="3"/>
        <v>36</v>
      </c>
    </row>
    <row r="51" spans="1:6" x14ac:dyDescent="0.35">
      <c r="A51" s="225">
        <f t="shared" si="2"/>
        <v>37</v>
      </c>
      <c r="B51" s="263"/>
      <c r="C51" s="281"/>
      <c r="D51" s="282"/>
      <c r="E51" s="285"/>
      <c r="F51" s="229">
        <f t="shared" si="3"/>
        <v>37</v>
      </c>
    </row>
    <row r="52" spans="1:6" ht="16" thickBot="1" x14ac:dyDescent="0.4">
      <c r="A52" s="225">
        <f t="shared" si="2"/>
        <v>38</v>
      </c>
      <c r="B52" s="246" t="str">
        <f>B27</f>
        <v>Total Annual Costs</v>
      </c>
      <c r="C52" s="286">
        <f>C48*C50</f>
        <v>652.58499586211781</v>
      </c>
      <c r="D52" s="25" t="s">
        <v>16</v>
      </c>
      <c r="E52" s="247" t="str">
        <f>"Line "&amp;A48&amp;" x Line "&amp;A50</f>
        <v>Line 34 x Line 36</v>
      </c>
      <c r="F52" s="229">
        <f t="shared" si="3"/>
        <v>38</v>
      </c>
    </row>
    <row r="53" spans="1:6" ht="16.5" thickTop="1" thickBot="1" x14ac:dyDescent="0.4">
      <c r="A53" s="225">
        <f t="shared" si="2"/>
        <v>39</v>
      </c>
      <c r="B53" s="224"/>
      <c r="C53" s="287"/>
      <c r="D53" s="288"/>
      <c r="E53" s="289"/>
      <c r="F53" s="229">
        <f t="shared" si="3"/>
        <v>39</v>
      </c>
    </row>
    <row r="56" spans="1:6" x14ac:dyDescent="0.35">
      <c r="A56" s="25" t="s">
        <v>16</v>
      </c>
      <c r="B56" s="140" t="str">
        <f>'Pg2 App XII C4 Comparison'!B57</f>
        <v>Items in BOLD have changed to correct the over-allocation of "Duplicate Charges (Company Energy Use)" Credit in FERC Account no. 929.</v>
      </c>
    </row>
    <row r="57" spans="1:6" x14ac:dyDescent="0.35">
      <c r="B57" s="22"/>
    </row>
  </sheetData>
  <mergeCells count="5">
    <mergeCell ref="B2:E2"/>
    <mergeCell ref="B3:E3"/>
    <mergeCell ref="B4:E4"/>
    <mergeCell ref="B5:E5"/>
    <mergeCell ref="B6:E6"/>
  </mergeCells>
  <printOptions horizontalCentered="1"/>
  <pageMargins left="0.25" right="0.25" top="0.5" bottom="0.5" header="0.35" footer="0.25"/>
  <pageSetup scale="61" orientation="portrait" r:id="rId1"/>
  <headerFooter scaleWithDoc="0" alignWithMargins="0">
    <oddHeader>&amp;C&amp;"Times New Roman,Bold"&amp;8REVISED</oddHeader>
    <oddFooter>&amp;L&amp;F&amp;CPage 3&amp;R&amp;A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3863-31D3-4429-BB9D-AD6662235D39}">
  <sheetPr>
    <pageSetUpPr fitToPage="1"/>
  </sheetPr>
  <dimension ref="A1:J58"/>
  <sheetViews>
    <sheetView zoomScale="80" zoomScaleNormal="80" workbookViewId="0"/>
  </sheetViews>
  <sheetFormatPr defaultColWidth="8.81640625" defaultRowHeight="15.5" x14ac:dyDescent="0.35"/>
  <cols>
    <col min="1" max="1" width="5.1796875" style="39" customWidth="1"/>
    <col min="2" max="2" width="75.453125" style="18" customWidth="1"/>
    <col min="3" max="3" width="20.1796875" style="18" customWidth="1"/>
    <col min="4" max="4" width="1.54296875" style="18" customWidth="1"/>
    <col min="5" max="5" width="57.1796875" style="18" customWidth="1"/>
    <col min="6" max="6" width="5.1796875" style="39" customWidth="1"/>
    <col min="7" max="16384" width="8.81640625" style="18"/>
  </cols>
  <sheetData>
    <row r="1" spans="1:8" x14ac:dyDescent="0.35">
      <c r="A1" s="614" t="s">
        <v>665</v>
      </c>
    </row>
    <row r="2" spans="1:8" x14ac:dyDescent="0.35">
      <c r="A2" s="221"/>
      <c r="B2" s="222"/>
      <c r="C2" s="222"/>
      <c r="D2" s="222"/>
      <c r="E2" s="493"/>
      <c r="F2" s="221"/>
    </row>
    <row r="3" spans="1:8" x14ac:dyDescent="0.35">
      <c r="A3" s="221"/>
      <c r="B3" s="775" t="s">
        <v>24</v>
      </c>
      <c r="C3" s="775"/>
      <c r="D3" s="775"/>
      <c r="E3" s="775"/>
      <c r="F3" s="222"/>
    </row>
    <row r="4" spans="1:8" x14ac:dyDescent="0.35">
      <c r="B4" s="775" t="s">
        <v>216</v>
      </c>
      <c r="C4" s="775"/>
      <c r="D4" s="775"/>
      <c r="E4" s="775"/>
      <c r="F4" s="219"/>
    </row>
    <row r="5" spans="1:8" x14ac:dyDescent="0.35">
      <c r="B5" s="775" t="s">
        <v>217</v>
      </c>
      <c r="C5" s="775"/>
      <c r="D5" s="775"/>
      <c r="E5" s="775"/>
      <c r="F5" s="219"/>
    </row>
    <row r="6" spans="1:8" x14ac:dyDescent="0.35">
      <c r="A6" s="221"/>
      <c r="B6" s="777" t="s">
        <v>560</v>
      </c>
      <c r="C6" s="777"/>
      <c r="D6" s="777"/>
      <c r="E6" s="777"/>
      <c r="F6" s="221"/>
    </row>
    <row r="7" spans="1:8" x14ac:dyDescent="0.35">
      <c r="B7" s="776" t="s">
        <v>1</v>
      </c>
      <c r="C7" s="775"/>
      <c r="D7" s="775"/>
      <c r="E7" s="775"/>
      <c r="F7" s="219"/>
    </row>
    <row r="8" spans="1:8" ht="16" thickBot="1" x14ac:dyDescent="0.4">
      <c r="A8" s="221"/>
      <c r="B8" s="222"/>
      <c r="C8" s="223"/>
      <c r="D8" s="224"/>
      <c r="E8" s="223"/>
      <c r="F8" s="221"/>
    </row>
    <row r="9" spans="1:8" x14ac:dyDescent="0.35">
      <c r="A9" s="225" t="s">
        <v>2</v>
      </c>
      <c r="B9" s="226"/>
      <c r="C9" s="227"/>
      <c r="D9" s="222"/>
      <c r="E9" s="228"/>
      <c r="F9" s="229" t="s">
        <v>2</v>
      </c>
    </row>
    <row r="10" spans="1:8" x14ac:dyDescent="0.35">
      <c r="A10" s="225" t="s">
        <v>6</v>
      </c>
      <c r="B10" s="499" t="s">
        <v>218</v>
      </c>
      <c r="C10" s="500" t="s">
        <v>4</v>
      </c>
      <c r="D10" s="501"/>
      <c r="E10" s="501" t="s">
        <v>5</v>
      </c>
      <c r="F10" s="229" t="s">
        <v>6</v>
      </c>
    </row>
    <row r="11" spans="1:8" x14ac:dyDescent="0.35">
      <c r="A11" s="225"/>
      <c r="B11" s="231"/>
      <c r="C11" s="232"/>
      <c r="D11" s="233"/>
      <c r="E11" s="234"/>
      <c r="F11" s="229"/>
    </row>
    <row r="12" spans="1:8" x14ac:dyDescent="0.35">
      <c r="A12" s="225">
        <v>1</v>
      </c>
      <c r="B12" s="235" t="s">
        <v>219</v>
      </c>
      <c r="C12" s="236">
        <v>0</v>
      </c>
      <c r="D12" s="237"/>
      <c r="E12" s="238" t="s">
        <v>403</v>
      </c>
      <c r="F12" s="229">
        <f>A12</f>
        <v>1</v>
      </c>
      <c r="H12" s="20"/>
    </row>
    <row r="13" spans="1:8" x14ac:dyDescent="0.35">
      <c r="A13" s="225">
        <f>A12+1</f>
        <v>2</v>
      </c>
      <c r="B13" s="239"/>
      <c r="C13" s="240"/>
      <c r="D13" s="241"/>
      <c r="E13" s="222"/>
      <c r="F13" s="229">
        <f>F12+1</f>
        <v>2</v>
      </c>
    </row>
    <row r="14" spans="1:8" x14ac:dyDescent="0.35">
      <c r="A14" s="225">
        <f t="shared" ref="A14:A29" si="0">A13+1</f>
        <v>3</v>
      </c>
      <c r="B14" s="235" t="s">
        <v>220</v>
      </c>
      <c r="C14" s="646">
        <v>873.33705721092872</v>
      </c>
      <c r="D14" s="25" t="s">
        <v>16</v>
      </c>
      <c r="E14" s="238" t="s">
        <v>558</v>
      </c>
      <c r="F14" s="229">
        <f t="shared" ref="F14:F29" si="1">F13+1</f>
        <v>3</v>
      </c>
      <c r="H14" s="28"/>
    </row>
    <row r="15" spans="1:8" x14ac:dyDescent="0.35">
      <c r="A15" s="225">
        <f t="shared" si="0"/>
        <v>4</v>
      </c>
      <c r="B15" s="239"/>
      <c r="C15" s="240"/>
      <c r="D15" s="241"/>
      <c r="E15" s="242"/>
      <c r="F15" s="229">
        <f t="shared" si="1"/>
        <v>4</v>
      </c>
    </row>
    <row r="16" spans="1:8" x14ac:dyDescent="0.35">
      <c r="A16" s="225">
        <f t="shared" si="0"/>
        <v>5</v>
      </c>
      <c r="B16" s="243" t="s">
        <v>221</v>
      </c>
      <c r="C16" s="502">
        <v>-76.86620554291548</v>
      </c>
      <c r="D16" s="244"/>
      <c r="E16" s="238" t="s">
        <v>656</v>
      </c>
      <c r="F16" s="229">
        <f t="shared" si="1"/>
        <v>5</v>
      </c>
      <c r="H16" s="28"/>
    </row>
    <row r="17" spans="1:10" x14ac:dyDescent="0.35">
      <c r="A17" s="225">
        <f t="shared" si="0"/>
        <v>6</v>
      </c>
      <c r="B17" s="245"/>
      <c r="C17" s="115"/>
      <c r="D17" s="244"/>
      <c r="E17" s="238"/>
      <c r="F17" s="229">
        <f t="shared" si="1"/>
        <v>6</v>
      </c>
      <c r="H17" s="28"/>
    </row>
    <row r="18" spans="1:10" x14ac:dyDescent="0.35">
      <c r="A18" s="225">
        <f t="shared" si="0"/>
        <v>7</v>
      </c>
      <c r="B18" s="246" t="s">
        <v>389</v>
      </c>
      <c r="C18" s="647">
        <f>C12+C14+C16</f>
        <v>796.47085166801321</v>
      </c>
      <c r="D18" s="25" t="s">
        <v>16</v>
      </c>
      <c r="E18" s="247" t="s">
        <v>404</v>
      </c>
      <c r="F18" s="229">
        <f t="shared" si="1"/>
        <v>7</v>
      </c>
      <c r="H18" s="28"/>
    </row>
    <row r="19" spans="1:10" x14ac:dyDescent="0.35">
      <c r="A19" s="225">
        <f t="shared" si="0"/>
        <v>8</v>
      </c>
      <c r="B19" s="248"/>
      <c r="C19" s="240"/>
      <c r="D19" s="241"/>
      <c r="E19" s="249"/>
      <c r="F19" s="229">
        <f t="shared" si="1"/>
        <v>8</v>
      </c>
    </row>
    <row r="20" spans="1:10" x14ac:dyDescent="0.35">
      <c r="A20" s="225">
        <f t="shared" si="0"/>
        <v>9</v>
      </c>
      <c r="B20" s="235" t="s">
        <v>222</v>
      </c>
      <c r="C20" s="646">
        <v>-115.52299387759145</v>
      </c>
      <c r="D20" s="25" t="s">
        <v>16</v>
      </c>
      <c r="E20" s="238" t="s">
        <v>657</v>
      </c>
      <c r="F20" s="229">
        <f t="shared" si="1"/>
        <v>9</v>
      </c>
    </row>
    <row r="21" spans="1:10" x14ac:dyDescent="0.35">
      <c r="A21" s="225">
        <f t="shared" si="0"/>
        <v>10</v>
      </c>
      <c r="B21" s="235"/>
      <c r="C21" s="240"/>
      <c r="D21" s="241"/>
      <c r="E21" s="250"/>
      <c r="F21" s="229">
        <f t="shared" si="1"/>
        <v>10</v>
      </c>
    </row>
    <row r="22" spans="1:10" x14ac:dyDescent="0.35">
      <c r="A22" s="225">
        <f t="shared" si="0"/>
        <v>11</v>
      </c>
      <c r="B22" s="235" t="s">
        <v>223</v>
      </c>
      <c r="C22" s="502">
        <v>-2.6155405682218507</v>
      </c>
      <c r="D22" s="244"/>
      <c r="E22" s="247" t="s">
        <v>405</v>
      </c>
      <c r="F22" s="229">
        <f t="shared" si="1"/>
        <v>11</v>
      </c>
    </row>
    <row r="23" spans="1:10" x14ac:dyDescent="0.35">
      <c r="A23" s="225">
        <f t="shared" si="0"/>
        <v>12</v>
      </c>
      <c r="B23" s="245"/>
      <c r="C23" s="251"/>
      <c r="D23" s="252"/>
      <c r="E23" s="247"/>
      <c r="F23" s="229">
        <f t="shared" si="1"/>
        <v>12</v>
      </c>
    </row>
    <row r="24" spans="1:10" x14ac:dyDescent="0.35">
      <c r="A24" s="225">
        <f t="shared" si="0"/>
        <v>13</v>
      </c>
      <c r="B24" s="245" t="s">
        <v>224</v>
      </c>
      <c r="C24" s="80">
        <f>C18+C20+C22-1</f>
        <v>677.33231722219989</v>
      </c>
      <c r="D24" s="25" t="s">
        <v>16</v>
      </c>
      <c r="E24" s="247" t="s">
        <v>406</v>
      </c>
      <c r="F24" s="229">
        <f t="shared" si="1"/>
        <v>13</v>
      </c>
      <c r="H24" s="28"/>
    </row>
    <row r="25" spans="1:10" x14ac:dyDescent="0.35">
      <c r="A25" s="225">
        <f t="shared" si="0"/>
        <v>14</v>
      </c>
      <c r="B25" s="253"/>
      <c r="C25" s="75"/>
      <c r="D25" s="76"/>
      <c r="E25" s="247"/>
      <c r="F25" s="229">
        <f t="shared" si="1"/>
        <v>14</v>
      </c>
      <c r="H25" s="28"/>
    </row>
    <row r="26" spans="1:10" x14ac:dyDescent="0.35">
      <c r="A26" s="225">
        <f t="shared" si="0"/>
        <v>15</v>
      </c>
      <c r="B26" s="243" t="s">
        <v>225</v>
      </c>
      <c r="C26" s="503">
        <v>-26.403206586286924</v>
      </c>
      <c r="D26" s="76"/>
      <c r="E26" s="247" t="s">
        <v>23</v>
      </c>
      <c r="F26" s="229">
        <f t="shared" si="1"/>
        <v>15</v>
      </c>
      <c r="H26" s="28"/>
    </row>
    <row r="27" spans="1:10" x14ac:dyDescent="0.35">
      <c r="A27" s="225">
        <f t="shared" si="0"/>
        <v>16</v>
      </c>
      <c r="B27" s="223"/>
      <c r="C27" s="254"/>
      <c r="D27" s="255"/>
      <c r="E27" s="247"/>
      <c r="F27" s="229">
        <f t="shared" si="1"/>
        <v>16</v>
      </c>
    </row>
    <row r="28" spans="1:10" ht="16" thickBot="1" x14ac:dyDescent="0.4">
      <c r="A28" s="225">
        <f t="shared" si="0"/>
        <v>17</v>
      </c>
      <c r="B28" s="246" t="s">
        <v>226</v>
      </c>
      <c r="C28" s="256">
        <f>C24+C26</f>
        <v>650.92911063591293</v>
      </c>
      <c r="D28" s="25" t="s">
        <v>16</v>
      </c>
      <c r="E28" s="247" t="s">
        <v>407</v>
      </c>
      <c r="F28" s="229">
        <f t="shared" si="1"/>
        <v>17</v>
      </c>
      <c r="I28" s="20"/>
      <c r="J28" s="257"/>
    </row>
    <row r="29" spans="1:10" ht="16.5" thickTop="1" thickBot="1" x14ac:dyDescent="0.4">
      <c r="A29" s="225">
        <f t="shared" si="0"/>
        <v>18</v>
      </c>
      <c r="B29" s="258"/>
      <c r="C29" s="259"/>
      <c r="D29" s="224"/>
      <c r="E29" s="224"/>
      <c r="F29" s="229">
        <f t="shared" si="1"/>
        <v>18</v>
      </c>
    </row>
    <row r="31" spans="1:10" ht="16" thickBot="1" x14ac:dyDescent="0.4">
      <c r="A31" s="221"/>
      <c r="B31" s="260"/>
      <c r="C31" s="261"/>
      <c r="D31" s="261"/>
      <c r="E31" s="261"/>
      <c r="F31" s="221"/>
    </row>
    <row r="32" spans="1:10" x14ac:dyDescent="0.35">
      <c r="A32" s="225" t="s">
        <v>2</v>
      </c>
      <c r="B32" s="262"/>
      <c r="C32" s="227"/>
      <c r="D32" s="222"/>
      <c r="E32" s="222"/>
      <c r="F32" s="229" t="s">
        <v>2</v>
      </c>
    </row>
    <row r="33" spans="1:6" x14ac:dyDescent="0.35">
      <c r="A33" s="225" t="s">
        <v>6</v>
      </c>
      <c r="B33" s="499" t="s">
        <v>227</v>
      </c>
      <c r="C33" s="500" t="str">
        <f>C10</f>
        <v>Amounts</v>
      </c>
      <c r="D33" s="501"/>
      <c r="E33" s="501" t="str">
        <f>E10</f>
        <v>Reference</v>
      </c>
      <c r="F33" s="229" t="s">
        <v>6</v>
      </c>
    </row>
    <row r="34" spans="1:6" x14ac:dyDescent="0.35">
      <c r="A34" s="225">
        <f>A29+1</f>
        <v>19</v>
      </c>
      <c r="B34" s="263"/>
      <c r="C34" s="232"/>
      <c r="D34" s="233"/>
      <c r="E34" s="234"/>
      <c r="F34" s="229">
        <f>F29+1</f>
        <v>19</v>
      </c>
    </row>
    <row r="35" spans="1:6" x14ac:dyDescent="0.35">
      <c r="A35" s="225">
        <f>A34+1</f>
        <v>20</v>
      </c>
      <c r="B35" s="235" t="str">
        <f>B12</f>
        <v>Section 1 - Direct Maintenance Expense Cost Component</v>
      </c>
      <c r="C35" s="264">
        <f>C12/12</f>
        <v>0</v>
      </c>
      <c r="D35" s="265"/>
      <c r="E35" s="238" t="str">
        <f>"Line "&amp;A12&amp;" / "&amp;C51&amp;" Months"</f>
        <v>Line 1 / 12 Months</v>
      </c>
      <c r="F35" s="229">
        <f>F34+1</f>
        <v>20</v>
      </c>
    </row>
    <row r="36" spans="1:6" x14ac:dyDescent="0.35">
      <c r="A36" s="225">
        <f t="shared" ref="A36:A54" si="2">A35+1</f>
        <v>21</v>
      </c>
      <c r="B36" s="239"/>
      <c r="C36" s="266"/>
      <c r="D36" s="267"/>
      <c r="E36" s="268"/>
      <c r="F36" s="229">
        <f t="shared" ref="F36:F54" si="3">F35+1</f>
        <v>21</v>
      </c>
    </row>
    <row r="37" spans="1:6" x14ac:dyDescent="0.35">
      <c r="A37" s="225">
        <f t="shared" si="2"/>
        <v>22</v>
      </c>
      <c r="B37" s="235" t="str">
        <f>B14</f>
        <v>Section 2 - Non-Direct Expense Cost Component</v>
      </c>
      <c r="C37" s="269">
        <f>C14/12</f>
        <v>72.778088100910722</v>
      </c>
      <c r="D37" s="25" t="s">
        <v>16</v>
      </c>
      <c r="E37" s="238" t="str">
        <f>"Line "&amp;A14&amp;" / "&amp;C51&amp;" Months"</f>
        <v>Line 3 / 12 Months</v>
      </c>
      <c r="F37" s="229">
        <f t="shared" si="3"/>
        <v>22</v>
      </c>
    </row>
    <row r="38" spans="1:6" x14ac:dyDescent="0.35">
      <c r="A38" s="225">
        <f t="shared" si="2"/>
        <v>23</v>
      </c>
      <c r="B38" s="239"/>
      <c r="C38" s="270"/>
      <c r="D38" s="271"/>
      <c r="E38" s="272"/>
      <c r="F38" s="229">
        <f t="shared" si="3"/>
        <v>23</v>
      </c>
    </row>
    <row r="39" spans="1:6" x14ac:dyDescent="0.35">
      <c r="A39" s="225">
        <f t="shared" si="2"/>
        <v>24</v>
      </c>
      <c r="B39" s="235" t="str">
        <f>B16</f>
        <v>Section 3 - Cost Component Containing Other Specific Expenses</v>
      </c>
      <c r="C39" s="504">
        <f>C16/12</f>
        <v>-6.4055171285762897</v>
      </c>
      <c r="D39" s="25"/>
      <c r="E39" s="238" t="str">
        <f>"Line "&amp;A16&amp;" / "&amp;C51&amp;" Months"</f>
        <v>Line 5 / 12 Months</v>
      </c>
      <c r="F39" s="229">
        <f t="shared" si="3"/>
        <v>24</v>
      </c>
    </row>
    <row r="40" spans="1:6" x14ac:dyDescent="0.35">
      <c r="A40" s="225">
        <f t="shared" si="2"/>
        <v>25</v>
      </c>
      <c r="B40" s="248"/>
      <c r="C40" s="274"/>
      <c r="D40" s="271"/>
      <c r="E40" s="238"/>
      <c r="F40" s="229">
        <f t="shared" si="3"/>
        <v>25</v>
      </c>
    </row>
    <row r="41" spans="1:6" x14ac:dyDescent="0.35">
      <c r="A41" s="225">
        <f t="shared" si="2"/>
        <v>26</v>
      </c>
      <c r="B41" s="246" t="s">
        <v>390</v>
      </c>
      <c r="C41" s="275">
        <f>C35+C37+C39</f>
        <v>66.372570972334429</v>
      </c>
      <c r="D41" s="25" t="s">
        <v>16</v>
      </c>
      <c r="E41" s="247" t="str">
        <f>"Sum Lines "&amp;A35&amp;", "&amp;A37&amp;", "&amp;A39</f>
        <v>Sum Lines 20, 22, 24</v>
      </c>
      <c r="F41" s="229">
        <f t="shared" si="3"/>
        <v>26</v>
      </c>
    </row>
    <row r="42" spans="1:6" x14ac:dyDescent="0.35">
      <c r="A42" s="225">
        <f t="shared" si="2"/>
        <v>27</v>
      </c>
      <c r="B42" s="263"/>
      <c r="C42" s="270"/>
      <c r="D42" s="271"/>
      <c r="E42" s="242"/>
      <c r="F42" s="229">
        <f t="shared" si="3"/>
        <v>27</v>
      </c>
    </row>
    <row r="43" spans="1:6" x14ac:dyDescent="0.35">
      <c r="A43" s="225">
        <f t="shared" si="2"/>
        <v>28</v>
      </c>
      <c r="B43" s="235" t="str">
        <f>LEFT(B20,45)</f>
        <v>Section 4 - True-Up Adjustment Cost Component</v>
      </c>
      <c r="C43" s="269">
        <f>C20/12</f>
        <v>-9.6269161564659544</v>
      </c>
      <c r="D43" s="25" t="s">
        <v>16</v>
      </c>
      <c r="E43" s="238" t="str">
        <f>"Line "&amp;A20&amp;" / "&amp;C51&amp;" Months"</f>
        <v>Line 9 / 12 Months</v>
      </c>
      <c r="F43" s="229">
        <f t="shared" si="3"/>
        <v>28</v>
      </c>
    </row>
    <row r="44" spans="1:6" x14ac:dyDescent="0.35">
      <c r="A44" s="225">
        <f t="shared" si="2"/>
        <v>29</v>
      </c>
      <c r="B44" s="235"/>
      <c r="C44" s="270"/>
      <c r="D44" s="271"/>
      <c r="E44" s="276"/>
      <c r="F44" s="229">
        <f t="shared" si="3"/>
        <v>29</v>
      </c>
    </row>
    <row r="45" spans="1:6" x14ac:dyDescent="0.35">
      <c r="A45" s="225">
        <f t="shared" si="2"/>
        <v>30</v>
      </c>
      <c r="B45" s="235" t="str">
        <f>B22</f>
        <v>Section 5 - Interest True-Up Adjustment Cost Component</v>
      </c>
      <c r="C45" s="277">
        <f>C22/12</f>
        <v>-0.21796171401848755</v>
      </c>
      <c r="D45" s="273"/>
      <c r="E45" s="247" t="str">
        <f>"Line "&amp;A22&amp;" / "&amp;C51&amp;" Months"</f>
        <v>Line 11 / 12 Months</v>
      </c>
      <c r="F45" s="229">
        <f t="shared" si="3"/>
        <v>30</v>
      </c>
    </row>
    <row r="46" spans="1:6" x14ac:dyDescent="0.35">
      <c r="A46" s="225">
        <f t="shared" si="2"/>
        <v>31</v>
      </c>
      <c r="B46" s="248"/>
      <c r="C46" s="278"/>
      <c r="D46" s="29"/>
      <c r="E46" s="279"/>
      <c r="F46" s="229">
        <f t="shared" si="3"/>
        <v>31</v>
      </c>
    </row>
    <row r="47" spans="1:6" x14ac:dyDescent="0.35">
      <c r="A47" s="225">
        <f t="shared" si="2"/>
        <v>32</v>
      </c>
      <c r="B47" s="243" t="str">
        <f>B26</f>
        <v>Other Adjustments</v>
      </c>
      <c r="C47" s="504">
        <f>C26/12</f>
        <v>-2.2002672155239105</v>
      </c>
      <c r="D47" s="273"/>
      <c r="E47" s="247" t="str">
        <f>"Line "&amp;A26&amp;" / "&amp;C51&amp;" Months"</f>
        <v>Line 15 / 12 Months</v>
      </c>
      <c r="F47" s="229">
        <f t="shared" si="3"/>
        <v>32</v>
      </c>
    </row>
    <row r="48" spans="1:6" x14ac:dyDescent="0.35">
      <c r="A48" s="225">
        <f t="shared" si="2"/>
        <v>33</v>
      </c>
      <c r="B48" s="245"/>
      <c r="C48" s="278"/>
      <c r="D48" s="29"/>
      <c r="E48" s="279"/>
      <c r="F48" s="229">
        <f t="shared" si="3"/>
        <v>33</v>
      </c>
    </row>
    <row r="49" spans="1:6" ht="16" thickBot="1" x14ac:dyDescent="0.4">
      <c r="A49" s="225">
        <f t="shared" si="2"/>
        <v>34</v>
      </c>
      <c r="B49" s="245" t="s">
        <v>228</v>
      </c>
      <c r="C49" s="280">
        <f>C28/12</f>
        <v>54.244092552992747</v>
      </c>
      <c r="D49" s="25" t="s">
        <v>16</v>
      </c>
      <c r="E49" s="247" t="str">
        <f>"Sum Lines "&amp;A41&amp;", "&amp;A43&amp;", "&amp;A45&amp;", "&amp;A47</f>
        <v>Sum Lines 26, 28, 30, 32</v>
      </c>
      <c r="F49" s="229">
        <f t="shared" si="3"/>
        <v>34</v>
      </c>
    </row>
    <row r="50" spans="1:6" ht="16" thickTop="1" x14ac:dyDescent="0.35">
      <c r="A50" s="225">
        <f t="shared" si="2"/>
        <v>35</v>
      </c>
      <c r="B50" s="263"/>
      <c r="C50" s="281"/>
      <c r="D50" s="282"/>
      <c r="E50" s="283"/>
      <c r="F50" s="229">
        <f t="shared" si="3"/>
        <v>35</v>
      </c>
    </row>
    <row r="51" spans="1:6" x14ac:dyDescent="0.35">
      <c r="A51" s="225">
        <f t="shared" si="2"/>
        <v>36</v>
      </c>
      <c r="B51" s="239" t="s">
        <v>229</v>
      </c>
      <c r="C51" s="505">
        <v>12</v>
      </c>
      <c r="D51" s="284"/>
      <c r="E51" s="283"/>
      <c r="F51" s="229">
        <f t="shared" si="3"/>
        <v>36</v>
      </c>
    </row>
    <row r="52" spans="1:6" x14ac:dyDescent="0.35">
      <c r="A52" s="225">
        <f t="shared" si="2"/>
        <v>37</v>
      </c>
      <c r="B52" s="263"/>
      <c r="C52" s="281"/>
      <c r="D52" s="282"/>
      <c r="E52" s="285"/>
      <c r="F52" s="229">
        <f t="shared" si="3"/>
        <v>37</v>
      </c>
    </row>
    <row r="53" spans="1:6" ht="16" thickBot="1" x14ac:dyDescent="0.4">
      <c r="A53" s="225">
        <f t="shared" si="2"/>
        <v>38</v>
      </c>
      <c r="B53" s="246" t="str">
        <f>B28</f>
        <v>Total Annual Costs</v>
      </c>
      <c r="C53" s="286">
        <f>C49*C51</f>
        <v>650.92911063591293</v>
      </c>
      <c r="D53" s="25" t="s">
        <v>16</v>
      </c>
      <c r="E53" s="247" t="str">
        <f>"Line "&amp;A49&amp;" x Line "&amp;A51</f>
        <v>Line 34 x Line 36</v>
      </c>
      <c r="F53" s="229">
        <f t="shared" si="3"/>
        <v>38</v>
      </c>
    </row>
    <row r="54" spans="1:6" ht="16.5" thickTop="1" thickBot="1" x14ac:dyDescent="0.4">
      <c r="A54" s="225">
        <f t="shared" si="2"/>
        <v>39</v>
      </c>
      <c r="B54" s="224"/>
      <c r="C54" s="287"/>
      <c r="D54" s="288"/>
      <c r="E54" s="289"/>
      <c r="F54" s="229">
        <f t="shared" si="3"/>
        <v>39</v>
      </c>
    </row>
    <row r="57" spans="1:6" x14ac:dyDescent="0.35">
      <c r="A57" s="25" t="s">
        <v>16</v>
      </c>
      <c r="B57" s="22" t="s">
        <v>650</v>
      </c>
    </row>
    <row r="58" spans="1:6" x14ac:dyDescent="0.35">
      <c r="B58" s="22" t="s">
        <v>632</v>
      </c>
    </row>
  </sheetData>
  <mergeCells count="5">
    <mergeCell ref="B3:E3"/>
    <mergeCell ref="B4:E4"/>
    <mergeCell ref="B5:E5"/>
    <mergeCell ref="B6:E6"/>
    <mergeCell ref="B7:E7"/>
  </mergeCells>
  <printOptions horizontalCentered="1"/>
  <pageMargins left="0.25" right="0.25" top="0.5" bottom="0.5" header="0.35" footer="0.25"/>
  <pageSetup scale="61" orientation="portrait" r:id="rId1"/>
  <headerFooter scaleWithDoc="0" alignWithMargins="0">
    <oddHeader>&amp;C&amp;"Times New Roman,Bold"&amp;7AS FILED SUMMARY WITH COST ADJ. INCL. IN APPENDIX XII CYCLE 6 (ER24-175)</oddHeader>
    <oddFooter>&amp;L&amp;F&amp;CPage 4&amp;R&amp;A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D02-BF44-4AE6-B0DE-457F4AD8A4DC}">
  <dimension ref="A1:J161"/>
  <sheetViews>
    <sheetView zoomScale="80" zoomScaleNormal="80" workbookViewId="0"/>
  </sheetViews>
  <sheetFormatPr defaultColWidth="8.81640625" defaultRowHeight="15.5" x14ac:dyDescent="0.35"/>
  <cols>
    <col min="1" max="1" width="5.1796875" style="40" customWidth="1"/>
    <col min="2" max="2" width="93.1796875" style="18" bestFit="1" customWidth="1"/>
    <col min="3" max="3" width="10.453125" style="18" customWidth="1"/>
    <col min="4" max="4" width="1.54296875" style="18" customWidth="1"/>
    <col min="5" max="5" width="16.81640625" style="18" customWidth="1"/>
    <col min="6" max="6" width="1.54296875" style="18" customWidth="1"/>
    <col min="7" max="7" width="43.453125" style="18" customWidth="1"/>
    <col min="8" max="8" width="5.1796875" style="39" customWidth="1"/>
    <col min="9" max="9" width="8.81640625" style="18"/>
    <col min="10" max="10" width="9.81640625" style="18" bestFit="1" customWidth="1"/>
    <col min="11" max="16384" width="8.81640625" style="18"/>
  </cols>
  <sheetData>
    <row r="1" spans="1:8" x14ac:dyDescent="0.35">
      <c r="A1" s="321"/>
      <c r="B1" s="322"/>
      <c r="C1" s="322"/>
      <c r="D1" s="322"/>
      <c r="E1" s="323"/>
      <c r="F1" s="323"/>
      <c r="G1" s="493"/>
      <c r="H1" s="221"/>
    </row>
    <row r="2" spans="1:8" x14ac:dyDescent="0.35">
      <c r="A2" s="321"/>
      <c r="B2" s="779" t="s">
        <v>24</v>
      </c>
      <c r="C2" s="779"/>
      <c r="D2" s="779"/>
      <c r="E2" s="779"/>
      <c r="F2" s="779"/>
      <c r="G2" s="779"/>
      <c r="H2" s="221"/>
    </row>
    <row r="3" spans="1:8" x14ac:dyDescent="0.35">
      <c r="B3" s="779" t="s">
        <v>216</v>
      </c>
      <c r="C3" s="779"/>
      <c r="D3" s="779"/>
      <c r="E3" s="779"/>
      <c r="F3" s="779"/>
      <c r="G3" s="779"/>
      <c r="H3" s="321"/>
    </row>
    <row r="4" spans="1:8" x14ac:dyDescent="0.35">
      <c r="B4" s="779" t="s">
        <v>231</v>
      </c>
      <c r="C4" s="779"/>
      <c r="D4" s="779"/>
      <c r="E4" s="779"/>
      <c r="F4" s="779"/>
      <c r="G4" s="779"/>
      <c r="H4" s="321"/>
    </row>
    <row r="5" spans="1:8" x14ac:dyDescent="0.35">
      <c r="B5" s="780" t="s">
        <v>512</v>
      </c>
      <c r="C5" s="780"/>
      <c r="D5" s="780"/>
      <c r="E5" s="780"/>
      <c r="F5" s="780"/>
      <c r="G5" s="780"/>
      <c r="H5" s="321"/>
    </row>
    <row r="6" spans="1:8" x14ac:dyDescent="0.35">
      <c r="B6" s="781" t="s">
        <v>1</v>
      </c>
      <c r="C6" s="781"/>
      <c r="D6" s="781"/>
      <c r="E6" s="781"/>
      <c r="F6" s="781"/>
      <c r="G6" s="781"/>
      <c r="H6" s="324"/>
    </row>
    <row r="7" spans="1:8" x14ac:dyDescent="0.35">
      <c r="A7" s="325"/>
      <c r="B7" s="494"/>
      <c r="C7" s="494"/>
      <c r="D7" s="494"/>
      <c r="E7" s="494"/>
      <c r="F7" s="494"/>
      <c r="G7" s="323"/>
      <c r="H7" s="221"/>
    </row>
    <row r="8" spans="1:8" x14ac:dyDescent="0.35">
      <c r="A8" s="326" t="s">
        <v>2</v>
      </c>
      <c r="B8" s="322"/>
      <c r="C8" s="322"/>
      <c r="D8" s="322"/>
      <c r="E8" s="494"/>
      <c r="F8" s="494"/>
      <c r="G8" s="322"/>
      <c r="H8" s="326" t="s">
        <v>2</v>
      </c>
    </row>
    <row r="9" spans="1:8" x14ac:dyDescent="0.35">
      <c r="A9" s="326" t="s">
        <v>6</v>
      </c>
      <c r="B9" s="322"/>
      <c r="C9" s="322"/>
      <c r="D9" s="322"/>
      <c r="E9" s="327" t="s">
        <v>4</v>
      </c>
      <c r="F9" s="328"/>
      <c r="G9" s="327" t="s">
        <v>5</v>
      </c>
      <c r="H9" s="326" t="s">
        <v>6</v>
      </c>
    </row>
    <row r="10" spans="1:8" x14ac:dyDescent="0.35">
      <c r="A10" s="326"/>
      <c r="B10" s="322"/>
      <c r="C10" s="322"/>
      <c r="D10" s="322"/>
      <c r="E10" s="494"/>
      <c r="F10" s="328"/>
      <c r="G10" s="494"/>
      <c r="H10" s="326"/>
    </row>
    <row r="11" spans="1:8" x14ac:dyDescent="0.35">
      <c r="A11" s="326">
        <v>1</v>
      </c>
      <c r="B11" s="329" t="s">
        <v>232</v>
      </c>
      <c r="C11" s="329"/>
      <c r="D11" s="329"/>
      <c r="E11" s="323"/>
      <c r="F11" s="323"/>
      <c r="G11" s="494"/>
      <c r="H11" s="326">
        <f>A11</f>
        <v>1</v>
      </c>
    </row>
    <row r="12" spans="1:8" x14ac:dyDescent="0.35">
      <c r="A12" s="326">
        <f>A11+1</f>
        <v>2</v>
      </c>
      <c r="B12" s="330" t="s">
        <v>233</v>
      </c>
      <c r="C12" s="331"/>
      <c r="D12" s="331"/>
      <c r="E12" s="335">
        <f>E55</f>
        <v>6.2789973715967236E-3</v>
      </c>
      <c r="F12" s="25"/>
      <c r="G12" s="332" t="str">
        <f>"Page 2; Line "&amp;A55</f>
        <v>Page 2; Line 6</v>
      </c>
      <c r="H12" s="326">
        <f>H11+1</f>
        <v>2</v>
      </c>
    </row>
    <row r="13" spans="1:8" x14ac:dyDescent="0.35">
      <c r="A13" s="326">
        <f t="shared" ref="A13:A35" si="0">A12+1</f>
        <v>3</v>
      </c>
      <c r="B13" s="322"/>
      <c r="C13" s="333"/>
      <c r="D13" s="333"/>
      <c r="E13" s="334"/>
      <c r="F13" s="328"/>
      <c r="G13" s="332"/>
      <c r="H13" s="326">
        <f t="shared" ref="H13:H35" si="1">H12+1</f>
        <v>3</v>
      </c>
    </row>
    <row r="14" spans="1:8" x14ac:dyDescent="0.35">
      <c r="A14" s="326">
        <f t="shared" si="0"/>
        <v>4</v>
      </c>
      <c r="B14" s="330" t="s">
        <v>17</v>
      </c>
      <c r="C14" s="331"/>
      <c r="D14" s="331"/>
      <c r="E14" s="335">
        <f>E60</f>
        <v>9.0649573045136662E-3</v>
      </c>
      <c r="F14" s="25"/>
      <c r="G14" s="332" t="str">
        <f>"Page 2; Line "&amp;A60</f>
        <v>Page 2; Line 11</v>
      </c>
      <c r="H14" s="326">
        <f t="shared" si="1"/>
        <v>4</v>
      </c>
    </row>
    <row r="15" spans="1:8" x14ac:dyDescent="0.35">
      <c r="A15" s="326">
        <f t="shared" si="0"/>
        <v>5</v>
      </c>
      <c r="B15" s="323"/>
      <c r="C15" s="325"/>
      <c r="D15" s="325"/>
      <c r="E15" s="337"/>
      <c r="F15" s="338"/>
      <c r="G15" s="332"/>
      <c r="H15" s="326">
        <f t="shared" si="1"/>
        <v>5</v>
      </c>
    </row>
    <row r="16" spans="1:8" x14ac:dyDescent="0.35">
      <c r="A16" s="326">
        <f t="shared" si="0"/>
        <v>6</v>
      </c>
      <c r="B16" s="323" t="s">
        <v>234</v>
      </c>
      <c r="C16" s="325"/>
      <c r="D16" s="325"/>
      <c r="E16" s="339">
        <f>E65</f>
        <v>1.0610789729761233E-2</v>
      </c>
      <c r="F16" s="338"/>
      <c r="G16" s="332" t="str">
        <f>"Page 2; Line "&amp;A65</f>
        <v>Page 2; Line 16</v>
      </c>
      <c r="H16" s="326">
        <f t="shared" si="1"/>
        <v>6</v>
      </c>
    </row>
    <row r="17" spans="1:8" x14ac:dyDescent="0.35">
      <c r="A17" s="326">
        <f t="shared" si="0"/>
        <v>7</v>
      </c>
      <c r="B17" s="323"/>
      <c r="C17" s="325"/>
      <c r="D17" s="325"/>
      <c r="E17" s="337"/>
      <c r="F17" s="338"/>
      <c r="G17" s="332"/>
      <c r="H17" s="326">
        <f t="shared" si="1"/>
        <v>7</v>
      </c>
    </row>
    <row r="18" spans="1:8" x14ac:dyDescent="0.35">
      <c r="A18" s="326">
        <f t="shared" si="0"/>
        <v>8</v>
      </c>
      <c r="B18" s="330" t="s">
        <v>235</v>
      </c>
      <c r="C18" s="331"/>
      <c r="D18" s="331"/>
      <c r="E18" s="335">
        <f>E70</f>
        <v>3.1703239026281438E-4</v>
      </c>
      <c r="F18" s="336"/>
      <c r="G18" s="332" t="str">
        <f>"Page 2; Line "&amp;A70</f>
        <v>Page 2; Line 21</v>
      </c>
      <c r="H18" s="326">
        <f t="shared" si="1"/>
        <v>8</v>
      </c>
    </row>
    <row r="19" spans="1:8" x14ac:dyDescent="0.35">
      <c r="A19" s="326">
        <f t="shared" si="0"/>
        <v>9</v>
      </c>
      <c r="B19" s="322"/>
      <c r="C19" s="333"/>
      <c r="D19" s="333"/>
      <c r="E19" s="334"/>
      <c r="F19" s="328"/>
      <c r="G19" s="332"/>
      <c r="H19" s="326">
        <f t="shared" si="1"/>
        <v>9</v>
      </c>
    </row>
    <row r="20" spans="1:8" x14ac:dyDescent="0.35">
      <c r="A20" s="326">
        <f t="shared" si="0"/>
        <v>10</v>
      </c>
      <c r="B20" s="330" t="s">
        <v>236</v>
      </c>
      <c r="C20" s="333"/>
      <c r="D20" s="333"/>
      <c r="E20" s="335">
        <f>E83</f>
        <v>1.8462680673038377E-3</v>
      </c>
      <c r="F20" s="328"/>
      <c r="G20" s="332" t="str">
        <f>"Page 2; Line "&amp;A83</f>
        <v>Page 2; Line 34</v>
      </c>
      <c r="H20" s="326">
        <f t="shared" si="1"/>
        <v>10</v>
      </c>
    </row>
    <row r="21" spans="1:8" x14ac:dyDescent="0.35">
      <c r="A21" s="326">
        <f t="shared" si="0"/>
        <v>11</v>
      </c>
      <c r="B21" s="322"/>
      <c r="C21" s="333"/>
      <c r="D21" s="333"/>
      <c r="E21" s="334"/>
      <c r="F21" s="328"/>
      <c r="G21" s="332"/>
      <c r="H21" s="326">
        <f t="shared" si="1"/>
        <v>11</v>
      </c>
    </row>
    <row r="22" spans="1:8" x14ac:dyDescent="0.35">
      <c r="A22" s="326">
        <f t="shared" si="0"/>
        <v>12</v>
      </c>
      <c r="B22" s="330" t="s">
        <v>237</v>
      </c>
      <c r="C22" s="331"/>
      <c r="D22" s="331"/>
      <c r="E22" s="335">
        <f>E100</f>
        <v>3.9106992387923003E-3</v>
      </c>
      <c r="F22" s="336"/>
      <c r="G22" s="332" t="str">
        <f>"Page 2; Line "&amp;A100</f>
        <v>Page 2; Line 51</v>
      </c>
      <c r="H22" s="326">
        <f t="shared" si="1"/>
        <v>12</v>
      </c>
    </row>
    <row r="23" spans="1:8" x14ac:dyDescent="0.35">
      <c r="A23" s="326">
        <f t="shared" si="0"/>
        <v>13</v>
      </c>
      <c r="B23" s="340"/>
      <c r="C23" s="341"/>
      <c r="D23" s="341"/>
      <c r="E23" s="342"/>
      <c r="F23" s="343"/>
      <c r="G23" s="332"/>
      <c r="H23" s="326">
        <f t="shared" si="1"/>
        <v>13</v>
      </c>
    </row>
    <row r="24" spans="1:8" x14ac:dyDescent="0.35">
      <c r="A24" s="326">
        <f t="shared" si="0"/>
        <v>14</v>
      </c>
      <c r="B24" s="330" t="s">
        <v>238</v>
      </c>
      <c r="C24" s="331"/>
      <c r="D24" s="331"/>
      <c r="E24" s="603">
        <f>SUM(E12:E22)</f>
        <v>3.2028744102230576E-2</v>
      </c>
      <c r="F24" s="25"/>
      <c r="G24" s="332" t="str">
        <f>"Sum Lines "&amp;A12&amp;" thru "&amp;A22&amp;""</f>
        <v>Sum Lines 2 thru 12</v>
      </c>
      <c r="H24" s="326">
        <f t="shared" si="1"/>
        <v>14</v>
      </c>
    </row>
    <row r="25" spans="1:8" x14ac:dyDescent="0.35">
      <c r="A25" s="326">
        <f t="shared" si="0"/>
        <v>15</v>
      </c>
      <c r="B25" s="322"/>
      <c r="C25" s="333"/>
      <c r="D25" s="333"/>
      <c r="E25" s="344"/>
      <c r="F25" s="345"/>
      <c r="G25" s="332"/>
      <c r="H25" s="326">
        <f t="shared" si="1"/>
        <v>15</v>
      </c>
    </row>
    <row r="26" spans="1:8" x14ac:dyDescent="0.35">
      <c r="A26" s="326">
        <f t="shared" si="0"/>
        <v>16</v>
      </c>
      <c r="B26" s="323" t="s">
        <v>239</v>
      </c>
      <c r="C26" s="346">
        <v>1.0274999999999999E-2</v>
      </c>
      <c r="D26" s="333"/>
      <c r="E26" s="506">
        <f>E24*C26</f>
        <v>3.2909534565041915E-4</v>
      </c>
      <c r="F26" s="347"/>
      <c r="G26" s="332" t="str">
        <f>"Line "&amp;A24&amp;" x Franchise Fee Rate"</f>
        <v>Line 14 x Franchise Fee Rate</v>
      </c>
      <c r="H26" s="326">
        <f t="shared" si="1"/>
        <v>16</v>
      </c>
    </row>
    <row r="27" spans="1:8" x14ac:dyDescent="0.35">
      <c r="A27" s="326">
        <f t="shared" si="0"/>
        <v>17</v>
      </c>
      <c r="B27" s="322"/>
      <c r="C27" s="333"/>
      <c r="D27" s="333"/>
      <c r="E27" s="348"/>
      <c r="F27" s="349"/>
      <c r="G27" s="332"/>
      <c r="H27" s="326">
        <f t="shared" si="1"/>
        <v>17</v>
      </c>
    </row>
    <row r="28" spans="1:8" ht="16" thickBot="1" x14ac:dyDescent="0.4">
      <c r="A28" s="326">
        <f t="shared" si="0"/>
        <v>18</v>
      </c>
      <c r="B28" s="322" t="s">
        <v>240</v>
      </c>
      <c r="C28" s="333"/>
      <c r="D28" s="333"/>
      <c r="E28" s="645">
        <f>E24+E26</f>
        <v>3.2357839447880996E-2</v>
      </c>
      <c r="F28" s="25" t="s">
        <v>16</v>
      </c>
      <c r="G28" s="332" t="str">
        <f>"Line "&amp;A24&amp;" + Line "&amp;A26</f>
        <v>Line 14 + Line 16</v>
      </c>
      <c r="H28" s="326">
        <f t="shared" si="1"/>
        <v>18</v>
      </c>
    </row>
    <row r="29" spans="1:8" ht="16" thickTop="1" x14ac:dyDescent="0.35">
      <c r="A29" s="326">
        <f t="shared" si="0"/>
        <v>19</v>
      </c>
      <c r="B29" s="323"/>
      <c r="C29" s="325"/>
      <c r="D29" s="325"/>
      <c r="E29" s="333"/>
      <c r="F29" s="322"/>
      <c r="G29" s="322"/>
      <c r="H29" s="326">
        <f t="shared" si="1"/>
        <v>19</v>
      </c>
    </row>
    <row r="30" spans="1:8" x14ac:dyDescent="0.35">
      <c r="A30" s="326">
        <f t="shared" si="0"/>
        <v>20</v>
      </c>
      <c r="B30" s="329" t="s">
        <v>241</v>
      </c>
      <c r="C30" s="350"/>
      <c r="D30" s="350"/>
      <c r="E30" s="325"/>
      <c r="F30" s="323"/>
      <c r="G30" s="322"/>
      <c r="H30" s="326">
        <f t="shared" si="1"/>
        <v>20</v>
      </c>
    </row>
    <row r="31" spans="1:8" x14ac:dyDescent="0.35">
      <c r="A31" s="326">
        <f t="shared" si="0"/>
        <v>21</v>
      </c>
      <c r="B31" s="330" t="s">
        <v>391</v>
      </c>
      <c r="C31" s="331"/>
      <c r="D31" s="331"/>
      <c r="E31" s="351">
        <v>27000</v>
      </c>
      <c r="F31" s="328"/>
      <c r="G31" s="332" t="s">
        <v>242</v>
      </c>
      <c r="H31" s="326">
        <f t="shared" si="1"/>
        <v>21</v>
      </c>
    </row>
    <row r="32" spans="1:8" x14ac:dyDescent="0.35">
      <c r="A32" s="326">
        <f t="shared" si="0"/>
        <v>22</v>
      </c>
      <c r="B32" s="330"/>
      <c r="C32" s="331"/>
      <c r="D32" s="331"/>
      <c r="E32" s="331"/>
      <c r="F32" s="330"/>
      <c r="G32" s="332"/>
      <c r="H32" s="326">
        <f t="shared" si="1"/>
        <v>22</v>
      </c>
    </row>
    <row r="33" spans="1:8" x14ac:dyDescent="0.35">
      <c r="A33" s="326">
        <f t="shared" si="0"/>
        <v>23</v>
      </c>
      <c r="B33" s="330" t="s">
        <v>243</v>
      </c>
      <c r="C33" s="331"/>
      <c r="D33" s="331"/>
      <c r="E33" s="644">
        <f>+E28</f>
        <v>3.2357839447880996E-2</v>
      </c>
      <c r="F33" s="25" t="s">
        <v>16</v>
      </c>
      <c r="G33" s="332" t="str">
        <f>"Line "&amp;A28&amp;" Above"</f>
        <v>Line 18 Above</v>
      </c>
      <c r="H33" s="326">
        <f t="shared" si="1"/>
        <v>23</v>
      </c>
    </row>
    <row r="34" spans="1:8" x14ac:dyDescent="0.35">
      <c r="A34" s="326">
        <f t="shared" si="0"/>
        <v>24</v>
      </c>
      <c r="B34" s="322"/>
      <c r="C34" s="333"/>
      <c r="D34" s="333"/>
      <c r="E34" s="352"/>
      <c r="F34" s="353"/>
      <c r="G34" s="332"/>
      <c r="H34" s="326">
        <f t="shared" si="1"/>
        <v>24</v>
      </c>
    </row>
    <row r="35" spans="1:8" ht="16" thickBot="1" x14ac:dyDescent="0.4">
      <c r="A35" s="326">
        <f t="shared" si="0"/>
        <v>25</v>
      </c>
      <c r="B35" s="322" t="s">
        <v>244</v>
      </c>
      <c r="C35" s="331"/>
      <c r="D35" s="331"/>
      <c r="E35" s="615">
        <f>E31*E33</f>
        <v>873.66166509278685</v>
      </c>
      <c r="F35" s="25" t="s">
        <v>16</v>
      </c>
      <c r="G35" s="332" t="str">
        <f>"Line "&amp;A31&amp;" x Line "&amp;A33</f>
        <v>Line 21 x Line 23</v>
      </c>
      <c r="H35" s="326">
        <f t="shared" si="1"/>
        <v>25</v>
      </c>
    </row>
    <row r="36" spans="1:8" ht="16" thickTop="1" x14ac:dyDescent="0.35">
      <c r="A36" s="326"/>
      <c r="B36" s="322"/>
      <c r="C36" s="330"/>
      <c r="D36" s="330"/>
      <c r="E36" s="354"/>
      <c r="F36" s="355"/>
      <c r="G36" s="332"/>
      <c r="H36" s="326"/>
    </row>
    <row r="37" spans="1:8" x14ac:dyDescent="0.35">
      <c r="A37" s="326"/>
      <c r="B37" s="322"/>
      <c r="C37" s="330"/>
      <c r="D37" s="330"/>
      <c r="E37" s="354"/>
      <c r="F37" s="355"/>
      <c r="G37" s="332"/>
      <c r="H37" s="326"/>
    </row>
    <row r="38" spans="1:8" x14ac:dyDescent="0.35">
      <c r="A38" s="25" t="s">
        <v>16</v>
      </c>
      <c r="B38" s="322" t="str">
        <f>'Pg2 App XII C4 Comparison'!B57</f>
        <v>Items in BOLD have changed to correct the over-allocation of "Duplicate Charges (Company Energy Use)" Credit in FERC Account no. 929.</v>
      </c>
      <c r="C38" s="330"/>
      <c r="D38" s="330"/>
      <c r="E38" s="354"/>
      <c r="F38" s="355"/>
      <c r="G38" s="332"/>
      <c r="H38" s="326"/>
    </row>
    <row r="39" spans="1:8" x14ac:dyDescent="0.35">
      <c r="A39" s="25"/>
      <c r="B39" s="22"/>
      <c r="C39" s="322"/>
      <c r="D39" s="322"/>
      <c r="E39" s="340"/>
      <c r="F39" s="340"/>
      <c r="G39" s="323"/>
      <c r="H39" s="221"/>
    </row>
    <row r="40" spans="1:8" x14ac:dyDescent="0.35">
      <c r="A40" s="25"/>
      <c r="B40" s="22"/>
      <c r="C40" s="322"/>
      <c r="D40" s="322"/>
      <c r="E40" s="340"/>
      <c r="F40" s="340"/>
      <c r="G40" s="323"/>
      <c r="H40" s="221"/>
    </row>
    <row r="41" spans="1:8" x14ac:dyDescent="0.35">
      <c r="A41" s="325"/>
      <c r="B41" s="778" t="str">
        <f>B2</f>
        <v>SAN DIEGO GAS &amp; ELECTRIC COMPANY</v>
      </c>
      <c r="C41" s="778"/>
      <c r="D41" s="778"/>
      <c r="E41" s="778"/>
      <c r="F41" s="778"/>
      <c r="G41" s="778"/>
      <c r="H41" s="221"/>
    </row>
    <row r="42" spans="1:8" x14ac:dyDescent="0.35">
      <c r="B42" s="778" t="str">
        <f>B3</f>
        <v>CITIZENS' SHARE OF THE SX-PQ UNDERGROUND LINE SEGMENT</v>
      </c>
      <c r="C42" s="778"/>
      <c r="D42" s="778"/>
      <c r="E42" s="778"/>
      <c r="F42" s="778"/>
      <c r="G42" s="778"/>
      <c r="H42" s="341"/>
    </row>
    <row r="43" spans="1:8" x14ac:dyDescent="0.35">
      <c r="B43" s="779" t="str">
        <f>B4</f>
        <v xml:space="preserve">Section 2 - Non-Direct Expense Cost Component </v>
      </c>
      <c r="C43" s="779"/>
      <c r="D43" s="779"/>
      <c r="E43" s="779"/>
      <c r="F43" s="779"/>
      <c r="G43" s="779"/>
      <c r="H43" s="333"/>
    </row>
    <row r="44" spans="1:8" x14ac:dyDescent="0.35">
      <c r="B44" s="780" t="str">
        <f>B5</f>
        <v>Base Period &amp; True-Up Period 12 - Months Ending December 31, 2020</v>
      </c>
      <c r="C44" s="780"/>
      <c r="D44" s="780"/>
      <c r="E44" s="780"/>
      <c r="F44" s="780"/>
      <c r="G44" s="780"/>
      <c r="H44" s="333"/>
    </row>
    <row r="45" spans="1:8" x14ac:dyDescent="0.35">
      <c r="B45" s="781" t="str">
        <f>B6</f>
        <v>($1,000)</v>
      </c>
      <c r="C45" s="775"/>
      <c r="D45" s="775"/>
      <c r="E45" s="775"/>
      <c r="F45" s="775"/>
      <c r="G45" s="775"/>
      <c r="H45" s="148"/>
    </row>
    <row r="46" spans="1:8" x14ac:dyDescent="0.35">
      <c r="A46" s="356"/>
      <c r="B46" s="322"/>
      <c r="C46" s="322"/>
      <c r="D46" s="322"/>
      <c r="E46" s="322"/>
      <c r="F46" s="322"/>
      <c r="G46" s="322"/>
      <c r="H46" s="221"/>
    </row>
    <row r="47" spans="1:8" x14ac:dyDescent="0.35">
      <c r="A47" s="326" t="s">
        <v>2</v>
      </c>
      <c r="B47" s="322"/>
      <c r="C47" s="322"/>
      <c r="D47" s="322"/>
      <c r="E47" s="494"/>
      <c r="F47" s="494"/>
      <c r="G47" s="322"/>
      <c r="H47" s="326" t="s">
        <v>2</v>
      </c>
    </row>
    <row r="48" spans="1:8" x14ac:dyDescent="0.35">
      <c r="A48" s="326" t="s">
        <v>6</v>
      </c>
      <c r="B48" s="322"/>
      <c r="C48" s="322"/>
      <c r="D48" s="322"/>
      <c r="E48" s="327" t="s">
        <v>4</v>
      </c>
      <c r="F48" s="332"/>
      <c r="G48" s="327" t="s">
        <v>5</v>
      </c>
      <c r="H48" s="326" t="s">
        <v>6</v>
      </c>
    </row>
    <row r="49" spans="1:10" x14ac:dyDescent="0.35">
      <c r="A49" s="326"/>
      <c r="B49" s="322"/>
      <c r="C49" s="322"/>
      <c r="D49" s="322"/>
      <c r="E49" s="494"/>
      <c r="F49" s="494"/>
      <c r="G49" s="322"/>
      <c r="H49" s="326"/>
    </row>
    <row r="50" spans="1:10" x14ac:dyDescent="0.35">
      <c r="A50" s="326">
        <v>1</v>
      </c>
      <c r="B50" s="357" t="s">
        <v>22</v>
      </c>
      <c r="C50" s="357"/>
      <c r="D50" s="357"/>
      <c r="E50" s="358">
        <v>5359328.6425349545</v>
      </c>
      <c r="F50" s="494"/>
      <c r="G50" s="332" t="s">
        <v>651</v>
      </c>
      <c r="H50" s="326">
        <f>A50</f>
        <v>1</v>
      </c>
    </row>
    <row r="51" spans="1:10" x14ac:dyDescent="0.35">
      <c r="A51" s="326">
        <f>A50+1</f>
        <v>2</v>
      </c>
      <c r="B51" s="322"/>
      <c r="C51" s="322"/>
      <c r="D51" s="322"/>
      <c r="E51" s="321"/>
      <c r="F51" s="494"/>
      <c r="G51" s="322"/>
      <c r="H51" s="326">
        <f>H50+1</f>
        <v>2</v>
      </c>
    </row>
    <row r="52" spans="1:10" x14ac:dyDescent="0.35">
      <c r="A52" s="326">
        <f t="shared" ref="A52:A100" si="2">A51+1</f>
        <v>3</v>
      </c>
      <c r="B52" s="329" t="s">
        <v>245</v>
      </c>
      <c r="C52" s="329"/>
      <c r="D52" s="329"/>
      <c r="E52" s="359"/>
      <c r="F52" s="360"/>
      <c r="G52" s="322"/>
      <c r="H52" s="326">
        <f t="shared" ref="H52:H100" si="3">H51+1</f>
        <v>3</v>
      </c>
    </row>
    <row r="53" spans="1:10" x14ac:dyDescent="0.35">
      <c r="A53" s="326">
        <f t="shared" si="2"/>
        <v>4</v>
      </c>
      <c r="B53" s="330" t="s">
        <v>246</v>
      </c>
      <c r="C53" s="330"/>
      <c r="D53" s="330"/>
      <c r="E53" s="604">
        <v>33651.210460000017</v>
      </c>
      <c r="F53" s="25"/>
      <c r="G53" s="332" t="s">
        <v>511</v>
      </c>
      <c r="H53" s="326">
        <f t="shared" si="3"/>
        <v>4</v>
      </c>
      <c r="J53" s="361"/>
    </row>
    <row r="54" spans="1:10" x14ac:dyDescent="0.35">
      <c r="A54" s="326">
        <f t="shared" si="2"/>
        <v>5</v>
      </c>
      <c r="B54" s="330"/>
      <c r="C54" s="330"/>
      <c r="D54" s="330"/>
      <c r="E54" s="362"/>
      <c r="F54" s="363"/>
      <c r="G54" s="332"/>
      <c r="H54" s="326">
        <f t="shared" si="3"/>
        <v>5</v>
      </c>
      <c r="J54" s="361"/>
    </row>
    <row r="55" spans="1:10" x14ac:dyDescent="0.35">
      <c r="A55" s="326">
        <f t="shared" si="2"/>
        <v>6</v>
      </c>
      <c r="B55" s="330" t="s">
        <v>247</v>
      </c>
      <c r="C55" s="322"/>
      <c r="D55" s="322"/>
      <c r="E55" s="371">
        <f>E53/E50</f>
        <v>6.2789973715967236E-3</v>
      </c>
      <c r="F55" s="25"/>
      <c r="G55" s="332" t="s">
        <v>408</v>
      </c>
      <c r="H55" s="326">
        <f t="shared" si="3"/>
        <v>6</v>
      </c>
      <c r="J55" s="361"/>
    </row>
    <row r="56" spans="1:10" x14ac:dyDescent="0.35">
      <c r="A56" s="326">
        <f t="shared" si="2"/>
        <v>7</v>
      </c>
      <c r="B56" s="330"/>
      <c r="C56" s="330"/>
      <c r="D56" s="330"/>
      <c r="E56" s="364"/>
      <c r="F56" s="365"/>
      <c r="G56" s="332"/>
      <c r="H56" s="326">
        <f t="shared" si="3"/>
        <v>7</v>
      </c>
    </row>
    <row r="57" spans="1:10" x14ac:dyDescent="0.35">
      <c r="A57" s="326">
        <f t="shared" si="2"/>
        <v>8</v>
      </c>
      <c r="B57" s="329" t="s">
        <v>248</v>
      </c>
      <c r="C57" s="329"/>
      <c r="D57" s="329"/>
      <c r="E57" s="366"/>
      <c r="F57" s="367"/>
      <c r="G57" s="368"/>
      <c r="H57" s="326">
        <f t="shared" si="3"/>
        <v>8</v>
      </c>
    </row>
    <row r="58" spans="1:10" x14ac:dyDescent="0.35">
      <c r="A58" s="326">
        <f t="shared" si="2"/>
        <v>9</v>
      </c>
      <c r="B58" s="330" t="s">
        <v>249</v>
      </c>
      <c r="C58" s="330"/>
      <c r="D58" s="330"/>
      <c r="E58" s="369">
        <f>'Pg8 Rev Stmt AH'!E55</f>
        <v>48582.08532543655</v>
      </c>
      <c r="F58" s="25" t="s">
        <v>16</v>
      </c>
      <c r="G58" s="332" t="s">
        <v>715</v>
      </c>
      <c r="H58" s="326">
        <f t="shared" si="3"/>
        <v>9</v>
      </c>
    </row>
    <row r="59" spans="1:10" x14ac:dyDescent="0.35">
      <c r="A59" s="326">
        <f t="shared" si="2"/>
        <v>10</v>
      </c>
      <c r="B59" s="322"/>
      <c r="C59" s="322"/>
      <c r="D59" s="322"/>
      <c r="E59" s="366"/>
      <c r="F59" s="367"/>
      <c r="G59" s="332"/>
      <c r="H59" s="326">
        <f t="shared" si="3"/>
        <v>10</v>
      </c>
    </row>
    <row r="60" spans="1:10" x14ac:dyDescent="0.35">
      <c r="A60" s="326">
        <f t="shared" si="2"/>
        <v>11</v>
      </c>
      <c r="B60" s="370" t="s">
        <v>250</v>
      </c>
      <c r="C60" s="368"/>
      <c r="D60" s="368"/>
      <c r="E60" s="371">
        <f>E58/E50</f>
        <v>9.0649573045136662E-3</v>
      </c>
      <c r="F60" s="25"/>
      <c r="G60" s="332" t="s">
        <v>409</v>
      </c>
      <c r="H60" s="326">
        <f t="shared" si="3"/>
        <v>11</v>
      </c>
    </row>
    <row r="61" spans="1:10" x14ac:dyDescent="0.35">
      <c r="A61" s="326">
        <f t="shared" si="2"/>
        <v>12</v>
      </c>
      <c r="B61" s="368"/>
      <c r="C61" s="368"/>
      <c r="D61" s="368"/>
      <c r="E61" s="373"/>
      <c r="F61" s="374"/>
      <c r="G61" s="332"/>
      <c r="H61" s="326">
        <f t="shared" si="3"/>
        <v>12</v>
      </c>
    </row>
    <row r="62" spans="1:10" x14ac:dyDescent="0.35">
      <c r="A62" s="326">
        <f t="shared" si="2"/>
        <v>13</v>
      </c>
      <c r="B62" s="329" t="s">
        <v>251</v>
      </c>
      <c r="C62" s="368"/>
      <c r="D62" s="368"/>
      <c r="E62" s="373"/>
      <c r="F62" s="374"/>
      <c r="G62" s="332"/>
      <c r="H62" s="326">
        <f t="shared" si="3"/>
        <v>13</v>
      </c>
    </row>
    <row r="63" spans="1:10" x14ac:dyDescent="0.35">
      <c r="A63" s="326">
        <f t="shared" si="2"/>
        <v>14</v>
      </c>
      <c r="B63" s="370" t="s">
        <v>234</v>
      </c>
      <c r="C63" s="368"/>
      <c r="D63" s="368"/>
      <c r="E63" s="375">
        <v>56866.709318625108</v>
      </c>
      <c r="F63" s="374"/>
      <c r="G63" s="332" t="s">
        <v>652</v>
      </c>
      <c r="H63" s="326">
        <f t="shared" si="3"/>
        <v>14</v>
      </c>
    </row>
    <row r="64" spans="1:10" x14ac:dyDescent="0.35">
      <c r="A64" s="326">
        <f t="shared" si="2"/>
        <v>15</v>
      </c>
      <c r="B64" s="368"/>
      <c r="C64" s="368"/>
      <c r="D64" s="368"/>
      <c r="E64" s="366"/>
      <c r="F64" s="374"/>
      <c r="G64" s="332"/>
      <c r="H64" s="326">
        <f t="shared" si="3"/>
        <v>15</v>
      </c>
    </row>
    <row r="65" spans="1:8" x14ac:dyDescent="0.35">
      <c r="A65" s="326">
        <f t="shared" si="2"/>
        <v>16</v>
      </c>
      <c r="B65" s="370" t="s">
        <v>252</v>
      </c>
      <c r="C65" s="368"/>
      <c r="D65" s="368"/>
      <c r="E65" s="371">
        <f>E63/E50</f>
        <v>1.0610789729761233E-2</v>
      </c>
      <c r="F65" s="374"/>
      <c r="G65" s="332" t="s">
        <v>410</v>
      </c>
      <c r="H65" s="326">
        <f t="shared" si="3"/>
        <v>16</v>
      </c>
    </row>
    <row r="66" spans="1:8" x14ac:dyDescent="0.35">
      <c r="A66" s="326">
        <f t="shared" si="2"/>
        <v>17</v>
      </c>
      <c r="B66" s="368"/>
      <c r="C66" s="368"/>
      <c r="D66" s="368"/>
      <c r="E66" s="373"/>
      <c r="F66" s="374"/>
      <c r="G66" s="332"/>
      <c r="H66" s="326">
        <f t="shared" si="3"/>
        <v>17</v>
      </c>
    </row>
    <row r="67" spans="1:8" x14ac:dyDescent="0.35">
      <c r="A67" s="326">
        <f t="shared" si="2"/>
        <v>18</v>
      </c>
      <c r="B67" s="329" t="s">
        <v>253</v>
      </c>
      <c r="C67" s="329"/>
      <c r="D67" s="329"/>
      <c r="E67" s="373"/>
      <c r="F67" s="374"/>
      <c r="G67" s="332"/>
      <c r="H67" s="326">
        <f t="shared" si="3"/>
        <v>18</v>
      </c>
    </row>
    <row r="68" spans="1:8" x14ac:dyDescent="0.35">
      <c r="A68" s="326">
        <f t="shared" si="2"/>
        <v>19</v>
      </c>
      <c r="B68" s="330" t="s">
        <v>235</v>
      </c>
      <c r="C68" s="330"/>
      <c r="D68" s="330"/>
      <c r="E68" s="375">
        <v>1699.0807697468208</v>
      </c>
      <c r="F68" s="494"/>
      <c r="G68" s="332" t="s">
        <v>411</v>
      </c>
      <c r="H68" s="326">
        <f t="shared" si="3"/>
        <v>19</v>
      </c>
    </row>
    <row r="69" spans="1:8" x14ac:dyDescent="0.35">
      <c r="A69" s="326">
        <f t="shared" si="2"/>
        <v>20</v>
      </c>
      <c r="B69" s="368"/>
      <c r="C69" s="368"/>
      <c r="D69" s="368"/>
      <c r="E69" s="373"/>
      <c r="F69" s="374"/>
      <c r="G69" s="332"/>
      <c r="H69" s="326">
        <f t="shared" si="3"/>
        <v>20</v>
      </c>
    </row>
    <row r="70" spans="1:8" x14ac:dyDescent="0.35">
      <c r="A70" s="326">
        <f t="shared" si="2"/>
        <v>21</v>
      </c>
      <c r="B70" s="370" t="s">
        <v>254</v>
      </c>
      <c r="C70" s="368"/>
      <c r="D70" s="368"/>
      <c r="E70" s="371">
        <f>E68/E50</f>
        <v>3.1703239026281438E-4</v>
      </c>
      <c r="F70" s="372"/>
      <c r="G70" s="332" t="s">
        <v>412</v>
      </c>
      <c r="H70" s="326">
        <f t="shared" si="3"/>
        <v>21</v>
      </c>
    </row>
    <row r="71" spans="1:8" x14ac:dyDescent="0.35">
      <c r="A71" s="326">
        <f t="shared" si="2"/>
        <v>22</v>
      </c>
      <c r="B71" s="368"/>
      <c r="C71" s="368"/>
      <c r="D71" s="368"/>
      <c r="E71" s="373"/>
      <c r="F71" s="374"/>
      <c r="G71" s="332"/>
      <c r="H71" s="326">
        <f t="shared" si="3"/>
        <v>22</v>
      </c>
    </row>
    <row r="72" spans="1:8" x14ac:dyDescent="0.35">
      <c r="A72" s="326">
        <f t="shared" si="2"/>
        <v>23</v>
      </c>
      <c r="B72" s="329" t="s">
        <v>255</v>
      </c>
      <c r="C72" s="329"/>
      <c r="D72" s="329"/>
      <c r="E72" s="376"/>
      <c r="F72" s="377"/>
      <c r="G72" s="332"/>
      <c r="H72" s="326">
        <f t="shared" si="3"/>
        <v>23</v>
      </c>
    </row>
    <row r="73" spans="1:8" x14ac:dyDescent="0.35">
      <c r="A73" s="326">
        <f t="shared" si="2"/>
        <v>24</v>
      </c>
      <c r="B73" s="378" t="s">
        <v>392</v>
      </c>
      <c r="C73" s="322"/>
      <c r="D73" s="322"/>
      <c r="E73" s="376"/>
      <c r="F73" s="377"/>
      <c r="G73" s="332"/>
      <c r="H73" s="326">
        <f t="shared" si="3"/>
        <v>24</v>
      </c>
    </row>
    <row r="74" spans="1:8" x14ac:dyDescent="0.35">
      <c r="A74" s="326">
        <f t="shared" si="2"/>
        <v>25</v>
      </c>
      <c r="B74" s="330" t="s">
        <v>256</v>
      </c>
      <c r="C74" s="330"/>
      <c r="D74" s="330"/>
      <c r="E74" s="379">
        <v>50942.738895107723</v>
      </c>
      <c r="F74" s="494"/>
      <c r="G74" s="332" t="s">
        <v>671</v>
      </c>
      <c r="H74" s="326">
        <f t="shared" si="3"/>
        <v>25</v>
      </c>
    </row>
    <row r="75" spans="1:8" x14ac:dyDescent="0.35">
      <c r="A75" s="326">
        <f t="shared" si="2"/>
        <v>26</v>
      </c>
      <c r="B75" s="330" t="s">
        <v>257</v>
      </c>
      <c r="C75" s="330"/>
      <c r="D75" s="330"/>
      <c r="E75" s="380">
        <v>37071.055296898827</v>
      </c>
      <c r="F75" s="494"/>
      <c r="G75" s="332" t="s">
        <v>672</v>
      </c>
      <c r="H75" s="326">
        <f t="shared" si="3"/>
        <v>26</v>
      </c>
    </row>
    <row r="76" spans="1:8" x14ac:dyDescent="0.35">
      <c r="A76" s="326">
        <f t="shared" si="2"/>
        <v>27</v>
      </c>
      <c r="B76" s="330" t="s">
        <v>258</v>
      </c>
      <c r="C76" s="330"/>
      <c r="D76" s="330"/>
      <c r="E76" s="381">
        <f>'Pg9 Rev Stmt AL'!E29</f>
        <v>10279.161973179571</v>
      </c>
      <c r="F76" s="25" t="s">
        <v>16</v>
      </c>
      <c r="G76" s="332" t="s">
        <v>556</v>
      </c>
      <c r="H76" s="326">
        <f t="shared" si="3"/>
        <v>27</v>
      </c>
    </row>
    <row r="77" spans="1:8" x14ac:dyDescent="0.35">
      <c r="A77" s="326">
        <f t="shared" si="2"/>
        <v>28</v>
      </c>
      <c r="B77" s="330" t="s">
        <v>259</v>
      </c>
      <c r="C77" s="322"/>
      <c r="D77" s="322"/>
      <c r="E77" s="382">
        <f>SUM(E74:E76)</f>
        <v>98292.956165186115</v>
      </c>
      <c r="F77" s="25" t="s">
        <v>16</v>
      </c>
      <c r="G77" s="332" t="s">
        <v>413</v>
      </c>
      <c r="H77" s="326">
        <f t="shared" si="3"/>
        <v>28</v>
      </c>
    </row>
    <row r="78" spans="1:8" x14ac:dyDescent="0.35">
      <c r="A78" s="326">
        <f t="shared" si="2"/>
        <v>29</v>
      </c>
      <c r="B78" s="322"/>
      <c r="C78" s="322"/>
      <c r="D78" s="322"/>
      <c r="E78" s="383"/>
      <c r="F78" s="384"/>
      <c r="G78" s="332"/>
      <c r="H78" s="326">
        <f t="shared" si="3"/>
        <v>29</v>
      </c>
    </row>
    <row r="79" spans="1:8" x14ac:dyDescent="0.35">
      <c r="A79" s="326">
        <f t="shared" si="2"/>
        <v>30</v>
      </c>
      <c r="B79" s="330" t="s">
        <v>260</v>
      </c>
      <c r="C79" s="330"/>
      <c r="D79" s="330"/>
      <c r="E79" s="385">
        <f>'Pg11 As Filed Stmt AV FERC Adj'!G111</f>
        <v>0.10066598585427104</v>
      </c>
      <c r="F79" s="25"/>
      <c r="G79" s="332" t="s">
        <v>659</v>
      </c>
      <c r="H79" s="326">
        <f t="shared" si="3"/>
        <v>30</v>
      </c>
    </row>
    <row r="80" spans="1:8" x14ac:dyDescent="0.35">
      <c r="A80" s="326">
        <f t="shared" si="2"/>
        <v>31</v>
      </c>
      <c r="B80" s="322"/>
      <c r="C80" s="322"/>
      <c r="D80" s="322"/>
      <c r="E80" s="383"/>
      <c r="F80" s="384"/>
      <c r="G80" s="332"/>
      <c r="H80" s="326">
        <f t="shared" si="3"/>
        <v>31</v>
      </c>
    </row>
    <row r="81" spans="1:9" x14ac:dyDescent="0.35">
      <c r="A81" s="326">
        <f t="shared" si="2"/>
        <v>32</v>
      </c>
      <c r="B81" s="330" t="s">
        <v>261</v>
      </c>
      <c r="C81" s="322"/>
      <c r="D81" s="322"/>
      <c r="E81" s="657">
        <f>E77*E79</f>
        <v>9894.75733489911</v>
      </c>
      <c r="F81" s="25" t="s">
        <v>16</v>
      </c>
      <c r="G81" s="332" t="s">
        <v>414</v>
      </c>
      <c r="H81" s="326">
        <f t="shared" si="3"/>
        <v>32</v>
      </c>
    </row>
    <row r="82" spans="1:9" x14ac:dyDescent="0.35">
      <c r="A82" s="326">
        <f t="shared" si="2"/>
        <v>33</v>
      </c>
      <c r="B82" s="322"/>
      <c r="C82" s="322"/>
      <c r="D82" s="322"/>
      <c r="E82" s="383"/>
      <c r="F82" s="384"/>
      <c r="G82" s="332"/>
      <c r="H82" s="326">
        <f t="shared" si="3"/>
        <v>33</v>
      </c>
    </row>
    <row r="83" spans="1:9" x14ac:dyDescent="0.35">
      <c r="A83" s="326">
        <f t="shared" si="2"/>
        <v>34</v>
      </c>
      <c r="B83" s="330" t="s">
        <v>262</v>
      </c>
      <c r="C83" s="322"/>
      <c r="D83" s="322"/>
      <c r="E83" s="371">
        <f>E81/E50</f>
        <v>1.8462680673038377E-3</v>
      </c>
      <c r="F83" s="372"/>
      <c r="G83" s="332" t="s">
        <v>415</v>
      </c>
      <c r="H83" s="326">
        <f t="shared" si="3"/>
        <v>34</v>
      </c>
    </row>
    <row r="84" spans="1:9" x14ac:dyDescent="0.35">
      <c r="A84" s="326">
        <f t="shared" si="2"/>
        <v>35</v>
      </c>
      <c r="B84" s="330"/>
      <c r="C84" s="322"/>
      <c r="D84" s="322"/>
      <c r="E84" s="386"/>
      <c r="F84" s="372"/>
      <c r="G84" s="332"/>
      <c r="H84" s="326">
        <f t="shared" si="3"/>
        <v>35</v>
      </c>
    </row>
    <row r="85" spans="1:9" x14ac:dyDescent="0.35">
      <c r="A85" s="326">
        <f t="shared" si="2"/>
        <v>36</v>
      </c>
      <c r="B85" s="329" t="s">
        <v>263</v>
      </c>
      <c r="C85" s="387"/>
      <c r="D85" s="387"/>
      <c r="E85" s="388"/>
      <c r="F85" s="388"/>
      <c r="G85" s="388"/>
      <c r="H85" s="326">
        <f t="shared" si="3"/>
        <v>36</v>
      </c>
    </row>
    <row r="86" spans="1:9" x14ac:dyDescent="0.35">
      <c r="A86" s="326">
        <f t="shared" si="2"/>
        <v>37</v>
      </c>
      <c r="B86" s="330" t="s">
        <v>264</v>
      </c>
      <c r="C86" s="387"/>
      <c r="D86" s="387"/>
      <c r="E86" s="189">
        <v>27998.281415386165</v>
      </c>
      <c r="F86" s="388"/>
      <c r="G86" s="332" t="s">
        <v>653</v>
      </c>
      <c r="H86" s="326">
        <f t="shared" si="3"/>
        <v>37</v>
      </c>
    </row>
    <row r="87" spans="1:9" x14ac:dyDescent="0.35">
      <c r="A87" s="326">
        <f t="shared" si="2"/>
        <v>38</v>
      </c>
      <c r="B87" s="329"/>
      <c r="C87" s="387"/>
      <c r="D87" s="387"/>
      <c r="E87" s="388"/>
      <c r="F87" s="388"/>
      <c r="G87" s="388"/>
      <c r="H87" s="326">
        <f t="shared" si="3"/>
        <v>38</v>
      </c>
    </row>
    <row r="88" spans="1:9" x14ac:dyDescent="0.35">
      <c r="A88" s="326">
        <f t="shared" si="2"/>
        <v>39</v>
      </c>
      <c r="B88" s="330" t="s">
        <v>265</v>
      </c>
      <c r="C88" s="387"/>
      <c r="D88" s="387"/>
      <c r="E88" s="389">
        <v>58913.955560284558</v>
      </c>
      <c r="F88" s="388"/>
      <c r="G88" s="332" t="s">
        <v>654</v>
      </c>
      <c r="H88" s="326">
        <f t="shared" si="3"/>
        <v>39</v>
      </c>
    </row>
    <row r="89" spans="1:9" ht="18" x14ac:dyDescent="0.6">
      <c r="A89" s="326">
        <f t="shared" si="2"/>
        <v>40</v>
      </c>
      <c r="B89" s="387"/>
      <c r="C89" s="390"/>
      <c r="D89" s="390"/>
      <c r="E89" s="391"/>
      <c r="F89" s="392"/>
      <c r="G89" s="387"/>
      <c r="H89" s="326">
        <f t="shared" si="3"/>
        <v>40</v>
      </c>
    </row>
    <row r="90" spans="1:9" x14ac:dyDescent="0.35">
      <c r="A90" s="326">
        <f t="shared" si="2"/>
        <v>41</v>
      </c>
      <c r="B90" s="330" t="s">
        <v>266</v>
      </c>
      <c r="C90" s="390"/>
      <c r="D90" s="390"/>
      <c r="E90" s="393">
        <f>E86+E88</f>
        <v>86912.236975670719</v>
      </c>
      <c r="F90" s="394"/>
      <c r="G90" s="332" t="s">
        <v>416</v>
      </c>
      <c r="H90" s="326">
        <f t="shared" si="3"/>
        <v>41</v>
      </c>
    </row>
    <row r="91" spans="1:9" x14ac:dyDescent="0.35">
      <c r="A91" s="326">
        <f t="shared" si="2"/>
        <v>42</v>
      </c>
      <c r="B91" s="395"/>
      <c r="C91" s="390"/>
      <c r="D91" s="390"/>
      <c r="E91" s="396"/>
      <c r="F91" s="394"/>
      <c r="G91" s="397"/>
      <c r="H91" s="326">
        <f t="shared" si="3"/>
        <v>42</v>
      </c>
    </row>
    <row r="92" spans="1:9" x14ac:dyDescent="0.35">
      <c r="A92" s="326">
        <f t="shared" si="2"/>
        <v>43</v>
      </c>
      <c r="B92" s="330" t="s">
        <v>260</v>
      </c>
      <c r="C92" s="390"/>
      <c r="D92" s="390"/>
      <c r="E92" s="398">
        <f>E79</f>
        <v>0.10066598585427104</v>
      </c>
      <c r="F92" s="25"/>
      <c r="G92" s="332" t="s">
        <v>417</v>
      </c>
      <c r="H92" s="326">
        <f t="shared" si="3"/>
        <v>43</v>
      </c>
    </row>
    <row r="93" spans="1:9" x14ac:dyDescent="0.35">
      <c r="A93" s="326">
        <f t="shared" si="2"/>
        <v>44</v>
      </c>
      <c r="B93" s="387"/>
      <c r="C93" s="390"/>
      <c r="D93" s="390"/>
      <c r="E93" s="399"/>
      <c r="F93" s="400"/>
      <c r="G93" s="387"/>
      <c r="H93" s="326">
        <f t="shared" si="3"/>
        <v>44</v>
      </c>
    </row>
    <row r="94" spans="1:9" x14ac:dyDescent="0.35">
      <c r="A94" s="326">
        <f t="shared" si="2"/>
        <v>45</v>
      </c>
      <c r="B94" s="330" t="s">
        <v>267</v>
      </c>
      <c r="C94" s="390"/>
      <c r="D94" s="390"/>
      <c r="E94" s="296">
        <f>E90*E92</f>
        <v>8749.1060179559208</v>
      </c>
      <c r="F94" s="401"/>
      <c r="G94" s="332" t="s">
        <v>418</v>
      </c>
      <c r="H94" s="326">
        <f t="shared" si="3"/>
        <v>45</v>
      </c>
    </row>
    <row r="95" spans="1:9" x14ac:dyDescent="0.35">
      <c r="A95" s="326">
        <f t="shared" si="2"/>
        <v>46</v>
      </c>
      <c r="B95" s="395"/>
      <c r="C95" s="390"/>
      <c r="D95" s="390"/>
      <c r="E95" s="402"/>
      <c r="F95" s="401"/>
      <c r="G95" s="397"/>
      <c r="H95" s="326">
        <f t="shared" si="3"/>
        <v>46</v>
      </c>
    </row>
    <row r="96" spans="1:9" x14ac:dyDescent="0.35">
      <c r="A96" s="326">
        <f t="shared" si="2"/>
        <v>47</v>
      </c>
      <c r="B96" s="330" t="s">
        <v>268</v>
      </c>
      <c r="C96" s="390"/>
      <c r="D96" s="390"/>
      <c r="E96" s="403">
        <v>12209.616424843296</v>
      </c>
      <c r="F96" s="401"/>
      <c r="G96" s="332" t="s">
        <v>655</v>
      </c>
      <c r="H96" s="326">
        <f t="shared" si="3"/>
        <v>47</v>
      </c>
      <c r="I96" s="390"/>
    </row>
    <row r="97" spans="1:8" x14ac:dyDescent="0.35">
      <c r="A97" s="326">
        <f t="shared" si="2"/>
        <v>48</v>
      </c>
      <c r="B97" s="330"/>
      <c r="C97" s="390"/>
      <c r="D97" s="390"/>
      <c r="E97" s="291"/>
      <c r="F97" s="401"/>
      <c r="G97" s="332"/>
      <c r="H97" s="326">
        <f t="shared" si="3"/>
        <v>48</v>
      </c>
    </row>
    <row r="98" spans="1:8" x14ac:dyDescent="0.35">
      <c r="A98" s="326">
        <f t="shared" si="2"/>
        <v>49</v>
      </c>
      <c r="B98" s="330" t="s">
        <v>269</v>
      </c>
      <c r="C98" s="390"/>
      <c r="D98" s="390"/>
      <c r="E98" s="291">
        <f>E94+E96</f>
        <v>20958.722442799219</v>
      </c>
      <c r="F98" s="401"/>
      <c r="G98" s="332" t="s">
        <v>419</v>
      </c>
      <c r="H98" s="326">
        <f t="shared" si="3"/>
        <v>49</v>
      </c>
    </row>
    <row r="99" spans="1:8" x14ac:dyDescent="0.35">
      <c r="A99" s="326">
        <f t="shared" si="2"/>
        <v>50</v>
      </c>
      <c r="B99" s="387"/>
      <c r="C99" s="390"/>
      <c r="D99" s="390"/>
      <c r="E99" s="404"/>
      <c r="F99" s="387"/>
      <c r="G99" s="387"/>
      <c r="H99" s="326">
        <f t="shared" si="3"/>
        <v>50</v>
      </c>
    </row>
    <row r="100" spans="1:8" ht="16" thickBot="1" x14ac:dyDescent="0.4">
      <c r="A100" s="326">
        <f t="shared" si="2"/>
        <v>51</v>
      </c>
      <c r="B100" s="330" t="s">
        <v>270</v>
      </c>
      <c r="C100" s="390"/>
      <c r="D100" s="390"/>
      <c r="E100" s="405">
        <f>E98/E50</f>
        <v>3.9106992387923003E-3</v>
      </c>
      <c r="F100" s="406"/>
      <c r="G100" s="332" t="s">
        <v>420</v>
      </c>
      <c r="H100" s="326">
        <f t="shared" si="3"/>
        <v>51</v>
      </c>
    </row>
    <row r="101" spans="1:8" ht="16" thickTop="1" x14ac:dyDescent="0.35">
      <c r="A101" s="333"/>
    </row>
    <row r="102" spans="1:8" x14ac:dyDescent="0.35">
      <c r="A102" s="333"/>
    </row>
    <row r="103" spans="1:8" x14ac:dyDescent="0.35">
      <c r="A103" s="25" t="s">
        <v>16</v>
      </c>
      <c r="B103" s="140" t="str">
        <f>B38</f>
        <v>Items in BOLD have changed to correct the over-allocation of "Duplicate Charges (Company Energy Use)" Credit in FERC Account no. 929.</v>
      </c>
    </row>
    <row r="104" spans="1:8" x14ac:dyDescent="0.35">
      <c r="A104" s="333"/>
      <c r="B104" s="22"/>
    </row>
    <row r="105" spans="1:8" x14ac:dyDescent="0.35">
      <c r="A105" s="333"/>
    </row>
    <row r="106" spans="1:8" x14ac:dyDescent="0.35">
      <c r="A106" s="333"/>
    </row>
    <row r="107" spans="1:8" x14ac:dyDescent="0.35">
      <c r="A107" s="333"/>
    </row>
    <row r="108" spans="1:8" x14ac:dyDescent="0.35">
      <c r="A108" s="333"/>
    </row>
    <row r="109" spans="1:8" x14ac:dyDescent="0.35">
      <c r="A109" s="333"/>
    </row>
    <row r="110" spans="1:8" x14ac:dyDescent="0.35">
      <c r="A110" s="333"/>
    </row>
    <row r="111" spans="1:8" x14ac:dyDescent="0.35">
      <c r="A111" s="333"/>
    </row>
    <row r="112" spans="1:8" x14ac:dyDescent="0.35">
      <c r="A112" s="333"/>
    </row>
    <row r="113" spans="1:1" x14ac:dyDescent="0.35">
      <c r="A113" s="333"/>
    </row>
    <row r="114" spans="1:1" x14ac:dyDescent="0.35">
      <c r="A114" s="333"/>
    </row>
    <row r="115" spans="1:1" x14ac:dyDescent="0.35">
      <c r="A115" s="333"/>
    </row>
    <row r="116" spans="1:1" x14ac:dyDescent="0.35">
      <c r="A116" s="333"/>
    </row>
    <row r="117" spans="1:1" x14ac:dyDescent="0.35">
      <c r="A117" s="333"/>
    </row>
    <row r="118" spans="1:1" x14ac:dyDescent="0.35">
      <c r="A118" s="333"/>
    </row>
    <row r="119" spans="1:1" x14ac:dyDescent="0.35">
      <c r="A119" s="333"/>
    </row>
    <row r="120" spans="1:1" x14ac:dyDescent="0.35">
      <c r="A120" s="333"/>
    </row>
    <row r="121" spans="1:1" x14ac:dyDescent="0.35">
      <c r="A121" s="333"/>
    </row>
    <row r="122" spans="1:1" x14ac:dyDescent="0.35">
      <c r="A122" s="333"/>
    </row>
    <row r="123" spans="1:1" x14ac:dyDescent="0.35">
      <c r="A123" s="333"/>
    </row>
    <row r="124" spans="1:1" x14ac:dyDescent="0.35">
      <c r="A124" s="333"/>
    </row>
    <row r="125" spans="1:1" x14ac:dyDescent="0.35">
      <c r="A125" s="333"/>
    </row>
    <row r="126" spans="1:1" x14ac:dyDescent="0.35">
      <c r="A126" s="333"/>
    </row>
    <row r="127" spans="1:1" x14ac:dyDescent="0.35">
      <c r="A127" s="333"/>
    </row>
    <row r="128" spans="1:1" x14ac:dyDescent="0.35">
      <c r="A128" s="333"/>
    </row>
    <row r="129" spans="1:1" x14ac:dyDescent="0.35">
      <c r="A129" s="333"/>
    </row>
    <row r="130" spans="1:1" x14ac:dyDescent="0.35">
      <c r="A130" s="333"/>
    </row>
    <row r="131" spans="1:1" x14ac:dyDescent="0.35">
      <c r="A131" s="333"/>
    </row>
    <row r="132" spans="1:1" x14ac:dyDescent="0.35">
      <c r="A132" s="333"/>
    </row>
    <row r="133" spans="1:1" x14ac:dyDescent="0.35">
      <c r="A133" s="333"/>
    </row>
    <row r="134" spans="1:1" x14ac:dyDescent="0.35">
      <c r="A134" s="333"/>
    </row>
    <row r="135" spans="1:1" x14ac:dyDescent="0.35">
      <c r="A135" s="333"/>
    </row>
    <row r="136" spans="1:1" x14ac:dyDescent="0.35">
      <c r="A136" s="333"/>
    </row>
    <row r="137" spans="1:1" x14ac:dyDescent="0.35">
      <c r="A137" s="333"/>
    </row>
    <row r="138" spans="1:1" x14ac:dyDescent="0.35">
      <c r="A138" s="333"/>
    </row>
    <row r="139" spans="1:1" x14ac:dyDescent="0.35">
      <c r="A139" s="333"/>
    </row>
    <row r="140" spans="1:1" x14ac:dyDescent="0.35">
      <c r="A140" s="333"/>
    </row>
    <row r="141" spans="1:1" x14ac:dyDescent="0.35">
      <c r="A141" s="333"/>
    </row>
    <row r="142" spans="1:1" x14ac:dyDescent="0.35">
      <c r="A142" s="333"/>
    </row>
    <row r="143" spans="1:1" x14ac:dyDescent="0.35">
      <c r="A143" s="333"/>
    </row>
    <row r="144" spans="1:1" x14ac:dyDescent="0.35">
      <c r="A144" s="333"/>
    </row>
    <row r="145" spans="1:6" x14ac:dyDescent="0.35">
      <c r="A145" s="333"/>
    </row>
    <row r="146" spans="1:6" x14ac:dyDescent="0.35">
      <c r="A146" s="333"/>
    </row>
    <row r="147" spans="1:6" x14ac:dyDescent="0.35">
      <c r="A147" s="333"/>
    </row>
    <row r="148" spans="1:6" x14ac:dyDescent="0.35">
      <c r="A148" s="333"/>
    </row>
    <row r="149" spans="1:6" x14ac:dyDescent="0.35">
      <c r="A149" s="333"/>
    </row>
    <row r="150" spans="1:6" x14ac:dyDescent="0.35">
      <c r="A150" s="333"/>
    </row>
    <row r="151" spans="1:6" x14ac:dyDescent="0.35">
      <c r="A151" s="333"/>
    </row>
    <row r="152" spans="1:6" x14ac:dyDescent="0.35">
      <c r="A152" s="333"/>
    </row>
    <row r="153" spans="1:6" x14ac:dyDescent="0.35">
      <c r="A153" s="333"/>
    </row>
    <row r="154" spans="1:6" x14ac:dyDescent="0.35">
      <c r="A154" s="333"/>
    </row>
    <row r="155" spans="1:6" x14ac:dyDescent="0.35">
      <c r="A155" s="333"/>
      <c r="B155" s="323"/>
      <c r="C155" s="323"/>
      <c r="D155" s="323"/>
      <c r="E155" s="323"/>
      <c r="F155" s="323"/>
    </row>
    <row r="156" spans="1:6" x14ac:dyDescent="0.35">
      <c r="A156" s="333"/>
      <c r="B156" s="323"/>
      <c r="C156" s="323"/>
      <c r="D156" s="323"/>
      <c r="E156" s="323"/>
      <c r="F156" s="323"/>
    </row>
    <row r="161" spans="1:6" x14ac:dyDescent="0.35">
      <c r="A161" s="325"/>
      <c r="B161" s="323"/>
      <c r="C161" s="323"/>
      <c r="D161" s="323"/>
      <c r="E161" s="407"/>
      <c r="F161" s="407"/>
    </row>
  </sheetData>
  <mergeCells count="10">
    <mergeCell ref="B42:G42"/>
    <mergeCell ref="B43:G43"/>
    <mergeCell ref="B44:G44"/>
    <mergeCell ref="B45:G45"/>
    <mergeCell ref="B2:G2"/>
    <mergeCell ref="B3:G3"/>
    <mergeCell ref="B4:G4"/>
    <mergeCell ref="B5:G5"/>
    <mergeCell ref="B6:G6"/>
    <mergeCell ref="B41:G41"/>
  </mergeCells>
  <printOptions horizontalCentered="1"/>
  <pageMargins left="0.25" right="0.25" top="0.5" bottom="0.5" header="0.35" footer="0.25"/>
  <pageSetup scale="55" orientation="portrait" r:id="rId1"/>
  <headerFooter scaleWithDoc="0" alignWithMargins="0">
    <oddHeader>&amp;C&amp;"Times New Roman,Bold"&amp;7REVISED</oddHeader>
    <oddFooter>&amp;L&amp;F&amp;CPage 5.&amp;P&amp;R&amp;A</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5F9D-4A7B-4714-BC3E-865E7B79C9A3}">
  <dimension ref="A1:J163"/>
  <sheetViews>
    <sheetView zoomScale="80" zoomScaleNormal="80" workbookViewId="0"/>
  </sheetViews>
  <sheetFormatPr defaultColWidth="8.81640625" defaultRowHeight="15.5" x14ac:dyDescent="0.35"/>
  <cols>
    <col min="1" max="1" width="5.1796875" style="40" customWidth="1"/>
    <col min="2" max="2" width="93.1796875" style="18" bestFit="1" customWidth="1"/>
    <col min="3" max="3" width="10.453125" style="18" customWidth="1"/>
    <col min="4" max="4" width="1.54296875" style="18" customWidth="1"/>
    <col min="5" max="5" width="16.81640625" style="18" customWidth="1"/>
    <col min="6" max="6" width="1.54296875" style="18" customWidth="1"/>
    <col min="7" max="7" width="43.453125" style="18" customWidth="1"/>
    <col min="8" max="8" width="5.1796875" style="39" customWidth="1"/>
    <col min="9" max="9" width="8.81640625" style="18"/>
    <col min="10" max="10" width="9.81640625" style="18" bestFit="1" customWidth="1"/>
    <col min="11" max="16384" width="8.81640625" style="18"/>
  </cols>
  <sheetData>
    <row r="1" spans="1:8" x14ac:dyDescent="0.35">
      <c r="A1" s="614" t="s">
        <v>666</v>
      </c>
    </row>
    <row r="2" spans="1:8" x14ac:dyDescent="0.35">
      <c r="A2" s="321"/>
      <c r="B2" s="322"/>
      <c r="C2" s="322"/>
      <c r="D2" s="322"/>
      <c r="E2" s="323"/>
      <c r="F2" s="323"/>
      <c r="G2" s="493"/>
      <c r="H2" s="221"/>
    </row>
    <row r="3" spans="1:8" x14ac:dyDescent="0.35">
      <c r="A3" s="321"/>
      <c r="B3" s="779" t="s">
        <v>24</v>
      </c>
      <c r="C3" s="779"/>
      <c r="D3" s="779"/>
      <c r="E3" s="779"/>
      <c r="F3" s="779"/>
      <c r="G3" s="779"/>
      <c r="H3" s="221"/>
    </row>
    <row r="4" spans="1:8" x14ac:dyDescent="0.35">
      <c r="B4" s="779" t="s">
        <v>216</v>
      </c>
      <c r="C4" s="779"/>
      <c r="D4" s="779"/>
      <c r="E4" s="779"/>
      <c r="F4" s="779"/>
      <c r="G4" s="779"/>
      <c r="H4" s="321"/>
    </row>
    <row r="5" spans="1:8" x14ac:dyDescent="0.35">
      <c r="B5" s="779" t="s">
        <v>231</v>
      </c>
      <c r="C5" s="779"/>
      <c r="D5" s="779"/>
      <c r="E5" s="779"/>
      <c r="F5" s="779"/>
      <c r="G5" s="779"/>
      <c r="H5" s="321"/>
    </row>
    <row r="6" spans="1:8" x14ac:dyDescent="0.35">
      <c r="B6" s="780" t="s">
        <v>512</v>
      </c>
      <c r="C6" s="780"/>
      <c r="D6" s="780"/>
      <c r="E6" s="780"/>
      <c r="F6" s="780"/>
      <c r="G6" s="780"/>
      <c r="H6" s="321"/>
    </row>
    <row r="7" spans="1:8" x14ac:dyDescent="0.35">
      <c r="B7" s="781" t="s">
        <v>1</v>
      </c>
      <c r="C7" s="781"/>
      <c r="D7" s="781"/>
      <c r="E7" s="781"/>
      <c r="F7" s="781"/>
      <c r="G7" s="781"/>
      <c r="H7" s="324"/>
    </row>
    <row r="8" spans="1:8" x14ac:dyDescent="0.35">
      <c r="A8" s="325"/>
      <c r="B8" s="494"/>
      <c r="C8" s="494"/>
      <c r="D8" s="494"/>
      <c r="E8" s="494"/>
      <c r="F8" s="494"/>
      <c r="G8" s="323"/>
      <c r="H8" s="221"/>
    </row>
    <row r="9" spans="1:8" x14ac:dyDescent="0.35">
      <c r="A9" s="326" t="s">
        <v>2</v>
      </c>
      <c r="B9" s="322"/>
      <c r="C9" s="322"/>
      <c r="D9" s="322"/>
      <c r="E9" s="494"/>
      <c r="F9" s="494"/>
      <c r="G9" s="322"/>
      <c r="H9" s="326" t="s">
        <v>2</v>
      </c>
    </row>
    <row r="10" spans="1:8" x14ac:dyDescent="0.35">
      <c r="A10" s="326" t="s">
        <v>6</v>
      </c>
      <c r="B10" s="322"/>
      <c r="C10" s="322"/>
      <c r="D10" s="322"/>
      <c r="E10" s="327" t="s">
        <v>4</v>
      </c>
      <c r="F10" s="328"/>
      <c r="G10" s="327" t="s">
        <v>5</v>
      </c>
      <c r="H10" s="326" t="s">
        <v>6</v>
      </c>
    </row>
    <row r="11" spans="1:8" x14ac:dyDescent="0.35">
      <c r="A11" s="326"/>
      <c r="B11" s="322"/>
      <c r="C11" s="322"/>
      <c r="D11" s="322"/>
      <c r="E11" s="494"/>
      <c r="F11" s="328"/>
      <c r="G11" s="494"/>
      <c r="H11" s="326"/>
    </row>
    <row r="12" spans="1:8" x14ac:dyDescent="0.35">
      <c r="A12" s="326">
        <v>1</v>
      </c>
      <c r="B12" s="329" t="s">
        <v>232</v>
      </c>
      <c r="C12" s="329"/>
      <c r="D12" s="329"/>
      <c r="E12" s="323"/>
      <c r="F12" s="323"/>
      <c r="G12" s="494"/>
      <c r="H12" s="326">
        <f>A12</f>
        <v>1</v>
      </c>
    </row>
    <row r="13" spans="1:8" x14ac:dyDescent="0.35">
      <c r="A13" s="326">
        <f>A12+1</f>
        <v>2</v>
      </c>
      <c r="B13" s="330" t="s">
        <v>233</v>
      </c>
      <c r="C13" s="331"/>
      <c r="D13" s="331"/>
      <c r="E13" s="335">
        <f>E57</f>
        <v>6.2789973715967236E-3</v>
      </c>
      <c r="F13" s="25"/>
      <c r="G13" s="332" t="str">
        <f>"Page 2; Line "&amp;A57</f>
        <v>Page 2; Line 6</v>
      </c>
      <c r="H13" s="326">
        <f>H12+1</f>
        <v>2</v>
      </c>
    </row>
    <row r="14" spans="1:8" x14ac:dyDescent="0.35">
      <c r="A14" s="326">
        <f t="shared" ref="A14:A36" si="0">A13+1</f>
        <v>3</v>
      </c>
      <c r="B14" s="322"/>
      <c r="C14" s="333"/>
      <c r="D14" s="333"/>
      <c r="E14" s="334"/>
      <c r="F14" s="328"/>
      <c r="G14" s="332"/>
      <c r="H14" s="326">
        <f t="shared" ref="H14:H36" si="1">H13+1</f>
        <v>3</v>
      </c>
    </row>
    <row r="15" spans="1:8" x14ac:dyDescent="0.35">
      <c r="A15" s="326">
        <f t="shared" si="0"/>
        <v>4</v>
      </c>
      <c r="B15" s="330" t="s">
        <v>17</v>
      </c>
      <c r="C15" s="331"/>
      <c r="D15" s="331"/>
      <c r="E15" s="669">
        <f>E62</f>
        <v>9.0532049481458887E-3</v>
      </c>
      <c r="F15" s="25" t="s">
        <v>16</v>
      </c>
      <c r="G15" s="332" t="str">
        <f>"Page 2; Line "&amp;A62</f>
        <v>Page 2; Line 11</v>
      </c>
      <c r="H15" s="326">
        <f t="shared" si="1"/>
        <v>4</v>
      </c>
    </row>
    <row r="16" spans="1:8" x14ac:dyDescent="0.35">
      <c r="A16" s="326">
        <f t="shared" si="0"/>
        <v>5</v>
      </c>
      <c r="B16" s="323"/>
      <c r="C16" s="325"/>
      <c r="D16" s="325"/>
      <c r="E16" s="337"/>
      <c r="F16" s="338"/>
      <c r="G16" s="332"/>
      <c r="H16" s="326">
        <f t="shared" si="1"/>
        <v>5</v>
      </c>
    </row>
    <row r="17" spans="1:8" x14ac:dyDescent="0.35">
      <c r="A17" s="326">
        <f t="shared" si="0"/>
        <v>6</v>
      </c>
      <c r="B17" s="323" t="s">
        <v>234</v>
      </c>
      <c r="C17" s="325"/>
      <c r="D17" s="325"/>
      <c r="E17" s="339">
        <f>E67</f>
        <v>1.0610789729761233E-2</v>
      </c>
      <c r="F17" s="338"/>
      <c r="G17" s="332" t="str">
        <f>"Page 2; Line "&amp;A67</f>
        <v>Page 2; Line 16</v>
      </c>
      <c r="H17" s="326">
        <f t="shared" si="1"/>
        <v>6</v>
      </c>
    </row>
    <row r="18" spans="1:8" x14ac:dyDescent="0.35">
      <c r="A18" s="326">
        <f t="shared" si="0"/>
        <v>7</v>
      </c>
      <c r="B18" s="323"/>
      <c r="C18" s="325"/>
      <c r="D18" s="325"/>
      <c r="E18" s="337"/>
      <c r="F18" s="338"/>
      <c r="G18" s="332"/>
      <c r="H18" s="326">
        <f t="shared" si="1"/>
        <v>7</v>
      </c>
    </row>
    <row r="19" spans="1:8" x14ac:dyDescent="0.35">
      <c r="A19" s="326">
        <f t="shared" si="0"/>
        <v>8</v>
      </c>
      <c r="B19" s="330" t="s">
        <v>235</v>
      </c>
      <c r="C19" s="331"/>
      <c r="D19" s="331"/>
      <c r="E19" s="335">
        <f>E72</f>
        <v>3.1703239026281438E-4</v>
      </c>
      <c r="F19" s="336"/>
      <c r="G19" s="332" t="str">
        <f>"Page 2; Line "&amp;A72</f>
        <v>Page 2; Line 21</v>
      </c>
      <c r="H19" s="326">
        <f t="shared" si="1"/>
        <v>8</v>
      </c>
    </row>
    <row r="20" spans="1:8" x14ac:dyDescent="0.35">
      <c r="A20" s="326">
        <f t="shared" si="0"/>
        <v>9</v>
      </c>
      <c r="B20" s="322"/>
      <c r="C20" s="333"/>
      <c r="D20" s="333"/>
      <c r="E20" s="334"/>
      <c r="F20" s="328"/>
      <c r="G20" s="332"/>
      <c r="H20" s="326">
        <f t="shared" si="1"/>
        <v>9</v>
      </c>
    </row>
    <row r="21" spans="1:8" x14ac:dyDescent="0.35">
      <c r="A21" s="326">
        <f t="shared" si="0"/>
        <v>10</v>
      </c>
      <c r="B21" s="330" t="s">
        <v>236</v>
      </c>
      <c r="C21" s="333"/>
      <c r="D21" s="333"/>
      <c r="E21" s="335">
        <f>E85</f>
        <v>1.8461201844863534E-3</v>
      </c>
      <c r="F21" s="328"/>
      <c r="G21" s="332" t="str">
        <f>"Page 2; Line "&amp;A85</f>
        <v>Page 2; Line 34</v>
      </c>
      <c r="H21" s="326">
        <f t="shared" si="1"/>
        <v>10</v>
      </c>
    </row>
    <row r="22" spans="1:8" x14ac:dyDescent="0.35">
      <c r="A22" s="326">
        <f t="shared" si="0"/>
        <v>11</v>
      </c>
      <c r="B22" s="322"/>
      <c r="C22" s="333"/>
      <c r="D22" s="333"/>
      <c r="E22" s="334"/>
      <c r="F22" s="328"/>
      <c r="G22" s="332"/>
      <c r="H22" s="326">
        <f t="shared" si="1"/>
        <v>11</v>
      </c>
    </row>
    <row r="23" spans="1:8" x14ac:dyDescent="0.35">
      <c r="A23" s="326">
        <f t="shared" si="0"/>
        <v>12</v>
      </c>
      <c r="B23" s="330" t="s">
        <v>237</v>
      </c>
      <c r="C23" s="331"/>
      <c r="D23" s="331"/>
      <c r="E23" s="335">
        <f>E102</f>
        <v>3.9106992387923003E-3</v>
      </c>
      <c r="F23" s="336"/>
      <c r="G23" s="332" t="str">
        <f>"Page 2; Line "&amp;A102</f>
        <v>Page 2; Line 51</v>
      </c>
      <c r="H23" s="326">
        <f t="shared" si="1"/>
        <v>12</v>
      </c>
    </row>
    <row r="24" spans="1:8" x14ac:dyDescent="0.35">
      <c r="A24" s="326">
        <f t="shared" si="0"/>
        <v>13</v>
      </c>
      <c r="B24" s="340"/>
      <c r="C24" s="341"/>
      <c r="D24" s="341"/>
      <c r="E24" s="342"/>
      <c r="F24" s="343"/>
      <c r="G24" s="332"/>
      <c r="H24" s="326">
        <f t="shared" si="1"/>
        <v>13</v>
      </c>
    </row>
    <row r="25" spans="1:8" x14ac:dyDescent="0.35">
      <c r="A25" s="326">
        <f t="shared" si="0"/>
        <v>14</v>
      </c>
      <c r="B25" s="330" t="s">
        <v>238</v>
      </c>
      <c r="C25" s="331"/>
      <c r="D25" s="331"/>
      <c r="E25" s="644">
        <f>SUM(E13:E23)</f>
        <v>3.2016843863045312E-2</v>
      </c>
      <c r="F25" s="25" t="s">
        <v>16</v>
      </c>
      <c r="G25" s="332" t="str">
        <f>"Sum Lines "&amp;A13&amp;" thru "&amp;A23&amp;""</f>
        <v>Sum Lines 2 thru 12</v>
      </c>
      <c r="H25" s="326">
        <f t="shared" si="1"/>
        <v>14</v>
      </c>
    </row>
    <row r="26" spans="1:8" x14ac:dyDescent="0.35">
      <c r="A26" s="326">
        <f t="shared" si="0"/>
        <v>15</v>
      </c>
      <c r="B26" s="322"/>
      <c r="C26" s="333"/>
      <c r="D26" s="333"/>
      <c r="E26" s="344"/>
      <c r="F26" s="345"/>
      <c r="G26" s="332"/>
      <c r="H26" s="326">
        <f t="shared" si="1"/>
        <v>15</v>
      </c>
    </row>
    <row r="27" spans="1:8" x14ac:dyDescent="0.35">
      <c r="A27" s="326">
        <f t="shared" si="0"/>
        <v>16</v>
      </c>
      <c r="B27" s="323" t="s">
        <v>239</v>
      </c>
      <c r="C27" s="346">
        <v>1.0274999999999999E-2</v>
      </c>
      <c r="D27" s="333"/>
      <c r="E27" s="506">
        <f>E25*C27</f>
        <v>3.2897307069279058E-4</v>
      </c>
      <c r="F27" s="347"/>
      <c r="G27" s="332" t="str">
        <f>"Line "&amp;A25&amp;" x Franchise Fee Rate"</f>
        <v>Line 14 x Franchise Fee Rate</v>
      </c>
      <c r="H27" s="326">
        <f t="shared" si="1"/>
        <v>16</v>
      </c>
    </row>
    <row r="28" spans="1:8" x14ac:dyDescent="0.35">
      <c r="A28" s="326">
        <f t="shared" si="0"/>
        <v>17</v>
      </c>
      <c r="B28" s="322"/>
      <c r="C28" s="333"/>
      <c r="D28" s="333"/>
      <c r="E28" s="348"/>
      <c r="F28" s="349"/>
      <c r="G28" s="332"/>
      <c r="H28" s="326">
        <f t="shared" si="1"/>
        <v>17</v>
      </c>
    </row>
    <row r="29" spans="1:8" ht="16" thickBot="1" x14ac:dyDescent="0.4">
      <c r="A29" s="326">
        <f t="shared" si="0"/>
        <v>18</v>
      </c>
      <c r="B29" s="322" t="s">
        <v>240</v>
      </c>
      <c r="C29" s="333"/>
      <c r="D29" s="333"/>
      <c r="E29" s="645">
        <f>E25+E27</f>
        <v>3.23458169337381E-2</v>
      </c>
      <c r="F29" s="25" t="s">
        <v>16</v>
      </c>
      <c r="G29" s="332" t="str">
        <f>"Line "&amp;A25&amp;" + Line "&amp;A27</f>
        <v>Line 14 + Line 16</v>
      </c>
      <c r="H29" s="326">
        <f t="shared" si="1"/>
        <v>18</v>
      </c>
    </row>
    <row r="30" spans="1:8" ht="16" thickTop="1" x14ac:dyDescent="0.35">
      <c r="A30" s="326">
        <f t="shared" si="0"/>
        <v>19</v>
      </c>
      <c r="B30" s="323"/>
      <c r="C30" s="325"/>
      <c r="D30" s="325"/>
      <c r="E30" s="333"/>
      <c r="F30" s="322"/>
      <c r="G30" s="322"/>
      <c r="H30" s="326">
        <f t="shared" si="1"/>
        <v>19</v>
      </c>
    </row>
    <row r="31" spans="1:8" x14ac:dyDescent="0.35">
      <c r="A31" s="326">
        <f t="shared" si="0"/>
        <v>20</v>
      </c>
      <c r="B31" s="329" t="s">
        <v>241</v>
      </c>
      <c r="C31" s="350"/>
      <c r="D31" s="350"/>
      <c r="E31" s="325"/>
      <c r="F31" s="323"/>
      <c r="G31" s="322"/>
      <c r="H31" s="326">
        <f t="shared" si="1"/>
        <v>20</v>
      </c>
    </row>
    <row r="32" spans="1:8" x14ac:dyDescent="0.35">
      <c r="A32" s="326">
        <f t="shared" si="0"/>
        <v>21</v>
      </c>
      <c r="B32" s="330" t="s">
        <v>391</v>
      </c>
      <c r="C32" s="331"/>
      <c r="D32" s="331"/>
      <c r="E32" s="351">
        <v>27000</v>
      </c>
      <c r="F32" s="328"/>
      <c r="G32" s="332" t="s">
        <v>242</v>
      </c>
      <c r="H32" s="326">
        <f t="shared" si="1"/>
        <v>21</v>
      </c>
    </row>
    <row r="33" spans="1:8" x14ac:dyDescent="0.35">
      <c r="A33" s="326">
        <f t="shared" si="0"/>
        <v>22</v>
      </c>
      <c r="B33" s="330"/>
      <c r="C33" s="331"/>
      <c r="D33" s="331"/>
      <c r="E33" s="331"/>
      <c r="F33" s="330"/>
      <c r="G33" s="332"/>
      <c r="H33" s="326">
        <f t="shared" si="1"/>
        <v>22</v>
      </c>
    </row>
    <row r="34" spans="1:8" x14ac:dyDescent="0.35">
      <c r="A34" s="326">
        <f t="shared" si="0"/>
        <v>23</v>
      </c>
      <c r="B34" s="330" t="s">
        <v>243</v>
      </c>
      <c r="C34" s="331"/>
      <c r="D34" s="331"/>
      <c r="E34" s="644">
        <f>+E29</f>
        <v>3.23458169337381E-2</v>
      </c>
      <c r="F34" s="25" t="s">
        <v>16</v>
      </c>
      <c r="G34" s="332" t="str">
        <f>"Line "&amp;A29&amp;" Above"</f>
        <v>Line 18 Above</v>
      </c>
      <c r="H34" s="326">
        <f t="shared" si="1"/>
        <v>23</v>
      </c>
    </row>
    <row r="35" spans="1:8" x14ac:dyDescent="0.35">
      <c r="A35" s="326">
        <f t="shared" si="0"/>
        <v>24</v>
      </c>
      <c r="B35" s="322"/>
      <c r="C35" s="333"/>
      <c r="D35" s="333"/>
      <c r="E35" s="352"/>
      <c r="F35" s="353"/>
      <c r="G35" s="332"/>
      <c r="H35" s="326">
        <f t="shared" si="1"/>
        <v>24</v>
      </c>
    </row>
    <row r="36" spans="1:8" ht="16" thickBot="1" x14ac:dyDescent="0.4">
      <c r="A36" s="326">
        <f t="shared" si="0"/>
        <v>25</v>
      </c>
      <c r="B36" s="322" t="s">
        <v>244</v>
      </c>
      <c r="C36" s="331"/>
      <c r="D36" s="331"/>
      <c r="E36" s="615">
        <f>E32*E34</f>
        <v>873.33705721092872</v>
      </c>
      <c r="F36" s="25" t="s">
        <v>16</v>
      </c>
      <c r="G36" s="332" t="str">
        <f>"Line "&amp;A32&amp;" x Line "&amp;A34</f>
        <v>Line 21 x Line 23</v>
      </c>
      <c r="H36" s="326">
        <f t="shared" si="1"/>
        <v>25</v>
      </c>
    </row>
    <row r="37" spans="1:8" ht="16" thickTop="1" x14ac:dyDescent="0.35">
      <c r="A37" s="326"/>
      <c r="B37" s="322"/>
      <c r="C37" s="330"/>
      <c r="D37" s="330"/>
      <c r="E37" s="354"/>
      <c r="F37" s="355"/>
      <c r="G37" s="332"/>
      <c r="H37" s="326"/>
    </row>
    <row r="38" spans="1:8" x14ac:dyDescent="0.35">
      <c r="A38" s="326"/>
      <c r="B38" s="322"/>
      <c r="C38" s="330"/>
      <c r="D38" s="330"/>
      <c r="E38" s="354"/>
      <c r="F38" s="355"/>
      <c r="G38" s="332"/>
      <c r="H38" s="326"/>
    </row>
    <row r="39" spans="1:8" x14ac:dyDescent="0.35">
      <c r="A39" s="25" t="s">
        <v>16</v>
      </c>
      <c r="B39" s="22" t="s">
        <v>650</v>
      </c>
      <c r="C39" s="330"/>
      <c r="D39" s="330"/>
      <c r="E39" s="354"/>
      <c r="F39" s="355"/>
      <c r="G39" s="332"/>
      <c r="H39" s="326"/>
    </row>
    <row r="40" spans="1:8" x14ac:dyDescent="0.35">
      <c r="A40" s="326"/>
      <c r="B40" s="22" t="s">
        <v>632</v>
      </c>
      <c r="C40" s="330"/>
      <c r="D40" s="330"/>
      <c r="E40" s="354"/>
      <c r="F40" s="355"/>
      <c r="G40" s="332"/>
      <c r="H40" s="326"/>
    </row>
    <row r="41" spans="1:8" x14ac:dyDescent="0.35">
      <c r="A41" s="25"/>
      <c r="B41" s="22"/>
      <c r="C41" s="322"/>
      <c r="D41" s="322"/>
      <c r="E41" s="340"/>
      <c r="F41" s="340"/>
      <c r="G41" s="323"/>
      <c r="H41" s="221"/>
    </row>
    <row r="42" spans="1:8" x14ac:dyDescent="0.35">
      <c r="A42" s="25"/>
      <c r="B42" s="22"/>
      <c r="C42" s="322"/>
      <c r="D42" s="322"/>
      <c r="E42" s="340"/>
      <c r="F42" s="340"/>
      <c r="G42" s="323"/>
      <c r="H42" s="221"/>
    </row>
    <row r="43" spans="1:8" x14ac:dyDescent="0.35">
      <c r="A43" s="325"/>
      <c r="B43" s="778" t="str">
        <f>B3</f>
        <v>SAN DIEGO GAS &amp; ELECTRIC COMPANY</v>
      </c>
      <c r="C43" s="778"/>
      <c r="D43" s="778"/>
      <c r="E43" s="778"/>
      <c r="F43" s="778"/>
      <c r="G43" s="778"/>
      <c r="H43" s="221"/>
    </row>
    <row r="44" spans="1:8" x14ac:dyDescent="0.35">
      <c r="B44" s="778" t="str">
        <f>B4</f>
        <v>CITIZENS' SHARE OF THE SX-PQ UNDERGROUND LINE SEGMENT</v>
      </c>
      <c r="C44" s="778"/>
      <c r="D44" s="778"/>
      <c r="E44" s="778"/>
      <c r="F44" s="778"/>
      <c r="G44" s="778"/>
      <c r="H44" s="341"/>
    </row>
    <row r="45" spans="1:8" x14ac:dyDescent="0.35">
      <c r="B45" s="779" t="str">
        <f>B5</f>
        <v xml:space="preserve">Section 2 - Non-Direct Expense Cost Component </v>
      </c>
      <c r="C45" s="779"/>
      <c r="D45" s="779"/>
      <c r="E45" s="779"/>
      <c r="F45" s="779"/>
      <c r="G45" s="779"/>
      <c r="H45" s="333"/>
    </row>
    <row r="46" spans="1:8" x14ac:dyDescent="0.35">
      <c r="B46" s="780" t="str">
        <f>B6</f>
        <v>Base Period &amp; True-Up Period 12 - Months Ending December 31, 2020</v>
      </c>
      <c r="C46" s="780"/>
      <c r="D46" s="780"/>
      <c r="E46" s="780"/>
      <c r="F46" s="780"/>
      <c r="G46" s="780"/>
      <c r="H46" s="333"/>
    </row>
    <row r="47" spans="1:8" x14ac:dyDescent="0.35">
      <c r="B47" s="781" t="str">
        <f>B7</f>
        <v>($1,000)</v>
      </c>
      <c r="C47" s="775"/>
      <c r="D47" s="775"/>
      <c r="E47" s="775"/>
      <c r="F47" s="775"/>
      <c r="G47" s="775"/>
      <c r="H47" s="148"/>
    </row>
    <row r="48" spans="1:8" x14ac:dyDescent="0.35">
      <c r="A48" s="356"/>
      <c r="B48" s="322"/>
      <c r="C48" s="322"/>
      <c r="D48" s="322"/>
      <c r="E48" s="322"/>
      <c r="F48" s="322"/>
      <c r="G48" s="322"/>
      <c r="H48" s="221"/>
    </row>
    <row r="49" spans="1:10" x14ac:dyDescent="0.35">
      <c r="A49" s="326" t="s">
        <v>2</v>
      </c>
      <c r="B49" s="322"/>
      <c r="C49" s="322"/>
      <c r="D49" s="322"/>
      <c r="E49" s="494"/>
      <c r="F49" s="494"/>
      <c r="G49" s="322"/>
      <c r="H49" s="326" t="s">
        <v>2</v>
      </c>
    </row>
    <row r="50" spans="1:10" x14ac:dyDescent="0.35">
      <c r="A50" s="326" t="s">
        <v>6</v>
      </c>
      <c r="B50" s="322"/>
      <c r="C50" s="322"/>
      <c r="D50" s="322"/>
      <c r="E50" s="327" t="s">
        <v>4</v>
      </c>
      <c r="F50" s="332"/>
      <c r="G50" s="327" t="s">
        <v>5</v>
      </c>
      <c r="H50" s="326" t="s">
        <v>6</v>
      </c>
    </row>
    <row r="51" spans="1:10" x14ac:dyDescent="0.35">
      <c r="A51" s="326"/>
      <c r="B51" s="322"/>
      <c r="C51" s="322"/>
      <c r="D51" s="322"/>
      <c r="E51" s="494"/>
      <c r="F51" s="494"/>
      <c r="G51" s="322"/>
      <c r="H51" s="326"/>
    </row>
    <row r="52" spans="1:10" x14ac:dyDescent="0.35">
      <c r="A52" s="326">
        <v>1</v>
      </c>
      <c r="B52" s="357" t="s">
        <v>22</v>
      </c>
      <c r="C52" s="357"/>
      <c r="D52" s="357"/>
      <c r="E52" s="717">
        <v>5359328.6425349545</v>
      </c>
      <c r="F52" s="25" t="s">
        <v>16</v>
      </c>
      <c r="G52" s="332" t="s">
        <v>651</v>
      </c>
      <c r="H52" s="326">
        <f>A52</f>
        <v>1</v>
      </c>
    </row>
    <row r="53" spans="1:10" x14ac:dyDescent="0.35">
      <c r="A53" s="326">
        <f>A52+1</f>
        <v>2</v>
      </c>
      <c r="B53" s="322"/>
      <c r="C53" s="322"/>
      <c r="D53" s="322"/>
      <c r="E53" s="321"/>
      <c r="F53" s="494"/>
      <c r="G53" s="322"/>
      <c r="H53" s="326">
        <f>H52+1</f>
        <v>2</v>
      </c>
    </row>
    <row r="54" spans="1:10" x14ac:dyDescent="0.35">
      <c r="A54" s="326">
        <f t="shared" ref="A54:A102" si="2">A53+1</f>
        <v>3</v>
      </c>
      <c r="B54" s="329" t="s">
        <v>245</v>
      </c>
      <c r="C54" s="329"/>
      <c r="D54" s="329"/>
      <c r="E54" s="359"/>
      <c r="F54" s="360"/>
      <c r="G54" s="322"/>
      <c r="H54" s="326">
        <f t="shared" ref="H54:H102" si="3">H53+1</f>
        <v>3</v>
      </c>
    </row>
    <row r="55" spans="1:10" x14ac:dyDescent="0.35">
      <c r="A55" s="326">
        <f t="shared" si="2"/>
        <v>4</v>
      </c>
      <c r="B55" s="330" t="s">
        <v>246</v>
      </c>
      <c r="C55" s="330"/>
      <c r="D55" s="330"/>
      <c r="E55" s="604">
        <v>33651.210460000017</v>
      </c>
      <c r="F55" s="25"/>
      <c r="G55" s="332" t="s">
        <v>511</v>
      </c>
      <c r="H55" s="326">
        <f t="shared" si="3"/>
        <v>4</v>
      </c>
      <c r="J55" s="361"/>
    </row>
    <row r="56" spans="1:10" x14ac:dyDescent="0.35">
      <c r="A56" s="326">
        <f t="shared" si="2"/>
        <v>5</v>
      </c>
      <c r="B56" s="330"/>
      <c r="C56" s="330"/>
      <c r="D56" s="330"/>
      <c r="E56" s="362"/>
      <c r="F56" s="363"/>
      <c r="G56" s="332"/>
      <c r="H56" s="326">
        <f t="shared" si="3"/>
        <v>5</v>
      </c>
      <c r="J56" s="361"/>
    </row>
    <row r="57" spans="1:10" x14ac:dyDescent="0.35">
      <c r="A57" s="326">
        <f t="shared" si="2"/>
        <v>6</v>
      </c>
      <c r="B57" s="330" t="s">
        <v>247</v>
      </c>
      <c r="C57" s="322"/>
      <c r="D57" s="322"/>
      <c r="E57" s="371">
        <f>E55/E52</f>
        <v>6.2789973715967236E-3</v>
      </c>
      <c r="F57" s="25"/>
      <c r="G57" s="332" t="s">
        <v>408</v>
      </c>
      <c r="H57" s="326">
        <f t="shared" si="3"/>
        <v>6</v>
      </c>
      <c r="J57" s="361"/>
    </row>
    <row r="58" spans="1:10" x14ac:dyDescent="0.35">
      <c r="A58" s="326">
        <f t="shared" si="2"/>
        <v>7</v>
      </c>
      <c r="B58" s="330"/>
      <c r="C58" s="330"/>
      <c r="D58" s="330"/>
      <c r="E58" s="364"/>
      <c r="F58" s="365"/>
      <c r="G58" s="332"/>
      <c r="H58" s="326">
        <f t="shared" si="3"/>
        <v>7</v>
      </c>
    </row>
    <row r="59" spans="1:10" x14ac:dyDescent="0.35">
      <c r="A59" s="326">
        <f t="shared" si="2"/>
        <v>8</v>
      </c>
      <c r="B59" s="329" t="s">
        <v>248</v>
      </c>
      <c r="C59" s="329"/>
      <c r="D59" s="329"/>
      <c r="E59" s="366"/>
      <c r="F59" s="367"/>
      <c r="G59" s="368"/>
      <c r="H59" s="326">
        <f t="shared" si="3"/>
        <v>8</v>
      </c>
    </row>
    <row r="60" spans="1:10" x14ac:dyDescent="0.35">
      <c r="A60" s="326">
        <f t="shared" si="2"/>
        <v>9</v>
      </c>
      <c r="B60" s="330" t="s">
        <v>249</v>
      </c>
      <c r="C60" s="330"/>
      <c r="D60" s="330"/>
      <c r="E60" s="369">
        <v>48519.100585337437</v>
      </c>
      <c r="F60" s="25" t="s">
        <v>16</v>
      </c>
      <c r="G60" s="332" t="s">
        <v>626</v>
      </c>
      <c r="H60" s="326">
        <f t="shared" si="3"/>
        <v>9</v>
      </c>
    </row>
    <row r="61" spans="1:10" x14ac:dyDescent="0.35">
      <c r="A61" s="326">
        <f t="shared" si="2"/>
        <v>10</v>
      </c>
      <c r="B61" s="322"/>
      <c r="C61" s="322"/>
      <c r="D61" s="322"/>
      <c r="E61" s="366"/>
      <c r="F61" s="367"/>
      <c r="G61" s="332"/>
      <c r="H61" s="326">
        <f t="shared" si="3"/>
        <v>10</v>
      </c>
    </row>
    <row r="62" spans="1:10" x14ac:dyDescent="0.35">
      <c r="A62" s="326">
        <f t="shared" si="2"/>
        <v>11</v>
      </c>
      <c r="B62" s="370" t="s">
        <v>250</v>
      </c>
      <c r="C62" s="368"/>
      <c r="D62" s="368"/>
      <c r="E62" s="670">
        <f>E60/E52</f>
        <v>9.0532049481458887E-3</v>
      </c>
      <c r="F62" s="25" t="s">
        <v>16</v>
      </c>
      <c r="G62" s="332" t="s">
        <v>409</v>
      </c>
      <c r="H62" s="326">
        <f t="shared" si="3"/>
        <v>11</v>
      </c>
    </row>
    <row r="63" spans="1:10" x14ac:dyDescent="0.35">
      <c r="A63" s="326">
        <f t="shared" si="2"/>
        <v>12</v>
      </c>
      <c r="B63" s="368"/>
      <c r="C63" s="368"/>
      <c r="D63" s="368"/>
      <c r="E63" s="373"/>
      <c r="F63" s="374"/>
      <c r="G63" s="332"/>
      <c r="H63" s="326">
        <f t="shared" si="3"/>
        <v>12</v>
      </c>
    </row>
    <row r="64" spans="1:10" x14ac:dyDescent="0.35">
      <c r="A64" s="326">
        <f t="shared" si="2"/>
        <v>13</v>
      </c>
      <c r="B64" s="329" t="s">
        <v>251</v>
      </c>
      <c r="C64" s="368"/>
      <c r="D64" s="368"/>
      <c r="E64" s="373"/>
      <c r="F64" s="374"/>
      <c r="G64" s="332"/>
      <c r="H64" s="326">
        <f t="shared" si="3"/>
        <v>13</v>
      </c>
    </row>
    <row r="65" spans="1:8" x14ac:dyDescent="0.35">
      <c r="A65" s="326">
        <f t="shared" si="2"/>
        <v>14</v>
      </c>
      <c r="B65" s="370" t="s">
        <v>234</v>
      </c>
      <c r="C65" s="368"/>
      <c r="D65" s="368"/>
      <c r="E65" s="369">
        <v>56866.709318625108</v>
      </c>
      <c r="F65" s="25" t="s">
        <v>16</v>
      </c>
      <c r="G65" s="332" t="s">
        <v>652</v>
      </c>
      <c r="H65" s="326">
        <f t="shared" si="3"/>
        <v>14</v>
      </c>
    </row>
    <row r="66" spans="1:8" x14ac:dyDescent="0.35">
      <c r="A66" s="326">
        <f t="shared" si="2"/>
        <v>15</v>
      </c>
      <c r="B66" s="368"/>
      <c r="C66" s="368"/>
      <c r="D66" s="368"/>
      <c r="E66" s="366"/>
      <c r="F66" s="374"/>
      <c r="G66" s="332"/>
      <c r="H66" s="326">
        <f t="shared" si="3"/>
        <v>15</v>
      </c>
    </row>
    <row r="67" spans="1:8" x14ac:dyDescent="0.35">
      <c r="A67" s="326">
        <f t="shared" si="2"/>
        <v>16</v>
      </c>
      <c r="B67" s="370" t="s">
        <v>252</v>
      </c>
      <c r="C67" s="368"/>
      <c r="D67" s="368"/>
      <c r="E67" s="371">
        <f>E65/E52</f>
        <v>1.0610789729761233E-2</v>
      </c>
      <c r="F67" s="374"/>
      <c r="G67" s="332" t="s">
        <v>410</v>
      </c>
      <c r="H67" s="326">
        <f t="shared" si="3"/>
        <v>16</v>
      </c>
    </row>
    <row r="68" spans="1:8" x14ac:dyDescent="0.35">
      <c r="A68" s="326">
        <f t="shared" si="2"/>
        <v>17</v>
      </c>
      <c r="B68" s="368"/>
      <c r="C68" s="368"/>
      <c r="D68" s="368"/>
      <c r="E68" s="373"/>
      <c r="F68" s="374"/>
      <c r="G68" s="332"/>
      <c r="H68" s="326">
        <f t="shared" si="3"/>
        <v>17</v>
      </c>
    </row>
    <row r="69" spans="1:8" x14ac:dyDescent="0.35">
      <c r="A69" s="326">
        <f t="shared" si="2"/>
        <v>18</v>
      </c>
      <c r="B69" s="329" t="s">
        <v>253</v>
      </c>
      <c r="C69" s="329"/>
      <c r="D69" s="329"/>
      <c r="E69" s="373"/>
      <c r="F69" s="374"/>
      <c r="G69" s="332"/>
      <c r="H69" s="326">
        <f t="shared" si="3"/>
        <v>18</v>
      </c>
    </row>
    <row r="70" spans="1:8" x14ac:dyDescent="0.35">
      <c r="A70" s="326">
        <f t="shared" si="2"/>
        <v>19</v>
      </c>
      <c r="B70" s="330" t="s">
        <v>235</v>
      </c>
      <c r="C70" s="330"/>
      <c r="D70" s="330"/>
      <c r="E70" s="375">
        <v>1699.0807697468208</v>
      </c>
      <c r="F70" s="494"/>
      <c r="G70" s="332" t="s">
        <v>411</v>
      </c>
      <c r="H70" s="326">
        <f t="shared" si="3"/>
        <v>19</v>
      </c>
    </row>
    <row r="71" spans="1:8" x14ac:dyDescent="0.35">
      <c r="A71" s="326">
        <f t="shared" si="2"/>
        <v>20</v>
      </c>
      <c r="B71" s="368"/>
      <c r="C71" s="368"/>
      <c r="D71" s="368"/>
      <c r="E71" s="373"/>
      <c r="F71" s="374"/>
      <c r="G71" s="332"/>
      <c r="H71" s="326">
        <f t="shared" si="3"/>
        <v>20</v>
      </c>
    </row>
    <row r="72" spans="1:8" x14ac:dyDescent="0.35">
      <c r="A72" s="326">
        <f t="shared" si="2"/>
        <v>21</v>
      </c>
      <c r="B72" s="370" t="s">
        <v>254</v>
      </c>
      <c r="C72" s="368"/>
      <c r="D72" s="368"/>
      <c r="E72" s="371">
        <f>E70/E52</f>
        <v>3.1703239026281438E-4</v>
      </c>
      <c r="F72" s="372"/>
      <c r="G72" s="332" t="s">
        <v>412</v>
      </c>
      <c r="H72" s="326">
        <f t="shared" si="3"/>
        <v>21</v>
      </c>
    </row>
    <row r="73" spans="1:8" x14ac:dyDescent="0.35">
      <c r="A73" s="326">
        <f t="shared" si="2"/>
        <v>22</v>
      </c>
      <c r="B73" s="368"/>
      <c r="C73" s="368"/>
      <c r="D73" s="368"/>
      <c r="E73" s="373"/>
      <c r="F73" s="374"/>
      <c r="G73" s="332"/>
      <c r="H73" s="326">
        <f t="shared" si="3"/>
        <v>22</v>
      </c>
    </row>
    <row r="74" spans="1:8" x14ac:dyDescent="0.35">
      <c r="A74" s="326">
        <f t="shared" si="2"/>
        <v>23</v>
      </c>
      <c r="B74" s="329" t="s">
        <v>255</v>
      </c>
      <c r="C74" s="329"/>
      <c r="D74" s="329"/>
      <c r="E74" s="376"/>
      <c r="F74" s="377"/>
      <c r="G74" s="332"/>
      <c r="H74" s="326">
        <f t="shared" si="3"/>
        <v>23</v>
      </c>
    </row>
    <row r="75" spans="1:8" x14ac:dyDescent="0.35">
      <c r="A75" s="326">
        <f t="shared" si="2"/>
        <v>24</v>
      </c>
      <c r="B75" s="378" t="s">
        <v>392</v>
      </c>
      <c r="C75" s="322"/>
      <c r="D75" s="322"/>
      <c r="E75" s="376"/>
      <c r="F75" s="377"/>
      <c r="G75" s="332"/>
      <c r="H75" s="326">
        <f t="shared" si="3"/>
        <v>24</v>
      </c>
    </row>
    <row r="76" spans="1:8" x14ac:dyDescent="0.35">
      <c r="A76" s="326">
        <f t="shared" si="2"/>
        <v>25</v>
      </c>
      <c r="B76" s="330" t="s">
        <v>256</v>
      </c>
      <c r="C76" s="330"/>
      <c r="D76" s="330"/>
      <c r="E76" s="718">
        <v>50942.738895107723</v>
      </c>
      <c r="F76" s="25" t="s">
        <v>16</v>
      </c>
      <c r="G76" s="332" t="s">
        <v>628</v>
      </c>
      <c r="H76" s="326">
        <f t="shared" si="3"/>
        <v>25</v>
      </c>
    </row>
    <row r="77" spans="1:8" x14ac:dyDescent="0.35">
      <c r="A77" s="326">
        <f t="shared" si="2"/>
        <v>26</v>
      </c>
      <c r="B77" s="330" t="s">
        <v>257</v>
      </c>
      <c r="C77" s="330"/>
      <c r="D77" s="330"/>
      <c r="E77" s="381">
        <v>37071.055296898827</v>
      </c>
      <c r="F77" s="25" t="s">
        <v>16</v>
      </c>
      <c r="G77" s="332" t="s">
        <v>629</v>
      </c>
      <c r="H77" s="326">
        <f t="shared" si="3"/>
        <v>26</v>
      </c>
    </row>
    <row r="78" spans="1:8" x14ac:dyDescent="0.35">
      <c r="A78" s="326">
        <f t="shared" si="2"/>
        <v>27</v>
      </c>
      <c r="B78" s="330" t="s">
        <v>258</v>
      </c>
      <c r="C78" s="330"/>
      <c r="D78" s="330"/>
      <c r="E78" s="381">
        <v>10271.288880667182</v>
      </c>
      <c r="F78" s="25" t="s">
        <v>16</v>
      </c>
      <c r="G78" s="332" t="s">
        <v>630</v>
      </c>
      <c r="H78" s="326">
        <f t="shared" si="3"/>
        <v>27</v>
      </c>
    </row>
    <row r="79" spans="1:8" x14ac:dyDescent="0.35">
      <c r="A79" s="326">
        <f t="shared" si="2"/>
        <v>28</v>
      </c>
      <c r="B79" s="330" t="s">
        <v>259</v>
      </c>
      <c r="C79" s="322"/>
      <c r="D79" s="322"/>
      <c r="E79" s="382">
        <f>SUM(E76:E78)</f>
        <v>98285.083072673733</v>
      </c>
      <c r="F79" s="25" t="s">
        <v>16</v>
      </c>
      <c r="G79" s="332" t="s">
        <v>413</v>
      </c>
      <c r="H79" s="326">
        <f t="shared" si="3"/>
        <v>28</v>
      </c>
    </row>
    <row r="80" spans="1:8" x14ac:dyDescent="0.35">
      <c r="A80" s="326">
        <f t="shared" si="2"/>
        <v>29</v>
      </c>
      <c r="B80" s="322"/>
      <c r="C80" s="322"/>
      <c r="D80" s="322"/>
      <c r="E80" s="383"/>
      <c r="F80" s="384"/>
      <c r="G80" s="332"/>
      <c r="H80" s="326">
        <f t="shared" si="3"/>
        <v>29</v>
      </c>
    </row>
    <row r="81" spans="1:8" x14ac:dyDescent="0.35">
      <c r="A81" s="326">
        <f t="shared" si="2"/>
        <v>30</v>
      </c>
      <c r="B81" s="330" t="s">
        <v>260</v>
      </c>
      <c r="C81" s="330"/>
      <c r="D81" s="330"/>
      <c r="E81" s="385">
        <f>'Pg11 As Filed Stmt AV FERC Adj'!G111</f>
        <v>0.10066598585427104</v>
      </c>
      <c r="F81" s="25"/>
      <c r="G81" s="332" t="s">
        <v>658</v>
      </c>
      <c r="H81" s="326">
        <f t="shared" si="3"/>
        <v>30</v>
      </c>
    </row>
    <row r="82" spans="1:8" x14ac:dyDescent="0.35">
      <c r="A82" s="326">
        <f t="shared" si="2"/>
        <v>31</v>
      </c>
      <c r="B82" s="322"/>
      <c r="C82" s="322"/>
      <c r="D82" s="322"/>
      <c r="E82" s="383"/>
      <c r="F82" s="384"/>
      <c r="G82" s="332"/>
      <c r="H82" s="326">
        <f t="shared" si="3"/>
        <v>31</v>
      </c>
    </row>
    <row r="83" spans="1:8" x14ac:dyDescent="0.35">
      <c r="A83" s="326">
        <f t="shared" si="2"/>
        <v>32</v>
      </c>
      <c r="B83" s="330" t="s">
        <v>261</v>
      </c>
      <c r="C83" s="322"/>
      <c r="D83" s="322"/>
      <c r="E83" s="657">
        <f>E79*E81</f>
        <v>9893.9647822796287</v>
      </c>
      <c r="F83" s="25" t="s">
        <v>16</v>
      </c>
      <c r="G83" s="332" t="s">
        <v>414</v>
      </c>
      <c r="H83" s="326">
        <f t="shared" si="3"/>
        <v>32</v>
      </c>
    </row>
    <row r="84" spans="1:8" x14ac:dyDescent="0.35">
      <c r="A84" s="326">
        <f t="shared" si="2"/>
        <v>33</v>
      </c>
      <c r="B84" s="322"/>
      <c r="C84" s="322"/>
      <c r="D84" s="322"/>
      <c r="E84" s="383"/>
      <c r="F84" s="384"/>
      <c r="G84" s="332"/>
      <c r="H84" s="326">
        <f t="shared" si="3"/>
        <v>33</v>
      </c>
    </row>
    <row r="85" spans="1:8" x14ac:dyDescent="0.35">
      <c r="A85" s="326">
        <f t="shared" si="2"/>
        <v>34</v>
      </c>
      <c r="B85" s="330" t="s">
        <v>262</v>
      </c>
      <c r="C85" s="322"/>
      <c r="D85" s="322"/>
      <c r="E85" s="371">
        <f>E83/E52</f>
        <v>1.8461201844863534E-3</v>
      </c>
      <c r="F85" s="372"/>
      <c r="G85" s="332" t="s">
        <v>415</v>
      </c>
      <c r="H85" s="326">
        <f t="shared" si="3"/>
        <v>34</v>
      </c>
    </row>
    <row r="86" spans="1:8" x14ac:dyDescent="0.35">
      <c r="A86" s="326">
        <f t="shared" si="2"/>
        <v>35</v>
      </c>
      <c r="B86" s="330"/>
      <c r="C86" s="322"/>
      <c r="D86" s="322"/>
      <c r="E86" s="386"/>
      <c r="F86" s="372"/>
      <c r="G86" s="332"/>
      <c r="H86" s="326">
        <f t="shared" si="3"/>
        <v>35</v>
      </c>
    </row>
    <row r="87" spans="1:8" x14ac:dyDescent="0.35">
      <c r="A87" s="326">
        <f t="shared" si="2"/>
        <v>36</v>
      </c>
      <c r="B87" s="329" t="s">
        <v>263</v>
      </c>
      <c r="C87" s="387"/>
      <c r="D87" s="387"/>
      <c r="E87" s="388"/>
      <c r="F87" s="388"/>
      <c r="G87" s="388"/>
      <c r="H87" s="326">
        <f t="shared" si="3"/>
        <v>36</v>
      </c>
    </row>
    <row r="88" spans="1:8" x14ac:dyDescent="0.35">
      <c r="A88" s="326">
        <f t="shared" si="2"/>
        <v>37</v>
      </c>
      <c r="B88" s="330" t="s">
        <v>264</v>
      </c>
      <c r="C88" s="387"/>
      <c r="D88" s="387"/>
      <c r="E88" s="719">
        <v>27998.281415386165</v>
      </c>
      <c r="F88" s="25" t="s">
        <v>16</v>
      </c>
      <c r="G88" s="332" t="s">
        <v>653</v>
      </c>
      <c r="H88" s="326">
        <f t="shared" si="3"/>
        <v>37</v>
      </c>
    </row>
    <row r="89" spans="1:8" x14ac:dyDescent="0.35">
      <c r="A89" s="326">
        <f t="shared" si="2"/>
        <v>38</v>
      </c>
      <c r="B89" s="329"/>
      <c r="C89" s="387"/>
      <c r="D89" s="387"/>
      <c r="E89" s="720"/>
      <c r="F89" s="388"/>
      <c r="G89" s="723"/>
      <c r="H89" s="326">
        <f t="shared" si="3"/>
        <v>38</v>
      </c>
    </row>
    <row r="90" spans="1:8" x14ac:dyDescent="0.35">
      <c r="A90" s="326">
        <f t="shared" si="2"/>
        <v>39</v>
      </c>
      <c r="B90" s="330" t="s">
        <v>265</v>
      </c>
      <c r="C90" s="387"/>
      <c r="D90" s="387"/>
      <c r="E90" s="721">
        <v>58913.955560284558</v>
      </c>
      <c r="F90" s="25" t="s">
        <v>16</v>
      </c>
      <c r="G90" s="332" t="s">
        <v>654</v>
      </c>
      <c r="H90" s="326">
        <f t="shared" si="3"/>
        <v>39</v>
      </c>
    </row>
    <row r="91" spans="1:8" ht="18" x14ac:dyDescent="0.6">
      <c r="A91" s="326">
        <f t="shared" si="2"/>
        <v>40</v>
      </c>
      <c r="B91" s="387"/>
      <c r="C91" s="390"/>
      <c r="D91" s="390"/>
      <c r="E91" s="391"/>
      <c r="F91" s="392"/>
      <c r="G91" s="387"/>
      <c r="H91" s="326">
        <f t="shared" si="3"/>
        <v>40</v>
      </c>
    </row>
    <row r="92" spans="1:8" x14ac:dyDescent="0.35">
      <c r="A92" s="326">
        <f t="shared" si="2"/>
        <v>41</v>
      </c>
      <c r="B92" s="330" t="s">
        <v>266</v>
      </c>
      <c r="C92" s="390"/>
      <c r="D92" s="390"/>
      <c r="E92" s="722">
        <f>E88+E90</f>
        <v>86912.236975670719</v>
      </c>
      <c r="F92" s="25" t="s">
        <v>16</v>
      </c>
      <c r="G92" s="332" t="s">
        <v>416</v>
      </c>
      <c r="H92" s="326">
        <f t="shared" si="3"/>
        <v>41</v>
      </c>
    </row>
    <row r="93" spans="1:8" x14ac:dyDescent="0.35">
      <c r="A93" s="326">
        <f t="shared" si="2"/>
        <v>42</v>
      </c>
      <c r="B93" s="395"/>
      <c r="C93" s="390"/>
      <c r="D93" s="390"/>
      <c r="E93" s="396"/>
      <c r="F93" s="394"/>
      <c r="G93" s="397"/>
      <c r="H93" s="326">
        <f t="shared" si="3"/>
        <v>42</v>
      </c>
    </row>
    <row r="94" spans="1:8" x14ac:dyDescent="0.35">
      <c r="A94" s="326">
        <f t="shared" si="2"/>
        <v>43</v>
      </c>
      <c r="B94" s="330" t="s">
        <v>260</v>
      </c>
      <c r="C94" s="390"/>
      <c r="D94" s="390"/>
      <c r="E94" s="398">
        <f>E81</f>
        <v>0.10066598585427104</v>
      </c>
      <c r="F94" s="25"/>
      <c r="G94" s="332" t="s">
        <v>417</v>
      </c>
      <c r="H94" s="326">
        <f t="shared" si="3"/>
        <v>43</v>
      </c>
    </row>
    <row r="95" spans="1:8" x14ac:dyDescent="0.35">
      <c r="A95" s="326">
        <f t="shared" si="2"/>
        <v>44</v>
      </c>
      <c r="B95" s="387"/>
      <c r="C95" s="390"/>
      <c r="D95" s="390"/>
      <c r="E95" s="399"/>
      <c r="F95" s="400"/>
      <c r="G95" s="387"/>
      <c r="H95" s="326">
        <f t="shared" si="3"/>
        <v>44</v>
      </c>
    </row>
    <row r="96" spans="1:8" x14ac:dyDescent="0.35">
      <c r="A96" s="326">
        <f t="shared" si="2"/>
        <v>45</v>
      </c>
      <c r="B96" s="330" t="s">
        <v>267</v>
      </c>
      <c r="C96" s="390"/>
      <c r="D96" s="390"/>
      <c r="E96" s="724">
        <f>E92*E94</f>
        <v>8749.1060179559208</v>
      </c>
      <c r="F96" s="25" t="s">
        <v>16</v>
      </c>
      <c r="G96" s="332" t="s">
        <v>418</v>
      </c>
      <c r="H96" s="326">
        <f t="shared" si="3"/>
        <v>45</v>
      </c>
    </row>
    <row r="97" spans="1:9" x14ac:dyDescent="0.35">
      <c r="A97" s="326">
        <f t="shared" si="2"/>
        <v>46</v>
      </c>
      <c r="B97" s="395"/>
      <c r="C97" s="390"/>
      <c r="D97" s="390"/>
      <c r="E97" s="402"/>
      <c r="F97" s="401"/>
      <c r="G97" s="397"/>
      <c r="H97" s="326">
        <f t="shared" si="3"/>
        <v>46</v>
      </c>
    </row>
    <row r="98" spans="1:9" x14ac:dyDescent="0.35">
      <c r="A98" s="326">
        <f t="shared" si="2"/>
        <v>47</v>
      </c>
      <c r="B98" s="330" t="s">
        <v>268</v>
      </c>
      <c r="C98" s="390"/>
      <c r="D98" s="390"/>
      <c r="E98" s="725">
        <v>12209.616424843296</v>
      </c>
      <c r="F98" s="25" t="s">
        <v>16</v>
      </c>
      <c r="G98" s="332" t="s">
        <v>655</v>
      </c>
      <c r="H98" s="326">
        <f t="shared" si="3"/>
        <v>47</v>
      </c>
      <c r="I98" s="390"/>
    </row>
    <row r="99" spans="1:9" x14ac:dyDescent="0.35">
      <c r="A99" s="326">
        <f t="shared" si="2"/>
        <v>48</v>
      </c>
      <c r="B99" s="330"/>
      <c r="C99" s="390"/>
      <c r="D99" s="390"/>
      <c r="E99" s="726"/>
      <c r="F99" s="401"/>
      <c r="G99" s="332"/>
      <c r="H99" s="326">
        <f t="shared" si="3"/>
        <v>48</v>
      </c>
    </row>
    <row r="100" spans="1:9" x14ac:dyDescent="0.35">
      <c r="A100" s="326">
        <f t="shared" si="2"/>
        <v>49</v>
      </c>
      <c r="B100" s="330" t="s">
        <v>269</v>
      </c>
      <c r="C100" s="390"/>
      <c r="D100" s="390"/>
      <c r="E100" s="726">
        <f>E96+E98</f>
        <v>20958.722442799219</v>
      </c>
      <c r="F100" s="25" t="s">
        <v>16</v>
      </c>
      <c r="G100" s="332" t="s">
        <v>419</v>
      </c>
      <c r="H100" s="326">
        <f t="shared" si="3"/>
        <v>49</v>
      </c>
    </row>
    <row r="101" spans="1:9" x14ac:dyDescent="0.35">
      <c r="A101" s="326">
        <f t="shared" si="2"/>
        <v>50</v>
      </c>
      <c r="B101" s="387"/>
      <c r="C101" s="390"/>
      <c r="D101" s="390"/>
      <c r="E101" s="404"/>
      <c r="F101" s="387"/>
      <c r="G101" s="387"/>
      <c r="H101" s="326">
        <f t="shared" si="3"/>
        <v>50</v>
      </c>
    </row>
    <row r="102" spans="1:9" ht="16" thickBot="1" x14ac:dyDescent="0.4">
      <c r="A102" s="326">
        <f t="shared" si="2"/>
        <v>51</v>
      </c>
      <c r="B102" s="330" t="s">
        <v>270</v>
      </c>
      <c r="C102" s="390"/>
      <c r="D102" s="390"/>
      <c r="E102" s="405">
        <f>E100/E52</f>
        <v>3.9106992387923003E-3</v>
      </c>
      <c r="F102" s="406"/>
      <c r="G102" s="332" t="s">
        <v>420</v>
      </c>
      <c r="H102" s="326">
        <f t="shared" si="3"/>
        <v>51</v>
      </c>
    </row>
    <row r="103" spans="1:9" ht="16" thickTop="1" x14ac:dyDescent="0.35">
      <c r="A103" s="333"/>
    </row>
    <row r="104" spans="1:9" x14ac:dyDescent="0.35">
      <c r="A104" s="333"/>
    </row>
    <row r="105" spans="1:9" x14ac:dyDescent="0.35">
      <c r="A105" s="25" t="s">
        <v>16</v>
      </c>
      <c r="B105" s="22" t="s">
        <v>650</v>
      </c>
    </row>
    <row r="106" spans="1:9" x14ac:dyDescent="0.35">
      <c r="A106" s="333"/>
      <c r="B106" s="22" t="s">
        <v>632</v>
      </c>
    </row>
    <row r="107" spans="1:9" x14ac:dyDescent="0.35">
      <c r="A107" s="333"/>
    </row>
    <row r="108" spans="1:9" x14ac:dyDescent="0.35">
      <c r="A108" s="333"/>
    </row>
    <row r="109" spans="1:9" x14ac:dyDescent="0.35">
      <c r="A109" s="333"/>
    </row>
    <row r="110" spans="1:9" x14ac:dyDescent="0.35">
      <c r="A110" s="333"/>
    </row>
    <row r="111" spans="1:9" x14ac:dyDescent="0.35">
      <c r="A111" s="333"/>
    </row>
    <row r="112" spans="1:9" x14ac:dyDescent="0.35">
      <c r="A112" s="333"/>
    </row>
    <row r="113" spans="1:1" x14ac:dyDescent="0.35">
      <c r="A113" s="333"/>
    </row>
    <row r="114" spans="1:1" x14ac:dyDescent="0.35">
      <c r="A114" s="333"/>
    </row>
    <row r="115" spans="1:1" x14ac:dyDescent="0.35">
      <c r="A115" s="333"/>
    </row>
    <row r="116" spans="1:1" x14ac:dyDescent="0.35">
      <c r="A116" s="333"/>
    </row>
    <row r="117" spans="1:1" x14ac:dyDescent="0.35">
      <c r="A117" s="333"/>
    </row>
    <row r="118" spans="1:1" x14ac:dyDescent="0.35">
      <c r="A118" s="333"/>
    </row>
    <row r="119" spans="1:1" x14ac:dyDescent="0.35">
      <c r="A119" s="333"/>
    </row>
    <row r="120" spans="1:1" x14ac:dyDescent="0.35">
      <c r="A120" s="333"/>
    </row>
    <row r="121" spans="1:1" x14ac:dyDescent="0.35">
      <c r="A121" s="333"/>
    </row>
    <row r="122" spans="1:1" x14ac:dyDescent="0.35">
      <c r="A122" s="333"/>
    </row>
    <row r="123" spans="1:1" x14ac:dyDescent="0.35">
      <c r="A123" s="333"/>
    </row>
    <row r="124" spans="1:1" x14ac:dyDescent="0.35">
      <c r="A124" s="333"/>
    </row>
    <row r="125" spans="1:1" x14ac:dyDescent="0.35">
      <c r="A125" s="333"/>
    </row>
    <row r="126" spans="1:1" x14ac:dyDescent="0.35">
      <c r="A126" s="333"/>
    </row>
    <row r="127" spans="1:1" x14ac:dyDescent="0.35">
      <c r="A127" s="333"/>
    </row>
    <row r="128" spans="1:1" x14ac:dyDescent="0.35">
      <c r="A128" s="333"/>
    </row>
    <row r="129" spans="1:1" x14ac:dyDescent="0.35">
      <c r="A129" s="333"/>
    </row>
    <row r="130" spans="1:1" x14ac:dyDescent="0.35">
      <c r="A130" s="333"/>
    </row>
    <row r="131" spans="1:1" x14ac:dyDescent="0.35">
      <c r="A131" s="333"/>
    </row>
    <row r="132" spans="1:1" x14ac:dyDescent="0.35">
      <c r="A132" s="333"/>
    </row>
    <row r="133" spans="1:1" x14ac:dyDescent="0.35">
      <c r="A133" s="333"/>
    </row>
    <row r="134" spans="1:1" x14ac:dyDescent="0.35">
      <c r="A134" s="333"/>
    </row>
    <row r="135" spans="1:1" x14ac:dyDescent="0.35">
      <c r="A135" s="333"/>
    </row>
    <row r="136" spans="1:1" x14ac:dyDescent="0.35">
      <c r="A136" s="333"/>
    </row>
    <row r="137" spans="1:1" x14ac:dyDescent="0.35">
      <c r="A137" s="333"/>
    </row>
    <row r="138" spans="1:1" x14ac:dyDescent="0.35">
      <c r="A138" s="333"/>
    </row>
    <row r="139" spans="1:1" x14ac:dyDescent="0.35">
      <c r="A139" s="333"/>
    </row>
    <row r="140" spans="1:1" x14ac:dyDescent="0.35">
      <c r="A140" s="333"/>
    </row>
    <row r="141" spans="1:1" x14ac:dyDescent="0.35">
      <c r="A141" s="333"/>
    </row>
    <row r="142" spans="1:1" x14ac:dyDescent="0.35">
      <c r="A142" s="333"/>
    </row>
    <row r="143" spans="1:1" x14ac:dyDescent="0.35">
      <c r="A143" s="333"/>
    </row>
    <row r="144" spans="1:1" x14ac:dyDescent="0.35">
      <c r="A144" s="333"/>
    </row>
    <row r="145" spans="1:6" x14ac:dyDescent="0.35">
      <c r="A145" s="333"/>
    </row>
    <row r="146" spans="1:6" x14ac:dyDescent="0.35">
      <c r="A146" s="333"/>
    </row>
    <row r="147" spans="1:6" x14ac:dyDescent="0.35">
      <c r="A147" s="333"/>
    </row>
    <row r="148" spans="1:6" x14ac:dyDescent="0.35">
      <c r="A148" s="333"/>
    </row>
    <row r="149" spans="1:6" x14ac:dyDescent="0.35">
      <c r="A149" s="333"/>
    </row>
    <row r="150" spans="1:6" x14ac:dyDescent="0.35">
      <c r="A150" s="333"/>
    </row>
    <row r="151" spans="1:6" x14ac:dyDescent="0.35">
      <c r="A151" s="333"/>
    </row>
    <row r="152" spans="1:6" x14ac:dyDescent="0.35">
      <c r="A152" s="333"/>
    </row>
    <row r="153" spans="1:6" x14ac:dyDescent="0.35">
      <c r="A153" s="333"/>
    </row>
    <row r="154" spans="1:6" x14ac:dyDescent="0.35">
      <c r="A154" s="333"/>
    </row>
    <row r="155" spans="1:6" x14ac:dyDescent="0.35">
      <c r="A155" s="333"/>
    </row>
    <row r="156" spans="1:6" x14ac:dyDescent="0.35">
      <c r="A156" s="333"/>
    </row>
    <row r="157" spans="1:6" x14ac:dyDescent="0.35">
      <c r="A157" s="333"/>
      <c r="B157" s="323"/>
      <c r="C157" s="323"/>
      <c r="D157" s="323"/>
      <c r="E157" s="323"/>
      <c r="F157" s="323"/>
    </row>
    <row r="158" spans="1:6" x14ac:dyDescent="0.35">
      <c r="A158" s="333"/>
      <c r="B158" s="323"/>
      <c r="C158" s="323"/>
      <c r="D158" s="323"/>
      <c r="E158" s="323"/>
      <c r="F158" s="323"/>
    </row>
    <row r="163" spans="1:6" x14ac:dyDescent="0.35">
      <c r="A163" s="325"/>
      <c r="B163" s="323"/>
      <c r="C163" s="323"/>
      <c r="D163" s="323"/>
      <c r="E163" s="407"/>
      <c r="F163" s="407"/>
    </row>
  </sheetData>
  <mergeCells count="10">
    <mergeCell ref="B46:G46"/>
    <mergeCell ref="B47:G47"/>
    <mergeCell ref="B3:G3"/>
    <mergeCell ref="B4:G4"/>
    <mergeCell ref="B5:G5"/>
    <mergeCell ref="B6:G6"/>
    <mergeCell ref="B7:G7"/>
    <mergeCell ref="B45:G45"/>
    <mergeCell ref="B43:G43"/>
    <mergeCell ref="B44:G44"/>
  </mergeCells>
  <printOptions horizontalCentered="1"/>
  <pageMargins left="0.25" right="0.25" top="0.5" bottom="0.5" header="0.35" footer="0.25"/>
  <pageSetup scale="57" fitToWidth="2" fitToHeight="2" orientation="portrait" r:id="rId1"/>
  <headerFooter scaleWithDoc="0" alignWithMargins="0">
    <oddHeader>&amp;C&amp;"Times New Roman,Bold"&amp;7AS FILED SEC. 2-NON-DIRECT EXP INCL. IN APPENDIX XII CYCLE 6 (ER24-175)</oddHeader>
    <oddFooter>&amp;L&amp;F&amp;CPage 6.&amp;P&amp;R&amp;A</oddFooter>
  </headerFooter>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33D0-1302-4A16-B140-2CDE18F20600}">
  <sheetPr>
    <pageSetUpPr fitToPage="1"/>
  </sheetPr>
  <dimension ref="A1:S42"/>
  <sheetViews>
    <sheetView zoomScale="80" zoomScaleNormal="80" workbookViewId="0"/>
  </sheetViews>
  <sheetFormatPr defaultColWidth="9.1796875" defaultRowHeight="15.5" x14ac:dyDescent="0.35"/>
  <cols>
    <col min="1" max="1" width="5.1796875" style="39" customWidth="1"/>
    <col min="2" max="2" width="12.54296875" style="40" customWidth="1"/>
    <col min="3" max="3" width="20" style="40" customWidth="1"/>
    <col min="4" max="7" width="21.54296875" style="40" customWidth="1"/>
    <col min="8" max="8" width="22.81640625" style="40" bestFit="1" customWidth="1"/>
    <col min="9" max="11" width="21.54296875" style="40" customWidth="1"/>
    <col min="12" max="12" width="2.1796875" style="40" bestFit="1" customWidth="1"/>
    <col min="13" max="14" width="21.54296875" style="40" customWidth="1"/>
    <col min="15" max="15" width="2.08984375" style="40" bestFit="1" customWidth="1"/>
    <col min="16" max="16" width="5.1796875" style="39" customWidth="1"/>
    <col min="17" max="17" width="13.54296875" style="40" customWidth="1"/>
    <col min="18" max="18" width="12.54296875" style="40" customWidth="1"/>
    <col min="19" max="16384" width="9.1796875" style="40"/>
  </cols>
  <sheetData>
    <row r="1" spans="1:16" x14ac:dyDescent="0.35">
      <c r="I1" s="496"/>
    </row>
    <row r="2" spans="1:16" x14ac:dyDescent="0.35">
      <c r="B2" s="782" t="s">
        <v>24</v>
      </c>
      <c r="C2" s="782"/>
      <c r="D2" s="782"/>
      <c r="E2" s="782"/>
      <c r="F2" s="782"/>
      <c r="G2" s="782"/>
      <c r="H2" s="782"/>
      <c r="I2" s="782"/>
      <c r="J2" s="782"/>
      <c r="K2" s="782"/>
      <c r="L2" s="782"/>
      <c r="M2" s="782"/>
      <c r="N2" s="782"/>
      <c r="O2" s="782"/>
      <c r="P2" s="782"/>
    </row>
    <row r="3" spans="1:16" x14ac:dyDescent="0.3">
      <c r="B3" s="775" t="s">
        <v>216</v>
      </c>
      <c r="C3" s="775"/>
      <c r="D3" s="775"/>
      <c r="E3" s="775"/>
      <c r="F3" s="775"/>
      <c r="G3" s="775"/>
      <c r="H3" s="775"/>
      <c r="I3" s="775"/>
      <c r="J3" s="775"/>
      <c r="K3" s="775"/>
      <c r="L3" s="775"/>
      <c r="M3" s="775"/>
      <c r="N3" s="775"/>
      <c r="O3" s="775"/>
      <c r="P3" s="775"/>
    </row>
    <row r="4" spans="1:16" x14ac:dyDescent="0.3">
      <c r="B4" s="775" t="s">
        <v>517</v>
      </c>
      <c r="C4" s="775"/>
      <c r="D4" s="775"/>
      <c r="E4" s="775"/>
      <c r="F4" s="775"/>
      <c r="G4" s="775"/>
      <c r="H4" s="775"/>
      <c r="I4" s="775"/>
      <c r="J4" s="775"/>
      <c r="K4" s="775"/>
      <c r="L4" s="775"/>
      <c r="M4" s="775"/>
      <c r="N4" s="775"/>
      <c r="O4" s="775"/>
      <c r="P4" s="775"/>
    </row>
    <row r="5" spans="1:16" x14ac:dyDescent="0.3">
      <c r="B5" s="783" t="s">
        <v>553</v>
      </c>
      <c r="C5" s="783"/>
      <c r="D5" s="783"/>
      <c r="E5" s="783"/>
      <c r="F5" s="783"/>
      <c r="G5" s="783"/>
      <c r="H5" s="783"/>
      <c r="I5" s="783"/>
      <c r="J5" s="783"/>
      <c r="K5" s="783"/>
      <c r="L5" s="783"/>
      <c r="M5" s="783"/>
      <c r="N5" s="783"/>
      <c r="O5" s="783"/>
      <c r="P5" s="783"/>
    </row>
    <row r="6" spans="1:16" x14ac:dyDescent="0.35">
      <c r="B6" s="784" t="s">
        <v>1</v>
      </c>
      <c r="C6" s="784"/>
      <c r="D6" s="784"/>
      <c r="E6" s="784"/>
      <c r="F6" s="784"/>
      <c r="G6" s="784"/>
      <c r="H6" s="784"/>
      <c r="I6" s="784"/>
      <c r="J6" s="784"/>
      <c r="K6" s="784"/>
      <c r="L6" s="784"/>
      <c r="M6" s="784"/>
      <c r="N6" s="784"/>
      <c r="O6" s="693"/>
      <c r="P6" s="495"/>
    </row>
    <row r="7" spans="1:16" x14ac:dyDescent="0.35">
      <c r="A7" s="495"/>
      <c r="B7" s="495"/>
      <c r="C7" s="495"/>
      <c r="D7" s="495"/>
      <c r="E7" s="495"/>
      <c r="F7" s="495"/>
      <c r="G7" s="495"/>
      <c r="H7" s="495"/>
      <c r="I7" s="495"/>
      <c r="J7" s="495"/>
      <c r="K7" s="495"/>
      <c r="L7" s="495"/>
      <c r="M7" s="495"/>
      <c r="N7" s="495"/>
      <c r="O7" s="495"/>
      <c r="P7" s="495"/>
    </row>
    <row r="8" spans="1:16" x14ac:dyDescent="0.35">
      <c r="A8" s="39" t="s">
        <v>2</v>
      </c>
      <c r="B8" s="55"/>
      <c r="E8" s="46"/>
      <c r="F8" s="194"/>
      <c r="G8" s="194"/>
      <c r="P8" s="39" t="s">
        <v>2</v>
      </c>
    </row>
    <row r="9" spans="1:16" x14ac:dyDescent="0.35">
      <c r="A9" s="39" t="s">
        <v>6</v>
      </c>
      <c r="B9" s="55"/>
      <c r="E9" s="46"/>
      <c r="F9" s="194"/>
      <c r="G9" s="194"/>
      <c r="P9" s="39" t="s">
        <v>6</v>
      </c>
    </row>
    <row r="10" spans="1:16" x14ac:dyDescent="0.35">
      <c r="A10" s="39">
        <v>1</v>
      </c>
      <c r="E10" s="46"/>
      <c r="I10" s="616"/>
      <c r="J10" s="616"/>
      <c r="P10" s="39">
        <v>1</v>
      </c>
    </row>
    <row r="11" spans="1:16" x14ac:dyDescent="0.35">
      <c r="A11" s="39">
        <f t="shared" ref="A11:A31" si="0">A10+1</f>
        <v>2</v>
      </c>
      <c r="C11" s="408" t="s">
        <v>271</v>
      </c>
      <c r="D11" s="408" t="s">
        <v>272</v>
      </c>
      <c r="E11" s="408" t="s">
        <v>273</v>
      </c>
      <c r="F11" s="408" t="s">
        <v>274</v>
      </c>
      <c r="G11" s="408" t="s">
        <v>275</v>
      </c>
      <c r="H11" s="408" t="s">
        <v>276</v>
      </c>
      <c r="I11" s="408" t="s">
        <v>518</v>
      </c>
      <c r="J11" s="408" t="s">
        <v>519</v>
      </c>
      <c r="K11" s="408" t="s">
        <v>520</v>
      </c>
      <c r="L11" s="408"/>
      <c r="M11" s="408" t="s">
        <v>521</v>
      </c>
      <c r="N11" s="408" t="s">
        <v>522</v>
      </c>
      <c r="O11" s="408"/>
      <c r="P11" s="39">
        <f t="shared" ref="P11:P31" si="1">P10+1</f>
        <v>2</v>
      </c>
    </row>
    <row r="12" spans="1:16" x14ac:dyDescent="0.35">
      <c r="A12" s="39">
        <f t="shared" si="0"/>
        <v>3</v>
      </c>
      <c r="B12" s="46" t="s">
        <v>277</v>
      </c>
      <c r="C12" s="39"/>
      <c r="D12" s="39"/>
      <c r="E12" s="39"/>
      <c r="F12" s="39" t="str">
        <f>"= "&amp;F11&amp;"; Line "&amp;A31&amp;" / 12"</f>
        <v>= Col. 4; Line 22 / 12</v>
      </c>
      <c r="G12" s="39"/>
      <c r="H12" s="70" t="str">
        <f>"= Sum "&amp;E11&amp;" thru "&amp;G11</f>
        <v>= Sum Col. 3 thru Col. 5</v>
      </c>
      <c r="I12" s="70" t="str">
        <f>"= "&amp;D11&amp;" - "&amp;H11</f>
        <v>= Col. 2 - Col. 6</v>
      </c>
      <c r="J12" s="39"/>
      <c r="K12" s="39" t="str">
        <f>"See Footnote "&amp;A41</f>
        <v>See Footnote 6</v>
      </c>
      <c r="L12" s="39"/>
      <c r="M12" s="39" t="str">
        <f>"See Footnote "&amp;A42</f>
        <v>See Footnote 7</v>
      </c>
      <c r="N12" s="70" t="str">
        <f>"= "&amp;K11&amp;" + "&amp;M11</f>
        <v>= Col. 9 + Col. 10</v>
      </c>
      <c r="O12" s="70"/>
      <c r="P12" s="39">
        <f t="shared" si="1"/>
        <v>3</v>
      </c>
    </row>
    <row r="13" spans="1:16" x14ac:dyDescent="0.35">
      <c r="A13" s="39">
        <f t="shared" si="0"/>
        <v>4</v>
      </c>
      <c r="B13" s="46"/>
      <c r="C13" s="39"/>
      <c r="D13" s="39"/>
      <c r="E13" s="39"/>
      <c r="F13" s="39"/>
      <c r="G13" s="39"/>
      <c r="H13" s="70"/>
      <c r="I13" s="70"/>
      <c r="J13" s="39"/>
      <c r="K13" s="39"/>
      <c r="L13" s="39"/>
      <c r="M13" s="39"/>
      <c r="N13" s="70"/>
      <c r="O13" s="70"/>
      <c r="P13" s="39">
        <f t="shared" si="1"/>
        <v>4</v>
      </c>
    </row>
    <row r="14" spans="1:16" x14ac:dyDescent="0.35">
      <c r="A14" s="39">
        <f t="shared" si="0"/>
        <v>5</v>
      </c>
      <c r="C14" s="408"/>
      <c r="H14" s="495"/>
      <c r="K14" s="495" t="s">
        <v>278</v>
      </c>
      <c r="L14" s="495"/>
      <c r="N14" s="495" t="s">
        <v>278</v>
      </c>
      <c r="O14" s="495"/>
      <c r="P14" s="39">
        <f t="shared" si="1"/>
        <v>5</v>
      </c>
    </row>
    <row r="15" spans="1:16" x14ac:dyDescent="0.35">
      <c r="A15" s="39">
        <f t="shared" si="0"/>
        <v>6</v>
      </c>
      <c r="C15" s="408"/>
      <c r="F15" s="495"/>
      <c r="G15" s="495"/>
      <c r="H15" s="495"/>
      <c r="I15" s="495" t="s">
        <v>279</v>
      </c>
      <c r="J15" s="495"/>
      <c r="K15" s="495" t="s">
        <v>280</v>
      </c>
      <c r="L15" s="495"/>
      <c r="N15" s="495" t="s">
        <v>280</v>
      </c>
      <c r="O15" s="495"/>
      <c r="P15" s="39">
        <f t="shared" si="1"/>
        <v>6</v>
      </c>
    </row>
    <row r="16" spans="1:16" x14ac:dyDescent="0.35">
      <c r="A16" s="39">
        <f t="shared" si="0"/>
        <v>7</v>
      </c>
      <c r="C16" s="495"/>
      <c r="D16" s="495" t="s">
        <v>279</v>
      </c>
      <c r="E16" s="495" t="s">
        <v>279</v>
      </c>
      <c r="F16" s="495" t="s">
        <v>523</v>
      </c>
      <c r="G16" s="495"/>
      <c r="H16" s="495" t="s">
        <v>524</v>
      </c>
      <c r="I16" s="495" t="s">
        <v>280</v>
      </c>
      <c r="J16" s="495" t="s">
        <v>279</v>
      </c>
      <c r="K16" s="495" t="s">
        <v>281</v>
      </c>
      <c r="L16" s="495"/>
      <c r="N16" s="495" t="s">
        <v>281</v>
      </c>
      <c r="O16" s="495"/>
      <c r="P16" s="39">
        <f t="shared" si="1"/>
        <v>7</v>
      </c>
    </row>
    <row r="17" spans="1:19" x14ac:dyDescent="0.35">
      <c r="A17" s="39">
        <f t="shared" si="0"/>
        <v>8</v>
      </c>
      <c r="C17" s="495"/>
      <c r="D17" s="495" t="s">
        <v>525</v>
      </c>
      <c r="E17" s="495" t="s">
        <v>525</v>
      </c>
      <c r="F17" s="495" t="s">
        <v>525</v>
      </c>
      <c r="G17" s="495" t="s">
        <v>526</v>
      </c>
      <c r="H17" s="495" t="s">
        <v>525</v>
      </c>
      <c r="I17" s="495" t="s">
        <v>281</v>
      </c>
      <c r="J17" s="495" t="s">
        <v>282</v>
      </c>
      <c r="K17" s="495" t="s">
        <v>283</v>
      </c>
      <c r="L17" s="495"/>
      <c r="M17" s="495"/>
      <c r="N17" s="495" t="s">
        <v>283</v>
      </c>
      <c r="O17" s="495"/>
      <c r="P17" s="39">
        <f t="shared" si="1"/>
        <v>8</v>
      </c>
    </row>
    <row r="18" spans="1:19" ht="18" x14ac:dyDescent="0.35">
      <c r="A18" s="39">
        <f t="shared" si="0"/>
        <v>9</v>
      </c>
      <c r="B18" s="617" t="s">
        <v>284</v>
      </c>
      <c r="C18" s="617" t="s">
        <v>285</v>
      </c>
      <c r="D18" s="194" t="s">
        <v>527</v>
      </c>
      <c r="E18" s="194" t="s">
        <v>528</v>
      </c>
      <c r="F18" s="194" t="s">
        <v>529</v>
      </c>
      <c r="G18" s="194" t="s">
        <v>530</v>
      </c>
      <c r="H18" s="194" t="s">
        <v>531</v>
      </c>
      <c r="I18" s="194" t="s">
        <v>283</v>
      </c>
      <c r="J18" s="194" t="s">
        <v>532</v>
      </c>
      <c r="K18" s="194" t="s">
        <v>545</v>
      </c>
      <c r="L18" s="194"/>
      <c r="M18" s="194" t="s">
        <v>282</v>
      </c>
      <c r="N18" s="194" t="s">
        <v>287</v>
      </c>
      <c r="O18" s="194"/>
      <c r="P18" s="39">
        <f t="shared" si="1"/>
        <v>9</v>
      </c>
    </row>
    <row r="19" spans="1:19" x14ac:dyDescent="0.35">
      <c r="A19" s="39">
        <f t="shared" si="0"/>
        <v>10</v>
      </c>
      <c r="B19" s="156" t="s">
        <v>288</v>
      </c>
      <c r="C19" s="409" t="str">
        <f>RIGHT(B5,4)</f>
        <v>2020</v>
      </c>
      <c r="D19" s="35">
        <f>'Pg3 Rev App XII C4'!C40</f>
        <v>66.399621629155945</v>
      </c>
      <c r="E19" s="35">
        <v>75.821720569928246</v>
      </c>
      <c r="F19" s="35">
        <v>0</v>
      </c>
      <c r="G19" s="35">
        <v>0</v>
      </c>
      <c r="H19" s="291">
        <f>SUM(E19:G19)</f>
        <v>75.821720569928246</v>
      </c>
      <c r="I19" s="62">
        <f>D19-H19</f>
        <v>-9.422098940772301</v>
      </c>
      <c r="J19" s="618">
        <v>4.1999999999999997E-3</v>
      </c>
      <c r="K19" s="762">
        <f>I19</f>
        <v>-9.422098940772301</v>
      </c>
      <c r="M19" s="619">
        <f>(I19/2)*J19</f>
        <v>-1.978640777562183E-2</v>
      </c>
      <c r="N19" s="764">
        <f t="shared" ref="N19:N30" si="2">K19+M19</f>
        <v>-9.4418853485479222</v>
      </c>
      <c r="O19" s="655"/>
      <c r="P19" s="39">
        <f t="shared" si="1"/>
        <v>10</v>
      </c>
      <c r="Q19" s="38"/>
    </row>
    <row r="20" spans="1:19" x14ac:dyDescent="0.35">
      <c r="A20" s="39">
        <f t="shared" si="0"/>
        <v>11</v>
      </c>
      <c r="B20" s="156" t="s">
        <v>289</v>
      </c>
      <c r="C20" s="409" t="str">
        <f>C19</f>
        <v>2020</v>
      </c>
      <c r="D20" s="36">
        <f>$D$19</f>
        <v>66.399621629155945</v>
      </c>
      <c r="E20" s="176">
        <f>$E$19</f>
        <v>75.821720569928246</v>
      </c>
      <c r="F20" s="176">
        <f>$F$19</f>
        <v>0</v>
      </c>
      <c r="G20" s="176">
        <f>$G$19</f>
        <v>0</v>
      </c>
      <c r="H20" s="244">
        <f>SUM(E20:G20)</f>
        <v>75.821720569928246</v>
      </c>
      <c r="I20" s="176">
        <f t="shared" ref="I20:I30" si="3">D20-H20</f>
        <v>-9.422098940772301</v>
      </c>
      <c r="J20" s="618">
        <v>3.8999999999999998E-3</v>
      </c>
      <c r="K20" s="620">
        <f t="shared" ref="K20:K30" si="4">N19+I20</f>
        <v>-18.863984289320221</v>
      </c>
      <c r="L20" s="652"/>
      <c r="M20" s="621">
        <f t="shared" ref="M20:M30" si="5">(N19+K20)/2*J20</f>
        <v>-5.5196445793842877E-2</v>
      </c>
      <c r="N20" s="622">
        <f t="shared" si="2"/>
        <v>-18.919180735114065</v>
      </c>
      <c r="O20" s="655"/>
      <c r="P20" s="39">
        <f t="shared" si="1"/>
        <v>11</v>
      </c>
      <c r="Q20" s="193"/>
    </row>
    <row r="21" spans="1:19" x14ac:dyDescent="0.35">
      <c r="A21" s="39">
        <f t="shared" si="0"/>
        <v>12</v>
      </c>
      <c r="B21" s="156" t="s">
        <v>290</v>
      </c>
      <c r="C21" s="409" t="str">
        <f>C19</f>
        <v>2020</v>
      </c>
      <c r="D21" s="36">
        <f t="shared" ref="D21:D30" si="6">$D$19</f>
        <v>66.399621629155945</v>
      </c>
      <c r="E21" s="176">
        <f t="shared" ref="E21:E30" si="7">$E$19</f>
        <v>75.821720569928246</v>
      </c>
      <c r="F21" s="176">
        <f t="shared" ref="F21:F30" si="8">$F$19</f>
        <v>0</v>
      </c>
      <c r="G21" s="176">
        <f t="shared" ref="G21:G30" si="9">$G$19</f>
        <v>0</v>
      </c>
      <c r="H21" s="244">
        <f t="shared" ref="H21:H29" si="10">SUM(E21:G21)</f>
        <v>75.821720569928246</v>
      </c>
      <c r="I21" s="176">
        <f t="shared" si="3"/>
        <v>-9.422098940772301</v>
      </c>
      <c r="J21" s="618">
        <v>4.1999999999999997E-3</v>
      </c>
      <c r="K21" s="620">
        <f t="shared" si="4"/>
        <v>-28.341279675886366</v>
      </c>
      <c r="L21" s="25"/>
      <c r="M21" s="621">
        <f t="shared" si="5"/>
        <v>-9.9246966863100902E-2</v>
      </c>
      <c r="N21" s="622">
        <f t="shared" si="2"/>
        <v>-28.440526642749468</v>
      </c>
      <c r="P21" s="39">
        <f t="shared" si="1"/>
        <v>12</v>
      </c>
      <c r="Q21" s="193"/>
    </row>
    <row r="22" spans="1:19" x14ac:dyDescent="0.35">
      <c r="A22" s="39">
        <f t="shared" si="0"/>
        <v>13</v>
      </c>
      <c r="B22" s="156" t="s">
        <v>291</v>
      </c>
      <c r="C22" s="409" t="str">
        <f>C19</f>
        <v>2020</v>
      </c>
      <c r="D22" s="36">
        <f t="shared" si="6"/>
        <v>66.399621629155945</v>
      </c>
      <c r="E22" s="176">
        <f t="shared" si="7"/>
        <v>75.821720569928246</v>
      </c>
      <c r="F22" s="176">
        <f t="shared" si="8"/>
        <v>0</v>
      </c>
      <c r="G22" s="176">
        <f t="shared" si="9"/>
        <v>0</v>
      </c>
      <c r="H22" s="244">
        <f t="shared" si="10"/>
        <v>75.821720569928246</v>
      </c>
      <c r="I22" s="176">
        <f>D22-H22</f>
        <v>-9.422098940772301</v>
      </c>
      <c r="J22" s="618">
        <v>3.8999999999999998E-3</v>
      </c>
      <c r="K22" s="620">
        <f t="shared" si="4"/>
        <v>-37.862625583521769</v>
      </c>
      <c r="L22" s="25"/>
      <c r="M22" s="621">
        <f t="shared" si="5"/>
        <v>-0.12929114684122892</v>
      </c>
      <c r="N22" s="622">
        <f t="shared" si="2"/>
        <v>-37.991916730362995</v>
      </c>
      <c r="O22" s="655"/>
      <c r="P22" s="39">
        <f t="shared" si="1"/>
        <v>13</v>
      </c>
      <c r="Q22" s="193"/>
      <c r="S22" s="623"/>
    </row>
    <row r="23" spans="1:19" x14ac:dyDescent="0.35">
      <c r="A23" s="39">
        <f t="shared" si="0"/>
        <v>14</v>
      </c>
      <c r="B23" s="156" t="s">
        <v>292</v>
      </c>
      <c r="C23" s="409" t="str">
        <f>C19</f>
        <v>2020</v>
      </c>
      <c r="D23" s="36">
        <f t="shared" si="6"/>
        <v>66.399621629155945</v>
      </c>
      <c r="E23" s="176">
        <f t="shared" si="7"/>
        <v>75.821720569928246</v>
      </c>
      <c r="F23" s="176">
        <f t="shared" si="8"/>
        <v>0</v>
      </c>
      <c r="G23" s="176">
        <f t="shared" si="9"/>
        <v>0</v>
      </c>
      <c r="H23" s="244">
        <f t="shared" si="10"/>
        <v>75.821720569928246</v>
      </c>
      <c r="I23" s="176">
        <f t="shared" si="3"/>
        <v>-9.422098940772301</v>
      </c>
      <c r="J23" s="618">
        <v>4.0000000000000001E-3</v>
      </c>
      <c r="K23" s="652">
        <f t="shared" si="4"/>
        <v>-47.414015671135296</v>
      </c>
      <c r="L23" s="25" t="s">
        <v>16</v>
      </c>
      <c r="M23" s="621">
        <f t="shared" si="5"/>
        <v>-0.17081186480299659</v>
      </c>
      <c r="N23" s="622">
        <f t="shared" si="2"/>
        <v>-47.584827535938295</v>
      </c>
      <c r="O23" s="655"/>
      <c r="P23" s="39">
        <f t="shared" si="1"/>
        <v>14</v>
      </c>
      <c r="Q23" s="193"/>
    </row>
    <row r="24" spans="1:19" x14ac:dyDescent="0.35">
      <c r="A24" s="39">
        <f t="shared" si="0"/>
        <v>15</v>
      </c>
      <c r="B24" s="156" t="s">
        <v>293</v>
      </c>
      <c r="C24" s="409" t="str">
        <f>C19</f>
        <v>2020</v>
      </c>
      <c r="D24" s="36">
        <f t="shared" si="6"/>
        <v>66.399621629155945</v>
      </c>
      <c r="E24" s="176">
        <f t="shared" si="7"/>
        <v>75.821720569928246</v>
      </c>
      <c r="F24" s="176">
        <f t="shared" si="8"/>
        <v>0</v>
      </c>
      <c r="G24" s="176">
        <f t="shared" si="9"/>
        <v>0</v>
      </c>
      <c r="H24" s="244">
        <f t="shared" si="10"/>
        <v>75.821720569928246</v>
      </c>
      <c r="I24" s="176">
        <f t="shared" si="3"/>
        <v>-9.422098940772301</v>
      </c>
      <c r="J24" s="618">
        <v>3.8999999999999998E-3</v>
      </c>
      <c r="K24" s="620">
        <f t="shared" si="4"/>
        <v>-57.006926476710596</v>
      </c>
      <c r="L24" s="25"/>
      <c r="M24" s="621">
        <f t="shared" si="5"/>
        <v>-0.20395392032466533</v>
      </c>
      <c r="N24" s="622">
        <f t="shared" si="2"/>
        <v>-57.210880397035261</v>
      </c>
      <c r="O24" s="655"/>
      <c r="P24" s="39">
        <f t="shared" si="1"/>
        <v>15</v>
      </c>
      <c r="Q24" s="193"/>
    </row>
    <row r="25" spans="1:19" x14ac:dyDescent="0.35">
      <c r="A25" s="39">
        <f t="shared" si="0"/>
        <v>16</v>
      </c>
      <c r="B25" s="156" t="s">
        <v>294</v>
      </c>
      <c r="C25" s="409" t="str">
        <f>C19</f>
        <v>2020</v>
      </c>
      <c r="D25" s="36">
        <f t="shared" si="6"/>
        <v>66.399621629155945</v>
      </c>
      <c r="E25" s="176">
        <f t="shared" si="7"/>
        <v>75.821720569928246</v>
      </c>
      <c r="F25" s="176">
        <f t="shared" si="8"/>
        <v>0</v>
      </c>
      <c r="G25" s="176">
        <f t="shared" si="9"/>
        <v>0</v>
      </c>
      <c r="H25" s="244">
        <f t="shared" si="10"/>
        <v>75.821720569928246</v>
      </c>
      <c r="I25" s="176">
        <f t="shared" si="3"/>
        <v>-9.422098940772301</v>
      </c>
      <c r="J25" s="618">
        <v>2.8999999999999998E-3</v>
      </c>
      <c r="K25" s="620">
        <f t="shared" si="4"/>
        <v>-66.632979337807569</v>
      </c>
      <c r="L25" s="25"/>
      <c r="M25" s="621">
        <f t="shared" si="5"/>
        <v>-0.17957359661552208</v>
      </c>
      <c r="N25" s="622">
        <f t="shared" si="2"/>
        <v>-66.812552934423096</v>
      </c>
      <c r="O25" s="655"/>
      <c r="P25" s="39">
        <f t="shared" si="1"/>
        <v>16</v>
      </c>
      <c r="Q25" s="193"/>
    </row>
    <row r="26" spans="1:19" x14ac:dyDescent="0.35">
      <c r="A26" s="39">
        <f t="shared" si="0"/>
        <v>17</v>
      </c>
      <c r="B26" s="156" t="s">
        <v>295</v>
      </c>
      <c r="C26" s="409" t="str">
        <f>C19</f>
        <v>2020</v>
      </c>
      <c r="D26" s="36">
        <f t="shared" si="6"/>
        <v>66.399621629155945</v>
      </c>
      <c r="E26" s="176">
        <f t="shared" si="7"/>
        <v>75.821720569928246</v>
      </c>
      <c r="F26" s="176">
        <f t="shared" si="8"/>
        <v>0</v>
      </c>
      <c r="G26" s="176">
        <f t="shared" si="9"/>
        <v>0</v>
      </c>
      <c r="H26" s="244">
        <f t="shared" si="10"/>
        <v>75.821720569928246</v>
      </c>
      <c r="I26" s="176">
        <f t="shared" si="3"/>
        <v>-9.422098940772301</v>
      </c>
      <c r="J26" s="618">
        <v>2.8999999999999998E-3</v>
      </c>
      <c r="K26" s="620">
        <f t="shared" si="4"/>
        <v>-76.234651875195397</v>
      </c>
      <c r="L26" s="25"/>
      <c r="M26" s="621">
        <f t="shared" si="5"/>
        <v>-0.20741844697394682</v>
      </c>
      <c r="N26" s="653">
        <f t="shared" si="2"/>
        <v>-76.442070322169343</v>
      </c>
      <c r="O26" s="655" t="s">
        <v>16</v>
      </c>
      <c r="P26" s="39">
        <f t="shared" si="1"/>
        <v>17</v>
      </c>
      <c r="Q26" s="193"/>
    </row>
    <row r="27" spans="1:19" x14ac:dyDescent="0.35">
      <c r="A27" s="39">
        <f t="shared" si="0"/>
        <v>18</v>
      </c>
      <c r="B27" s="156" t="s">
        <v>296</v>
      </c>
      <c r="C27" s="409" t="str">
        <f>C19</f>
        <v>2020</v>
      </c>
      <c r="D27" s="36">
        <f t="shared" si="6"/>
        <v>66.399621629155945</v>
      </c>
      <c r="E27" s="176">
        <f t="shared" si="7"/>
        <v>75.821720569928246</v>
      </c>
      <c r="F27" s="176">
        <f t="shared" si="8"/>
        <v>0</v>
      </c>
      <c r="G27" s="176">
        <f t="shared" si="9"/>
        <v>0</v>
      </c>
      <c r="H27" s="244">
        <f t="shared" si="10"/>
        <v>75.821720569928246</v>
      </c>
      <c r="I27" s="176">
        <f t="shared" si="3"/>
        <v>-9.422098940772301</v>
      </c>
      <c r="J27" s="618">
        <v>2.8E-3</v>
      </c>
      <c r="K27" s="620">
        <f t="shared" si="4"/>
        <v>-85.864169262941644</v>
      </c>
      <c r="L27" s="25"/>
      <c r="M27" s="621">
        <f t="shared" si="5"/>
        <v>-0.22722873541915536</v>
      </c>
      <c r="N27" s="622">
        <f t="shared" si="2"/>
        <v>-86.091397998360804</v>
      </c>
      <c r="P27" s="39">
        <f t="shared" si="1"/>
        <v>18</v>
      </c>
      <c r="Q27" s="193"/>
    </row>
    <row r="28" spans="1:19" x14ac:dyDescent="0.35">
      <c r="A28" s="39">
        <f t="shared" si="0"/>
        <v>19</v>
      </c>
      <c r="B28" s="156" t="s">
        <v>297</v>
      </c>
      <c r="C28" s="409" t="str">
        <f>C19</f>
        <v>2020</v>
      </c>
      <c r="D28" s="36">
        <f t="shared" si="6"/>
        <v>66.399621629155945</v>
      </c>
      <c r="E28" s="176">
        <f t="shared" si="7"/>
        <v>75.821720569928246</v>
      </c>
      <c r="F28" s="176">
        <f t="shared" si="8"/>
        <v>0</v>
      </c>
      <c r="G28" s="176">
        <f t="shared" si="9"/>
        <v>0</v>
      </c>
      <c r="H28" s="244">
        <f t="shared" si="10"/>
        <v>75.821720569928246</v>
      </c>
      <c r="I28" s="176">
        <f t="shared" si="3"/>
        <v>-9.422098940772301</v>
      </c>
      <c r="J28" s="618">
        <v>2.8E-3</v>
      </c>
      <c r="K28" s="620">
        <f t="shared" si="4"/>
        <v>-95.513496939133105</v>
      </c>
      <c r="L28" s="25"/>
      <c r="M28" s="621">
        <f t="shared" si="5"/>
        <v>-0.25424685291249144</v>
      </c>
      <c r="N28" s="622">
        <f t="shared" si="2"/>
        <v>-95.767743792045593</v>
      </c>
      <c r="P28" s="39">
        <f t="shared" si="1"/>
        <v>19</v>
      </c>
      <c r="Q28" s="193"/>
    </row>
    <row r="29" spans="1:19" x14ac:dyDescent="0.35">
      <c r="A29" s="39">
        <f t="shared" si="0"/>
        <v>20</v>
      </c>
      <c r="B29" s="156" t="s">
        <v>298</v>
      </c>
      <c r="C29" s="409" t="str">
        <f>C19</f>
        <v>2020</v>
      </c>
      <c r="D29" s="36">
        <f t="shared" si="6"/>
        <v>66.399621629155945</v>
      </c>
      <c r="E29" s="176">
        <f t="shared" si="7"/>
        <v>75.821720569928246</v>
      </c>
      <c r="F29" s="176">
        <f t="shared" si="8"/>
        <v>0</v>
      </c>
      <c r="G29" s="176">
        <f t="shared" si="9"/>
        <v>0</v>
      </c>
      <c r="H29" s="244">
        <f t="shared" si="10"/>
        <v>75.821720569928246</v>
      </c>
      <c r="I29" s="176">
        <f t="shared" si="3"/>
        <v>-9.422098940772301</v>
      </c>
      <c r="J29" s="618">
        <v>2.7000000000000001E-3</v>
      </c>
      <c r="K29" s="620">
        <f t="shared" si="4"/>
        <v>-105.18984273281789</v>
      </c>
      <c r="L29" s="25"/>
      <c r="M29" s="621">
        <f t="shared" si="5"/>
        <v>-0.27129274180856572</v>
      </c>
      <c r="N29" s="653">
        <f t="shared" si="2"/>
        <v>-105.46113547462646</v>
      </c>
      <c r="O29" s="655" t="s">
        <v>16</v>
      </c>
      <c r="P29" s="39">
        <f t="shared" si="1"/>
        <v>20</v>
      </c>
      <c r="Q29" s="193"/>
    </row>
    <row r="30" spans="1:19" x14ac:dyDescent="0.35">
      <c r="A30" s="39">
        <f t="shared" si="0"/>
        <v>21</v>
      </c>
      <c r="B30" s="410" t="s">
        <v>299</v>
      </c>
      <c r="C30" s="411" t="str">
        <f>C19</f>
        <v>2020</v>
      </c>
      <c r="D30" s="36">
        <f t="shared" si="6"/>
        <v>66.399621629155945</v>
      </c>
      <c r="E30" s="176">
        <f t="shared" si="7"/>
        <v>75.821720569928246</v>
      </c>
      <c r="F30" s="176">
        <f t="shared" si="8"/>
        <v>0</v>
      </c>
      <c r="G30" s="176">
        <f t="shared" si="9"/>
        <v>0</v>
      </c>
      <c r="H30" s="413">
        <f>SUM(E30:G30)</f>
        <v>75.821720569928246</v>
      </c>
      <c r="I30" s="412">
        <f t="shared" si="3"/>
        <v>-9.422098940772301</v>
      </c>
      <c r="J30" s="624">
        <v>2.8E-3</v>
      </c>
      <c r="K30" s="763">
        <f t="shared" si="4"/>
        <v>-114.88323441539876</v>
      </c>
      <c r="L30" s="741"/>
      <c r="M30" s="625">
        <f t="shared" si="5"/>
        <v>-0.3084821178460353</v>
      </c>
      <c r="N30" s="654">
        <f t="shared" si="2"/>
        <v>-115.1917165332448</v>
      </c>
      <c r="O30" s="655" t="s">
        <v>16</v>
      </c>
      <c r="P30" s="39">
        <f t="shared" si="1"/>
        <v>21</v>
      </c>
      <c r="Q30" s="193"/>
    </row>
    <row r="31" spans="1:19" ht="16" thickBot="1" x14ac:dyDescent="0.4">
      <c r="A31" s="39">
        <f t="shared" si="0"/>
        <v>22</v>
      </c>
      <c r="D31" s="648">
        <f t="shared" ref="D31:I31" si="11">SUM(D19:D30)</f>
        <v>796.79545954987134</v>
      </c>
      <c r="E31" s="626">
        <f t="shared" si="11"/>
        <v>909.86064683913912</v>
      </c>
      <c r="F31" s="626">
        <f t="shared" si="11"/>
        <v>0</v>
      </c>
      <c r="G31" s="626">
        <f t="shared" si="11"/>
        <v>0</v>
      </c>
      <c r="H31" s="626">
        <f t="shared" si="11"/>
        <v>909.86064683913912</v>
      </c>
      <c r="I31" s="626">
        <f t="shared" si="11"/>
        <v>-113.06518728926761</v>
      </c>
      <c r="J31" s="740"/>
      <c r="L31" s="655"/>
      <c r="M31" s="627">
        <f>SUM(M19:M30)</f>
        <v>-2.1265292439771732</v>
      </c>
      <c r="N31" s="655"/>
      <c r="O31" s="655"/>
      <c r="P31" s="39">
        <f t="shared" si="1"/>
        <v>22</v>
      </c>
    </row>
    <row r="32" spans="1:19" ht="16" thickTop="1" x14ac:dyDescent="0.35">
      <c r="D32" s="655" t="s">
        <v>16</v>
      </c>
      <c r="E32" s="414"/>
      <c r="F32" s="414"/>
      <c r="G32" s="414"/>
      <c r="H32" s="414"/>
      <c r="I32" s="655"/>
      <c r="J32" s="414"/>
      <c r="K32" s="414"/>
      <c r="L32" s="414"/>
      <c r="M32" s="655"/>
      <c r="N32" s="414"/>
      <c r="O32" s="414"/>
    </row>
    <row r="33" spans="1:15" x14ac:dyDescent="0.35">
      <c r="D33" s="655"/>
      <c r="E33" s="414"/>
      <c r="F33" s="414"/>
      <c r="G33" s="414"/>
      <c r="H33" s="414"/>
      <c r="I33" s="655"/>
      <c r="J33" s="414"/>
      <c r="K33" s="414"/>
      <c r="L33" s="414"/>
      <c r="M33" s="655"/>
      <c r="N33" s="414"/>
      <c r="O33" s="414"/>
    </row>
    <row r="34" spans="1:15" x14ac:dyDescent="0.35">
      <c r="A34" s="25" t="s">
        <v>16</v>
      </c>
      <c r="B34" s="660" t="str">
        <f>'Pg5 Rev Sec 2-Non-Dir Exp'!B103</f>
        <v>Items in BOLD have changed to correct the over-allocation of "Duplicate Charges (Company Energy Use)" Credit in FERC Account no. 929.</v>
      </c>
      <c r="F34" s="628"/>
      <c r="G34" s="628"/>
    </row>
    <row r="35" spans="1:15" ht="18" x14ac:dyDescent="0.35">
      <c r="A35" s="415">
        <v>1</v>
      </c>
      <c r="B35" s="40" t="s">
        <v>533</v>
      </c>
      <c r="F35" s="628"/>
      <c r="G35" s="628"/>
    </row>
    <row r="36" spans="1:15" ht="18" x14ac:dyDescent="0.35">
      <c r="A36" s="415">
        <v>2</v>
      </c>
      <c r="B36" s="40" t="s">
        <v>534</v>
      </c>
    </row>
    <row r="37" spans="1:15" ht="18" x14ac:dyDescent="0.35">
      <c r="A37" s="415">
        <v>3</v>
      </c>
      <c r="B37" s="40" t="s">
        <v>535</v>
      </c>
    </row>
    <row r="38" spans="1:15" ht="18" x14ac:dyDescent="0.35">
      <c r="A38" s="415">
        <v>4</v>
      </c>
      <c r="B38" s="40" t="s">
        <v>536</v>
      </c>
    </row>
    <row r="39" spans="1:15" ht="18" x14ac:dyDescent="0.35">
      <c r="A39" s="415"/>
      <c r="B39" s="40" t="s">
        <v>537</v>
      </c>
    </row>
    <row r="40" spans="1:15" ht="18" x14ac:dyDescent="0.35">
      <c r="A40" s="415">
        <v>5</v>
      </c>
      <c r="B40" s="40" t="s">
        <v>300</v>
      </c>
      <c r="C40" s="496"/>
    </row>
    <row r="41" spans="1:15" ht="18" x14ac:dyDescent="0.35">
      <c r="A41" s="415">
        <v>6</v>
      </c>
      <c r="B41" s="40" t="s">
        <v>538</v>
      </c>
    </row>
    <row r="42" spans="1:15" ht="18" x14ac:dyDescent="0.35">
      <c r="A42" s="415">
        <v>7</v>
      </c>
      <c r="B42" s="40" t="s">
        <v>539</v>
      </c>
    </row>
  </sheetData>
  <mergeCells count="5">
    <mergeCell ref="B2:P2"/>
    <mergeCell ref="B3:P3"/>
    <mergeCell ref="B4:P4"/>
    <mergeCell ref="B5:P5"/>
    <mergeCell ref="B6:N6"/>
  </mergeCells>
  <printOptions horizontalCentered="1"/>
  <pageMargins left="0.25" right="0.25" top="0.5" bottom="0.5" header="0.35" footer="0.25"/>
  <pageSetup scale="50" orientation="landscape" r:id="rId1"/>
  <headerFooter scaleWithDoc="0" alignWithMargins="0">
    <oddHeader>&amp;C&amp;"Times New Roman,Bold"&amp;6REVISED</oddHeader>
    <oddFooter>&amp;L&amp;F&amp;CPage 7&amp;R&amp;A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0DBF-5117-4180-B41D-B14CD9806BBD}">
  <sheetPr>
    <pageSetUpPr fitToPage="1"/>
  </sheetPr>
  <dimension ref="A1:S43"/>
  <sheetViews>
    <sheetView zoomScale="80" zoomScaleNormal="80" workbookViewId="0"/>
  </sheetViews>
  <sheetFormatPr defaultColWidth="9.1796875" defaultRowHeight="15.5" x14ac:dyDescent="0.35"/>
  <cols>
    <col min="1" max="1" width="5.1796875" style="39" customWidth="1"/>
    <col min="2" max="2" width="12.54296875" style="40" customWidth="1"/>
    <col min="3" max="3" width="20" style="40" customWidth="1"/>
    <col min="4" max="7" width="21.54296875" style="40" customWidth="1"/>
    <col min="8" max="8" width="22.81640625" style="40" bestFit="1" customWidth="1"/>
    <col min="9" max="12" width="21.54296875" style="40" customWidth="1"/>
    <col min="13" max="13" width="2" style="40" bestFit="1" customWidth="1"/>
    <col min="14" max="14" width="21.54296875" style="40" customWidth="1"/>
    <col min="15" max="15" width="2.81640625" style="40" customWidth="1"/>
    <col min="16" max="16" width="5.1796875" style="39" customWidth="1"/>
    <col min="17" max="17" width="13.54296875" style="40" customWidth="1"/>
    <col min="18" max="18" width="12.54296875" style="40" customWidth="1"/>
    <col min="19" max="16384" width="9.1796875" style="40"/>
  </cols>
  <sheetData>
    <row r="1" spans="1:16" x14ac:dyDescent="0.35">
      <c r="A1" s="614" t="s">
        <v>667</v>
      </c>
    </row>
    <row r="2" spans="1:16" x14ac:dyDescent="0.35">
      <c r="I2" s="496"/>
    </row>
    <row r="3" spans="1:16" x14ac:dyDescent="0.35">
      <c r="B3" s="782" t="s">
        <v>24</v>
      </c>
      <c r="C3" s="782"/>
      <c r="D3" s="782"/>
      <c r="E3" s="782"/>
      <c r="F3" s="782"/>
      <c r="G3" s="782"/>
      <c r="H3" s="782"/>
      <c r="I3" s="782"/>
      <c r="J3" s="782"/>
      <c r="K3" s="782"/>
      <c r="L3" s="782"/>
      <c r="M3" s="782"/>
      <c r="N3" s="782"/>
      <c r="O3" s="782"/>
      <c r="P3" s="782"/>
    </row>
    <row r="4" spans="1:16" x14ac:dyDescent="0.3">
      <c r="B4" s="775" t="s">
        <v>216</v>
      </c>
      <c r="C4" s="775"/>
      <c r="D4" s="775"/>
      <c r="E4" s="775"/>
      <c r="F4" s="775"/>
      <c r="G4" s="775"/>
      <c r="H4" s="775"/>
      <c r="I4" s="775"/>
      <c r="J4" s="775"/>
      <c r="K4" s="775"/>
      <c r="L4" s="775"/>
      <c r="M4" s="775"/>
      <c r="N4" s="775"/>
      <c r="O4" s="775"/>
      <c r="P4" s="775"/>
    </row>
    <row r="5" spans="1:16" x14ac:dyDescent="0.3">
      <c r="B5" s="775" t="s">
        <v>517</v>
      </c>
      <c r="C5" s="775"/>
      <c r="D5" s="775"/>
      <c r="E5" s="775"/>
      <c r="F5" s="775"/>
      <c r="G5" s="775"/>
      <c r="H5" s="775"/>
      <c r="I5" s="775"/>
      <c r="J5" s="775"/>
      <c r="K5" s="775"/>
      <c r="L5" s="775"/>
      <c r="M5" s="775"/>
      <c r="N5" s="775"/>
      <c r="O5" s="775"/>
      <c r="P5" s="775"/>
    </row>
    <row r="6" spans="1:16" x14ac:dyDescent="0.3">
      <c r="B6" s="783" t="s">
        <v>553</v>
      </c>
      <c r="C6" s="783"/>
      <c r="D6" s="783"/>
      <c r="E6" s="783"/>
      <c r="F6" s="783"/>
      <c r="G6" s="783"/>
      <c r="H6" s="783"/>
      <c r="I6" s="783"/>
      <c r="J6" s="783"/>
      <c r="K6" s="783"/>
      <c r="L6" s="783"/>
      <c r="M6" s="783"/>
      <c r="N6" s="783"/>
      <c r="O6" s="783"/>
      <c r="P6" s="783"/>
    </row>
    <row r="7" spans="1:16" x14ac:dyDescent="0.35">
      <c r="B7" s="784" t="s">
        <v>1</v>
      </c>
      <c r="C7" s="784"/>
      <c r="D7" s="784"/>
      <c r="E7" s="784"/>
      <c r="F7" s="784"/>
      <c r="G7" s="784"/>
      <c r="H7" s="784"/>
      <c r="I7" s="784"/>
      <c r="J7" s="784"/>
      <c r="K7" s="784"/>
      <c r="L7" s="784"/>
      <c r="M7" s="784"/>
      <c r="N7" s="784"/>
      <c r="O7" s="693"/>
      <c r="P7" s="495"/>
    </row>
    <row r="8" spans="1:16" x14ac:dyDescent="0.35">
      <c r="A8" s="495"/>
      <c r="B8" s="495"/>
      <c r="C8" s="495"/>
      <c r="D8" s="495"/>
      <c r="E8" s="495"/>
      <c r="F8" s="495"/>
      <c r="G8" s="495"/>
      <c r="H8" s="495"/>
      <c r="I8" s="495"/>
      <c r="J8" s="495"/>
      <c r="K8" s="495"/>
      <c r="L8" s="495"/>
      <c r="M8" s="495"/>
      <c r="N8" s="495"/>
      <c r="O8" s="495"/>
      <c r="P8" s="495"/>
    </row>
    <row r="9" spans="1:16" x14ac:dyDescent="0.35">
      <c r="A9" s="39" t="s">
        <v>2</v>
      </c>
      <c r="B9" s="55"/>
      <c r="E9" s="46"/>
      <c r="F9" s="194"/>
      <c r="G9" s="194"/>
      <c r="P9" s="39" t="s">
        <v>2</v>
      </c>
    </row>
    <row r="10" spans="1:16" x14ac:dyDescent="0.35">
      <c r="A10" s="39" t="s">
        <v>6</v>
      </c>
      <c r="B10" s="55"/>
      <c r="E10" s="46"/>
      <c r="F10" s="194"/>
      <c r="G10" s="194"/>
      <c r="P10" s="39" t="s">
        <v>6</v>
      </c>
    </row>
    <row r="11" spans="1:16" x14ac:dyDescent="0.35">
      <c r="A11" s="39">
        <v>1</v>
      </c>
      <c r="E11" s="46"/>
      <c r="I11" s="616"/>
      <c r="J11" s="616"/>
      <c r="P11" s="39">
        <v>1</v>
      </c>
    </row>
    <row r="12" spans="1:16" x14ac:dyDescent="0.35">
      <c r="A12" s="39">
        <f t="shared" ref="A12:A32" si="0">A11+1</f>
        <v>2</v>
      </c>
      <c r="C12" s="408" t="s">
        <v>271</v>
      </c>
      <c r="D12" s="408" t="s">
        <v>272</v>
      </c>
      <c r="E12" s="408" t="s">
        <v>273</v>
      </c>
      <c r="F12" s="408" t="s">
        <v>274</v>
      </c>
      <c r="G12" s="408" t="s">
        <v>275</v>
      </c>
      <c r="H12" s="408" t="s">
        <v>276</v>
      </c>
      <c r="I12" s="408" t="s">
        <v>518</v>
      </c>
      <c r="J12" s="408" t="s">
        <v>519</v>
      </c>
      <c r="K12" s="408" t="s">
        <v>520</v>
      </c>
      <c r="L12" s="408" t="s">
        <v>521</v>
      </c>
      <c r="M12" s="408"/>
      <c r="N12" s="408" t="s">
        <v>522</v>
      </c>
      <c r="O12" s="408"/>
      <c r="P12" s="39">
        <f t="shared" ref="P12:P32" si="1">P11+1</f>
        <v>2</v>
      </c>
    </row>
    <row r="13" spans="1:16" x14ac:dyDescent="0.35">
      <c r="A13" s="39">
        <f t="shared" si="0"/>
        <v>3</v>
      </c>
      <c r="B13" s="46" t="s">
        <v>277</v>
      </c>
      <c r="C13" s="39"/>
      <c r="D13" s="39"/>
      <c r="E13" s="39"/>
      <c r="F13" s="39" t="str">
        <f>"= "&amp;F12&amp;"; Line "&amp;A32&amp;" / 12"</f>
        <v>= Col. 4; Line 22 / 12</v>
      </c>
      <c r="G13" s="39"/>
      <c r="H13" s="70" t="str">
        <f>"= Sum "&amp;E12&amp;" thru "&amp;G12</f>
        <v>= Sum Col. 3 thru Col. 5</v>
      </c>
      <c r="I13" s="70" t="str">
        <f>"= "&amp;D12&amp;" - "&amp;H12</f>
        <v>= Col. 2 - Col. 6</v>
      </c>
      <c r="J13" s="39"/>
      <c r="K13" s="39" t="str">
        <f>"See Footnote "&amp;A42</f>
        <v>See Footnote 6</v>
      </c>
      <c r="L13" s="39" t="str">
        <f>"See Footnote "&amp;A43</f>
        <v>See Footnote 7</v>
      </c>
      <c r="M13" s="39"/>
      <c r="N13" s="70" t="str">
        <f>"= "&amp;K12&amp;" + "&amp;L12</f>
        <v>= Col. 9 + Col. 10</v>
      </c>
      <c r="O13" s="70"/>
      <c r="P13" s="39">
        <f t="shared" si="1"/>
        <v>3</v>
      </c>
    </row>
    <row r="14" spans="1:16" x14ac:dyDescent="0.35">
      <c r="A14" s="39">
        <f t="shared" si="0"/>
        <v>4</v>
      </c>
      <c r="B14" s="46"/>
      <c r="C14" s="39"/>
      <c r="D14" s="39"/>
      <c r="E14" s="39"/>
      <c r="F14" s="39"/>
      <c r="G14" s="39"/>
      <c r="H14" s="70"/>
      <c r="I14" s="70"/>
      <c r="J14" s="39"/>
      <c r="K14" s="39"/>
      <c r="L14" s="39"/>
      <c r="M14" s="39"/>
      <c r="N14" s="70"/>
      <c r="O14" s="70"/>
      <c r="P14" s="39">
        <f t="shared" si="1"/>
        <v>4</v>
      </c>
    </row>
    <row r="15" spans="1:16" x14ac:dyDescent="0.35">
      <c r="A15" s="39">
        <f t="shared" si="0"/>
        <v>5</v>
      </c>
      <c r="C15" s="408"/>
      <c r="H15" s="495"/>
      <c r="K15" s="495" t="s">
        <v>278</v>
      </c>
      <c r="N15" s="495" t="s">
        <v>278</v>
      </c>
      <c r="O15" s="495"/>
      <c r="P15" s="39">
        <f t="shared" si="1"/>
        <v>5</v>
      </c>
    </row>
    <row r="16" spans="1:16" x14ac:dyDescent="0.35">
      <c r="A16" s="39">
        <f t="shared" si="0"/>
        <v>6</v>
      </c>
      <c r="C16" s="408"/>
      <c r="F16" s="495"/>
      <c r="G16" s="495"/>
      <c r="H16" s="495"/>
      <c r="I16" s="495" t="s">
        <v>279</v>
      </c>
      <c r="J16" s="495"/>
      <c r="K16" s="495" t="s">
        <v>280</v>
      </c>
      <c r="N16" s="495" t="s">
        <v>280</v>
      </c>
      <c r="O16" s="495"/>
      <c r="P16" s="39">
        <f t="shared" si="1"/>
        <v>6</v>
      </c>
    </row>
    <row r="17" spans="1:19" x14ac:dyDescent="0.35">
      <c r="A17" s="39">
        <f t="shared" si="0"/>
        <v>7</v>
      </c>
      <c r="C17" s="495"/>
      <c r="D17" s="495" t="s">
        <v>279</v>
      </c>
      <c r="E17" s="495" t="s">
        <v>279</v>
      </c>
      <c r="F17" s="495" t="s">
        <v>523</v>
      </c>
      <c r="G17" s="495"/>
      <c r="H17" s="495" t="s">
        <v>524</v>
      </c>
      <c r="I17" s="495" t="s">
        <v>280</v>
      </c>
      <c r="J17" s="495" t="s">
        <v>279</v>
      </c>
      <c r="K17" s="495" t="s">
        <v>281</v>
      </c>
      <c r="N17" s="495" t="s">
        <v>281</v>
      </c>
      <c r="O17" s="495"/>
      <c r="P17" s="39">
        <f t="shared" si="1"/>
        <v>7</v>
      </c>
    </row>
    <row r="18" spans="1:19" x14ac:dyDescent="0.35">
      <c r="A18" s="39">
        <f t="shared" si="0"/>
        <v>8</v>
      </c>
      <c r="C18" s="495"/>
      <c r="D18" s="495" t="s">
        <v>525</v>
      </c>
      <c r="E18" s="495" t="s">
        <v>525</v>
      </c>
      <c r="F18" s="495" t="s">
        <v>525</v>
      </c>
      <c r="G18" s="495" t="s">
        <v>526</v>
      </c>
      <c r="H18" s="495" t="s">
        <v>525</v>
      </c>
      <c r="I18" s="495" t="s">
        <v>281</v>
      </c>
      <c r="J18" s="495" t="s">
        <v>282</v>
      </c>
      <c r="K18" s="495" t="s">
        <v>283</v>
      </c>
      <c r="L18" s="495"/>
      <c r="M18" s="495"/>
      <c r="N18" s="495" t="s">
        <v>283</v>
      </c>
      <c r="O18" s="495"/>
      <c r="P18" s="39">
        <f t="shared" si="1"/>
        <v>8</v>
      </c>
    </row>
    <row r="19" spans="1:19" ht="18" x14ac:dyDescent="0.35">
      <c r="A19" s="39">
        <f t="shared" si="0"/>
        <v>9</v>
      </c>
      <c r="B19" s="617" t="s">
        <v>284</v>
      </c>
      <c r="C19" s="617" t="s">
        <v>285</v>
      </c>
      <c r="D19" s="194" t="s">
        <v>527</v>
      </c>
      <c r="E19" s="194" t="s">
        <v>528</v>
      </c>
      <c r="F19" s="194" t="s">
        <v>529</v>
      </c>
      <c r="G19" s="194" t="s">
        <v>530</v>
      </c>
      <c r="H19" s="194" t="s">
        <v>531</v>
      </c>
      <c r="I19" s="194" t="s">
        <v>283</v>
      </c>
      <c r="J19" s="194" t="s">
        <v>532</v>
      </c>
      <c r="K19" s="194" t="s">
        <v>545</v>
      </c>
      <c r="L19" s="194" t="s">
        <v>282</v>
      </c>
      <c r="M19" s="194"/>
      <c r="N19" s="194" t="s">
        <v>287</v>
      </c>
      <c r="O19" s="194"/>
      <c r="P19" s="39">
        <f t="shared" si="1"/>
        <v>9</v>
      </c>
    </row>
    <row r="20" spans="1:19" x14ac:dyDescent="0.35">
      <c r="A20" s="39">
        <f t="shared" si="0"/>
        <v>10</v>
      </c>
      <c r="B20" s="156" t="s">
        <v>288</v>
      </c>
      <c r="C20" s="409" t="str">
        <f>RIGHT(B6,4)</f>
        <v>2020</v>
      </c>
      <c r="D20" s="35">
        <v>66.37252482038177</v>
      </c>
      <c r="E20" s="35">
        <v>75.821720569928246</v>
      </c>
      <c r="F20" s="35">
        <v>0</v>
      </c>
      <c r="G20" s="35">
        <v>0</v>
      </c>
      <c r="H20" s="291">
        <f>SUM(E20:G20)</f>
        <v>75.821720569928246</v>
      </c>
      <c r="I20" s="649">
        <f>D20-H20</f>
        <v>-9.449195749546476</v>
      </c>
      <c r="J20" s="618">
        <v>4.1999999999999997E-3</v>
      </c>
      <c r="K20" s="651">
        <f>I20</f>
        <v>-9.449195749546476</v>
      </c>
      <c r="L20" s="619">
        <f>(I20/2)*J20</f>
        <v>-1.9843311074047597E-2</v>
      </c>
      <c r="M20" s="619"/>
      <c r="N20" s="668">
        <f t="shared" ref="N20:N31" si="2">K20+L20</f>
        <v>-9.4690390606205241</v>
      </c>
      <c r="O20" s="655" t="s">
        <v>16</v>
      </c>
      <c r="P20" s="39">
        <f t="shared" si="1"/>
        <v>10</v>
      </c>
      <c r="Q20" s="38"/>
    </row>
    <row r="21" spans="1:19" x14ac:dyDescent="0.35">
      <c r="A21" s="39">
        <f t="shared" si="0"/>
        <v>11</v>
      </c>
      <c r="B21" s="156" t="s">
        <v>289</v>
      </c>
      <c r="C21" s="409" t="str">
        <f>C20</f>
        <v>2020</v>
      </c>
      <c r="D21" s="36">
        <f>$D$20</f>
        <v>66.37252482038177</v>
      </c>
      <c r="E21" s="176">
        <f>$E$20</f>
        <v>75.821720569928246</v>
      </c>
      <c r="F21" s="176">
        <f>$F$20</f>
        <v>0</v>
      </c>
      <c r="G21" s="176">
        <f>$G$20</f>
        <v>0</v>
      </c>
      <c r="H21" s="244">
        <f>SUM(E21:G21)</f>
        <v>75.821720569928246</v>
      </c>
      <c r="I21" s="609">
        <f t="shared" ref="I21:I31" si="3">D21-H21</f>
        <v>-9.449195749546476</v>
      </c>
      <c r="J21" s="618">
        <v>3.8999999999999998E-3</v>
      </c>
      <c r="K21" s="652">
        <f t="shared" ref="K21:K31" si="4">N20+I21</f>
        <v>-18.918234810167</v>
      </c>
      <c r="L21" s="621">
        <f t="shared" ref="L21:L31" si="5">(N20+K21)/2*J21</f>
        <v>-5.5355184048035667E-2</v>
      </c>
      <c r="M21" s="621"/>
      <c r="N21" s="653">
        <f t="shared" si="2"/>
        <v>-18.973589994215036</v>
      </c>
      <c r="O21" s="655" t="s">
        <v>16</v>
      </c>
      <c r="P21" s="39">
        <f t="shared" si="1"/>
        <v>11</v>
      </c>
      <c r="Q21" s="193"/>
    </row>
    <row r="22" spans="1:19" x14ac:dyDescent="0.35">
      <c r="A22" s="39">
        <f t="shared" si="0"/>
        <v>12</v>
      </c>
      <c r="B22" s="156" t="s">
        <v>290</v>
      </c>
      <c r="C22" s="409" t="str">
        <f>C20</f>
        <v>2020</v>
      </c>
      <c r="D22" s="36">
        <f t="shared" ref="D22:D31" si="6">$D$20</f>
        <v>66.37252482038177</v>
      </c>
      <c r="E22" s="176">
        <f t="shared" ref="E22:E31" si="7">$E$20</f>
        <v>75.821720569928246</v>
      </c>
      <c r="F22" s="176">
        <f t="shared" ref="F22:F31" si="8">$F$20</f>
        <v>0</v>
      </c>
      <c r="G22" s="176">
        <f t="shared" ref="G22:G31" si="9">$G$20</f>
        <v>0</v>
      </c>
      <c r="H22" s="244">
        <f t="shared" ref="H22:H30" si="10">SUM(E22:G22)</f>
        <v>75.821720569928246</v>
      </c>
      <c r="I22" s="609">
        <f t="shared" si="3"/>
        <v>-9.449195749546476</v>
      </c>
      <c r="J22" s="618">
        <v>4.1999999999999997E-3</v>
      </c>
      <c r="K22" s="652">
        <f t="shared" si="4"/>
        <v>-28.422785743761512</v>
      </c>
      <c r="L22" s="621">
        <f t="shared" si="5"/>
        <v>-9.9532389049750744E-2</v>
      </c>
      <c r="M22" s="621"/>
      <c r="N22" s="622">
        <f t="shared" si="2"/>
        <v>-28.522318132811264</v>
      </c>
      <c r="O22" s="622"/>
      <c r="P22" s="39">
        <f t="shared" si="1"/>
        <v>12</v>
      </c>
      <c r="Q22" s="193"/>
    </row>
    <row r="23" spans="1:19" x14ac:dyDescent="0.35">
      <c r="A23" s="39">
        <f t="shared" si="0"/>
        <v>13</v>
      </c>
      <c r="B23" s="156" t="s">
        <v>291</v>
      </c>
      <c r="C23" s="409" t="str">
        <f>C20</f>
        <v>2020</v>
      </c>
      <c r="D23" s="36">
        <f t="shared" si="6"/>
        <v>66.37252482038177</v>
      </c>
      <c r="E23" s="176">
        <f t="shared" si="7"/>
        <v>75.821720569928246</v>
      </c>
      <c r="F23" s="176">
        <f t="shared" si="8"/>
        <v>0</v>
      </c>
      <c r="G23" s="176">
        <f t="shared" si="9"/>
        <v>0</v>
      </c>
      <c r="H23" s="244">
        <f t="shared" si="10"/>
        <v>75.821720569928246</v>
      </c>
      <c r="I23" s="609">
        <f>D23-H23</f>
        <v>-9.449195749546476</v>
      </c>
      <c r="J23" s="618">
        <v>3.8999999999999998E-3</v>
      </c>
      <c r="K23" s="652">
        <f t="shared" si="4"/>
        <v>-37.97151388235774</v>
      </c>
      <c r="L23" s="621">
        <f t="shared" si="5"/>
        <v>-0.12966297242957955</v>
      </c>
      <c r="M23" s="621"/>
      <c r="N23" s="653">
        <f t="shared" si="2"/>
        <v>-38.101176854787319</v>
      </c>
      <c r="O23" s="655" t="s">
        <v>16</v>
      </c>
      <c r="P23" s="39">
        <f t="shared" si="1"/>
        <v>13</v>
      </c>
      <c r="Q23" s="193"/>
      <c r="S23" s="623"/>
    </row>
    <row r="24" spans="1:19" x14ac:dyDescent="0.35">
      <c r="A24" s="39">
        <f t="shared" si="0"/>
        <v>14</v>
      </c>
      <c r="B24" s="156" t="s">
        <v>292</v>
      </c>
      <c r="C24" s="409" t="str">
        <f>C20</f>
        <v>2020</v>
      </c>
      <c r="D24" s="36">
        <f t="shared" si="6"/>
        <v>66.37252482038177</v>
      </c>
      <c r="E24" s="176">
        <f t="shared" si="7"/>
        <v>75.821720569928246</v>
      </c>
      <c r="F24" s="176">
        <f t="shared" si="8"/>
        <v>0</v>
      </c>
      <c r="G24" s="176">
        <f t="shared" si="9"/>
        <v>0</v>
      </c>
      <c r="H24" s="244">
        <f t="shared" si="10"/>
        <v>75.821720569928246</v>
      </c>
      <c r="I24" s="609">
        <f t="shared" si="3"/>
        <v>-9.449195749546476</v>
      </c>
      <c r="J24" s="618">
        <v>4.0000000000000001E-3</v>
      </c>
      <c r="K24" s="652">
        <f t="shared" si="4"/>
        <v>-47.550372604333795</v>
      </c>
      <c r="L24" s="621">
        <f t="shared" si="5"/>
        <v>-0.17130309891824222</v>
      </c>
      <c r="M24" s="621"/>
      <c r="N24" s="653">
        <f t="shared" si="2"/>
        <v>-47.721675703252039</v>
      </c>
      <c r="O24" s="655" t="s">
        <v>16</v>
      </c>
      <c r="P24" s="39">
        <f t="shared" si="1"/>
        <v>14</v>
      </c>
      <c r="Q24" s="193"/>
    </row>
    <row r="25" spans="1:19" x14ac:dyDescent="0.35">
      <c r="A25" s="39">
        <f t="shared" si="0"/>
        <v>15</v>
      </c>
      <c r="B25" s="156" t="s">
        <v>293</v>
      </c>
      <c r="C25" s="409" t="str">
        <f>C20</f>
        <v>2020</v>
      </c>
      <c r="D25" s="36">
        <f t="shared" si="6"/>
        <v>66.37252482038177</v>
      </c>
      <c r="E25" s="176">
        <f t="shared" si="7"/>
        <v>75.821720569928246</v>
      </c>
      <c r="F25" s="176">
        <f t="shared" si="8"/>
        <v>0</v>
      </c>
      <c r="G25" s="176">
        <f t="shared" si="9"/>
        <v>0</v>
      </c>
      <c r="H25" s="244">
        <f t="shared" si="10"/>
        <v>75.821720569928246</v>
      </c>
      <c r="I25" s="609">
        <f t="shared" si="3"/>
        <v>-9.449195749546476</v>
      </c>
      <c r="J25" s="618">
        <v>3.8999999999999998E-3</v>
      </c>
      <c r="K25" s="652">
        <f t="shared" si="4"/>
        <v>-57.170871452798515</v>
      </c>
      <c r="L25" s="621">
        <f t="shared" si="5"/>
        <v>-0.20454046695429856</v>
      </c>
      <c r="M25" s="621"/>
      <c r="N25" s="653">
        <f t="shared" si="2"/>
        <v>-57.375411919752814</v>
      </c>
      <c r="O25" s="655" t="s">
        <v>16</v>
      </c>
      <c r="P25" s="39">
        <f t="shared" si="1"/>
        <v>15</v>
      </c>
      <c r="Q25" s="193"/>
    </row>
    <row r="26" spans="1:19" x14ac:dyDescent="0.35">
      <c r="A26" s="39">
        <f t="shared" si="0"/>
        <v>16</v>
      </c>
      <c r="B26" s="156" t="s">
        <v>294</v>
      </c>
      <c r="C26" s="409" t="str">
        <f>C20</f>
        <v>2020</v>
      </c>
      <c r="D26" s="36">
        <f t="shared" si="6"/>
        <v>66.37252482038177</v>
      </c>
      <c r="E26" s="176">
        <f t="shared" si="7"/>
        <v>75.821720569928246</v>
      </c>
      <c r="F26" s="176">
        <f t="shared" si="8"/>
        <v>0</v>
      </c>
      <c r="G26" s="176">
        <f t="shared" si="9"/>
        <v>0</v>
      </c>
      <c r="H26" s="244">
        <f t="shared" si="10"/>
        <v>75.821720569928246</v>
      </c>
      <c r="I26" s="609">
        <f t="shared" si="3"/>
        <v>-9.449195749546476</v>
      </c>
      <c r="J26" s="618">
        <v>2.8999999999999998E-3</v>
      </c>
      <c r="K26" s="652">
        <f t="shared" si="4"/>
        <v>-66.824607669299297</v>
      </c>
      <c r="L26" s="621">
        <f t="shared" si="5"/>
        <v>-0.18009002840412555</v>
      </c>
      <c r="M26" s="621"/>
      <c r="N26" s="653">
        <f t="shared" si="2"/>
        <v>-67.004697697703421</v>
      </c>
      <c r="O26" s="655" t="s">
        <v>16</v>
      </c>
      <c r="P26" s="39">
        <f t="shared" si="1"/>
        <v>16</v>
      </c>
      <c r="Q26" s="193"/>
    </row>
    <row r="27" spans="1:19" x14ac:dyDescent="0.35">
      <c r="A27" s="39">
        <f t="shared" si="0"/>
        <v>17</v>
      </c>
      <c r="B27" s="156" t="s">
        <v>295</v>
      </c>
      <c r="C27" s="409" t="str">
        <f>C20</f>
        <v>2020</v>
      </c>
      <c r="D27" s="36">
        <f t="shared" si="6"/>
        <v>66.37252482038177</v>
      </c>
      <c r="E27" s="176">
        <f t="shared" si="7"/>
        <v>75.821720569928246</v>
      </c>
      <c r="F27" s="176">
        <f t="shared" si="8"/>
        <v>0</v>
      </c>
      <c r="G27" s="176">
        <f t="shared" si="9"/>
        <v>0</v>
      </c>
      <c r="H27" s="244">
        <f t="shared" si="10"/>
        <v>75.821720569928246</v>
      </c>
      <c r="I27" s="609">
        <f t="shared" si="3"/>
        <v>-9.449195749546476</v>
      </c>
      <c r="J27" s="618">
        <v>2.8999999999999998E-3</v>
      </c>
      <c r="K27" s="652">
        <f t="shared" si="4"/>
        <v>-76.453893447249897</v>
      </c>
      <c r="L27" s="621">
        <f t="shared" si="5"/>
        <v>-0.20801495716018228</v>
      </c>
      <c r="M27" s="621"/>
      <c r="N27" s="653">
        <f t="shared" si="2"/>
        <v>-76.661908404410084</v>
      </c>
      <c r="O27" s="655" t="s">
        <v>16</v>
      </c>
      <c r="P27" s="39">
        <f t="shared" si="1"/>
        <v>17</v>
      </c>
      <c r="Q27" s="193"/>
    </row>
    <row r="28" spans="1:19" x14ac:dyDescent="0.35">
      <c r="A28" s="39">
        <f t="shared" si="0"/>
        <v>18</v>
      </c>
      <c r="B28" s="156" t="s">
        <v>296</v>
      </c>
      <c r="C28" s="409" t="str">
        <f>C20</f>
        <v>2020</v>
      </c>
      <c r="D28" s="36">
        <f t="shared" si="6"/>
        <v>66.37252482038177</v>
      </c>
      <c r="E28" s="176">
        <f t="shared" si="7"/>
        <v>75.821720569928246</v>
      </c>
      <c r="F28" s="176">
        <f t="shared" si="8"/>
        <v>0</v>
      </c>
      <c r="G28" s="176">
        <f t="shared" si="9"/>
        <v>0</v>
      </c>
      <c r="H28" s="244">
        <f t="shared" si="10"/>
        <v>75.821720569928246</v>
      </c>
      <c r="I28" s="609">
        <f t="shared" si="3"/>
        <v>-9.449195749546476</v>
      </c>
      <c r="J28" s="618">
        <v>2.8E-3</v>
      </c>
      <c r="K28" s="652">
        <f t="shared" si="4"/>
        <v>-86.11110415395656</v>
      </c>
      <c r="L28" s="621">
        <f t="shared" si="5"/>
        <v>-0.22788221758171331</v>
      </c>
      <c r="M28" s="25"/>
      <c r="N28" s="653">
        <f t="shared" si="2"/>
        <v>-86.338986371538269</v>
      </c>
      <c r="O28" s="655" t="s">
        <v>16</v>
      </c>
      <c r="P28" s="39">
        <f t="shared" si="1"/>
        <v>18</v>
      </c>
      <c r="Q28" s="193"/>
    </row>
    <row r="29" spans="1:19" x14ac:dyDescent="0.35">
      <c r="A29" s="39">
        <f t="shared" si="0"/>
        <v>19</v>
      </c>
      <c r="B29" s="156" t="s">
        <v>297</v>
      </c>
      <c r="C29" s="409" t="str">
        <f>C20</f>
        <v>2020</v>
      </c>
      <c r="D29" s="36">
        <f t="shared" si="6"/>
        <v>66.37252482038177</v>
      </c>
      <c r="E29" s="176">
        <f t="shared" si="7"/>
        <v>75.821720569928246</v>
      </c>
      <c r="F29" s="176">
        <f t="shared" si="8"/>
        <v>0</v>
      </c>
      <c r="G29" s="176">
        <f t="shared" si="9"/>
        <v>0</v>
      </c>
      <c r="H29" s="244">
        <f t="shared" si="10"/>
        <v>75.821720569928246</v>
      </c>
      <c r="I29" s="609">
        <f t="shared" si="3"/>
        <v>-9.449195749546476</v>
      </c>
      <c r="J29" s="618">
        <v>2.8E-3</v>
      </c>
      <c r="K29" s="652">
        <f t="shared" si="4"/>
        <v>-95.788182121084745</v>
      </c>
      <c r="L29" s="621">
        <f t="shared" si="5"/>
        <v>-0.25497803588967222</v>
      </c>
      <c r="M29" s="621"/>
      <c r="N29" s="653">
        <f t="shared" si="2"/>
        <v>-96.043160156974423</v>
      </c>
      <c r="O29" s="655" t="s">
        <v>16</v>
      </c>
      <c r="P29" s="39">
        <f t="shared" si="1"/>
        <v>19</v>
      </c>
      <c r="Q29" s="193"/>
    </row>
    <row r="30" spans="1:19" x14ac:dyDescent="0.35">
      <c r="A30" s="39">
        <f t="shared" si="0"/>
        <v>20</v>
      </c>
      <c r="B30" s="156" t="s">
        <v>298</v>
      </c>
      <c r="C30" s="409" t="str">
        <f>C20</f>
        <v>2020</v>
      </c>
      <c r="D30" s="36">
        <f t="shared" si="6"/>
        <v>66.37252482038177</v>
      </c>
      <c r="E30" s="176">
        <f t="shared" si="7"/>
        <v>75.821720569928246</v>
      </c>
      <c r="F30" s="176">
        <f t="shared" si="8"/>
        <v>0</v>
      </c>
      <c r="G30" s="176">
        <f t="shared" si="9"/>
        <v>0</v>
      </c>
      <c r="H30" s="244">
        <f t="shared" si="10"/>
        <v>75.821720569928246</v>
      </c>
      <c r="I30" s="609">
        <f t="shared" si="3"/>
        <v>-9.449195749546476</v>
      </c>
      <c r="J30" s="618">
        <v>2.7000000000000001E-3</v>
      </c>
      <c r="K30" s="652">
        <f t="shared" si="4"/>
        <v>-105.4923559065209</v>
      </c>
      <c r="L30" s="621">
        <f t="shared" si="5"/>
        <v>-0.27207294668571869</v>
      </c>
      <c r="M30" s="621"/>
      <c r="N30" s="653">
        <f t="shared" si="2"/>
        <v>-105.76442885320662</v>
      </c>
      <c r="O30" s="655" t="s">
        <v>16</v>
      </c>
      <c r="P30" s="39">
        <f t="shared" si="1"/>
        <v>20</v>
      </c>
      <c r="Q30" s="193"/>
    </row>
    <row r="31" spans="1:19" x14ac:dyDescent="0.35">
      <c r="A31" s="39">
        <f t="shared" si="0"/>
        <v>21</v>
      </c>
      <c r="B31" s="410" t="s">
        <v>299</v>
      </c>
      <c r="C31" s="411" t="str">
        <f>C20</f>
        <v>2020</v>
      </c>
      <c r="D31" s="36">
        <f t="shared" si="6"/>
        <v>66.37252482038177</v>
      </c>
      <c r="E31" s="176">
        <f t="shared" si="7"/>
        <v>75.821720569928246</v>
      </c>
      <c r="F31" s="176">
        <f t="shared" si="8"/>
        <v>0</v>
      </c>
      <c r="G31" s="176">
        <f t="shared" si="9"/>
        <v>0</v>
      </c>
      <c r="H31" s="413">
        <f>SUM(E31:G31)</f>
        <v>75.821720569928246</v>
      </c>
      <c r="I31" s="650">
        <f t="shared" si="3"/>
        <v>-9.449195749546476</v>
      </c>
      <c r="J31" s="624">
        <v>2.8E-3</v>
      </c>
      <c r="K31" s="656">
        <f t="shared" si="4"/>
        <v>-115.2136246027531</v>
      </c>
      <c r="L31" s="625">
        <f t="shared" si="5"/>
        <v>-0.30936927483834359</v>
      </c>
      <c r="M31" s="625"/>
      <c r="N31" s="654">
        <f t="shared" si="2"/>
        <v>-115.52299387759145</v>
      </c>
      <c r="O31" s="655" t="s">
        <v>16</v>
      </c>
      <c r="P31" s="39">
        <f t="shared" si="1"/>
        <v>21</v>
      </c>
      <c r="Q31" s="193"/>
    </row>
    <row r="32" spans="1:19" ht="16" thickBot="1" x14ac:dyDescent="0.4">
      <c r="A32" s="39">
        <f t="shared" si="0"/>
        <v>22</v>
      </c>
      <c r="D32" s="648">
        <f t="shared" ref="D32:I32" si="11">SUM(D20:D31)</f>
        <v>796.47029784458107</v>
      </c>
      <c r="E32" s="626">
        <f t="shared" si="11"/>
        <v>909.86064683913912</v>
      </c>
      <c r="F32" s="626">
        <f t="shared" si="11"/>
        <v>0</v>
      </c>
      <c r="G32" s="626">
        <f t="shared" si="11"/>
        <v>0</v>
      </c>
      <c r="H32" s="626">
        <f t="shared" si="11"/>
        <v>909.86064683913912</v>
      </c>
      <c r="I32" s="648">
        <f t="shared" si="11"/>
        <v>-113.39034899455771</v>
      </c>
      <c r="J32" s="740"/>
      <c r="K32" s="655" t="s">
        <v>16</v>
      </c>
      <c r="L32" s="667">
        <f>SUM(L20:L31)</f>
        <v>-2.1326448830337101</v>
      </c>
      <c r="M32" s="25" t="s">
        <v>16</v>
      </c>
      <c r="N32" s="655"/>
      <c r="O32" s="655"/>
      <c r="P32" s="39">
        <f t="shared" si="1"/>
        <v>22</v>
      </c>
    </row>
    <row r="33" spans="1:15" ht="16" thickTop="1" x14ac:dyDescent="0.35">
      <c r="D33" s="655" t="s">
        <v>16</v>
      </c>
      <c r="E33" s="414"/>
      <c r="F33" s="414"/>
      <c r="G33" s="414"/>
      <c r="H33" s="414"/>
      <c r="I33" s="655" t="s">
        <v>16</v>
      </c>
      <c r="J33" s="414"/>
      <c r="K33" s="414"/>
      <c r="L33" s="655"/>
      <c r="M33" s="655"/>
      <c r="N33" s="414"/>
      <c r="O33" s="414"/>
    </row>
    <row r="34" spans="1:15" x14ac:dyDescent="0.35">
      <c r="D34" s="655"/>
      <c r="E34" s="414"/>
      <c r="F34" s="414"/>
      <c r="G34" s="414"/>
      <c r="H34" s="414"/>
      <c r="I34" s="655"/>
      <c r="J34" s="414"/>
      <c r="K34" s="414"/>
      <c r="L34" s="655"/>
      <c r="M34" s="655"/>
      <c r="N34" s="414"/>
      <c r="O34" s="414"/>
    </row>
    <row r="35" spans="1:15" x14ac:dyDescent="0.35">
      <c r="A35" s="25" t="s">
        <v>16</v>
      </c>
      <c r="B35" s="22" t="s">
        <v>604</v>
      </c>
      <c r="F35" s="628"/>
      <c r="G35" s="628"/>
    </row>
    <row r="36" spans="1:15" ht="18" x14ac:dyDescent="0.35">
      <c r="A36" s="415">
        <v>1</v>
      </c>
      <c r="B36" s="40" t="s">
        <v>533</v>
      </c>
      <c r="F36" s="628"/>
      <c r="G36" s="628"/>
    </row>
    <row r="37" spans="1:15" ht="18" x14ac:dyDescent="0.35">
      <c r="A37" s="415">
        <v>2</v>
      </c>
      <c r="B37" s="40" t="s">
        <v>534</v>
      </c>
    </row>
    <row r="38" spans="1:15" ht="18" x14ac:dyDescent="0.35">
      <c r="A38" s="415">
        <v>3</v>
      </c>
      <c r="B38" s="40" t="s">
        <v>535</v>
      </c>
    </row>
    <row r="39" spans="1:15" ht="18" x14ac:dyDescent="0.35">
      <c r="A39" s="415">
        <v>4</v>
      </c>
      <c r="B39" s="40" t="s">
        <v>536</v>
      </c>
    </row>
    <row r="40" spans="1:15" ht="18" x14ac:dyDescent="0.35">
      <c r="A40" s="415"/>
      <c r="B40" s="40" t="s">
        <v>537</v>
      </c>
    </row>
    <row r="41" spans="1:15" ht="18" x14ac:dyDescent="0.35">
      <c r="A41" s="415">
        <v>5</v>
      </c>
      <c r="B41" s="40" t="s">
        <v>300</v>
      </c>
      <c r="C41" s="496"/>
    </row>
    <row r="42" spans="1:15" ht="18" x14ac:dyDescent="0.35">
      <c r="A42" s="415">
        <v>6</v>
      </c>
      <c r="B42" s="40" t="s">
        <v>538</v>
      </c>
    </row>
    <row r="43" spans="1:15" ht="18" x14ac:dyDescent="0.35">
      <c r="A43" s="415">
        <v>7</v>
      </c>
      <c r="B43" s="40" t="s">
        <v>539</v>
      </c>
    </row>
  </sheetData>
  <mergeCells count="5">
    <mergeCell ref="B3:P3"/>
    <mergeCell ref="B4:P4"/>
    <mergeCell ref="B5:P5"/>
    <mergeCell ref="B6:P6"/>
    <mergeCell ref="B7:N7"/>
  </mergeCells>
  <printOptions horizontalCentered="1"/>
  <pageMargins left="0.25" right="0.25" top="0.5" bottom="0.5" header="0.35" footer="0.25"/>
  <pageSetup scale="50" orientation="landscape" r:id="rId1"/>
  <headerFooter scaleWithDoc="0" alignWithMargins="0">
    <oddHeader>&amp;C&amp;"Times New Roman,Bold"&amp;6AS FILED SEC.4-TU WITH COST ADJ INCL. IN APPENDIX XII CYCLE 6 (ER24-175)</oddHeader>
    <oddFooter>&amp;L&amp;F&amp;CPage 7.1&amp;R&amp;A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E3BF-F46E-4563-BB13-959BC8F4899E}">
  <sheetPr>
    <pageSetUpPr fitToPage="1"/>
  </sheetPr>
  <dimension ref="A1:J79"/>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G1" s="41"/>
      <c r="H1" s="39"/>
    </row>
    <row r="2" spans="1:8" x14ac:dyDescent="0.35">
      <c r="B2" s="782" t="s">
        <v>24</v>
      </c>
      <c r="C2" s="782"/>
      <c r="D2" s="782"/>
      <c r="E2" s="782"/>
      <c r="F2" s="782"/>
      <c r="G2" s="782"/>
      <c r="H2" s="39"/>
    </row>
    <row r="3" spans="1:8" x14ac:dyDescent="0.35">
      <c r="B3" s="782" t="s">
        <v>25</v>
      </c>
      <c r="C3" s="782"/>
      <c r="D3" s="782"/>
      <c r="E3" s="782"/>
      <c r="F3" s="782"/>
      <c r="G3" s="782"/>
      <c r="H3" s="39"/>
    </row>
    <row r="4" spans="1:8" x14ac:dyDescent="0.35">
      <c r="B4" s="782" t="s">
        <v>26</v>
      </c>
      <c r="C4" s="782"/>
      <c r="D4" s="782"/>
      <c r="E4" s="782"/>
      <c r="F4" s="782"/>
      <c r="G4" s="782"/>
      <c r="H4" s="39"/>
    </row>
    <row r="5" spans="1:8" x14ac:dyDescent="0.35">
      <c r="B5" s="785" t="s">
        <v>512</v>
      </c>
      <c r="C5" s="785"/>
      <c r="D5" s="785"/>
      <c r="E5" s="785"/>
      <c r="F5" s="785"/>
      <c r="G5" s="785"/>
      <c r="H5" s="39"/>
    </row>
    <row r="6" spans="1:8" x14ac:dyDescent="0.35">
      <c r="B6" s="784" t="s">
        <v>1</v>
      </c>
      <c r="C6" s="786"/>
      <c r="D6" s="786"/>
      <c r="E6" s="786"/>
      <c r="F6" s="786"/>
      <c r="G6" s="786"/>
      <c r="H6" s="39"/>
    </row>
    <row r="7" spans="1:8" x14ac:dyDescent="0.35">
      <c r="B7" s="39"/>
      <c r="C7" s="39"/>
      <c r="D7" s="39"/>
      <c r="E7" s="42"/>
      <c r="F7" s="42"/>
      <c r="G7" s="39"/>
      <c r="H7" s="39"/>
    </row>
    <row r="8" spans="1:8" x14ac:dyDescent="0.35">
      <c r="A8" s="39" t="s">
        <v>2</v>
      </c>
      <c r="B8" s="495"/>
      <c r="C8" s="39" t="s">
        <v>27</v>
      </c>
      <c r="D8" s="495"/>
      <c r="E8" s="43"/>
      <c r="F8" s="43"/>
      <c r="G8" s="39"/>
      <c r="H8" s="39" t="s">
        <v>2</v>
      </c>
    </row>
    <row r="9" spans="1:8" x14ac:dyDescent="0.35">
      <c r="A9" s="39" t="s">
        <v>6</v>
      </c>
      <c r="C9" s="416" t="s">
        <v>28</v>
      </c>
      <c r="D9" s="495"/>
      <c r="E9" s="417" t="s">
        <v>4</v>
      </c>
      <c r="F9" s="43"/>
      <c r="G9" s="416" t="s">
        <v>5</v>
      </c>
      <c r="H9" s="39" t="s">
        <v>6</v>
      </c>
    </row>
    <row r="10" spans="1:8" x14ac:dyDescent="0.35">
      <c r="C10" s="495"/>
      <c r="D10" s="495"/>
      <c r="E10" s="43"/>
      <c r="F10" s="43"/>
      <c r="G10" s="39"/>
      <c r="H10" s="39"/>
    </row>
    <row r="11" spans="1:8" x14ac:dyDescent="0.35">
      <c r="A11" s="39">
        <v>1</v>
      </c>
      <c r="B11" s="418" t="s">
        <v>301</v>
      </c>
      <c r="C11" s="495"/>
      <c r="D11" s="495"/>
      <c r="E11" s="43"/>
      <c r="F11" s="43"/>
      <c r="G11" s="39"/>
      <c r="H11" s="39">
        <f>A11</f>
        <v>1</v>
      </c>
    </row>
    <row r="12" spans="1:8" x14ac:dyDescent="0.35">
      <c r="A12" s="39">
        <f>+A11+1</f>
        <v>2</v>
      </c>
      <c r="B12" s="302" t="s">
        <v>302</v>
      </c>
      <c r="C12" s="495"/>
      <c r="D12" s="495"/>
      <c r="E12" s="45">
        <v>0</v>
      </c>
      <c r="F12" s="43"/>
      <c r="G12" s="39" t="s">
        <v>421</v>
      </c>
      <c r="H12" s="39">
        <f>H11+1</f>
        <v>2</v>
      </c>
    </row>
    <row r="13" spans="1:8" x14ac:dyDescent="0.35">
      <c r="A13" s="39">
        <f t="shared" ref="A13:A74" si="0">+A12+1</f>
        <v>3</v>
      </c>
      <c r="C13" s="495"/>
      <c r="D13" s="495"/>
      <c r="E13" s="43"/>
      <c r="F13" s="43"/>
      <c r="G13" s="39"/>
      <c r="H13" s="39">
        <f t="shared" ref="H13:H74" si="1">H12+1</f>
        <v>3</v>
      </c>
    </row>
    <row r="14" spans="1:8" x14ac:dyDescent="0.35">
      <c r="A14" s="39">
        <f t="shared" si="0"/>
        <v>4</v>
      </c>
      <c r="B14" s="418" t="s">
        <v>303</v>
      </c>
      <c r="G14" s="39"/>
      <c r="H14" s="39">
        <f t="shared" si="1"/>
        <v>4</v>
      </c>
    </row>
    <row r="15" spans="1:8" x14ac:dyDescent="0.35">
      <c r="A15" s="39">
        <f t="shared" si="0"/>
        <v>5</v>
      </c>
      <c r="B15" s="18" t="s">
        <v>304</v>
      </c>
      <c r="C15" s="39"/>
      <c r="E15" s="45">
        <v>99948.700800000006</v>
      </c>
      <c r="G15" s="39" t="s">
        <v>422</v>
      </c>
      <c r="H15" s="39">
        <f t="shared" si="1"/>
        <v>5</v>
      </c>
    </row>
    <row r="16" spans="1:8" x14ac:dyDescent="0.35">
      <c r="A16" s="39">
        <f t="shared" si="0"/>
        <v>6</v>
      </c>
      <c r="B16" s="24" t="s">
        <v>29</v>
      </c>
      <c r="E16" s="47"/>
      <c r="G16" s="39"/>
      <c r="H16" s="39">
        <f t="shared" si="1"/>
        <v>6</v>
      </c>
    </row>
    <row r="17" spans="1:10" x14ac:dyDescent="0.35">
      <c r="A17" s="39">
        <f t="shared" si="0"/>
        <v>7</v>
      </c>
      <c r="B17" s="18" t="s">
        <v>305</v>
      </c>
      <c r="C17" s="39"/>
      <c r="E17" s="48">
        <v>-5200.3239999999996</v>
      </c>
      <c r="G17" s="39" t="s">
        <v>423</v>
      </c>
      <c r="H17" s="39">
        <f t="shared" si="1"/>
        <v>7</v>
      </c>
    </row>
    <row r="18" spans="1:10" x14ac:dyDescent="0.35">
      <c r="A18" s="39">
        <f t="shared" si="0"/>
        <v>8</v>
      </c>
      <c r="B18" s="18" t="s">
        <v>306</v>
      </c>
      <c r="E18" s="48">
        <v>-2469.29151</v>
      </c>
      <c r="G18" s="39" t="s">
        <v>424</v>
      </c>
      <c r="H18" s="39">
        <f t="shared" si="1"/>
        <v>8</v>
      </c>
    </row>
    <row r="19" spans="1:10" x14ac:dyDescent="0.35">
      <c r="A19" s="39">
        <f t="shared" si="0"/>
        <v>9</v>
      </c>
      <c r="B19" s="302" t="s">
        <v>307</v>
      </c>
      <c r="E19" s="48">
        <v>-6458.357</v>
      </c>
      <c r="G19" s="39" t="s">
        <v>425</v>
      </c>
      <c r="H19" s="39">
        <f t="shared" si="1"/>
        <v>9</v>
      </c>
    </row>
    <row r="20" spans="1:10" x14ac:dyDescent="0.35">
      <c r="A20" s="39">
        <f t="shared" si="0"/>
        <v>10</v>
      </c>
      <c r="B20" s="302" t="s">
        <v>308</v>
      </c>
      <c r="E20" s="48">
        <v>-9764.84</v>
      </c>
      <c r="G20" s="39" t="s">
        <v>426</v>
      </c>
      <c r="H20" s="39">
        <f t="shared" si="1"/>
        <v>10</v>
      </c>
    </row>
    <row r="21" spans="1:10" x14ac:dyDescent="0.35">
      <c r="A21" s="39">
        <f t="shared" si="0"/>
        <v>11</v>
      </c>
      <c r="B21" s="18" t="s">
        <v>309</v>
      </c>
      <c r="E21" s="48">
        <v>0</v>
      </c>
      <c r="G21" s="39" t="s">
        <v>427</v>
      </c>
      <c r="H21" s="39">
        <f t="shared" si="1"/>
        <v>11</v>
      </c>
    </row>
    <row r="22" spans="1:10" x14ac:dyDescent="0.35">
      <c r="A22" s="39">
        <f t="shared" si="0"/>
        <v>12</v>
      </c>
      <c r="B22" s="18" t="s">
        <v>310</v>
      </c>
      <c r="E22" s="48">
        <v>-325.87329000000057</v>
      </c>
      <c r="G22" s="39" t="s">
        <v>428</v>
      </c>
      <c r="H22" s="39">
        <f t="shared" si="1"/>
        <v>12</v>
      </c>
    </row>
    <row r="23" spans="1:10" x14ac:dyDescent="0.35">
      <c r="A23" s="39">
        <f t="shared" si="0"/>
        <v>13</v>
      </c>
      <c r="B23" s="302" t="s">
        <v>311</v>
      </c>
      <c r="E23" s="48">
        <v>-15716.966</v>
      </c>
      <c r="G23" s="39" t="s">
        <v>429</v>
      </c>
      <c r="H23" s="39">
        <f t="shared" si="1"/>
        <v>13</v>
      </c>
    </row>
    <row r="24" spans="1:10" x14ac:dyDescent="0.35">
      <c r="A24" s="39">
        <f t="shared" si="0"/>
        <v>14</v>
      </c>
      <c r="B24" s="302" t="s">
        <v>312</v>
      </c>
      <c r="E24" s="48">
        <v>-26863.351999999999</v>
      </c>
      <c r="G24" s="39" t="s">
        <v>430</v>
      </c>
      <c r="H24" s="39">
        <f t="shared" si="1"/>
        <v>14</v>
      </c>
    </row>
    <row r="25" spans="1:10" x14ac:dyDescent="0.35">
      <c r="A25" s="39">
        <f t="shared" si="0"/>
        <v>15</v>
      </c>
      <c r="B25" s="302" t="s">
        <v>313</v>
      </c>
      <c r="E25" s="48">
        <v>-1113.175</v>
      </c>
      <c r="G25" s="39" t="s">
        <v>431</v>
      </c>
      <c r="H25" s="39">
        <f t="shared" si="1"/>
        <v>15</v>
      </c>
    </row>
    <row r="26" spans="1:10" x14ac:dyDescent="0.35">
      <c r="A26" s="39">
        <f t="shared" si="0"/>
        <v>16</v>
      </c>
      <c r="B26" s="18" t="s">
        <v>314</v>
      </c>
      <c r="E26" s="49">
        <v>1614.6884600000001</v>
      </c>
      <c r="G26" s="39" t="s">
        <v>315</v>
      </c>
      <c r="H26" s="39">
        <f t="shared" si="1"/>
        <v>16</v>
      </c>
    </row>
    <row r="27" spans="1:10" ht="16" thickBot="1" x14ac:dyDescent="0.4">
      <c r="A27" s="39">
        <f t="shared" si="0"/>
        <v>17</v>
      </c>
      <c r="B27" s="18" t="s">
        <v>317</v>
      </c>
      <c r="E27" s="64">
        <f>SUM(E15:E26)</f>
        <v>33651.210460000017</v>
      </c>
      <c r="F27" s="25"/>
      <c r="G27" s="33" t="s">
        <v>608</v>
      </c>
      <c r="H27" s="39">
        <f t="shared" si="1"/>
        <v>17</v>
      </c>
    </row>
    <row r="28" spans="1:10" ht="16" thickTop="1" x14ac:dyDescent="0.35">
      <c r="A28" s="39">
        <f t="shared" si="0"/>
        <v>18</v>
      </c>
      <c r="E28" s="38"/>
      <c r="H28" s="39">
        <f t="shared" si="1"/>
        <v>18</v>
      </c>
    </row>
    <row r="29" spans="1:10" x14ac:dyDescent="0.35">
      <c r="A29" s="39">
        <f t="shared" si="0"/>
        <v>19</v>
      </c>
      <c r="B29" s="419" t="s">
        <v>318</v>
      </c>
      <c r="E29" s="50"/>
      <c r="G29" s="39"/>
      <c r="H29" s="39">
        <f t="shared" si="1"/>
        <v>19</v>
      </c>
    </row>
    <row r="30" spans="1:10" x14ac:dyDescent="0.35">
      <c r="A30" s="39">
        <f t="shared" si="0"/>
        <v>20</v>
      </c>
      <c r="B30" s="24" t="s">
        <v>319</v>
      </c>
      <c r="C30" s="39"/>
      <c r="E30" s="45">
        <v>595154.03483999986</v>
      </c>
      <c r="G30" s="39" t="s">
        <v>673</v>
      </c>
      <c r="H30" s="39">
        <f t="shared" si="1"/>
        <v>20</v>
      </c>
    </row>
    <row r="31" spans="1:10" x14ac:dyDescent="0.35">
      <c r="A31" s="39">
        <f t="shared" si="0"/>
        <v>21</v>
      </c>
      <c r="B31" s="24" t="s">
        <v>30</v>
      </c>
      <c r="E31" s="50" t="s">
        <v>11</v>
      </c>
      <c r="G31" s="39"/>
      <c r="H31" s="39">
        <f t="shared" si="1"/>
        <v>21</v>
      </c>
    </row>
    <row r="32" spans="1:10" x14ac:dyDescent="0.35">
      <c r="A32" s="39">
        <f t="shared" si="0"/>
        <v>22</v>
      </c>
      <c r="B32" s="46" t="s">
        <v>31</v>
      </c>
      <c r="E32" s="48">
        <v>-2360.7200000000003</v>
      </c>
      <c r="G32" s="39" t="s">
        <v>689</v>
      </c>
      <c r="H32" s="39">
        <f t="shared" si="1"/>
        <v>22</v>
      </c>
      <c r="I32" s="420"/>
      <c r="J32" s="52"/>
    </row>
    <row r="33" spans="1:10" ht="31" x14ac:dyDescent="0.35">
      <c r="A33" s="39">
        <f t="shared" si="0"/>
        <v>23</v>
      </c>
      <c r="B33" s="46" t="s">
        <v>32</v>
      </c>
      <c r="E33" s="48">
        <v>555.40800074000003</v>
      </c>
      <c r="G33" s="51" t="s">
        <v>690</v>
      </c>
      <c r="H33" s="39">
        <f t="shared" si="1"/>
        <v>23</v>
      </c>
      <c r="I33" s="420"/>
      <c r="J33" s="52"/>
    </row>
    <row r="34" spans="1:10" x14ac:dyDescent="0.35">
      <c r="A34" s="39">
        <f t="shared" si="0"/>
        <v>24</v>
      </c>
      <c r="B34" s="46" t="s">
        <v>121</v>
      </c>
      <c r="E34" s="48">
        <v>0</v>
      </c>
      <c r="G34" s="39" t="s">
        <v>691</v>
      </c>
      <c r="H34" s="39">
        <f t="shared" si="1"/>
        <v>24</v>
      </c>
    </row>
    <row r="35" spans="1:10" x14ac:dyDescent="0.35">
      <c r="A35" s="39">
        <f t="shared" si="0"/>
        <v>25</v>
      </c>
      <c r="B35" s="46" t="s">
        <v>33</v>
      </c>
      <c r="E35" s="48">
        <v>-2085.1866</v>
      </c>
      <c r="G35" s="39" t="s">
        <v>692</v>
      </c>
      <c r="H35" s="39">
        <f t="shared" si="1"/>
        <v>25</v>
      </c>
      <c r="J35" s="52"/>
    </row>
    <row r="36" spans="1:10" x14ac:dyDescent="0.35">
      <c r="A36" s="39">
        <f t="shared" si="0"/>
        <v>26</v>
      </c>
      <c r="B36" s="46" t="s">
        <v>34</v>
      </c>
      <c r="E36" s="48">
        <v>-13015.817289999999</v>
      </c>
      <c r="G36" s="39" t="s">
        <v>693</v>
      </c>
      <c r="H36" s="39">
        <f t="shared" si="1"/>
        <v>26</v>
      </c>
      <c r="J36" s="52"/>
    </row>
    <row r="37" spans="1:10" x14ac:dyDescent="0.35">
      <c r="A37" s="39">
        <f t="shared" si="0"/>
        <v>27</v>
      </c>
      <c r="B37" s="46" t="s">
        <v>35</v>
      </c>
      <c r="E37" s="48">
        <v>0</v>
      </c>
      <c r="G37" s="598" t="s">
        <v>510</v>
      </c>
      <c r="H37" s="39">
        <f t="shared" si="1"/>
        <v>27</v>
      </c>
      <c r="J37" s="52"/>
    </row>
    <row r="38" spans="1:10" x14ac:dyDescent="0.35">
      <c r="A38" s="39">
        <f t="shared" si="0"/>
        <v>28</v>
      </c>
      <c r="B38" s="46" t="s">
        <v>36</v>
      </c>
      <c r="E38" s="48">
        <v>204.155</v>
      </c>
      <c r="F38" s="25"/>
      <c r="G38" s="51" t="s">
        <v>694</v>
      </c>
      <c r="H38" s="39">
        <f t="shared" si="1"/>
        <v>28</v>
      </c>
      <c r="I38" s="420"/>
    </row>
    <row r="39" spans="1:10" x14ac:dyDescent="0.35">
      <c r="A39" s="39">
        <f t="shared" si="0"/>
        <v>29</v>
      </c>
      <c r="B39" s="46" t="s">
        <v>37</v>
      </c>
      <c r="E39" s="48">
        <v>-130506.76528000001</v>
      </c>
      <c r="G39" s="39" t="s">
        <v>695</v>
      </c>
      <c r="H39" s="39">
        <f t="shared" si="1"/>
        <v>29</v>
      </c>
      <c r="I39" s="420"/>
      <c r="J39" s="52"/>
    </row>
    <row r="40" spans="1:10" x14ac:dyDescent="0.35">
      <c r="A40" s="39">
        <f t="shared" si="0"/>
        <v>30</v>
      </c>
      <c r="B40" s="46" t="s">
        <v>38</v>
      </c>
      <c r="E40" s="48">
        <v>-12.147468914000001</v>
      </c>
      <c r="G40" s="51" t="s">
        <v>696</v>
      </c>
      <c r="H40" s="39">
        <f t="shared" si="1"/>
        <v>30</v>
      </c>
    </row>
    <row r="41" spans="1:10" x14ac:dyDescent="0.35">
      <c r="A41" s="39">
        <f t="shared" si="0"/>
        <v>31</v>
      </c>
      <c r="B41" s="46" t="s">
        <v>39</v>
      </c>
      <c r="E41" s="48">
        <v>-40.544630000000005</v>
      </c>
      <c r="G41" s="51" t="s">
        <v>697</v>
      </c>
      <c r="H41" s="39">
        <f t="shared" si="1"/>
        <v>31</v>
      </c>
    </row>
    <row r="42" spans="1:10" ht="46.5" x14ac:dyDescent="0.35">
      <c r="A42" s="39">
        <f t="shared" si="0"/>
        <v>32</v>
      </c>
      <c r="B42" s="46" t="s">
        <v>40</v>
      </c>
      <c r="E42" s="48">
        <v>-24673.96447250203</v>
      </c>
      <c r="G42" s="51" t="s">
        <v>699</v>
      </c>
      <c r="H42" s="39">
        <f t="shared" si="1"/>
        <v>32</v>
      </c>
    </row>
    <row r="43" spans="1:10" x14ac:dyDescent="0.35">
      <c r="A43" s="39">
        <f t="shared" si="0"/>
        <v>33</v>
      </c>
      <c r="B43" s="40" t="s">
        <v>597</v>
      </c>
      <c r="E43" s="48">
        <v>-90.331999999999994</v>
      </c>
      <c r="F43" s="25"/>
      <c r="G43" s="39" t="s">
        <v>700</v>
      </c>
      <c r="H43" s="39">
        <f t="shared" si="1"/>
        <v>33</v>
      </c>
      <c r="I43" s="52"/>
    </row>
    <row r="44" spans="1:10" x14ac:dyDescent="0.35">
      <c r="A44" s="39">
        <f t="shared" si="0"/>
        <v>34</v>
      </c>
      <c r="B44" s="40" t="s">
        <v>598</v>
      </c>
      <c r="E44" s="48">
        <v>16552.13812</v>
      </c>
      <c r="G44" s="39" t="s">
        <v>701</v>
      </c>
      <c r="H44" s="39">
        <f t="shared" si="1"/>
        <v>34</v>
      </c>
      <c r="I44" s="52"/>
    </row>
    <row r="45" spans="1:10" x14ac:dyDescent="0.35">
      <c r="A45" s="39">
        <f t="shared" si="0"/>
        <v>35</v>
      </c>
      <c r="B45" s="40" t="s">
        <v>670</v>
      </c>
      <c r="E45" s="48">
        <v>6110</v>
      </c>
      <c r="G45" s="39" t="s">
        <v>702</v>
      </c>
      <c r="H45" s="39">
        <f t="shared" si="1"/>
        <v>35</v>
      </c>
      <c r="I45" s="52"/>
    </row>
    <row r="46" spans="1:10" x14ac:dyDescent="0.35">
      <c r="A46" s="39">
        <f t="shared" si="0"/>
        <v>36</v>
      </c>
      <c r="B46" s="496" t="s">
        <v>316</v>
      </c>
      <c r="E46" s="421">
        <f>-'Pg8.3 Rev AH-3'!R33</f>
        <v>612.21712000000002</v>
      </c>
      <c r="F46" s="25" t="s">
        <v>16</v>
      </c>
      <c r="G46" s="51" t="s">
        <v>698</v>
      </c>
      <c r="H46" s="39">
        <f t="shared" si="1"/>
        <v>36</v>
      </c>
      <c r="I46" s="52"/>
      <c r="J46" s="677"/>
    </row>
    <row r="47" spans="1:10" x14ac:dyDescent="0.35">
      <c r="A47" s="39">
        <f t="shared" si="0"/>
        <v>37</v>
      </c>
      <c r="B47" s="24" t="s">
        <v>320</v>
      </c>
      <c r="E47" s="53">
        <f>SUM(E30:E46)</f>
        <v>446402.47533932386</v>
      </c>
      <c r="F47" s="25" t="s">
        <v>16</v>
      </c>
      <c r="G47" s="39" t="s">
        <v>622</v>
      </c>
      <c r="H47" s="39">
        <f t="shared" si="1"/>
        <v>37</v>
      </c>
      <c r="J47" s="677"/>
    </row>
    <row r="48" spans="1:10" x14ac:dyDescent="0.35">
      <c r="A48" s="39">
        <f t="shared" si="0"/>
        <v>38</v>
      </c>
      <c r="B48" s="24" t="s">
        <v>41</v>
      </c>
      <c r="E48" s="48">
        <v>-8310.402</v>
      </c>
      <c r="G48" s="39" t="s">
        <v>573</v>
      </c>
      <c r="H48" s="39">
        <f t="shared" si="1"/>
        <v>38</v>
      </c>
      <c r="J48" s="677"/>
    </row>
    <row r="49" spans="1:10" x14ac:dyDescent="0.35">
      <c r="A49" s="39">
        <f t="shared" si="0"/>
        <v>39</v>
      </c>
      <c r="B49" s="40" t="s">
        <v>703</v>
      </c>
      <c r="E49" s="48">
        <f>-E44</f>
        <v>-16552.13812</v>
      </c>
      <c r="G49" s="39" t="s">
        <v>705</v>
      </c>
      <c r="H49" s="39">
        <f t="shared" si="1"/>
        <v>39</v>
      </c>
      <c r="J49" s="677"/>
    </row>
    <row r="50" spans="1:10" x14ac:dyDescent="0.35">
      <c r="A50" s="39">
        <f t="shared" si="0"/>
        <v>40</v>
      </c>
      <c r="B50" s="40" t="s">
        <v>704</v>
      </c>
      <c r="E50" s="422">
        <f>'Pg8.2 As Filed Stmt AH FERC Adj'!E45</f>
        <v>18468.096120000002</v>
      </c>
      <c r="G50" s="39" t="s">
        <v>706</v>
      </c>
      <c r="H50" s="39">
        <f t="shared" si="1"/>
        <v>40</v>
      </c>
      <c r="J50" s="677"/>
    </row>
    <row r="51" spans="1:10" x14ac:dyDescent="0.35">
      <c r="A51" s="39">
        <f t="shared" si="0"/>
        <v>41</v>
      </c>
      <c r="B51" s="24" t="s">
        <v>321</v>
      </c>
      <c r="E51" s="53">
        <f>SUM(E47:E50)</f>
        <v>440008.03133932385</v>
      </c>
      <c r="F51" s="25" t="s">
        <v>16</v>
      </c>
      <c r="G51" s="39" t="s">
        <v>707</v>
      </c>
      <c r="H51" s="39">
        <f t="shared" si="1"/>
        <v>41</v>
      </c>
      <c r="J51" s="676"/>
    </row>
    <row r="52" spans="1:10" x14ac:dyDescent="0.35">
      <c r="A52" s="39">
        <f t="shared" si="0"/>
        <v>42</v>
      </c>
      <c r="B52" s="18" t="s">
        <v>42</v>
      </c>
      <c r="E52" s="423">
        <v>0.10287974321775711</v>
      </c>
      <c r="G52" s="33" t="s">
        <v>432</v>
      </c>
      <c r="H52" s="39">
        <f t="shared" si="1"/>
        <v>42</v>
      </c>
    </row>
    <row r="53" spans="1:10" x14ac:dyDescent="0.35">
      <c r="A53" s="39">
        <f t="shared" si="0"/>
        <v>43</v>
      </c>
      <c r="B53" s="24" t="s">
        <v>322</v>
      </c>
      <c r="E53" s="54">
        <f>E51*E52</f>
        <v>45267.913277940461</v>
      </c>
      <c r="F53" s="25" t="s">
        <v>16</v>
      </c>
      <c r="G53" s="39" t="s">
        <v>708</v>
      </c>
      <c r="H53" s="39">
        <f t="shared" si="1"/>
        <v>43</v>
      </c>
    </row>
    <row r="54" spans="1:10" x14ac:dyDescent="0.35">
      <c r="A54" s="39">
        <f t="shared" si="0"/>
        <v>44</v>
      </c>
      <c r="B54" s="40" t="s">
        <v>43</v>
      </c>
      <c r="E54" s="424">
        <f>E74*(-E48)</f>
        <v>3314.1720474960866</v>
      </c>
      <c r="G54" s="39" t="s">
        <v>709</v>
      </c>
      <c r="H54" s="39">
        <f t="shared" si="1"/>
        <v>44</v>
      </c>
    </row>
    <row r="55" spans="1:10" ht="16" thickBot="1" x14ac:dyDescent="0.4">
      <c r="A55" s="39">
        <f t="shared" si="0"/>
        <v>45</v>
      </c>
      <c r="B55" s="46" t="s">
        <v>323</v>
      </c>
      <c r="E55" s="425">
        <f>E54+E53</f>
        <v>48582.08532543655</v>
      </c>
      <c r="F55" s="25" t="s">
        <v>16</v>
      </c>
      <c r="G55" s="39" t="s">
        <v>710</v>
      </c>
      <c r="H55" s="39">
        <f t="shared" si="1"/>
        <v>45</v>
      </c>
      <c r="I55" s="46"/>
      <c r="J55" s="676"/>
    </row>
    <row r="56" spans="1:10" ht="16" thickTop="1" x14ac:dyDescent="0.35">
      <c r="A56" s="39">
        <f t="shared" si="0"/>
        <v>46</v>
      </c>
      <c r="B56" s="55"/>
      <c r="E56" s="56"/>
      <c r="G56" s="39"/>
      <c r="H56" s="39">
        <f t="shared" si="1"/>
        <v>46</v>
      </c>
      <c r="J56" s="471"/>
    </row>
    <row r="57" spans="1:10" x14ac:dyDescent="0.35">
      <c r="A57" s="39">
        <f t="shared" si="0"/>
        <v>47</v>
      </c>
      <c r="B57" s="27" t="s">
        <v>44</v>
      </c>
      <c r="E57" s="57"/>
      <c r="G57" s="39"/>
      <c r="H57" s="39">
        <f t="shared" si="1"/>
        <v>47</v>
      </c>
    </row>
    <row r="58" spans="1:10" x14ac:dyDescent="0.35">
      <c r="A58" s="39">
        <f t="shared" si="0"/>
        <v>48</v>
      </c>
      <c r="B58" s="24" t="s">
        <v>45</v>
      </c>
      <c r="E58" s="34">
        <v>6655921.0157284606</v>
      </c>
      <c r="G58" s="39" t="s">
        <v>433</v>
      </c>
      <c r="H58" s="39">
        <f t="shared" si="1"/>
        <v>48</v>
      </c>
    </row>
    <row r="59" spans="1:10" x14ac:dyDescent="0.35">
      <c r="A59" s="39">
        <f t="shared" si="0"/>
        <v>49</v>
      </c>
      <c r="B59" s="24" t="s">
        <v>20</v>
      </c>
      <c r="E59" s="58">
        <v>0</v>
      </c>
      <c r="G59" s="39" t="s">
        <v>19</v>
      </c>
      <c r="H59" s="39">
        <f t="shared" si="1"/>
        <v>49</v>
      </c>
    </row>
    <row r="60" spans="1:10" x14ac:dyDescent="0.35">
      <c r="A60" s="39">
        <f t="shared" si="0"/>
        <v>50</v>
      </c>
      <c r="B60" s="24" t="s">
        <v>21</v>
      </c>
      <c r="E60" s="59">
        <v>47346.684623217821</v>
      </c>
      <c r="G60" s="60" t="s">
        <v>434</v>
      </c>
      <c r="H60" s="39">
        <f t="shared" si="1"/>
        <v>50</v>
      </c>
    </row>
    <row r="61" spans="1:10" x14ac:dyDescent="0.35">
      <c r="A61" s="39">
        <f t="shared" si="0"/>
        <v>51</v>
      </c>
      <c r="B61" s="24" t="s">
        <v>46</v>
      </c>
      <c r="E61" s="426">
        <v>117174.75292124566</v>
      </c>
      <c r="G61" s="60" t="s">
        <v>435</v>
      </c>
      <c r="H61" s="39">
        <f t="shared" si="1"/>
        <v>51</v>
      </c>
    </row>
    <row r="62" spans="1:10" ht="16" thickBot="1" x14ac:dyDescent="0.4">
      <c r="A62" s="39">
        <f t="shared" si="0"/>
        <v>52</v>
      </c>
      <c r="B62" s="24" t="s">
        <v>47</v>
      </c>
      <c r="E62" s="61">
        <f>SUM(E58:E61)</f>
        <v>6820442.4532729248</v>
      </c>
      <c r="G62" s="39" t="s">
        <v>711</v>
      </c>
      <c r="H62" s="39">
        <f t="shared" si="1"/>
        <v>52</v>
      </c>
      <c r="I62" s="46"/>
    </row>
    <row r="63" spans="1:10" ht="16" thickTop="1" x14ac:dyDescent="0.35">
      <c r="A63" s="39">
        <f t="shared" si="0"/>
        <v>53</v>
      </c>
      <c r="B63" s="55"/>
      <c r="E63" s="38"/>
      <c r="G63" s="39"/>
      <c r="H63" s="39">
        <f t="shared" si="1"/>
        <v>53</v>
      </c>
    </row>
    <row r="64" spans="1:10" x14ac:dyDescent="0.35">
      <c r="A64" s="39">
        <f t="shared" si="0"/>
        <v>54</v>
      </c>
      <c r="B64" s="24" t="s">
        <v>48</v>
      </c>
      <c r="E64" s="62">
        <f>E58</f>
        <v>6655921.0157284606</v>
      </c>
      <c r="G64" s="63" t="s">
        <v>712</v>
      </c>
      <c r="H64" s="39">
        <f t="shared" si="1"/>
        <v>54</v>
      </c>
    </row>
    <row r="65" spans="1:9" x14ac:dyDescent="0.35">
      <c r="A65" s="39">
        <f t="shared" si="0"/>
        <v>55</v>
      </c>
      <c r="B65" s="24" t="s">
        <v>49</v>
      </c>
      <c r="E65" s="35">
        <v>557039.16857076914</v>
      </c>
      <c r="G65" s="60" t="s">
        <v>436</v>
      </c>
      <c r="H65" s="39">
        <f t="shared" si="1"/>
        <v>55</v>
      </c>
    </row>
    <row r="66" spans="1:9" x14ac:dyDescent="0.35">
      <c r="A66" s="39">
        <f t="shared" si="0"/>
        <v>56</v>
      </c>
      <c r="B66" s="24" t="s">
        <v>50</v>
      </c>
      <c r="E66" s="58">
        <v>0</v>
      </c>
      <c r="G66" s="39" t="s">
        <v>19</v>
      </c>
      <c r="H66" s="39">
        <f t="shared" si="1"/>
        <v>56</v>
      </c>
    </row>
    <row r="67" spans="1:9" x14ac:dyDescent="0.35">
      <c r="A67" s="39">
        <f t="shared" si="0"/>
        <v>57</v>
      </c>
      <c r="B67" s="24" t="s">
        <v>51</v>
      </c>
      <c r="E67" s="35">
        <v>529382.05769538484</v>
      </c>
      <c r="G67" s="60" t="s">
        <v>437</v>
      </c>
      <c r="H67" s="39">
        <f t="shared" si="1"/>
        <v>57</v>
      </c>
    </row>
    <row r="68" spans="1:9" x14ac:dyDescent="0.35">
      <c r="A68" s="39">
        <f t="shared" si="0"/>
        <v>58</v>
      </c>
      <c r="B68" s="24" t="s">
        <v>52</v>
      </c>
      <c r="E68" s="35">
        <v>7760992.4923949996</v>
      </c>
      <c r="G68" s="60" t="s">
        <v>438</v>
      </c>
      <c r="H68" s="39">
        <f t="shared" si="1"/>
        <v>58</v>
      </c>
    </row>
    <row r="69" spans="1:9" x14ac:dyDescent="0.35">
      <c r="A69" s="39">
        <f t="shared" si="0"/>
        <v>59</v>
      </c>
      <c r="B69" s="46" t="s">
        <v>20</v>
      </c>
      <c r="E69" s="58">
        <v>0</v>
      </c>
      <c r="G69" s="39" t="s">
        <v>19</v>
      </c>
      <c r="H69" s="39">
        <f t="shared" si="1"/>
        <v>59</v>
      </c>
    </row>
    <row r="70" spans="1:9" x14ac:dyDescent="0.35">
      <c r="A70" s="39">
        <f t="shared" si="0"/>
        <v>60</v>
      </c>
      <c r="B70" s="24" t="s">
        <v>53</v>
      </c>
      <c r="E70" s="35">
        <v>460213.86856500001</v>
      </c>
      <c r="G70" s="60" t="s">
        <v>439</v>
      </c>
      <c r="H70" s="39">
        <f t="shared" si="1"/>
        <v>60</v>
      </c>
    </row>
    <row r="71" spans="1:9" x14ac:dyDescent="0.35">
      <c r="A71" s="39">
        <f t="shared" si="0"/>
        <v>61</v>
      </c>
      <c r="B71" s="24" t="s">
        <v>54</v>
      </c>
      <c r="E71" s="427">
        <v>1138948.7303951709</v>
      </c>
      <c r="G71" s="60" t="s">
        <v>440</v>
      </c>
      <c r="H71" s="39">
        <f t="shared" si="1"/>
        <v>61</v>
      </c>
    </row>
    <row r="72" spans="1:9" ht="16" thickBot="1" x14ac:dyDescent="0.4">
      <c r="A72" s="39">
        <f t="shared" si="0"/>
        <v>62</v>
      </c>
      <c r="B72" s="24" t="s">
        <v>55</v>
      </c>
      <c r="E72" s="64">
        <f>SUM(E64:E71)</f>
        <v>17102497.333349787</v>
      </c>
      <c r="G72" s="39" t="s">
        <v>713</v>
      </c>
      <c r="H72" s="39">
        <f t="shared" si="1"/>
        <v>62</v>
      </c>
      <c r="I72" s="46"/>
    </row>
    <row r="73" spans="1:9" ht="16" thickTop="1" x14ac:dyDescent="0.35">
      <c r="A73" s="39">
        <f t="shared" si="0"/>
        <v>63</v>
      </c>
      <c r="E73" s="65"/>
      <c r="G73" s="39"/>
      <c r="H73" s="39">
        <f t="shared" si="1"/>
        <v>63</v>
      </c>
    </row>
    <row r="74" spans="1:9" ht="19" thickBot="1" x14ac:dyDescent="0.4">
      <c r="A74" s="39">
        <f t="shared" si="0"/>
        <v>64</v>
      </c>
      <c r="B74" s="24" t="s">
        <v>324</v>
      </c>
      <c r="E74" s="66">
        <f>E62/E72</f>
        <v>0.39879804220013504</v>
      </c>
      <c r="G74" s="39" t="s">
        <v>714</v>
      </c>
      <c r="H74" s="39">
        <f t="shared" si="1"/>
        <v>64</v>
      </c>
      <c r="I74" s="46"/>
    </row>
    <row r="75" spans="1:9" ht="16" thickTop="1" x14ac:dyDescent="0.35">
      <c r="B75" s="46" t="s">
        <v>11</v>
      </c>
      <c r="E75" s="67"/>
      <c r="G75" s="39"/>
      <c r="H75" s="39"/>
    </row>
    <row r="76" spans="1:9" x14ac:dyDescent="0.35">
      <c r="B76" s="46"/>
      <c r="E76" s="67"/>
      <c r="G76" s="39"/>
      <c r="H76" s="39"/>
    </row>
    <row r="77" spans="1:9" x14ac:dyDescent="0.35">
      <c r="A77" s="25" t="s">
        <v>16</v>
      </c>
      <c r="B77" s="22" t="str">
        <f>'Pg2 App XII C4 Comparison'!B57</f>
        <v>Items in BOLD have changed to correct the over-allocation of "Duplicate Charges (Company Energy Use)" Credit in FERC Account no. 929.</v>
      </c>
      <c r="E77" s="67"/>
      <c r="F77" s="67"/>
      <c r="G77" s="39"/>
      <c r="H77" s="39"/>
    </row>
    <row r="78" spans="1:9" ht="18" x14ac:dyDescent="0.35">
      <c r="A78" s="69">
        <v>1</v>
      </c>
      <c r="B78" s="24" t="s">
        <v>473</v>
      </c>
      <c r="H78" s="39"/>
    </row>
    <row r="79" spans="1:9" x14ac:dyDescent="0.35">
      <c r="B79" s="46"/>
      <c r="E79" s="65"/>
      <c r="F79" s="65"/>
      <c r="G79" s="39"/>
      <c r="H79" s="39"/>
    </row>
  </sheetData>
  <mergeCells count="5">
    <mergeCell ref="B2:G2"/>
    <mergeCell ref="B3:G3"/>
    <mergeCell ref="B4:G4"/>
    <mergeCell ref="B5:G5"/>
    <mergeCell ref="B6:G6"/>
  </mergeCells>
  <printOptions horizontalCentered="1"/>
  <pageMargins left="0.25" right="0.25" top="0.5" bottom="0.5" header="0.35" footer="0.25"/>
  <pageSetup scale="54" orientation="portrait" r:id="rId1"/>
  <headerFooter scaleWithDoc="0" alignWithMargins="0">
    <oddHeader>&amp;C&amp;"Times New Roman,Bold"&amp;7REVISED</oddHeader>
    <oddFooter>&amp;L&amp;F&amp;CPage 8&amp;R&amp;A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AF033832634A47ACBF5D0BC7D2D682" ma:contentTypeVersion="9" ma:contentTypeDescription="Create a new document." ma:contentTypeScope="" ma:versionID="3a3a0556e2a07f679fa10fc3f4ab9cee">
  <xsd:schema xmlns:xsd="http://www.w3.org/2001/XMLSchema" xmlns:xs="http://www.w3.org/2001/XMLSchema" xmlns:p="http://schemas.microsoft.com/office/2006/metadata/properties" xmlns:ns2="6fc4548d-ff52-42f9-a254-3bffe5157158" xmlns:ns3="d3533485-01ac-4c85-a144-d07c02817ce0" targetNamespace="http://schemas.microsoft.com/office/2006/metadata/properties" ma:root="true" ma:fieldsID="3a0fa221147707eaa3da16d0478548a6" ns2:_="" ns3:_="">
    <xsd:import namespace="6fc4548d-ff52-42f9-a254-3bffe5157158"/>
    <xsd:import namespace="d3533485-01ac-4c85-a144-d07c02817c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4548d-ff52-42f9-a254-3bffe5157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533485-01ac-4c85-a144-d07c02817ce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9f08b38-53a8-4c16-a8c7-e51cb0eca8e8}" ma:internalName="TaxCatchAll" ma:showField="CatchAllData" ma:web="d3533485-01ac-4c85-a144-d07c02817c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c4548d-ff52-42f9-a254-3bffe5157158">
      <Terms xmlns="http://schemas.microsoft.com/office/infopath/2007/PartnerControls"/>
    </lcf76f155ced4ddcb4097134ff3c332f>
    <TaxCatchAll xmlns="d3533485-01ac-4c85-a144-d07c02817ce0" xsi:nil="true"/>
  </documentManagement>
</p:properties>
</file>

<file path=customXml/itemProps1.xml><?xml version="1.0" encoding="utf-8"?>
<ds:datastoreItem xmlns:ds="http://schemas.openxmlformats.org/officeDocument/2006/customXml" ds:itemID="{656310EF-5BC5-437F-96C1-CB7194362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4548d-ff52-42f9-a254-3bffe5157158"/>
    <ds:schemaRef ds:uri="d3533485-01ac-4c85-a144-d07c02817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C1B6D-18A1-4DEF-83AF-408F7FFA0CB0}">
  <ds:schemaRefs>
    <ds:schemaRef ds:uri="http://schemas.microsoft.com/sharepoint/v3/contenttype/forms"/>
  </ds:schemaRefs>
</ds:datastoreItem>
</file>

<file path=customXml/itemProps3.xml><?xml version="1.0" encoding="utf-8"?>
<ds:datastoreItem xmlns:ds="http://schemas.openxmlformats.org/officeDocument/2006/customXml" ds:itemID="{DD13B3B9-87C6-4A42-8C75-02B6AB4D9C35}">
  <ds:schemaRefs>
    <ds:schemaRef ds:uri="http://purl.org/dc/elements/1.1/"/>
    <ds:schemaRef ds:uri="d3533485-01ac-4c85-a144-d07c02817ce0"/>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fc4548d-ff52-42f9-a254-3bffe5157158"/>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Pg1 App XII C4 Cost Adj</vt:lpstr>
      <vt:lpstr>Pg2 App XII C4 Comparison</vt:lpstr>
      <vt:lpstr>Pg3 Rev App XII C4</vt:lpstr>
      <vt:lpstr>Pg4 As Filed App XII C4 FERC</vt:lpstr>
      <vt:lpstr>Pg5 Rev Sec 2-Non-Dir Exp</vt:lpstr>
      <vt:lpstr>Pg6 As Filed Non-Dir Exp FERC</vt:lpstr>
      <vt:lpstr>Pg7 Rev Sec 4-TU</vt:lpstr>
      <vt:lpstr>Pg7.1 As Filed Sec 4-TU FERC </vt:lpstr>
      <vt:lpstr>Pg8 Rev Stmt AH</vt:lpstr>
      <vt:lpstr>Pg8.1 As Filed Stmt AH-Oct Adj</vt:lpstr>
      <vt:lpstr>Pg8.2 As Filed Stmt AH FERC Adj</vt:lpstr>
      <vt:lpstr>Pg8.3 Rev AH-3</vt:lpstr>
      <vt:lpstr>Pg8.4 As Filed AH-3 Oct Filing</vt:lpstr>
      <vt:lpstr>Pg8.5 As Filed AH-3 FERC Adj</vt:lpstr>
      <vt:lpstr>Pg9 Rev Stmt AL</vt:lpstr>
      <vt:lpstr>Pg9.1 As Filed Stmt AL FERC Adj</vt:lpstr>
      <vt:lpstr>Pg10 Rev Stmt AV</vt:lpstr>
      <vt:lpstr>Pg11 As Filed Stmt AV FERC Adj</vt:lpstr>
      <vt:lpstr>Pg12 Rev AV-4</vt:lpstr>
      <vt:lpstr>Pg13 As Filed AV-4 FERC Adj</vt:lpstr>
      <vt:lpstr>Pg14 Appendix XII C4 Int Calc</vt:lpstr>
      <vt:lpstr>'Pg11 As Filed Stmt AV FERC Adj'!Print_Area</vt:lpstr>
      <vt:lpstr>'Pg13 As Filed AV-4 FERC Adj'!Print_Area</vt:lpstr>
      <vt:lpstr>'Pg4 As Filed App XII C4 FERC'!Print_Area</vt:lpstr>
      <vt:lpstr>'Pg6 As Filed Non-Dir Exp FERC'!Print_Area</vt:lpstr>
      <vt:lpstr>'Pg7.1 As Filed Sec 4-TU FERC '!Print_Area</vt:lpstr>
      <vt:lpstr>'Pg8.1 As Filed Stmt AH-Oct Adj'!Print_Area</vt:lpstr>
      <vt:lpstr>'Pg8.2 As Filed Stmt AH FERC Adj'!Print_Area</vt:lpstr>
      <vt:lpstr>'Pg8.4 As Filed AH-3 Oct Filing'!Print_Area</vt:lpstr>
      <vt:lpstr>'Pg8.5 As Filed AH-3 FERC Adj'!Print_Area</vt:lpstr>
      <vt:lpstr>'Pg9.1 As Filed Stmt AL FERC Adj'!Print_Area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Tanedo, Lolit</dc:creator>
  <cp:lastModifiedBy>Tanedo, Lolit</cp:lastModifiedBy>
  <cp:lastPrinted>2024-06-07T16:52:50Z</cp:lastPrinted>
  <dcterms:created xsi:type="dcterms:W3CDTF">2021-03-15T22:51:55Z</dcterms:created>
  <dcterms:modified xsi:type="dcterms:W3CDTF">2024-07-02T22:12:32Z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0x01010020AF033832634A47ACBF5D0BC7D2D682</vt:lpwstr>
  </property>
  <property fmtid="{D5CDD505-2E9C-101B-9397-08002B2CF9AE}" pid="3" name="MediaServiceImageTags">
    <vt:lpwstr/>
  </property>
</Properties>
</file>