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X-PQ/Cycle 6 Annual Filing/SX-PQ Cycle 6 Oct Filing/Revised SX-PQ Cost Adj Workpapers/"/>
    </mc:Choice>
  </mc:AlternateContent>
  <xr:revisionPtr revIDLastSave="108" documentId="14_{81038993-315E-4FD0-8FD4-B6DC5B6E7349}" xr6:coauthVersionLast="47" xr6:coauthVersionMax="47" xr10:uidLastSave="{A01766CF-A501-4691-A0C2-A538B79C489B}"/>
  <bookViews>
    <workbookView xWindow="-110" yWindow="-110" windowWidth="19420" windowHeight="10420" xr2:uid="{A1AA674E-836A-4CFE-B14F-C8BAAC5651C2}"/>
  </bookViews>
  <sheets>
    <sheet name="Pg1 Appendix XII C4 Cost Adj" sheetId="1" r:id="rId1"/>
    <sheet name="Pg2 Appendix XII C4 Comparison" sheetId="16" r:id="rId2"/>
    <sheet name="Pg3 Rev App XII C4" sheetId="15" r:id="rId3"/>
    <sheet name="Pg4 App.XII C4-Cost Adj" sheetId="40" r:id="rId4"/>
    <sheet name="Pg4.1 As Filed-Orig.App XII C4" sheetId="14" r:id="rId5"/>
    <sheet name="Pg5 Rev Sec.2-Non-Direct Exp" sheetId="13" r:id="rId6"/>
    <sheet name="Pg6 As Filed Sec.2-Cost Adj" sheetId="38" r:id="rId7"/>
    <sheet name="Pg7 Rev Sec.4-TU" sheetId="42" r:id="rId8"/>
    <sheet name="Pg7.1 As Filed Sec.4-TU" sheetId="41" r:id="rId9"/>
    <sheet name="Pg8 Rev Stmt AH" sheetId="19" r:id="rId10"/>
    <sheet name="Pg8.1 As Filed Stmt AH-Cost Adj" sheetId="39" r:id="rId11"/>
    <sheet name="Pg8.2 Rev AH-3" sheetId="43" r:id="rId12"/>
    <sheet name="Pg8.3 As Filed-AH-3-Cost Adj" sheetId="18" r:id="rId13"/>
    <sheet name="Pg9 Rev Stmt AL" sheetId="17" r:id="rId14"/>
    <sheet name="Pg9.1 As Filed Smt AL-Cost Adj" sheetId="30" r:id="rId15"/>
    <sheet name="Pg10 Rev Stmt AV" sheetId="11" r:id="rId16"/>
    <sheet name="Pg11 As Filed Smt AV-Cost Adj" sheetId="32" r:id="rId17"/>
    <sheet name="Pg12 Rev AV-4" sheetId="21" r:id="rId18"/>
    <sheet name="Pg13 As Filed AV-4-Cost Adj" sheetId="33" r:id="rId19"/>
    <sheet name="Pg14 Appendix XII C4 Int Calc" sheetId="22" r:id="rId20"/>
  </sheets>
  <definedNames>
    <definedName name="_xlnm.Print_Area" localSheetId="16">'Pg11 As Filed Smt AV-Cost Adj'!$A$2:$J$158</definedName>
    <definedName name="_xlnm.Print_Area" localSheetId="18">'Pg13 As Filed AV-4-Cost Adj'!$A$2:$F$88</definedName>
    <definedName name="_xlnm.Print_Area" localSheetId="3">'Pg4 App.XII C4-Cost Adj'!$A$2:$F$57</definedName>
    <definedName name="_xlnm.Print_Area" localSheetId="4">'Pg4.1 As Filed-Orig.App XII C4'!$A$2:$E$54</definedName>
    <definedName name="_xlnm.Print_Area" localSheetId="6">'Pg6 As Filed Sec.2-Cost Adj'!$A$2:$H$102</definedName>
    <definedName name="_xlnm.Print_Area" localSheetId="8">'Pg7.1 As Filed Sec.4-TU'!$A$2:$N$42</definedName>
    <definedName name="_xlnm.Print_Area" localSheetId="10">'Pg8.1 As Filed Stmt AH-Cost Adj'!$A$2:$H$74</definedName>
    <definedName name="_xlnm.Print_Area" localSheetId="12">'Pg8.3 As Filed-AH-3-Cost Adj'!$A$2:$M$83</definedName>
    <definedName name="_xlnm.Print_Area" localSheetId="14">'Pg9.1 As Filed Smt AL-Cost Adj'!$A$2:$J$34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43" l="1"/>
  <c r="P45" i="43" s="1"/>
  <c r="L74" i="43" l="1"/>
  <c r="L79" i="43" s="1"/>
  <c r="A44" i="43"/>
  <c r="A45" i="43" s="1"/>
  <c r="A46" i="43" s="1"/>
  <c r="A47" i="43" s="1"/>
  <c r="L63" i="43"/>
  <c r="L59" i="43"/>
  <c r="L55" i="43"/>
  <c r="L45" i="43"/>
  <c r="L40" i="43"/>
  <c r="G39" i="16" l="1"/>
  <c r="L19" i="43"/>
  <c r="L18" i="43"/>
  <c r="L16" i="43"/>
  <c r="L14" i="43"/>
  <c r="L13" i="43"/>
  <c r="L11" i="43"/>
  <c r="I18" i="22" l="1"/>
  <c r="I19" i="22" s="1"/>
  <c r="A18" i="22"/>
  <c r="A19" i="22"/>
  <c r="E51" i="16" l="1"/>
  <c r="E47" i="16"/>
  <c r="E45" i="16"/>
  <c r="E43" i="16"/>
  <c r="E39" i="16"/>
  <c r="E37" i="16"/>
  <c r="E35" i="16"/>
  <c r="E26" i="16"/>
  <c r="E22" i="16"/>
  <c r="E20" i="16"/>
  <c r="E16" i="16"/>
  <c r="E14" i="16"/>
  <c r="E12" i="16"/>
  <c r="B39" i="13" l="1"/>
  <c r="B38" i="13"/>
  <c r="E90" i="38"/>
  <c r="E75" i="38"/>
  <c r="E79" i="38" s="1"/>
  <c r="E81" i="38" s="1"/>
  <c r="E21" i="38" s="1"/>
  <c r="E63" i="38"/>
  <c r="E17" i="38" s="1"/>
  <c r="E58" i="38"/>
  <c r="E15" i="38" s="1"/>
  <c r="E53" i="38"/>
  <c r="E13" i="38" s="1"/>
  <c r="A49" i="38"/>
  <c r="A50" i="38" s="1"/>
  <c r="A51" i="38" s="1"/>
  <c r="A52" i="38" s="1"/>
  <c r="A53" i="38" s="1"/>
  <c r="H48" i="38"/>
  <c r="H49" i="38" s="1"/>
  <c r="H50" i="38" s="1"/>
  <c r="H51" i="38" s="1"/>
  <c r="H52" i="38" s="1"/>
  <c r="H53" i="38" s="1"/>
  <c r="H54" i="38" s="1"/>
  <c r="H55" i="38" s="1"/>
  <c r="H56" i="38" s="1"/>
  <c r="H57" i="38" s="1"/>
  <c r="H58" i="38" s="1"/>
  <c r="H59" i="38" s="1"/>
  <c r="H60" i="38" s="1"/>
  <c r="H61" i="38" s="1"/>
  <c r="H62" i="38" s="1"/>
  <c r="H63" i="38" s="1"/>
  <c r="H64" i="38" s="1"/>
  <c r="H65" i="38" s="1"/>
  <c r="H66" i="38" s="1"/>
  <c r="H67" i="38" s="1"/>
  <c r="H68" i="38" s="1"/>
  <c r="H69" i="38" s="1"/>
  <c r="H70" i="38" s="1"/>
  <c r="H71" i="38" s="1"/>
  <c r="H72" i="38" s="1"/>
  <c r="H73" i="38" s="1"/>
  <c r="H74" i="38" s="1"/>
  <c r="H75" i="38" s="1"/>
  <c r="H76" i="38" s="1"/>
  <c r="H77" i="38" s="1"/>
  <c r="H78" i="38" s="1"/>
  <c r="H79" i="38" s="1"/>
  <c r="H80" i="38" s="1"/>
  <c r="H81" i="38" s="1"/>
  <c r="H82" i="38" s="1"/>
  <c r="H83" i="38" s="1"/>
  <c r="H84" i="38" s="1"/>
  <c r="H85" i="38" s="1"/>
  <c r="H86" i="38" s="1"/>
  <c r="H87" i="38" s="1"/>
  <c r="H88" i="38" s="1"/>
  <c r="H89" i="38" s="1"/>
  <c r="H90" i="38" s="1"/>
  <c r="H91" i="38" s="1"/>
  <c r="H92" i="38" s="1"/>
  <c r="H93" i="38" s="1"/>
  <c r="H94" i="38" s="1"/>
  <c r="H95" i="38" s="1"/>
  <c r="H96" i="38" s="1"/>
  <c r="H97" i="38" s="1"/>
  <c r="H98" i="38" s="1"/>
  <c r="E68" i="38"/>
  <c r="E19" i="38" s="1"/>
  <c r="B43" i="38"/>
  <c r="B42" i="38"/>
  <c r="B41" i="38"/>
  <c r="B40" i="38"/>
  <c r="B39" i="38"/>
  <c r="A13" i="38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H12" i="38"/>
  <c r="H13" i="38" s="1"/>
  <c r="H14" i="38" s="1"/>
  <c r="H15" i="38" s="1"/>
  <c r="H16" i="38" s="1"/>
  <c r="H17" i="38" s="1"/>
  <c r="H18" i="38" s="1"/>
  <c r="H19" i="38" s="1"/>
  <c r="H20" i="38" s="1"/>
  <c r="H21" i="38" s="1"/>
  <c r="H22" i="38" s="1"/>
  <c r="H23" i="38" s="1"/>
  <c r="H24" i="38" s="1"/>
  <c r="H25" i="38" s="1"/>
  <c r="H26" i="38" s="1"/>
  <c r="H27" i="38" s="1"/>
  <c r="H28" i="38" s="1"/>
  <c r="H29" i="38" s="1"/>
  <c r="H30" i="38" s="1"/>
  <c r="H31" i="38" s="1"/>
  <c r="H32" i="38" s="1"/>
  <c r="H33" i="38" s="1"/>
  <c r="H34" i="38" s="1"/>
  <c r="H35" i="38" s="1"/>
  <c r="H36" i="38" s="1"/>
  <c r="B74" i="19"/>
  <c r="B73" i="19"/>
  <c r="L29" i="43"/>
  <c r="L33" i="43" s="1"/>
  <c r="E44" i="19" s="1"/>
  <c r="F88" i="33"/>
  <c r="E88" i="33"/>
  <c r="C88" i="33"/>
  <c r="F87" i="33"/>
  <c r="F86" i="33"/>
  <c r="F85" i="33"/>
  <c r="F84" i="33"/>
  <c r="F83" i="33"/>
  <c r="E83" i="33"/>
  <c r="F82" i="33"/>
  <c r="E82" i="33"/>
  <c r="C82" i="33"/>
  <c r="F81" i="33"/>
  <c r="E81" i="33"/>
  <c r="C81" i="33"/>
  <c r="F80" i="33"/>
  <c r="E80" i="33"/>
  <c r="C80" i="33"/>
  <c r="F79" i="33"/>
  <c r="E79" i="33"/>
  <c r="C79" i="33"/>
  <c r="F78" i="33"/>
  <c r="F77" i="33"/>
  <c r="F76" i="33"/>
  <c r="C76" i="33"/>
  <c r="F75" i="33"/>
  <c r="F74" i="33"/>
  <c r="F73" i="33"/>
  <c r="F72" i="33"/>
  <c r="F71" i="33"/>
  <c r="F70" i="33"/>
  <c r="F69" i="33"/>
  <c r="C69" i="33"/>
  <c r="F68" i="33"/>
  <c r="F67" i="33"/>
  <c r="F66" i="33"/>
  <c r="F65" i="33"/>
  <c r="F64" i="33"/>
  <c r="B57" i="33"/>
  <c r="B56" i="33"/>
  <c r="B55" i="33"/>
  <c r="C47" i="33"/>
  <c r="C42" i="33"/>
  <c r="C27" i="33"/>
  <c r="C22" i="33"/>
  <c r="C16" i="33"/>
  <c r="C15" i="33"/>
  <c r="C14" i="33"/>
  <c r="A14" i="33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13" i="33"/>
  <c r="F12" i="33"/>
  <c r="F13" i="33" s="1"/>
  <c r="F14" i="33" s="1"/>
  <c r="F15" i="33" s="1"/>
  <c r="F16" i="33" s="1"/>
  <c r="F17" i="33" s="1"/>
  <c r="F18" i="33" s="1"/>
  <c r="F19" i="33" s="1"/>
  <c r="F20" i="33" s="1"/>
  <c r="F21" i="33" s="1"/>
  <c r="F22" i="33" s="1"/>
  <c r="F23" i="33" s="1"/>
  <c r="F24" i="33" s="1"/>
  <c r="F25" i="33" s="1"/>
  <c r="F26" i="33" s="1"/>
  <c r="F27" i="33" s="1"/>
  <c r="F28" i="33" s="1"/>
  <c r="F29" i="33" s="1"/>
  <c r="F30" i="33" s="1"/>
  <c r="F31" i="33" s="1"/>
  <c r="F32" i="33" s="1"/>
  <c r="F33" i="33" s="1"/>
  <c r="F34" i="33" s="1"/>
  <c r="F35" i="33" s="1"/>
  <c r="F36" i="33" s="1"/>
  <c r="F37" i="33" s="1"/>
  <c r="F38" i="33" s="1"/>
  <c r="F39" i="33" s="1"/>
  <c r="F40" i="33" s="1"/>
  <c r="F41" i="33" s="1"/>
  <c r="F42" i="33" s="1"/>
  <c r="F43" i="33" s="1"/>
  <c r="F44" i="33" s="1"/>
  <c r="F45" i="33" s="1"/>
  <c r="F46" i="33" s="1"/>
  <c r="F47" i="33" s="1"/>
  <c r="F48" i="33" s="1"/>
  <c r="F49" i="33" s="1"/>
  <c r="G149" i="32"/>
  <c r="B149" i="32"/>
  <c r="B148" i="32"/>
  <c r="G147" i="32"/>
  <c r="G146" i="32"/>
  <c r="B146" i="32"/>
  <c r="B145" i="32"/>
  <c r="G137" i="32"/>
  <c r="B137" i="32"/>
  <c r="B134" i="32"/>
  <c r="B133" i="32"/>
  <c r="J129" i="32"/>
  <c r="J130" i="32" s="1"/>
  <c r="J131" i="32" s="1"/>
  <c r="J132" i="32" s="1"/>
  <c r="J133" i="32" s="1"/>
  <c r="J134" i="32" s="1"/>
  <c r="J135" i="32" s="1"/>
  <c r="J136" i="32" s="1"/>
  <c r="J137" i="32" s="1"/>
  <c r="J138" i="32" s="1"/>
  <c r="J139" i="32" s="1"/>
  <c r="J140" i="32" s="1"/>
  <c r="J141" i="32" s="1"/>
  <c r="J142" i="32" s="1"/>
  <c r="J143" i="32" s="1"/>
  <c r="J144" i="32" s="1"/>
  <c r="J145" i="32" s="1"/>
  <c r="J146" i="32" s="1"/>
  <c r="J147" i="32" s="1"/>
  <c r="J148" i="32" s="1"/>
  <c r="J149" i="32" s="1"/>
  <c r="J150" i="32" s="1"/>
  <c r="J151" i="32" s="1"/>
  <c r="J152" i="32" s="1"/>
  <c r="J153" i="32" s="1"/>
  <c r="J154" i="32" s="1"/>
  <c r="J155" i="32" s="1"/>
  <c r="J156" i="32" s="1"/>
  <c r="J157" i="32" s="1"/>
  <c r="J158" i="32" s="1"/>
  <c r="A129" i="32"/>
  <c r="A130" i="32" s="1"/>
  <c r="A131" i="32" s="1"/>
  <c r="A132" i="32" s="1"/>
  <c r="A133" i="32" s="1"/>
  <c r="B122" i="32"/>
  <c r="G99" i="32"/>
  <c r="G100" i="32"/>
  <c r="J82" i="32"/>
  <c r="J83" i="32" s="1"/>
  <c r="J84" i="32" s="1"/>
  <c r="J85" i="32" s="1"/>
  <c r="J86" i="32" s="1"/>
  <c r="J87" i="32" s="1"/>
  <c r="J88" i="32" s="1"/>
  <c r="J89" i="32" s="1"/>
  <c r="J90" i="32" s="1"/>
  <c r="J91" i="32" s="1"/>
  <c r="J92" i="32" s="1"/>
  <c r="J93" i="32" s="1"/>
  <c r="J94" i="32" s="1"/>
  <c r="J95" i="32" s="1"/>
  <c r="J96" i="32" s="1"/>
  <c r="J97" i="32" s="1"/>
  <c r="J98" i="32" s="1"/>
  <c r="J99" i="32" s="1"/>
  <c r="J100" i="32" s="1"/>
  <c r="J101" i="32" s="1"/>
  <c r="J102" i="32" s="1"/>
  <c r="J103" i="32" s="1"/>
  <c r="J104" i="32" s="1"/>
  <c r="J105" i="32" s="1"/>
  <c r="J106" i="32" s="1"/>
  <c r="J107" i="32" s="1"/>
  <c r="J108" i="32" s="1"/>
  <c r="J109" i="32" s="1"/>
  <c r="J110" i="32" s="1"/>
  <c r="J111" i="32" s="1"/>
  <c r="A82" i="32"/>
  <c r="A83" i="32" s="1"/>
  <c r="A84" i="32" s="1"/>
  <c r="A85" i="32" s="1"/>
  <c r="A86" i="32" s="1"/>
  <c r="B75" i="32"/>
  <c r="D64" i="32"/>
  <c r="C64" i="32"/>
  <c r="G63" i="32"/>
  <c r="G62" i="32"/>
  <c r="G61" i="32"/>
  <c r="E50" i="32"/>
  <c r="C49" i="32"/>
  <c r="G40" i="32"/>
  <c r="C50" i="32" s="1"/>
  <c r="G33" i="32"/>
  <c r="E49" i="32" s="1"/>
  <c r="G26" i="32"/>
  <c r="G28" i="32" s="1"/>
  <c r="E48" i="32" s="1"/>
  <c r="G18" i="32"/>
  <c r="C48" i="32" s="1"/>
  <c r="A13" i="32"/>
  <c r="J12" i="32"/>
  <c r="J13" i="32" s="1"/>
  <c r="J14" i="32" s="1"/>
  <c r="J15" i="32" s="1"/>
  <c r="J16" i="32" s="1"/>
  <c r="J17" i="32" s="1"/>
  <c r="J18" i="32" s="1"/>
  <c r="J19" i="32" s="1"/>
  <c r="J20" i="32" s="1"/>
  <c r="J21" i="32" s="1"/>
  <c r="J22" i="32" s="1"/>
  <c r="J23" i="32" s="1"/>
  <c r="J24" i="32" s="1"/>
  <c r="J25" i="32" s="1"/>
  <c r="J26" i="32" s="1"/>
  <c r="J27" i="32" s="1"/>
  <c r="J28" i="32" s="1"/>
  <c r="J29" i="32" s="1"/>
  <c r="J30" i="32" s="1"/>
  <c r="J31" i="32" s="1"/>
  <c r="J32" i="32" s="1"/>
  <c r="J33" i="32" s="1"/>
  <c r="J34" i="32" s="1"/>
  <c r="J35" i="32" s="1"/>
  <c r="J36" i="32" s="1"/>
  <c r="J37" i="32" s="1"/>
  <c r="J38" i="32" s="1"/>
  <c r="J39" i="32" s="1"/>
  <c r="J40" i="32" s="1"/>
  <c r="J41" i="32" s="1"/>
  <c r="J42" i="32" s="1"/>
  <c r="J43" i="32" s="1"/>
  <c r="J44" i="32" s="1"/>
  <c r="J45" i="32" s="1"/>
  <c r="J46" i="32" s="1"/>
  <c r="J47" i="32" s="1"/>
  <c r="J48" i="32" s="1"/>
  <c r="J49" i="32" s="1"/>
  <c r="J50" i="32" s="1"/>
  <c r="J51" i="32" s="1"/>
  <c r="J52" i="32" s="1"/>
  <c r="J53" i="32" s="1"/>
  <c r="J54" i="32" s="1"/>
  <c r="J55" i="32" s="1"/>
  <c r="J56" i="32" s="1"/>
  <c r="J57" i="32" s="1"/>
  <c r="J58" i="32" s="1"/>
  <c r="J59" i="32" s="1"/>
  <c r="J60" i="32" s="1"/>
  <c r="J61" i="32" s="1"/>
  <c r="J62" i="32" s="1"/>
  <c r="J63" i="32" s="1"/>
  <c r="J64" i="32" s="1"/>
  <c r="J65" i="32" s="1"/>
  <c r="J66" i="32" s="1"/>
  <c r="E28" i="30"/>
  <c r="G20" i="30"/>
  <c r="G16" i="30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J12" i="30"/>
  <c r="J13" i="30" s="1"/>
  <c r="J14" i="30" s="1"/>
  <c r="J15" i="30" s="1"/>
  <c r="J16" i="30" s="1"/>
  <c r="J17" i="30" s="1"/>
  <c r="J18" i="30" s="1"/>
  <c r="J19" i="30" s="1"/>
  <c r="J20" i="30" s="1"/>
  <c r="J21" i="30" s="1"/>
  <c r="J22" i="30" s="1"/>
  <c r="J23" i="30" s="1"/>
  <c r="J24" i="30" s="1"/>
  <c r="J25" i="30" s="1"/>
  <c r="J26" i="30" s="1"/>
  <c r="J27" i="30" s="1"/>
  <c r="J28" i="30" s="1"/>
  <c r="J29" i="30" s="1"/>
  <c r="J30" i="30" s="1"/>
  <c r="D76" i="43"/>
  <c r="E77" i="43" s="1"/>
  <c r="E27" i="43" s="1"/>
  <c r="F27" i="43" s="1"/>
  <c r="J27" i="43" s="1"/>
  <c r="N27" i="43" s="1"/>
  <c r="D72" i="43"/>
  <c r="E70" i="43"/>
  <c r="E21" i="43" s="1"/>
  <c r="F21" i="43" s="1"/>
  <c r="J21" i="43" s="1"/>
  <c r="N21" i="43" s="1"/>
  <c r="E62" i="43"/>
  <c r="E19" i="43" s="1"/>
  <c r="F19" i="43" s="1"/>
  <c r="J19" i="43" s="1"/>
  <c r="N19" i="43" s="1"/>
  <c r="E58" i="43"/>
  <c r="E18" i="43" s="1"/>
  <c r="F18" i="43" s="1"/>
  <c r="J18" i="43" s="1"/>
  <c r="N18" i="43" s="1"/>
  <c r="E53" i="43"/>
  <c r="E15" i="43" s="1"/>
  <c r="F15" i="43" s="1"/>
  <c r="J15" i="43" s="1"/>
  <c r="N15" i="43" s="1"/>
  <c r="E43" i="43"/>
  <c r="E12" i="43" s="1"/>
  <c r="F12" i="43" s="1"/>
  <c r="J12" i="43" s="1"/>
  <c r="N12" i="43" s="1"/>
  <c r="E39" i="43"/>
  <c r="E11" i="43" s="1"/>
  <c r="F31" i="43"/>
  <c r="J31" i="43" s="1"/>
  <c r="N31" i="43" s="1"/>
  <c r="H29" i="43"/>
  <c r="H33" i="43" s="1"/>
  <c r="D29" i="43"/>
  <c r="D33" i="43" s="1"/>
  <c r="F26" i="43"/>
  <c r="J26" i="43" s="1"/>
  <c r="N26" i="43" s="1"/>
  <c r="E23" i="43"/>
  <c r="F23" i="43" s="1"/>
  <c r="J23" i="43" s="1"/>
  <c r="N23" i="43" s="1"/>
  <c r="F22" i="43"/>
  <c r="J22" i="43" s="1"/>
  <c r="N22" i="43" s="1"/>
  <c r="E20" i="43"/>
  <c r="F20" i="43" s="1"/>
  <c r="J20" i="43" s="1"/>
  <c r="N20" i="43" s="1"/>
  <c r="F17" i="43"/>
  <c r="J17" i="43" s="1"/>
  <c r="N17" i="43" s="1"/>
  <c r="E14" i="43"/>
  <c r="F14" i="43" s="1"/>
  <c r="J14" i="43" s="1"/>
  <c r="N14" i="43" s="1"/>
  <c r="A12" i="43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8" i="43" s="1"/>
  <c r="A49" i="43" s="1"/>
  <c r="A50" i="43" s="1"/>
  <c r="A51" i="43" s="1"/>
  <c r="A52" i="43" s="1"/>
  <c r="A53" i="43" s="1"/>
  <c r="P11" i="43"/>
  <c r="P12" i="43" s="1"/>
  <c r="P13" i="43" s="1"/>
  <c r="P14" i="43" s="1"/>
  <c r="P15" i="43" s="1"/>
  <c r="P16" i="43" s="1"/>
  <c r="P17" i="43" s="1"/>
  <c r="P18" i="43" s="1"/>
  <c r="P19" i="43" s="1"/>
  <c r="P20" i="43" s="1"/>
  <c r="P21" i="43" s="1"/>
  <c r="P22" i="43" s="1"/>
  <c r="P23" i="43" s="1"/>
  <c r="P24" i="43" s="1"/>
  <c r="P25" i="43" s="1"/>
  <c r="P26" i="43" s="1"/>
  <c r="P27" i="43" s="1"/>
  <c r="P28" i="43" s="1"/>
  <c r="P29" i="43" s="1"/>
  <c r="P30" i="43" s="1"/>
  <c r="P31" i="43" s="1"/>
  <c r="P32" i="43" s="1"/>
  <c r="P33" i="43" s="1"/>
  <c r="P34" i="43" s="1"/>
  <c r="P35" i="43" s="1"/>
  <c r="P36" i="43" s="1"/>
  <c r="P37" i="43" s="1"/>
  <c r="P38" i="43" s="1"/>
  <c r="P39" i="43" s="1"/>
  <c r="P40" i="43" s="1"/>
  <c r="P41" i="43" s="1"/>
  <c r="P42" i="43" s="1"/>
  <c r="P43" i="43" s="1"/>
  <c r="P46" i="43" s="1"/>
  <c r="P47" i="43" s="1"/>
  <c r="P48" i="43" s="1"/>
  <c r="P49" i="43" s="1"/>
  <c r="P50" i="43" s="1"/>
  <c r="P51" i="43" s="1"/>
  <c r="P52" i="43" s="1"/>
  <c r="P53" i="43" s="1"/>
  <c r="E60" i="39"/>
  <c r="E68" i="39" s="1"/>
  <c r="E70" i="39" s="1"/>
  <c r="E58" i="39"/>
  <c r="E28" i="39"/>
  <c r="H13" i="39"/>
  <c r="H14" i="39" s="1"/>
  <c r="H15" i="39" s="1"/>
  <c r="H16" i="39" s="1"/>
  <c r="H17" i="39" s="1"/>
  <c r="H18" i="39" s="1"/>
  <c r="H19" i="39" s="1"/>
  <c r="H20" i="39" s="1"/>
  <c r="H21" i="39" s="1"/>
  <c r="H22" i="39" s="1"/>
  <c r="H23" i="39" s="1"/>
  <c r="H24" i="39" s="1"/>
  <c r="H25" i="39" s="1"/>
  <c r="H26" i="39" s="1"/>
  <c r="H27" i="39" s="1"/>
  <c r="H28" i="39" s="1"/>
  <c r="H29" i="39" s="1"/>
  <c r="H30" i="39" s="1"/>
  <c r="H31" i="39" s="1"/>
  <c r="H32" i="39" s="1"/>
  <c r="H33" i="39" s="1"/>
  <c r="H34" i="39" s="1"/>
  <c r="H35" i="39" s="1"/>
  <c r="H36" i="39" s="1"/>
  <c r="H37" i="39" s="1"/>
  <c r="H38" i="39" s="1"/>
  <c r="H39" i="39" s="1"/>
  <c r="H40" i="39" s="1"/>
  <c r="H41" i="39" s="1"/>
  <c r="H42" i="39" s="1"/>
  <c r="H43" i="39" s="1"/>
  <c r="H44" i="39" s="1"/>
  <c r="H45" i="39" s="1"/>
  <c r="H46" i="39" s="1"/>
  <c r="H47" i="39" s="1"/>
  <c r="H48" i="39" s="1"/>
  <c r="H49" i="39" s="1"/>
  <c r="H50" i="39" s="1"/>
  <c r="H51" i="39" s="1"/>
  <c r="H52" i="39" s="1"/>
  <c r="H53" i="39" s="1"/>
  <c r="H54" i="39" s="1"/>
  <c r="H55" i="39" s="1"/>
  <c r="H56" i="39" s="1"/>
  <c r="H57" i="39" s="1"/>
  <c r="H58" i="39" s="1"/>
  <c r="H59" i="39" s="1"/>
  <c r="H60" i="39" s="1"/>
  <c r="H61" i="39" s="1"/>
  <c r="H62" i="39" s="1"/>
  <c r="H63" i="39" s="1"/>
  <c r="H64" i="39" s="1"/>
  <c r="H65" i="39" s="1"/>
  <c r="H66" i="39" s="1"/>
  <c r="H67" i="39" s="1"/>
  <c r="H68" i="39" s="1"/>
  <c r="H69" i="39" s="1"/>
  <c r="H70" i="39" s="1"/>
  <c r="A13" i="39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H12" i="39"/>
  <c r="F30" i="42"/>
  <c r="E30" i="42"/>
  <c r="F28" i="42"/>
  <c r="E28" i="42"/>
  <c r="F26" i="42"/>
  <c r="E26" i="42"/>
  <c r="F24" i="42"/>
  <c r="E24" i="42"/>
  <c r="F22" i="42"/>
  <c r="E22" i="42"/>
  <c r="F20" i="42"/>
  <c r="E20" i="42"/>
  <c r="H19" i="42"/>
  <c r="F29" i="42"/>
  <c r="E29" i="42"/>
  <c r="N12" i="42"/>
  <c r="L12" i="42"/>
  <c r="K12" i="42"/>
  <c r="I12" i="42"/>
  <c r="H12" i="42"/>
  <c r="O11" i="42"/>
  <c r="O12" i="42" s="1"/>
  <c r="O13" i="42" s="1"/>
  <c r="O14" i="42" s="1"/>
  <c r="O15" i="42" s="1"/>
  <c r="O16" i="42" s="1"/>
  <c r="O17" i="42" s="1"/>
  <c r="O18" i="42" s="1"/>
  <c r="O19" i="42" s="1"/>
  <c r="O20" i="42" s="1"/>
  <c r="O21" i="42" s="1"/>
  <c r="O22" i="42" s="1"/>
  <c r="O23" i="42" s="1"/>
  <c r="O24" i="42" s="1"/>
  <c r="O25" i="42" s="1"/>
  <c r="O26" i="42" s="1"/>
  <c r="O27" i="42" s="1"/>
  <c r="O28" i="42" s="1"/>
  <c r="O29" i="42" s="1"/>
  <c r="O30" i="42" s="1"/>
  <c r="O31" i="42" s="1"/>
  <c r="A11" i="42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F12" i="42" s="1"/>
  <c r="C19" i="42"/>
  <c r="G30" i="41"/>
  <c r="F30" i="41"/>
  <c r="H20" i="41"/>
  <c r="D31" i="41"/>
  <c r="M13" i="41"/>
  <c r="L13" i="41"/>
  <c r="K13" i="41"/>
  <c r="I13" i="41"/>
  <c r="H13" i="41"/>
  <c r="N12" i="41"/>
  <c r="N13" i="41" s="1"/>
  <c r="N14" i="41" s="1"/>
  <c r="N15" i="41" s="1"/>
  <c r="N16" i="41" s="1"/>
  <c r="N17" i="41" s="1"/>
  <c r="N18" i="41" s="1"/>
  <c r="N19" i="41" s="1"/>
  <c r="N20" i="41" s="1"/>
  <c r="N21" i="41" s="1"/>
  <c r="N22" i="41" s="1"/>
  <c r="N23" i="41" s="1"/>
  <c r="N24" i="41" s="1"/>
  <c r="N25" i="41" s="1"/>
  <c r="N26" i="41" s="1"/>
  <c r="N27" i="41" s="1"/>
  <c r="N28" i="41" s="1"/>
  <c r="N29" i="41" s="1"/>
  <c r="N30" i="41" s="1"/>
  <c r="N31" i="41" s="1"/>
  <c r="N32" i="41" s="1"/>
  <c r="A12" i="4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F13" i="41" s="1"/>
  <c r="C20" i="41"/>
  <c r="P54" i="43" l="1"/>
  <c r="P55" i="43" s="1"/>
  <c r="P56" i="43" s="1"/>
  <c r="P57" i="43" s="1"/>
  <c r="P58" i="43" s="1"/>
  <c r="P59" i="43" s="1"/>
  <c r="P60" i="43" s="1"/>
  <c r="P61" i="43" s="1"/>
  <c r="P62" i="43" s="1"/>
  <c r="P63" i="43" s="1"/>
  <c r="P64" i="43" s="1"/>
  <c r="P65" i="43" s="1"/>
  <c r="P66" i="43" s="1"/>
  <c r="P67" i="43" s="1"/>
  <c r="P68" i="43" s="1"/>
  <c r="P69" i="43" s="1"/>
  <c r="P70" i="43" s="1"/>
  <c r="P71" i="43" s="1"/>
  <c r="P72" i="43" s="1"/>
  <c r="P73" i="43" s="1"/>
  <c r="P74" i="43" s="1"/>
  <c r="P75" i="43" s="1"/>
  <c r="P76" i="43" s="1"/>
  <c r="P77" i="43" s="1"/>
  <c r="P78" i="43" s="1"/>
  <c r="P79" i="43" s="1"/>
  <c r="P80" i="43" s="1"/>
  <c r="P81" i="43" s="1"/>
  <c r="P82" i="43" s="1"/>
  <c r="P83" i="43" s="1"/>
  <c r="P84" i="43" s="1"/>
  <c r="P85" i="43" s="1"/>
  <c r="P86" i="43" s="1"/>
  <c r="P87" i="43" s="1"/>
  <c r="P88" i="43" s="1"/>
  <c r="P89" i="43" s="1"/>
  <c r="P90" i="43" s="1"/>
  <c r="P91" i="43" s="1"/>
  <c r="P92" i="43" s="1"/>
  <c r="P93" i="43" s="1"/>
  <c r="P94" i="43" s="1"/>
  <c r="P95" i="43" s="1"/>
  <c r="P96" i="43" s="1"/>
  <c r="P97" i="43" s="1"/>
  <c r="P98" i="43" s="1"/>
  <c r="A54" i="43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E75" i="43"/>
  <c r="E24" i="43" s="1"/>
  <c r="F24" i="43" s="1"/>
  <c r="J24" i="43" s="1"/>
  <c r="N24" i="43" s="1"/>
  <c r="E32" i="19"/>
  <c r="E45" i="19" s="1"/>
  <c r="C33" i="33"/>
  <c r="E88" i="38"/>
  <c r="E92" i="38" s="1"/>
  <c r="E96" i="38" s="1"/>
  <c r="E98" i="38" s="1"/>
  <c r="E23" i="38" s="1"/>
  <c r="E25" i="38" s="1"/>
  <c r="A24" i="38"/>
  <c r="A25" i="38" s="1"/>
  <c r="G25" i="38"/>
  <c r="G13" i="38"/>
  <c r="A54" i="38"/>
  <c r="A55" i="38" s="1"/>
  <c r="A56" i="38" s="1"/>
  <c r="A57" i="38" s="1"/>
  <c r="A58" i="38" s="1"/>
  <c r="C83" i="33"/>
  <c r="C13" i="33"/>
  <c r="C17" i="33" s="1"/>
  <c r="C51" i="32"/>
  <c r="D48" i="32" s="1"/>
  <c r="G64" i="32"/>
  <c r="G156" i="32" s="1"/>
  <c r="G48" i="32"/>
  <c r="I98" i="32"/>
  <c r="A87" i="32"/>
  <c r="A88" i="32" s="1"/>
  <c r="D50" i="32"/>
  <c r="G50" i="32" s="1"/>
  <c r="D49" i="32"/>
  <c r="G49" i="32" s="1"/>
  <c r="G53" i="32" s="1"/>
  <c r="G86" i="32" s="1"/>
  <c r="G66" i="32"/>
  <c r="G133" i="32" s="1"/>
  <c r="A134" i="32"/>
  <c r="A135" i="32" s="1"/>
  <c r="I145" i="32"/>
  <c r="A14" i="32"/>
  <c r="A15" i="32" s="1"/>
  <c r="A16" i="32" s="1"/>
  <c r="A17" i="32" s="1"/>
  <c r="A18" i="32" s="1"/>
  <c r="A19" i="32" s="1"/>
  <c r="A20" i="32" s="1"/>
  <c r="A21" i="32" s="1"/>
  <c r="E26" i="30"/>
  <c r="E30" i="30" s="1"/>
  <c r="F11" i="43"/>
  <c r="O29" i="43"/>
  <c r="E79" i="43"/>
  <c r="E45" i="39"/>
  <c r="E47" i="39" s="1"/>
  <c r="E49" i="39" s="1"/>
  <c r="E51" i="39" s="1"/>
  <c r="E50" i="39"/>
  <c r="C24" i="42"/>
  <c r="C30" i="42"/>
  <c r="C21" i="42"/>
  <c r="C26" i="42"/>
  <c r="C22" i="42"/>
  <c r="C29" i="42"/>
  <c r="C27" i="42"/>
  <c r="C25" i="42"/>
  <c r="C23" i="42"/>
  <c r="C28" i="42"/>
  <c r="C20" i="42"/>
  <c r="G23" i="42"/>
  <c r="G25" i="42"/>
  <c r="G20" i="42"/>
  <c r="H20" i="42" s="1"/>
  <c r="G26" i="42"/>
  <c r="H26" i="42" s="1"/>
  <c r="G28" i="42"/>
  <c r="H28" i="42" s="1"/>
  <c r="G30" i="42"/>
  <c r="H30" i="42" s="1"/>
  <c r="G27" i="42"/>
  <c r="G29" i="42"/>
  <c r="H29" i="42" s="1"/>
  <c r="G22" i="42"/>
  <c r="H22" i="42" s="1"/>
  <c r="G24" i="42"/>
  <c r="H24" i="42" s="1"/>
  <c r="E21" i="42"/>
  <c r="E23" i="42"/>
  <c r="E25" i="42"/>
  <c r="E27" i="42"/>
  <c r="F21" i="42"/>
  <c r="F23" i="42"/>
  <c r="F25" i="42"/>
  <c r="F27" i="42"/>
  <c r="G21" i="42"/>
  <c r="C31" i="41"/>
  <c r="C29" i="41"/>
  <c r="C27" i="41"/>
  <c r="C25" i="41"/>
  <c r="C23" i="41"/>
  <c r="C21" i="41"/>
  <c r="C30" i="41"/>
  <c r="C28" i="41"/>
  <c r="C26" i="41"/>
  <c r="C24" i="41"/>
  <c r="C22" i="41"/>
  <c r="I20" i="41"/>
  <c r="F25" i="41"/>
  <c r="G21" i="41"/>
  <c r="G23" i="41"/>
  <c r="G25" i="41"/>
  <c r="G27" i="41"/>
  <c r="G29" i="41"/>
  <c r="G31" i="41"/>
  <c r="E21" i="41"/>
  <c r="E23" i="41"/>
  <c r="E25" i="41"/>
  <c r="E27" i="41"/>
  <c r="E29" i="41"/>
  <c r="E31" i="41"/>
  <c r="F21" i="41"/>
  <c r="F23" i="41"/>
  <c r="F27" i="41"/>
  <c r="F29" i="41"/>
  <c r="F31" i="41"/>
  <c r="D22" i="41"/>
  <c r="D24" i="41"/>
  <c r="D26" i="41"/>
  <c r="D28" i="41"/>
  <c r="D30" i="41"/>
  <c r="I30" i="41" s="1"/>
  <c r="E22" i="41"/>
  <c r="E24" i="41"/>
  <c r="E26" i="41"/>
  <c r="E28" i="41"/>
  <c r="E30" i="41"/>
  <c r="H30" i="41" s="1"/>
  <c r="F22" i="41"/>
  <c r="F24" i="41"/>
  <c r="F26" i="41"/>
  <c r="F28" i="41"/>
  <c r="G22" i="41"/>
  <c r="G24" i="41"/>
  <c r="G26" i="41"/>
  <c r="G28" i="41"/>
  <c r="D21" i="41"/>
  <c r="D23" i="41"/>
  <c r="D25" i="41"/>
  <c r="D27" i="41"/>
  <c r="D29" i="41"/>
  <c r="A73" i="43" l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E29" i="43"/>
  <c r="E33" i="43" s="1"/>
  <c r="C37" i="33"/>
  <c r="A26" i="38"/>
  <c r="A27" i="38" s="1"/>
  <c r="A28" i="38" s="1"/>
  <c r="A29" i="38" s="1"/>
  <c r="G27" i="38"/>
  <c r="E27" i="38"/>
  <c r="E29" i="38" s="1"/>
  <c r="E34" i="38" s="1"/>
  <c r="E36" i="38" s="1"/>
  <c r="A59" i="38"/>
  <c r="A60" i="38" s="1"/>
  <c r="A61" i="38" s="1"/>
  <c r="A62" i="38" s="1"/>
  <c r="A63" i="38" s="1"/>
  <c r="G15" i="38"/>
  <c r="G51" i="32"/>
  <c r="G109" i="32" s="1"/>
  <c r="A22" i="32"/>
  <c r="A23" i="32" s="1"/>
  <c r="A24" i="32" s="1"/>
  <c r="A25" i="32" s="1"/>
  <c r="A26" i="32" s="1"/>
  <c r="A136" i="32"/>
  <c r="I146" i="32"/>
  <c r="G92" i="32"/>
  <c r="G101" i="32" s="1"/>
  <c r="G98" i="32"/>
  <c r="G139" i="32"/>
  <c r="G148" i="32" s="1"/>
  <c r="G145" i="32"/>
  <c r="A89" i="32"/>
  <c r="I99" i="32"/>
  <c r="I18" i="32"/>
  <c r="D51" i="32"/>
  <c r="J11" i="43"/>
  <c r="F29" i="43"/>
  <c r="F33" i="43" s="1"/>
  <c r="E32" i="41"/>
  <c r="H22" i="41"/>
  <c r="D32" i="41"/>
  <c r="G32" i="41"/>
  <c r="H23" i="41"/>
  <c r="H23" i="42"/>
  <c r="G31" i="42"/>
  <c r="F31" i="42"/>
  <c r="H27" i="42"/>
  <c r="E31" i="42"/>
  <c r="H25" i="42"/>
  <c r="H21" i="42"/>
  <c r="F32" i="41"/>
  <c r="H31" i="41"/>
  <c r="I31" i="41" s="1"/>
  <c r="H28" i="41"/>
  <c r="I28" i="41" s="1"/>
  <c r="H29" i="41"/>
  <c r="I29" i="41" s="1"/>
  <c r="L20" i="41"/>
  <c r="K20" i="41"/>
  <c r="M20" i="41" s="1"/>
  <c r="H26" i="41"/>
  <c r="I26" i="41" s="1"/>
  <c r="I22" i="41"/>
  <c r="H27" i="41"/>
  <c r="I27" i="41" s="1"/>
  <c r="H21" i="41"/>
  <c r="I23" i="41"/>
  <c r="H24" i="41"/>
  <c r="I24" i="41" s="1"/>
  <c r="H25" i="41"/>
  <c r="I25" i="41" s="1"/>
  <c r="G17" i="38" l="1"/>
  <c r="A64" i="38"/>
  <c r="A65" i="38" s="1"/>
  <c r="A66" i="38" s="1"/>
  <c r="A67" i="38" s="1"/>
  <c r="A68" i="38" s="1"/>
  <c r="A30" i="38"/>
  <c r="A31" i="38" s="1"/>
  <c r="A32" i="38" s="1"/>
  <c r="G34" i="38"/>
  <c r="G29" i="38"/>
  <c r="J29" i="43"/>
  <c r="J33" i="43" s="1"/>
  <c r="N11" i="43"/>
  <c r="N29" i="43" s="1"/>
  <c r="N33" i="43" s="1"/>
  <c r="G104" i="32"/>
  <c r="G107" i="32" s="1"/>
  <c r="G111" i="32" s="1"/>
  <c r="I100" i="32"/>
  <c r="A90" i="32"/>
  <c r="G151" i="32"/>
  <c r="G154" i="32" s="1"/>
  <c r="G158" i="32" s="1"/>
  <c r="I28" i="32"/>
  <c r="A27" i="32"/>
  <c r="A28" i="32" s="1"/>
  <c r="I147" i="32"/>
  <c r="A137" i="32"/>
  <c r="A138" i="32" s="1"/>
  <c r="A139" i="32" s="1"/>
  <c r="I26" i="32"/>
  <c r="O33" i="43"/>
  <c r="H32" i="41"/>
  <c r="H31" i="42"/>
  <c r="I21" i="41"/>
  <c r="I32" i="41" s="1"/>
  <c r="A33" i="38" l="1"/>
  <c r="A34" i="38" s="1"/>
  <c r="A35" i="38" s="1"/>
  <c r="A36" i="38" s="1"/>
  <c r="A69" i="38"/>
  <c r="A70" i="38" s="1"/>
  <c r="A71" i="38" s="1"/>
  <c r="A72" i="38" s="1"/>
  <c r="A73" i="38" s="1"/>
  <c r="A74" i="38" s="1"/>
  <c r="A75" i="38" s="1"/>
  <c r="A76" i="38" s="1"/>
  <c r="A77" i="38" s="1"/>
  <c r="A78" i="38" s="1"/>
  <c r="A79" i="38" s="1"/>
  <c r="A80" i="38" s="1"/>
  <c r="A81" i="38" s="1"/>
  <c r="G19" i="38"/>
  <c r="A140" i="32"/>
  <c r="A141" i="32" s="1"/>
  <c r="A142" i="32" s="1"/>
  <c r="A143" i="32" s="1"/>
  <c r="A144" i="32" s="1"/>
  <c r="A145" i="32" s="1"/>
  <c r="A146" i="32" s="1"/>
  <c r="A147" i="32" s="1"/>
  <c r="A148" i="32" s="1"/>
  <c r="A149" i="32" s="1"/>
  <c r="A150" i="32" s="1"/>
  <c r="A151" i="32" s="1"/>
  <c r="A152" i="32" s="1"/>
  <c r="A153" i="32" s="1"/>
  <c r="A154" i="32" s="1"/>
  <c r="I148" i="32"/>
  <c r="I48" i="32"/>
  <c r="A29" i="32"/>
  <c r="A30" i="32" s="1"/>
  <c r="A31" i="32" s="1"/>
  <c r="I137" i="32"/>
  <c r="A91" i="32"/>
  <c r="A92" i="32" s="1"/>
  <c r="K21" i="41"/>
  <c r="G21" i="38" l="1"/>
  <c r="A82" i="38"/>
  <c r="A83" i="38" s="1"/>
  <c r="A84" i="38" s="1"/>
  <c r="A85" i="38" s="1"/>
  <c r="A86" i="38" s="1"/>
  <c r="A87" i="38" s="1"/>
  <c r="A88" i="38" s="1"/>
  <c r="A89" i="38" s="1"/>
  <c r="A90" i="38" s="1"/>
  <c r="A91" i="38" s="1"/>
  <c r="A92" i="38" s="1"/>
  <c r="A93" i="38" s="1"/>
  <c r="A94" i="38" s="1"/>
  <c r="A95" i="38" s="1"/>
  <c r="A96" i="38" s="1"/>
  <c r="A97" i="38" s="1"/>
  <c r="A98" i="38" s="1"/>
  <c r="G23" i="38" s="1"/>
  <c r="G36" i="38"/>
  <c r="A93" i="32"/>
  <c r="A94" i="32" s="1"/>
  <c r="A95" i="32" s="1"/>
  <c r="A96" i="32" s="1"/>
  <c r="A97" i="32" s="1"/>
  <c r="A98" i="32" s="1"/>
  <c r="A99" i="32" s="1"/>
  <c r="A100" i="32" s="1"/>
  <c r="A101" i="32" s="1"/>
  <c r="A102" i="32" s="1"/>
  <c r="I101" i="32"/>
  <c r="A32" i="32"/>
  <c r="I37" i="32"/>
  <c r="A155" i="32"/>
  <c r="A156" i="32" s="1"/>
  <c r="A157" i="32" s="1"/>
  <c r="A158" i="32" s="1"/>
  <c r="I154" i="32"/>
  <c r="L21" i="41"/>
  <c r="I158" i="32" l="1"/>
  <c r="I33" i="32"/>
  <c r="A33" i="32"/>
  <c r="I149" i="32"/>
  <c r="A103" i="32"/>
  <c r="A104" i="32" s="1"/>
  <c r="M21" i="41"/>
  <c r="A105" i="32" l="1"/>
  <c r="A106" i="32" s="1"/>
  <c r="A107" i="32" s="1"/>
  <c r="I107" i="32"/>
  <c r="I49" i="32"/>
  <c r="A34" i="32"/>
  <c r="A35" i="32" s="1"/>
  <c r="A36" i="32" s="1"/>
  <c r="K22" i="41"/>
  <c r="A108" i="32" l="1"/>
  <c r="A109" i="32" s="1"/>
  <c r="A110" i="32" s="1"/>
  <c r="A111" i="32" s="1"/>
  <c r="A37" i="32"/>
  <c r="A38" i="32" s="1"/>
  <c r="A39" i="32" s="1"/>
  <c r="A40" i="32" s="1"/>
  <c r="A41" i="32" s="1"/>
  <c r="A42" i="32" s="1"/>
  <c r="A43" i="32" s="1"/>
  <c r="L22" i="41"/>
  <c r="M22" i="41" s="1"/>
  <c r="I50" i="32" l="1"/>
  <c r="A44" i="32"/>
  <c r="A45" i="32" s="1"/>
  <c r="A46" i="32" s="1"/>
  <c r="A47" i="32" s="1"/>
  <c r="A48" i="32" s="1"/>
  <c r="I40" i="32"/>
  <c r="I111" i="32"/>
  <c r="K23" i="41"/>
  <c r="A49" i="32" l="1"/>
  <c r="L23" i="41"/>
  <c r="M23" i="41" s="1"/>
  <c r="A50" i="32" l="1"/>
  <c r="I53" i="32"/>
  <c r="K24" i="41"/>
  <c r="L24" i="41" s="1"/>
  <c r="A51" i="32" l="1"/>
  <c r="I51" i="32"/>
  <c r="M24" i="41"/>
  <c r="I109" i="32" l="1"/>
  <c r="A52" i="32"/>
  <c r="A53" i="32" s="1"/>
  <c r="K25" i="41"/>
  <c r="A54" i="32" l="1"/>
  <c r="A55" i="32" s="1"/>
  <c r="A56" i="32" s="1"/>
  <c r="A57" i="32" s="1"/>
  <c r="A58" i="32" s="1"/>
  <c r="A59" i="32" s="1"/>
  <c r="A60" i="32" s="1"/>
  <c r="A61" i="32" s="1"/>
  <c r="I86" i="32"/>
  <c r="L25" i="41"/>
  <c r="M25" i="41" s="1"/>
  <c r="A62" i="32" l="1"/>
  <c r="K26" i="41"/>
  <c r="A63" i="32" l="1"/>
  <c r="I66" i="32" s="1"/>
  <c r="L26" i="41"/>
  <c r="M26" i="41" s="1"/>
  <c r="A64" i="32" l="1"/>
  <c r="I64" i="32"/>
  <c r="K27" i="41"/>
  <c r="L27" i="41" s="1"/>
  <c r="I156" i="32" l="1"/>
  <c r="A65" i="32"/>
  <c r="A66" i="32" s="1"/>
  <c r="I133" i="32" s="1"/>
  <c r="M27" i="41"/>
  <c r="K28" i="41" l="1"/>
  <c r="L28" i="41"/>
  <c r="M28" i="41" l="1"/>
  <c r="K29" i="41" l="1"/>
  <c r="L29" i="41" l="1"/>
  <c r="M29" i="41" s="1"/>
  <c r="K30" i="41" l="1"/>
  <c r="L30" i="41" l="1"/>
  <c r="M30" i="41" s="1"/>
  <c r="K31" i="41" l="1"/>
  <c r="L31" i="41" l="1"/>
  <c r="L32" i="41" s="1"/>
  <c r="M31" i="41" l="1"/>
  <c r="B53" i="40" l="1"/>
  <c r="C47" i="40"/>
  <c r="B47" i="40"/>
  <c r="C45" i="40"/>
  <c r="B45" i="40"/>
  <c r="C43" i="40"/>
  <c r="B43" i="40"/>
  <c r="B39" i="40"/>
  <c r="C37" i="40"/>
  <c r="B37" i="40"/>
  <c r="E35" i="40"/>
  <c r="C35" i="40"/>
  <c r="B35" i="40"/>
  <c r="E33" i="40"/>
  <c r="C33" i="40"/>
  <c r="C39" i="40"/>
  <c r="A13" i="40"/>
  <c r="A14" i="40" s="1"/>
  <c r="F12" i="40"/>
  <c r="F13" i="40" s="1"/>
  <c r="F14" i="40" s="1"/>
  <c r="F15" i="40" s="1"/>
  <c r="F16" i="40" s="1"/>
  <c r="F17" i="40" s="1"/>
  <c r="F18" i="40" s="1"/>
  <c r="F19" i="40" s="1"/>
  <c r="F20" i="40" s="1"/>
  <c r="F21" i="40" s="1"/>
  <c r="F22" i="40" s="1"/>
  <c r="F23" i="40" s="1"/>
  <c r="F24" i="40" s="1"/>
  <c r="F25" i="40" s="1"/>
  <c r="F26" i="40" s="1"/>
  <c r="F27" i="40" s="1"/>
  <c r="F28" i="40" s="1"/>
  <c r="F29" i="40" s="1"/>
  <c r="F34" i="40" s="1"/>
  <c r="F35" i="40" s="1"/>
  <c r="F36" i="40" s="1"/>
  <c r="F37" i="40" s="1"/>
  <c r="F38" i="40" s="1"/>
  <c r="F39" i="40" s="1"/>
  <c r="F40" i="40" s="1"/>
  <c r="F41" i="40" s="1"/>
  <c r="F42" i="40" s="1"/>
  <c r="F43" i="40" s="1"/>
  <c r="F44" i="40" s="1"/>
  <c r="F45" i="40" s="1"/>
  <c r="F46" i="40" s="1"/>
  <c r="F47" i="40" s="1"/>
  <c r="F48" i="40" s="1"/>
  <c r="F49" i="40" s="1"/>
  <c r="F50" i="40" s="1"/>
  <c r="F51" i="40" s="1"/>
  <c r="F52" i="40" s="1"/>
  <c r="F53" i="40" s="1"/>
  <c r="F54" i="40" s="1"/>
  <c r="C41" i="40" l="1"/>
  <c r="C49" i="40" s="1"/>
  <c r="C53" i="40" s="1"/>
  <c r="C18" i="40"/>
  <c r="C24" i="40" s="1"/>
  <c r="C28" i="40" s="1"/>
  <c r="E37" i="40"/>
  <c r="A15" i="40"/>
  <c r="A16" i="40" s="1"/>
  <c r="A17" i="40" l="1"/>
  <c r="A18" i="40" s="1"/>
  <c r="A19" i="40" s="1"/>
  <c r="A20" i="40" s="1"/>
  <c r="E39" i="40"/>
  <c r="A21" i="40" l="1"/>
  <c r="A22" i="40" s="1"/>
  <c r="E43" i="40"/>
  <c r="E45" i="40" l="1"/>
  <c r="A23" i="40"/>
  <c r="A24" i="40" s="1"/>
  <c r="A25" i="40" s="1"/>
  <c r="A26" i="40" s="1"/>
  <c r="A27" i="40" l="1"/>
  <c r="A28" i="40" s="1"/>
  <c r="A29" i="40" s="1"/>
  <c r="A34" i="40" s="1"/>
  <c r="A35" i="40" s="1"/>
  <c r="E47" i="40"/>
  <c r="A36" i="40" l="1"/>
  <c r="A37" i="40" s="1"/>
  <c r="A38" i="40" s="1"/>
  <c r="A39" i="40" s="1"/>
  <c r="A40" i="40" s="1"/>
  <c r="A41" i="40" s="1"/>
  <c r="A42" i="40" l="1"/>
  <c r="A43" i="40" s="1"/>
  <c r="A44" i="40" s="1"/>
  <c r="A45" i="40" s="1"/>
  <c r="A46" i="40" s="1"/>
  <c r="A47" i="40" s="1"/>
  <c r="A48" i="40" s="1"/>
  <c r="A49" i="40" s="1"/>
  <c r="E41" i="40"/>
  <c r="E49" i="40" l="1"/>
  <c r="A50" i="40"/>
  <c r="A51" i="40" s="1"/>
  <c r="A52" i="40" s="1"/>
  <c r="A53" i="40" s="1"/>
  <c r="A54" i="40" s="1"/>
  <c r="E53" i="40" l="1"/>
  <c r="B114" i="11" l="1"/>
  <c r="B52" i="21" s="1"/>
  <c r="B113" i="11"/>
  <c r="B51" i="21" s="1"/>
  <c r="E42" i="19" l="1"/>
  <c r="E38" i="19"/>
  <c r="E41" i="19" l="1"/>
  <c r="E40" i="19"/>
  <c r="E39" i="19"/>
  <c r="E36" i="19"/>
  <c r="E35" i="19"/>
  <c r="E34" i="19"/>
  <c r="E22" i="18" l="1"/>
  <c r="E19" i="18"/>
  <c r="E14" i="18"/>
  <c r="D65" i="18"/>
  <c r="D62" i="18"/>
  <c r="E60" i="18"/>
  <c r="E20" i="18" s="1"/>
  <c r="E53" i="18"/>
  <c r="E18" i="18" s="1"/>
  <c r="E50" i="18"/>
  <c r="E17" i="18" s="1"/>
  <c r="E47" i="18"/>
  <c r="E15" i="18" s="1"/>
  <c r="E40" i="18"/>
  <c r="E13" i="18" s="1"/>
  <c r="E37" i="18"/>
  <c r="E12" i="18" s="1"/>
  <c r="E64" i="18" l="1"/>
  <c r="E23" i="18" s="1"/>
  <c r="E66" i="18"/>
  <c r="E25" i="18" s="1"/>
  <c r="E33" i="19"/>
  <c r="E68" i="18" l="1"/>
  <c r="C51" i="16" l="1"/>
  <c r="C26" i="16"/>
  <c r="C19" i="22" l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I11" i="22"/>
  <c r="I12" i="22" s="1"/>
  <c r="I13" i="22" s="1"/>
  <c r="I14" i="22" s="1"/>
  <c r="I15" i="22" s="1"/>
  <c r="I16" i="22" s="1"/>
  <c r="I17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A11" i="22"/>
  <c r="A12" i="22" s="1"/>
  <c r="A13" i="22" s="1"/>
  <c r="A14" i="22" s="1"/>
  <c r="A15" i="22" s="1"/>
  <c r="A16" i="22" s="1"/>
  <c r="A17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G12" i="1"/>
  <c r="G13" i="1" s="1"/>
  <c r="A12" i="1"/>
  <c r="A13" i="1" s="1"/>
  <c r="F88" i="21" l="1"/>
  <c r="E88" i="21"/>
  <c r="C88" i="21"/>
  <c r="F87" i="21"/>
  <c r="F86" i="21"/>
  <c r="F85" i="21"/>
  <c r="F84" i="21"/>
  <c r="F83" i="21"/>
  <c r="E83" i="21"/>
  <c r="F82" i="21"/>
  <c r="E82" i="21"/>
  <c r="F81" i="21"/>
  <c r="E81" i="21"/>
  <c r="F80" i="21"/>
  <c r="E80" i="21"/>
  <c r="F79" i="21"/>
  <c r="E79" i="21"/>
  <c r="F78" i="21"/>
  <c r="F77" i="21"/>
  <c r="F76" i="21"/>
  <c r="F75" i="21"/>
  <c r="F74" i="21"/>
  <c r="F73" i="21"/>
  <c r="F72" i="21"/>
  <c r="F71" i="21"/>
  <c r="F70" i="21"/>
  <c r="F69" i="21"/>
  <c r="F68" i="21"/>
  <c r="C82" i="21"/>
  <c r="C15" i="21" s="1"/>
  <c r="F67" i="21"/>
  <c r="C81" i="21"/>
  <c r="C14" i="21" s="1"/>
  <c r="F66" i="21"/>
  <c r="F65" i="21"/>
  <c r="C79" i="21"/>
  <c r="F64" i="21"/>
  <c r="B56" i="21"/>
  <c r="B55" i="21"/>
  <c r="C46" i="21"/>
  <c r="C41" i="21"/>
  <c r="A12" i="2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B57" i="21"/>
  <c r="G148" i="11"/>
  <c r="B148" i="11"/>
  <c r="B147" i="11"/>
  <c r="G146" i="11"/>
  <c r="G145" i="11"/>
  <c r="B145" i="11"/>
  <c r="B144" i="11"/>
  <c r="G136" i="11"/>
  <c r="B136" i="11"/>
  <c r="B133" i="11"/>
  <c r="B132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A128" i="11"/>
  <c r="A129" i="11" s="1"/>
  <c r="A130" i="11" s="1"/>
  <c r="A131" i="11" s="1"/>
  <c r="A132" i="11" s="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D63" i="11"/>
  <c r="C63" i="11"/>
  <c r="G62" i="11"/>
  <c r="G61" i="11"/>
  <c r="G60" i="11"/>
  <c r="G63" i="11" s="1"/>
  <c r="G155" i="11" s="1"/>
  <c r="E49" i="11"/>
  <c r="C48" i="11"/>
  <c r="G39" i="11"/>
  <c r="C49" i="11" s="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B121" i="11"/>
  <c r="E27" i="17"/>
  <c r="A12" i="17"/>
  <c r="A13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G15" i="17"/>
  <c r="F29" i="18"/>
  <c r="J29" i="18" s="1"/>
  <c r="E27" i="18"/>
  <c r="E31" i="18" s="1"/>
  <c r="D27" i="18"/>
  <c r="D31" i="18" s="1"/>
  <c r="E30" i="19" s="1"/>
  <c r="F25" i="18"/>
  <c r="J25" i="18" s="1"/>
  <c r="F24" i="18"/>
  <c r="J24" i="18" s="1"/>
  <c r="F23" i="18"/>
  <c r="J23" i="18" s="1"/>
  <c r="F22" i="18"/>
  <c r="J22" i="18" s="1"/>
  <c r="F21" i="18"/>
  <c r="J21" i="18" s="1"/>
  <c r="F20" i="18"/>
  <c r="J20" i="18" s="1"/>
  <c r="F19" i="18"/>
  <c r="J19" i="18" s="1"/>
  <c r="F18" i="18"/>
  <c r="J18" i="18" s="1"/>
  <c r="F17" i="18"/>
  <c r="J17" i="18" s="1"/>
  <c r="F16" i="18"/>
  <c r="H27" i="18"/>
  <c r="H31" i="18" s="1"/>
  <c r="E43" i="19" s="1"/>
  <c r="F15" i="18"/>
  <c r="J15" i="18" s="1"/>
  <c r="F14" i="18"/>
  <c r="J14" i="18" s="1"/>
  <c r="F13" i="18"/>
  <c r="J13" i="18" s="1"/>
  <c r="A13" i="18"/>
  <c r="A14" i="18" s="1"/>
  <c r="A15" i="18" s="1"/>
  <c r="L12" i="18"/>
  <c r="L13" i="18" s="1"/>
  <c r="L14" i="18" s="1"/>
  <c r="L15" i="18" s="1"/>
  <c r="F12" i="18"/>
  <c r="J12" i="18" s="1"/>
  <c r="E60" i="19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A52" i="13"/>
  <c r="A53" i="13" s="1"/>
  <c r="A54" i="13" s="1"/>
  <c r="H51" i="13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B46" i="13"/>
  <c r="B44" i="13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5" i="13"/>
  <c r="B43" i="13"/>
  <c r="B42" i="13"/>
  <c r="B52" i="15"/>
  <c r="C46" i="15"/>
  <c r="C47" i="16" s="1"/>
  <c r="B46" i="15"/>
  <c r="B44" i="15"/>
  <c r="B42" i="15"/>
  <c r="B38" i="15"/>
  <c r="B36" i="15"/>
  <c r="E34" i="15"/>
  <c r="B34" i="15"/>
  <c r="E32" i="15"/>
  <c r="C32" i="15"/>
  <c r="C44" i="15"/>
  <c r="C45" i="16" s="1"/>
  <c r="F12" i="15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A12" i="15"/>
  <c r="A13" i="15" s="1"/>
  <c r="F11" i="15"/>
  <c r="C12" i="16"/>
  <c r="G51" i="16"/>
  <c r="G33" i="16"/>
  <c r="G32" i="16"/>
  <c r="E33" i="16"/>
  <c r="E32" i="16"/>
  <c r="C32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B53" i="14"/>
  <c r="C47" i="14"/>
  <c r="B47" i="14"/>
  <c r="B45" i="14"/>
  <c r="B43" i="14"/>
  <c r="B39" i="14"/>
  <c r="C37" i="14"/>
  <c r="B37" i="14"/>
  <c r="D35" i="14"/>
  <c r="B35" i="14"/>
  <c r="D33" i="14"/>
  <c r="C33" i="14"/>
  <c r="C45" i="14"/>
  <c r="C43" i="14"/>
  <c r="C39" i="14"/>
  <c r="A13" i="14"/>
  <c r="A14" i="14" s="1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C18" i="14"/>
  <c r="C24" i="14" s="1"/>
  <c r="C28" i="14" s="1"/>
  <c r="H27" i="19" l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G65" i="11"/>
  <c r="G132" i="11" s="1"/>
  <c r="G27" i="11"/>
  <c r="E47" i="11" s="1"/>
  <c r="C29" i="21"/>
  <c r="L16" i="18"/>
  <c r="L17" i="18" s="1"/>
  <c r="L18" i="18" s="1"/>
  <c r="A16" i="18"/>
  <c r="A17" i="18" s="1"/>
  <c r="A18" i="18" s="1"/>
  <c r="J16" i="18"/>
  <c r="J27" i="18" s="1"/>
  <c r="J31" i="18" s="1"/>
  <c r="E46" i="19"/>
  <c r="F27" i="18"/>
  <c r="F31" i="18" s="1"/>
  <c r="G47" i="16"/>
  <c r="E27" i="19"/>
  <c r="E68" i="19"/>
  <c r="C22" i="16"/>
  <c r="G45" i="16" s="1"/>
  <c r="C21" i="21"/>
  <c r="C26" i="21"/>
  <c r="E58" i="19"/>
  <c r="G19" i="17"/>
  <c r="B74" i="11"/>
  <c r="E91" i="13"/>
  <c r="C80" i="21"/>
  <c r="C13" i="21" s="1"/>
  <c r="C76" i="21"/>
  <c r="C12" i="21"/>
  <c r="C69" i="21"/>
  <c r="A13" i="21"/>
  <c r="A14" i="21" s="1"/>
  <c r="A15" i="21" s="1"/>
  <c r="A16" i="21" s="1"/>
  <c r="A21" i="11"/>
  <c r="A22" i="11" s="1"/>
  <c r="A23" i="11" s="1"/>
  <c r="A24" i="11" s="1"/>
  <c r="A25" i="11" s="1"/>
  <c r="A86" i="11"/>
  <c r="A87" i="11" s="1"/>
  <c r="I97" i="11"/>
  <c r="G138" i="11"/>
  <c r="G147" i="11" s="1"/>
  <c r="G144" i="11"/>
  <c r="I144" i="11"/>
  <c r="A133" i="11"/>
  <c r="A134" i="11" s="1"/>
  <c r="I17" i="11"/>
  <c r="C50" i="11"/>
  <c r="D49" i="11" s="1"/>
  <c r="G49" i="11" s="1"/>
  <c r="A14" i="17"/>
  <c r="A15" i="17" s="1"/>
  <c r="A16" i="17" s="1"/>
  <c r="A17" i="17" s="1"/>
  <c r="A18" i="17" s="1"/>
  <c r="A19" i="17" s="1"/>
  <c r="A20" i="17" s="1"/>
  <c r="A21" i="17" s="1"/>
  <c r="A22" i="17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5" i="13"/>
  <c r="A26" i="13" s="1"/>
  <c r="A27" i="13" s="1"/>
  <c r="A28" i="13" s="1"/>
  <c r="G26" i="13"/>
  <c r="A55" i="13"/>
  <c r="A56" i="13" s="1"/>
  <c r="G24" i="13"/>
  <c r="E36" i="15"/>
  <c r="A14" i="15"/>
  <c r="A15" i="15" s="1"/>
  <c r="C34" i="15"/>
  <c r="E18" i="16"/>
  <c r="E24" i="16" s="1"/>
  <c r="E28" i="16" s="1"/>
  <c r="G12" i="16"/>
  <c r="A15" i="16"/>
  <c r="A16" i="16" s="1"/>
  <c r="C35" i="14"/>
  <c r="A15" i="14"/>
  <c r="A16" i="14" s="1"/>
  <c r="D37" i="14"/>
  <c r="H44" i="19" l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A27" i="19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E47" i="19"/>
  <c r="E49" i="19" s="1"/>
  <c r="G150" i="11"/>
  <c r="G153" i="11" s="1"/>
  <c r="G157" i="11" s="1"/>
  <c r="L19" i="18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74" i="18" s="1"/>
  <c r="L75" i="18" s="1"/>
  <c r="L76" i="18" s="1"/>
  <c r="L77" i="18" s="1"/>
  <c r="L78" i="18" s="1"/>
  <c r="L79" i="18" s="1"/>
  <c r="A19" i="18"/>
  <c r="A20" i="18" s="1"/>
  <c r="A21" i="18" s="1"/>
  <c r="A22" i="18" s="1"/>
  <c r="A23" i="18" s="1"/>
  <c r="A24" i="18" s="1"/>
  <c r="A25" i="18" s="1"/>
  <c r="C30" i="21"/>
  <c r="C41" i="14"/>
  <c r="C49" i="14" s="1"/>
  <c r="C53" i="14" s="1"/>
  <c r="E41" i="16"/>
  <c r="E49" i="16" s="1"/>
  <c r="E53" i="16" s="1"/>
  <c r="C35" i="16"/>
  <c r="G22" i="16"/>
  <c r="E70" i="19"/>
  <c r="E50" i="19" s="1"/>
  <c r="C83" i="21"/>
  <c r="C16" i="21"/>
  <c r="G28" i="13"/>
  <c r="A17" i="21"/>
  <c r="A18" i="21" s="1"/>
  <c r="A19" i="21" s="1"/>
  <c r="D48" i="11"/>
  <c r="G48" i="11" s="1"/>
  <c r="G52" i="11" s="1"/>
  <c r="G85" i="11" s="1"/>
  <c r="A26" i="11"/>
  <c r="A27" i="11" s="1"/>
  <c r="I27" i="11"/>
  <c r="I145" i="11"/>
  <c r="A135" i="11"/>
  <c r="I25" i="11"/>
  <c r="D47" i="11"/>
  <c r="A88" i="11"/>
  <c r="I98" i="11"/>
  <c r="A23" i="17"/>
  <c r="A24" i="17" s="1"/>
  <c r="A25" i="17" s="1"/>
  <c r="G12" i="13"/>
  <c r="A57" i="13"/>
  <c r="A58" i="13" s="1"/>
  <c r="A59" i="13" s="1"/>
  <c r="G33" i="13"/>
  <c r="A29" i="13"/>
  <c r="A30" i="13" s="1"/>
  <c r="A31" i="13" s="1"/>
  <c r="A16" i="15"/>
  <c r="A17" i="15" s="1"/>
  <c r="E38" i="15"/>
  <c r="A17" i="16"/>
  <c r="A18" i="16" s="1"/>
  <c r="H18" i="16"/>
  <c r="A17" i="14"/>
  <c r="A18" i="14" s="1"/>
  <c r="D39" i="14"/>
  <c r="E51" i="19" l="1"/>
  <c r="E23" i="17" s="1"/>
  <c r="E25" i="17" s="1"/>
  <c r="E29" i="17" s="1"/>
  <c r="L80" i="18"/>
  <c r="L81" i="18" s="1"/>
  <c r="L82" i="18" s="1"/>
  <c r="L83" i="18" s="1"/>
  <c r="A26" i="18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K27" i="18"/>
  <c r="K31" i="18"/>
  <c r="E59" i="13"/>
  <c r="G35" i="16"/>
  <c r="A20" i="21"/>
  <c r="A21" i="21" s="1"/>
  <c r="A89" i="11"/>
  <c r="I99" i="11"/>
  <c r="G47" i="11"/>
  <c r="G50" i="11" s="1"/>
  <c r="G108" i="11" s="1"/>
  <c r="D50" i="11"/>
  <c r="I47" i="11"/>
  <c r="A28" i="11"/>
  <c r="A29" i="11" s="1"/>
  <c r="A30" i="11" s="1"/>
  <c r="I146" i="11"/>
  <c r="A136" i="11"/>
  <c r="A137" i="11" s="1"/>
  <c r="A138" i="11" s="1"/>
  <c r="G97" i="11"/>
  <c r="A26" i="17"/>
  <c r="A27" i="17" s="1"/>
  <c r="A28" i="17" s="1"/>
  <c r="A29" i="17" s="1"/>
  <c r="A46" i="19"/>
  <c r="A60" i="13"/>
  <c r="A61" i="13" s="1"/>
  <c r="A32" i="13"/>
  <c r="A33" i="13" s="1"/>
  <c r="A34" i="13" s="1"/>
  <c r="A35" i="13" s="1"/>
  <c r="A18" i="15"/>
  <c r="A19" i="15" s="1"/>
  <c r="A19" i="16"/>
  <c r="A20" i="16" s="1"/>
  <c r="A19" i="14"/>
  <c r="A20" i="14" s="1"/>
  <c r="A80" i="18" l="1"/>
  <c r="A81" i="18" s="1"/>
  <c r="A82" i="18" s="1"/>
  <c r="A83" i="18" s="1"/>
  <c r="E77" i="13"/>
  <c r="E78" i="13" s="1"/>
  <c r="C31" i="21"/>
  <c r="C32" i="21" s="1"/>
  <c r="C36" i="21" s="1"/>
  <c r="G88" i="11" s="1"/>
  <c r="E71" i="13"/>
  <c r="E18" i="13" s="1"/>
  <c r="E66" i="13"/>
  <c r="E16" i="13" s="1"/>
  <c r="E56" i="13"/>
  <c r="E12" i="13" s="1"/>
  <c r="E61" i="13"/>
  <c r="E14" i="13" s="1"/>
  <c r="G35" i="13"/>
  <c r="A22" i="21"/>
  <c r="A23" i="21" s="1"/>
  <c r="A24" i="21" s="1"/>
  <c r="A139" i="1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I147" i="11"/>
  <c r="A31" i="11"/>
  <c r="I36" i="11"/>
  <c r="I136" i="11"/>
  <c r="A90" i="11"/>
  <c r="A91" i="11" s="1"/>
  <c r="A47" i="19"/>
  <c r="G14" i="13"/>
  <c r="A62" i="13"/>
  <c r="A63" i="13" s="1"/>
  <c r="A64" i="13" s="1"/>
  <c r="A20" i="15"/>
  <c r="A21" i="15" s="1"/>
  <c r="E42" i="15"/>
  <c r="A21" i="16"/>
  <c r="A22" i="16" s="1"/>
  <c r="H24" i="16" s="1"/>
  <c r="A21" i="14"/>
  <c r="A22" i="14" s="1"/>
  <c r="D43" i="14"/>
  <c r="G99" i="11" l="1"/>
  <c r="G91" i="11"/>
  <c r="G100" i="11" s="1"/>
  <c r="A25" i="21"/>
  <c r="A26" i="21" s="1"/>
  <c r="I100" i="11"/>
  <c r="A92" i="11"/>
  <c r="A93" i="11" s="1"/>
  <c r="A94" i="11" s="1"/>
  <c r="A95" i="11" s="1"/>
  <c r="A96" i="11" s="1"/>
  <c r="A97" i="11" s="1"/>
  <c r="A98" i="11" s="1"/>
  <c r="A99" i="11" s="1"/>
  <c r="A100" i="11" s="1"/>
  <c r="A101" i="11" s="1"/>
  <c r="A154" i="11"/>
  <c r="A155" i="11" s="1"/>
  <c r="A156" i="11" s="1"/>
  <c r="A157" i="11" s="1"/>
  <c r="A32" i="11"/>
  <c r="I32" i="11"/>
  <c r="I153" i="11"/>
  <c r="A48" i="19"/>
  <c r="A49" i="19" s="1"/>
  <c r="A65" i="13"/>
  <c r="A66" i="13" s="1"/>
  <c r="A22" i="15"/>
  <c r="A23" i="15" s="1"/>
  <c r="E44" i="15"/>
  <c r="A23" i="16"/>
  <c r="A24" i="16" s="1"/>
  <c r="A23" i="14"/>
  <c r="A24" i="14" s="1"/>
  <c r="D45" i="14"/>
  <c r="I157" i="11" l="1"/>
  <c r="G103" i="11"/>
  <c r="G106" i="11" s="1"/>
  <c r="G110" i="11" s="1"/>
  <c r="A27" i="21"/>
  <c r="A28" i="21" s="1"/>
  <c r="A29" i="21" s="1"/>
  <c r="A33" i="11"/>
  <c r="A34" i="11" s="1"/>
  <c r="A35" i="11" s="1"/>
  <c r="I48" i="11"/>
  <c r="I148" i="11"/>
  <c r="A102" i="11"/>
  <c r="A103" i="11" s="1"/>
  <c r="A50" i="19"/>
  <c r="A51" i="19" s="1"/>
  <c r="A52" i="19" s="1"/>
  <c r="A53" i="19" s="1"/>
  <c r="A54" i="19" s="1"/>
  <c r="G16" i="13"/>
  <c r="A67" i="13"/>
  <c r="A68" i="13" s="1"/>
  <c r="A69" i="13" s="1"/>
  <c r="A24" i="15"/>
  <c r="A25" i="15" s="1"/>
  <c r="A25" i="16"/>
  <c r="A26" i="16" s="1"/>
  <c r="A25" i="14"/>
  <c r="A26" i="14" s="1"/>
  <c r="E80" i="13" l="1"/>
  <c r="E93" i="13" s="1"/>
  <c r="E95" i="13" s="1"/>
  <c r="E99" i="13" s="1"/>
  <c r="E101" i="13" s="1"/>
  <c r="E22" i="13" s="1"/>
  <c r="A30" i="21"/>
  <c r="A31" i="21" s="1"/>
  <c r="A32" i="21" s="1"/>
  <c r="A104" i="11"/>
  <c r="A105" i="11" s="1"/>
  <c r="A106" i="11" s="1"/>
  <c r="I106" i="11"/>
  <c r="A36" i="11"/>
  <c r="A37" i="11" s="1"/>
  <c r="A38" i="11" s="1"/>
  <c r="A39" i="11" s="1"/>
  <c r="A40" i="11" s="1"/>
  <c r="A41" i="11" s="1"/>
  <c r="A42" i="11" s="1"/>
  <c r="A55" i="19"/>
  <c r="A56" i="19" s="1"/>
  <c r="A57" i="19" s="1"/>
  <c r="A58" i="19" s="1"/>
  <c r="A70" i="13"/>
  <c r="A71" i="13" s="1"/>
  <c r="E46" i="15"/>
  <c r="A26" i="15"/>
  <c r="A27" i="15" s="1"/>
  <c r="A28" i="15" s="1"/>
  <c r="A33" i="15" s="1"/>
  <c r="A34" i="15" s="1"/>
  <c r="A27" i="16"/>
  <c r="A28" i="16" s="1"/>
  <c r="A29" i="16" s="1"/>
  <c r="A34" i="16" s="1"/>
  <c r="A35" i="16" s="1"/>
  <c r="H28" i="16"/>
  <c r="D47" i="14"/>
  <c r="A27" i="14"/>
  <c r="A28" i="14" s="1"/>
  <c r="A29" i="14" s="1"/>
  <c r="A34" i="14" s="1"/>
  <c r="A35" i="14" s="1"/>
  <c r="E82" i="13" l="1"/>
  <c r="E84" i="13" s="1"/>
  <c r="E20" i="13" s="1"/>
  <c r="E24" i="13" s="1"/>
  <c r="E26" i="13" s="1"/>
  <c r="E28" i="13" s="1"/>
  <c r="E33" i="13" s="1"/>
  <c r="E35" i="13" s="1"/>
  <c r="C38" i="15"/>
  <c r="C39" i="16" s="1"/>
  <c r="C16" i="16"/>
  <c r="I39" i="11"/>
  <c r="A33" i="21"/>
  <c r="A34" i="21" s="1"/>
  <c r="A35" i="21" s="1"/>
  <c r="A36" i="21" s="1"/>
  <c r="A37" i="21" s="1"/>
  <c r="A38" i="21" s="1"/>
  <c r="A39" i="21" s="1"/>
  <c r="I49" i="11"/>
  <c r="A43" i="11"/>
  <c r="A44" i="11" s="1"/>
  <c r="A45" i="11" s="1"/>
  <c r="A46" i="11" s="1"/>
  <c r="A47" i="11" s="1"/>
  <c r="A107" i="11"/>
  <c r="A108" i="11" s="1"/>
  <c r="A109" i="11" s="1"/>
  <c r="A110" i="11" s="1"/>
  <c r="I110" i="11"/>
  <c r="A59" i="19"/>
  <c r="A60" i="19" s="1"/>
  <c r="G18" i="13"/>
  <c r="A72" i="13"/>
  <c r="A73" i="13" s="1"/>
  <c r="A74" i="13" s="1"/>
  <c r="A75" i="13" s="1"/>
  <c r="A35" i="15"/>
  <c r="A36" i="15" s="1"/>
  <c r="A37" i="15" s="1"/>
  <c r="A38" i="15" s="1"/>
  <c r="A39" i="15" s="1"/>
  <c r="A40" i="15" s="1"/>
  <c r="A36" i="16"/>
  <c r="A37" i="16" s="1"/>
  <c r="A38" i="16" s="1"/>
  <c r="A39" i="16" s="1"/>
  <c r="A40" i="16" s="1"/>
  <c r="A41" i="16" s="1"/>
  <c r="A36" i="14"/>
  <c r="A37" i="14" s="1"/>
  <c r="A38" i="14" s="1"/>
  <c r="A39" i="14" s="1"/>
  <c r="A40" i="14" s="1"/>
  <c r="A41" i="14" s="1"/>
  <c r="G16" i="16" l="1"/>
  <c r="C13" i="15"/>
  <c r="C14" i="16" s="1"/>
  <c r="G14" i="16" s="1"/>
  <c r="A40" i="21"/>
  <c r="A41" i="21" s="1"/>
  <c r="A42" i="21" s="1"/>
  <c r="A43" i="21" s="1"/>
  <c r="A44" i="21" s="1"/>
  <c r="A48" i="11"/>
  <c r="A61" i="19"/>
  <c r="A62" i="19" s="1"/>
  <c r="A63" i="19" s="1"/>
  <c r="A64" i="19" s="1"/>
  <c r="A65" i="19" s="1"/>
  <c r="A66" i="19" s="1"/>
  <c r="A67" i="19" s="1"/>
  <c r="A68" i="19" s="1"/>
  <c r="A76" i="13"/>
  <c r="A77" i="13" s="1"/>
  <c r="A78" i="13" s="1"/>
  <c r="E40" i="15"/>
  <c r="E48" i="15"/>
  <c r="A41" i="15"/>
  <c r="A42" i="15" s="1"/>
  <c r="A43" i="15" s="1"/>
  <c r="A44" i="15" s="1"/>
  <c r="A45" i="15" s="1"/>
  <c r="A46" i="15" s="1"/>
  <c r="A47" i="15" s="1"/>
  <c r="A48" i="15" s="1"/>
  <c r="A42" i="16"/>
  <c r="A43" i="16" s="1"/>
  <c r="A44" i="16" s="1"/>
  <c r="A45" i="16" s="1"/>
  <c r="A46" i="16" s="1"/>
  <c r="A47" i="16" s="1"/>
  <c r="A48" i="16" s="1"/>
  <c r="A49" i="16" s="1"/>
  <c r="H41" i="16"/>
  <c r="A42" i="14"/>
  <c r="A43" i="14" s="1"/>
  <c r="A44" i="14" s="1"/>
  <c r="A45" i="14" s="1"/>
  <c r="A46" i="14" s="1"/>
  <c r="A47" i="14" s="1"/>
  <c r="A48" i="14" s="1"/>
  <c r="A49" i="14" s="1"/>
  <c r="D41" i="14"/>
  <c r="C17" i="15" l="1"/>
  <c r="G18" i="16"/>
  <c r="C36" i="15"/>
  <c r="D49" i="14"/>
  <c r="C18" i="16"/>
  <c r="A45" i="21"/>
  <c r="A46" i="21" s="1"/>
  <c r="A47" i="21" s="1"/>
  <c r="A48" i="21" s="1"/>
  <c r="A49" i="11"/>
  <c r="I52" i="11"/>
  <c r="A69" i="19"/>
  <c r="A70" i="19" s="1"/>
  <c r="A79" i="13"/>
  <c r="A80" i="13" s="1"/>
  <c r="A49" i="15"/>
  <c r="A50" i="15" s="1"/>
  <c r="A51" i="15" s="1"/>
  <c r="A52" i="15" s="1"/>
  <c r="A53" i="15" s="1"/>
  <c r="A50" i="16"/>
  <c r="A51" i="16" s="1"/>
  <c r="A52" i="16" s="1"/>
  <c r="A53" i="16" s="1"/>
  <c r="A54" i="16" s="1"/>
  <c r="H49" i="16"/>
  <c r="A50" i="14"/>
  <c r="A51" i="14" s="1"/>
  <c r="A52" i="14" s="1"/>
  <c r="A53" i="14" s="1"/>
  <c r="A54" i="14" s="1"/>
  <c r="D53" i="14"/>
  <c r="C40" i="15" l="1"/>
  <c r="D19" i="42" s="1"/>
  <c r="C37" i="16"/>
  <c r="G37" i="16" s="1"/>
  <c r="A50" i="11"/>
  <c r="I50" i="11"/>
  <c r="A81" i="13"/>
  <c r="A82" i="13" s="1"/>
  <c r="E52" i="15"/>
  <c r="D22" i="42" l="1"/>
  <c r="I22" i="42" s="1"/>
  <c r="D21" i="42"/>
  <c r="I21" i="42" s="1"/>
  <c r="D24" i="42"/>
  <c r="I24" i="42" s="1"/>
  <c r="D30" i="42"/>
  <c r="I30" i="42" s="1"/>
  <c r="I19" i="42"/>
  <c r="D23" i="42"/>
  <c r="I23" i="42" s="1"/>
  <c r="D25" i="42"/>
  <c r="I25" i="42" s="1"/>
  <c r="D27" i="42"/>
  <c r="I27" i="42" s="1"/>
  <c r="D28" i="42"/>
  <c r="I28" i="42" s="1"/>
  <c r="D20" i="42"/>
  <c r="I20" i="42" s="1"/>
  <c r="D26" i="42"/>
  <c r="I26" i="42" s="1"/>
  <c r="D29" i="42"/>
  <c r="I29" i="42" s="1"/>
  <c r="C41" i="16"/>
  <c r="G41" i="16" s="1"/>
  <c r="I108" i="11"/>
  <c r="A51" i="11"/>
  <c r="A52" i="11" s="1"/>
  <c r="A83" i="13"/>
  <c r="A84" i="13" s="1"/>
  <c r="L19" i="42" l="1"/>
  <c r="K19" i="42"/>
  <c r="I31" i="42"/>
  <c r="D31" i="42"/>
  <c r="A53" i="11"/>
  <c r="A54" i="11" s="1"/>
  <c r="A55" i="11" s="1"/>
  <c r="A56" i="11" s="1"/>
  <c r="A57" i="11" s="1"/>
  <c r="A58" i="11" s="1"/>
  <c r="A59" i="11" s="1"/>
  <c r="A60" i="11" s="1"/>
  <c r="I85" i="11"/>
  <c r="A85" i="13"/>
  <c r="A86" i="13" s="1"/>
  <c r="A87" i="13" s="1"/>
  <c r="G20" i="13"/>
  <c r="N19" i="42" l="1"/>
  <c r="K20" i="42" s="1"/>
  <c r="L20" i="42" s="1"/>
  <c r="A61" i="11"/>
  <c r="A88" i="13"/>
  <c r="A89" i="13" s="1"/>
  <c r="A90" i="13" s="1"/>
  <c r="A91" i="13" s="1"/>
  <c r="N20" i="42" l="1"/>
  <c r="A62" i="11"/>
  <c r="A92" i="13"/>
  <c r="A93" i="13" s="1"/>
  <c r="A94" i="13" s="1"/>
  <c r="A95" i="13" s="1"/>
  <c r="K21" i="42" l="1"/>
  <c r="L21" i="42" s="1"/>
  <c r="A63" i="11"/>
  <c r="I63" i="11"/>
  <c r="I65" i="11"/>
  <c r="A96" i="13"/>
  <c r="A97" i="13" s="1"/>
  <c r="A98" i="13" s="1"/>
  <c r="A99" i="13" s="1"/>
  <c r="N21" i="42" l="1"/>
  <c r="K22" i="42" s="1"/>
  <c r="A64" i="11"/>
  <c r="A65" i="11" s="1"/>
  <c r="I132" i="11" s="1"/>
  <c r="I155" i="11"/>
  <c r="A100" i="13"/>
  <c r="A101" i="13" s="1"/>
  <c r="G22" i="13" s="1"/>
  <c r="L22" i="42" l="1"/>
  <c r="N22" i="42" s="1"/>
  <c r="K23" i="42" s="1"/>
  <c r="L23" i="42" l="1"/>
  <c r="N23" i="42" s="1"/>
  <c r="K24" i="42" l="1"/>
  <c r="L24" i="42" s="1"/>
  <c r="N24" i="42" s="1"/>
  <c r="K25" i="42" l="1"/>
  <c r="L25" i="42" s="1"/>
  <c r="N25" i="42" s="1"/>
  <c r="K26" i="42" s="1"/>
  <c r="L26" i="42" l="1"/>
  <c r="N26" i="42" s="1"/>
  <c r="K27" i="42" s="1"/>
  <c r="L27" i="42" l="1"/>
  <c r="N27" i="42" s="1"/>
  <c r="K28" i="42" s="1"/>
  <c r="L28" i="42" l="1"/>
  <c r="N28" i="42" s="1"/>
  <c r="K29" i="42" s="1"/>
  <c r="L29" i="42" l="1"/>
  <c r="N29" i="42" s="1"/>
  <c r="K30" i="42" s="1"/>
  <c r="L30" i="42" l="1"/>
  <c r="L31" i="42" s="1"/>
  <c r="N30" i="42" l="1"/>
  <c r="C19" i="15" s="1"/>
  <c r="C42" i="15" s="1"/>
  <c r="C20" i="16" l="1"/>
  <c r="G20" i="16" s="1"/>
  <c r="G24" i="16" s="1"/>
  <c r="C23" i="15"/>
  <c r="C27" i="15" s="1"/>
  <c r="C43" i="16"/>
  <c r="C48" i="15"/>
  <c r="C52" i="15" s="1"/>
  <c r="C24" i="16" l="1"/>
  <c r="C28" i="16" s="1"/>
  <c r="G28" i="16" s="1"/>
  <c r="D13" i="1" s="1"/>
  <c r="C49" i="16"/>
  <c r="C53" i="16" s="1"/>
  <c r="G53" i="16" s="1"/>
  <c r="G43" i="16"/>
  <c r="G49" i="16" s="1"/>
  <c r="D18" i="22" l="1"/>
  <c r="D19" i="22" s="1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G18" i="22" l="1"/>
  <c r="F18" i="22"/>
  <c r="H18" i="22" s="1"/>
  <c r="F19" i="22" s="1"/>
  <c r="D66" i="22"/>
  <c r="G19" i="22" l="1"/>
  <c r="H19" i="22" s="1"/>
  <c r="F20" i="22" l="1"/>
  <c r="G20" i="22" s="1"/>
  <c r="H20" i="22" s="1"/>
  <c r="F21" i="22" l="1"/>
  <c r="G21" i="22" s="1"/>
  <c r="H21" i="22" l="1"/>
  <c r="F22" i="22" s="1"/>
  <c r="G22" i="22" s="1"/>
  <c r="H22" i="22" s="1"/>
  <c r="F23" i="22" l="1"/>
  <c r="G23" i="22" s="1"/>
  <c r="H23" i="22" s="1"/>
  <c r="F24" i="22" l="1"/>
  <c r="G24" i="22" s="1"/>
  <c r="H24" i="22" s="1"/>
  <c r="F25" i="22" l="1"/>
  <c r="G25" i="22" s="1"/>
  <c r="H25" i="22" s="1"/>
  <c r="F26" i="22" l="1"/>
  <c r="G26" i="22" s="1"/>
  <c r="H26" i="22" s="1"/>
  <c r="F27" i="22" l="1"/>
  <c r="G27" i="22" s="1"/>
  <c r="H27" i="22" s="1"/>
  <c r="F28" i="22" l="1"/>
  <c r="G28" i="22" s="1"/>
  <c r="H28" i="22" s="1"/>
  <c r="F29" i="22" l="1"/>
  <c r="G29" i="22" s="1"/>
  <c r="H29" i="22" s="1"/>
  <c r="F30" i="22" s="1"/>
  <c r="G30" i="22" s="1"/>
  <c r="H30" i="22" l="1"/>
  <c r="F31" i="22" s="1"/>
  <c r="G31" i="22" l="1"/>
  <c r="H31" i="22" s="1"/>
  <c r="F32" i="22" l="1"/>
  <c r="G32" i="22" l="1"/>
  <c r="H32" i="22" s="1"/>
  <c r="F33" i="22" l="1"/>
  <c r="G33" i="22" l="1"/>
  <c r="H33" i="22" s="1"/>
  <c r="F34" i="22" l="1"/>
  <c r="G34" i="22" l="1"/>
  <c r="H34" i="22" s="1"/>
  <c r="F35" i="22" l="1"/>
  <c r="G35" i="22" l="1"/>
  <c r="H35" i="22" s="1"/>
  <c r="F36" i="22" l="1"/>
  <c r="G36" i="22" l="1"/>
  <c r="H36" i="22" s="1"/>
  <c r="F37" i="22" l="1"/>
  <c r="G37" i="22" l="1"/>
  <c r="H37" i="22" s="1"/>
  <c r="F38" i="22" l="1"/>
  <c r="G38" i="22" l="1"/>
  <c r="H38" i="22" s="1"/>
  <c r="F39" i="22" l="1"/>
  <c r="G39" i="22" l="1"/>
  <c r="H39" i="22" s="1"/>
  <c r="G14" i="1"/>
  <c r="G15" i="1" s="1"/>
  <c r="G16" i="1" s="1"/>
  <c r="G17" i="1" s="1"/>
  <c r="G18" i="1" s="1"/>
  <c r="G19" i="1" s="1"/>
  <c r="G20" i="1" s="1"/>
  <c r="G21" i="1" s="1"/>
  <c r="A14" i="1"/>
  <c r="A15" i="1" s="1"/>
  <c r="A16" i="1" s="1"/>
  <c r="A17" i="1" s="1"/>
  <c r="A18" i="1" s="1"/>
  <c r="A19" i="1" s="1"/>
  <c r="A20" i="1" s="1"/>
  <c r="A21" i="1" s="1"/>
  <c r="F40" i="22" l="1"/>
  <c r="G40" i="22" l="1"/>
  <c r="H40" i="22" s="1"/>
  <c r="F41" i="22" l="1"/>
  <c r="G41" i="22" s="1"/>
  <c r="H41" i="22" l="1"/>
  <c r="F42" i="22" l="1"/>
  <c r="G42" i="22" l="1"/>
  <c r="H42" i="22" s="1"/>
  <c r="F43" i="22" l="1"/>
  <c r="G43" i="22" s="1"/>
  <c r="H43" i="22" s="1"/>
  <c r="F44" i="22" l="1"/>
  <c r="G44" i="22" s="1"/>
  <c r="H44" i="22" s="1"/>
  <c r="F45" i="22" l="1"/>
  <c r="G45" i="22" s="1"/>
  <c r="H45" i="22" s="1"/>
  <c r="F46" i="22" l="1"/>
  <c r="G46" i="22" s="1"/>
  <c r="H46" i="22" s="1"/>
  <c r="F47" i="22" l="1"/>
  <c r="G47" i="22" s="1"/>
  <c r="H47" i="22" s="1"/>
  <c r="F48" i="22" l="1"/>
  <c r="G48" i="22" s="1"/>
  <c r="H48" i="22" s="1"/>
  <c r="F49" i="22" l="1"/>
  <c r="G49" i="22" s="1"/>
  <c r="H49" i="22" s="1"/>
  <c r="F50" i="22" l="1"/>
  <c r="G50" i="22" s="1"/>
  <c r="H50" i="22" l="1"/>
  <c r="F51" i="22" l="1"/>
  <c r="G51" i="22" s="1"/>
  <c r="H51" i="22" s="1"/>
  <c r="F52" i="22" l="1"/>
  <c r="G52" i="22" s="1"/>
  <c r="H52" i="22" s="1"/>
  <c r="F53" i="22" l="1"/>
  <c r="G53" i="22" s="1"/>
  <c r="H53" i="22" s="1"/>
  <c r="F54" i="22" l="1"/>
  <c r="G54" i="22" s="1"/>
  <c r="H54" i="22" l="1"/>
  <c r="F55" i="22" l="1"/>
  <c r="G55" i="22" l="1"/>
  <c r="H55" i="22" s="1"/>
  <c r="F56" i="22" s="1"/>
  <c r="G56" i="22" l="1"/>
  <c r="H56" i="22" s="1"/>
  <c r="F57" i="22" s="1"/>
  <c r="G57" i="22" l="1"/>
  <c r="H57" i="22" s="1"/>
  <c r="F58" i="22" l="1"/>
  <c r="G58" i="22" s="1"/>
  <c r="H58" i="22" s="1"/>
  <c r="F59" i="22" l="1"/>
  <c r="G59" i="22" s="1"/>
  <c r="H59" i="22" s="1"/>
  <c r="F60" i="22" l="1"/>
  <c r="G60" i="22" s="1"/>
  <c r="H60" i="22" l="1"/>
  <c r="F61" i="22" l="1"/>
  <c r="G61" i="22" s="1"/>
  <c r="H61" i="22" s="1"/>
  <c r="F62" i="22" s="1"/>
  <c r="G62" i="22" l="1"/>
  <c r="H62" i="22" s="1"/>
  <c r="F63" i="22" l="1"/>
  <c r="G63" i="22" s="1"/>
  <c r="H63" i="22" l="1"/>
  <c r="F64" i="22" l="1"/>
  <c r="G64" i="22" s="1"/>
  <c r="H64" i="22" s="1"/>
  <c r="F65" i="22" l="1"/>
  <c r="G65" i="22" l="1"/>
  <c r="H65" i="22" l="1"/>
  <c r="G66" i="22"/>
  <c r="D15" i="1" s="1"/>
  <c r="D17" i="1" s="1"/>
  <c r="D21" i="1" s="1"/>
</calcChain>
</file>

<file path=xl/sharedStrings.xml><?xml version="1.0" encoding="utf-8"?>
<sst xmlns="http://schemas.openxmlformats.org/spreadsheetml/2006/main" count="1862" uniqueCount="648">
  <si>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</si>
  <si>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</si>
  <si>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</si>
  <si>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</si>
  <si>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</si>
  <si>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</si>
  <si>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</si>
  <si>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B</t>
  </si>
  <si>
    <t>Interest Expense</t>
  </si>
  <si>
    <t>Total</t>
  </si>
  <si>
    <t>(a)</t>
  </si>
  <si>
    <t xml:space="preserve"> </t>
  </si>
  <si>
    <t>A</t>
  </si>
  <si>
    <t>C = A - B</t>
  </si>
  <si>
    <t>Difference</t>
  </si>
  <si>
    <t>Incr (Decr)</t>
  </si>
  <si>
    <t>√</t>
  </si>
  <si>
    <t>Transmission Related A&amp;G Expense</t>
  </si>
  <si>
    <t>CPUC Intervenor Funding Expense - Transmission</t>
  </si>
  <si>
    <t>Shall be Zero</t>
  </si>
  <si>
    <t>Transmission Related Electric Miscellaneous Intangible Plant</t>
  </si>
  <si>
    <t>Transmission Related General Plant</t>
  </si>
  <si>
    <t>Net Transmission Plant</t>
  </si>
  <si>
    <t>Cost Adjustment Workpapers</t>
  </si>
  <si>
    <t>SAN DIEGO GAS &amp; ELECTRIC COMPANY</t>
  </si>
  <si>
    <t>Statement AH</t>
  </si>
  <si>
    <t>Operation and Maintenance Expenses</t>
  </si>
  <si>
    <t>FERC Form 1</t>
  </si>
  <si>
    <t>Page; Line; Col.</t>
  </si>
  <si>
    <t>Adjustments to Per Book Transmission O&amp;M Expense:</t>
  </si>
  <si>
    <t>Adjustments to Per Book A&amp;G Expense:</t>
  </si>
  <si>
    <t xml:space="preserve">   Abandoned Projects</t>
  </si>
  <si>
    <t xml:space="preserve">   CPUC energy efficiency programs</t>
  </si>
  <si>
    <t xml:space="preserve">   CPUC Intervenor Funding Expense - Distribution</t>
  </si>
  <si>
    <t xml:space="preserve">   CPUC reimbursement fees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</si>
  <si>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</si>
  <si>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</si>
  <si>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</si>
  <si>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</si>
  <si>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</si>
  <si>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</si>
  <si>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>Less: Property Insurance (Due to different allocation factor)</t>
  </si>
  <si>
    <t>Transmission Wages and Salaries Allocation Factor</t>
  </si>
  <si>
    <t>Property Insurance Allocated to Transmission, General, and Common Plant</t>
  </si>
  <si>
    <t>Derivation of Transmission Plant Property Insurance Allocation Factor:</t>
  </si>
  <si>
    <t>Transmission Plant &amp; Incentive Transmission Plant</t>
  </si>
  <si>
    <t xml:space="preserve">Transmission Related Common Plant </t>
  </si>
  <si>
    <t xml:space="preserve">     Total Transmission Related Investment in Plant</t>
  </si>
  <si>
    <t>Total Transmission Plant &amp; Incentive Transmission Plant</t>
  </si>
  <si>
    <t>Total Steam Production Plant</t>
  </si>
  <si>
    <t>Total Nuclear Production Plant</t>
  </si>
  <si>
    <t>Total Other Production Plant</t>
  </si>
  <si>
    <t>Total Distribution Plant</t>
  </si>
  <si>
    <t>Total General Plant</t>
  </si>
  <si>
    <t>Total Common Plant</t>
  </si>
  <si>
    <t xml:space="preserve">     Total Plant in Service Excluding SONGS</t>
  </si>
  <si>
    <t>(b)</t>
  </si>
  <si>
    <t>(c) = (a) - (b)</t>
  </si>
  <si>
    <t>(e) = (c) + (d)</t>
  </si>
  <si>
    <t>FERC</t>
  </si>
  <si>
    <t>Excluded</t>
  </si>
  <si>
    <t>Revised</t>
  </si>
  <si>
    <t>Acct</t>
  </si>
  <si>
    <t>Per Books</t>
  </si>
  <si>
    <t>Expenses</t>
  </si>
  <si>
    <t>Adjusted</t>
  </si>
  <si>
    <t>Rents</t>
  </si>
  <si>
    <t>Total Excluded Expenses</t>
  </si>
  <si>
    <t>Administrative &amp; General Expenses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</si>
  <si>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</si>
  <si>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</si>
  <si>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</si>
  <si>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</si>
  <si>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</si>
  <si>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</si>
  <si>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</si>
  <si>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</si>
  <si>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</si>
  <si>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</si>
  <si>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</si>
  <si>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</si>
  <si>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</si>
  <si>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</si>
  <si>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t>Form 1; Page 323; Line 187</t>
  </si>
  <si>
    <t xml:space="preserve">Franchise Requirements </t>
  </si>
  <si>
    <t>Form 1; Page 323; Line 188</t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</si>
  <si>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</si>
  <si>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</si>
  <si>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</si>
  <si>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</si>
  <si>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</si>
  <si>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</si>
  <si>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</si>
  <si>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Form 1; Page 323; Line 193</t>
  </si>
  <si>
    <t>Maintenance of General Plant</t>
  </si>
  <si>
    <t>Form 1; Page 323; Line 196</t>
  </si>
  <si>
    <t>Total Administrative &amp; General Expenses</t>
  </si>
  <si>
    <t>Excluded Expenses:</t>
  </si>
  <si>
    <t>CPUC energy efficiency programs</t>
  </si>
  <si>
    <t>CPUC Intervenor Funding Expense - Distribution</t>
  </si>
  <si>
    <t xml:space="preserve">CPUC reimbursement fees  </t>
  </si>
  <si>
    <t>Litigation expenses - Litigation Cost Memorandum Account (LCMA)</t>
  </si>
  <si>
    <t xml:space="preserve">CPUC energy efficiency programs  </t>
  </si>
  <si>
    <t>Abandoned Projects</t>
  </si>
  <si>
    <t xml:space="preserve">Hazardous Substances-Hazardous Substance Cleanup Cost Account </t>
  </si>
  <si>
    <t>Statement AL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</si>
  <si>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</si>
  <si>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</si>
  <si>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</si>
  <si>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</si>
  <si>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</si>
  <si>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</si>
  <si>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450.1; Sch. Pg. 227; 12; c</t>
  </si>
  <si>
    <t>Transmission Plant Allocation Factor</t>
  </si>
  <si>
    <t xml:space="preserve">     Transmission Related Materials and Supplies 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</si>
  <si>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</si>
  <si>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</si>
  <si>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 xml:space="preserve">     Transmission Related Prepayments 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</si>
  <si>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</si>
  <si>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</si>
  <si>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</si>
  <si>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</si>
  <si>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</si>
  <si>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 xml:space="preserve">   One Eighth O&amp;M Rule</t>
  </si>
  <si>
    <t>FERC Method = 1/8 of O&amp;M Expense</t>
  </si>
  <si>
    <t xml:space="preserve">     Transmission Related Cash Working Capital - Retail Customers</t>
  </si>
  <si>
    <t>The balances for Materials &amp; Supplies and Prepayments are derived based on a 13-month average balance.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</si>
  <si>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</si>
  <si>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</si>
  <si>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</si>
  <si>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</si>
  <si>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</si>
  <si>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</si>
  <si>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</si>
  <si>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</si>
  <si>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</si>
  <si>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</si>
  <si>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</si>
  <si>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</si>
  <si>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</si>
  <si>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</si>
  <si>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</si>
  <si>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</si>
  <si>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</si>
  <si>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</si>
  <si>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</si>
  <si>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</si>
  <si>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</si>
  <si>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</si>
  <si>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</si>
  <si>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</si>
  <si>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</si>
  <si>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</si>
  <si>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</si>
  <si>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</si>
  <si>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</si>
  <si>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</si>
  <si>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</si>
  <si>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</si>
  <si>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</si>
  <si>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</si>
  <si>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</si>
  <si>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</si>
  <si>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</si>
  <si>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</si>
  <si>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</si>
  <si>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</si>
  <si>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</si>
  <si>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</si>
  <si>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</si>
  <si>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</si>
  <si>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</si>
  <si>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</si>
  <si>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</si>
  <si>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</si>
  <si>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</si>
  <si>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</si>
  <si>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</si>
  <si>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</si>
  <si>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</si>
  <si>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</si>
  <si>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</si>
  <si>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</si>
  <si>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</si>
  <si>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</si>
  <si>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Amount is based upon December 31 balances.</t>
  </si>
  <si>
    <t>Incentive Weighted Cost of Capital:</t>
  </si>
  <si>
    <t>Incentive Cost of Equity Component (Preferred &amp; Common):</t>
  </si>
  <si>
    <t>Where:</t>
  </si>
  <si>
    <t xml:space="preserve">     A = Sum of Preferred Stock and Return on Equity Component</t>
  </si>
  <si>
    <t xml:space="preserve">     B = Transmission Total Federal Tax Adjustments</t>
  </si>
  <si>
    <t xml:space="preserve">     C = Equity AFUDC Component of Transmission Depreciation Expense</t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</si>
  <si>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</si>
  <si>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</si>
  <si>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</si>
  <si>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</si>
  <si>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</si>
  <si>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</si>
  <si>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</si>
  <si>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</si>
  <si>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</si>
  <si>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</si>
  <si>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</si>
  <si>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</si>
  <si>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</si>
  <si>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</si>
  <si>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</si>
  <si>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</si>
  <si>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</si>
  <si>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</si>
  <si>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</si>
  <si>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</si>
  <si>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</si>
  <si>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</si>
  <si>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</si>
  <si>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t>Total Annual Costs Citizens' Share of the SX-PQ Underground Line Segment - Before Interest</t>
  </si>
  <si>
    <t>CITIZENS' SHARE OF THE SX-PQ UNDERGROUND LINE SEGMENT</t>
  </si>
  <si>
    <t>Summary of Cost Components</t>
  </si>
  <si>
    <t>Description of Annual Costs</t>
  </si>
  <si>
    <t>Section 1 - Direct Maintenance Expense Cost Component</t>
  </si>
  <si>
    <t>Section 2 - Non-Direct Expense Cost Component</t>
  </si>
  <si>
    <t>Section 3 - Cost Component Containing Other Specific Expenses</t>
  </si>
  <si>
    <t>Section 4 - True-Up Adjustment Cost Component (Over)/Undercollection</t>
  </si>
  <si>
    <t>Section 5 - Interest True-Up Adjustment Cost Component</t>
  </si>
  <si>
    <t>Subtotal Annual Costs</t>
  </si>
  <si>
    <t>Other Adjustments</t>
  </si>
  <si>
    <t>Total Annual Costs</t>
  </si>
  <si>
    <t>Description of Monthly Costs</t>
  </si>
  <si>
    <t>Total Monthly Costs</t>
  </si>
  <si>
    <t>Number of Months in Base Period</t>
  </si>
  <si>
    <t xml:space="preserve">Total Annual Costs Adjustment 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</si>
  <si>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</si>
  <si>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</si>
  <si>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</si>
  <si>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</si>
  <si>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</si>
  <si>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</si>
  <si>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</si>
  <si>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</si>
  <si>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</si>
  <si>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</si>
  <si>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</si>
  <si>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Lease Agreement</t>
  </si>
  <si>
    <t>Total Annual Carrying Charge Rate</t>
  </si>
  <si>
    <t xml:space="preserve">     Total Non-Direct Expense</t>
  </si>
  <si>
    <t>A. Transmission Related O&amp;M Expense</t>
  </si>
  <si>
    <t>Transmission O&amp;M Expense</t>
  </si>
  <si>
    <t xml:space="preserve">     Transmission O&amp;M Expense Carrying Charge Percentage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</si>
  <si>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</si>
  <si>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</si>
  <si>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</si>
  <si>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C. Transmission Related Property Tax Expense</t>
  </si>
  <si>
    <t xml:space="preserve">     Transmission Related Property Tax Carrying Charge Percentage</t>
  </si>
  <si>
    <t>D. Transmission Related Payroll Tax Expense</t>
  </si>
  <si>
    <t xml:space="preserve">     Transmission Related Payroll Tax Carrying Charge Percentage</t>
  </si>
  <si>
    <t>E. Transmission Related Working Capital Revenue</t>
  </si>
  <si>
    <t>Transmission Related M&amp;S Allocated to Transmission</t>
  </si>
  <si>
    <t>Transmission Related Prepayments Allocated to Transmission</t>
  </si>
  <si>
    <t>Transmission Related Working Cash</t>
  </si>
  <si>
    <t xml:space="preserve">     Total Transmission Related Working Capital</t>
  </si>
  <si>
    <t>Cost of Capital Rate</t>
  </si>
  <si>
    <t>Transmission Working Capital Revenue</t>
  </si>
  <si>
    <t xml:space="preserve">     Transmission Related Working Capital Revenue Carrying Charge Percentage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</si>
  <si>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</si>
  <si>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</si>
  <si>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</si>
  <si>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</si>
  <si>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Transmission Related General and Common Return and Associated Income Taxes</t>
  </si>
  <si>
    <t>Transmission Related General and Common Depreciation Expense</t>
  </si>
  <si>
    <t>Total Transmission Related General and Common Plant Revenues</t>
  </si>
  <si>
    <t xml:space="preserve">     Total Transmission Related General and Common Plant Carrying Charge Percentage</t>
  </si>
  <si>
    <t>Col. 1</t>
  </si>
  <si>
    <t>Col. 2</t>
  </si>
  <si>
    <t>Col. 3</t>
  </si>
  <si>
    <t>Col. 4</t>
  </si>
  <si>
    <t>Col. 5</t>
  </si>
  <si>
    <t>Col. 6</t>
  </si>
  <si>
    <t>Calculations: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</si>
  <si>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</si>
  <si>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</si>
  <si>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</si>
  <si>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</si>
  <si>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</si>
  <si>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</si>
  <si>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</si>
  <si>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</si>
  <si>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</si>
  <si>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</si>
  <si>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</si>
  <si>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</si>
  <si>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</si>
  <si>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</si>
  <si>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</si>
  <si>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</si>
  <si>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</si>
  <si>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</si>
  <si>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</si>
  <si>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</si>
  <si>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</si>
  <si>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</si>
  <si>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</si>
  <si>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</si>
  <si>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</si>
  <si>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</si>
  <si>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</si>
  <si>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 xml:space="preserve">   Scheduling, System Control &amp; Dispatch Services</t>
  </si>
  <si>
    <t xml:space="preserve">   Reliability, Planning &amp; Standards Development</t>
  </si>
  <si>
    <t xml:space="preserve">   Station Expenses</t>
  </si>
  <si>
    <t xml:space="preserve">   Overhead Line Expense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</si>
  <si>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</si>
  <si>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</si>
  <si>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</si>
  <si>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</si>
  <si>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</si>
  <si>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</si>
  <si>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>Negative of AH-2; Line 41; Col. b</t>
  </si>
  <si>
    <t xml:space="preserve">   Other Cost Adjustments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</si>
  <si>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</si>
  <si>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</si>
  <si>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</si>
  <si>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 xml:space="preserve">     Total Adjusted Non-Direct A&amp;G Expenses Including Property Insurance</t>
  </si>
  <si>
    <t>Total Adjusted Non-Direct A&amp;G Expenses Excluding Property Insurance</t>
  </si>
  <si>
    <t>Transmission Related Non-Direct Administrative &amp; General Expenses</t>
  </si>
  <si>
    <t xml:space="preserve">     Transmission Related Non-Direct A&amp;G Expense Including Property Insurance Expense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</si>
  <si>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</si>
  <si>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 xml:space="preserve">Add / (Deduct) </t>
  </si>
  <si>
    <t>A&amp;G Cost Adj</t>
  </si>
  <si>
    <t>Employee Pensions &amp; Benefits</t>
  </si>
  <si>
    <t xml:space="preserve">Regulatory Commission Expenses  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</si>
  <si>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</si>
  <si>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</si>
  <si>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Account 7000722, which was created to track Citizens SX-PQ A&amp;G Expense.</t>
  </si>
  <si>
    <t>SAN DIEGO GAS AND ELECTRIC COMPANY</t>
  </si>
  <si>
    <t>Incentive Return on Common Equity: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</si>
  <si>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</si>
  <si>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</si>
  <si>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</si>
  <si>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</si>
  <si>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$56K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</si>
  <si>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</si>
  <si>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</si>
  <si>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Total Monthly Costs Adjustment </t>
  </si>
  <si>
    <t xml:space="preserve">Section C.6a of the Protocols provides a mechanism for SDG&amp;E to correct errors that affected the Appendix XII costs in a previous Informational Filing. </t>
  </si>
  <si>
    <r>
      <t>Return on Common Equity:</t>
    </r>
    <r>
      <rPr>
        <sz val="12"/>
        <rFont val="Times New Roman"/>
        <family val="1"/>
      </rPr>
      <t xml:space="preserve"> </t>
    </r>
    <r>
      <rPr>
        <vertAlign val="superscript"/>
        <sz val="12"/>
        <color rgb="FFFF0000"/>
        <rFont val="Times New Roman"/>
        <family val="1"/>
      </rPr>
      <t>2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</si>
  <si>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</si>
  <si>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</si>
  <si>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</si>
  <si>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</si>
  <si>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Transmission Related Common Plant</t>
  </si>
  <si>
    <t xml:space="preserve">     Total Net Transmission Plant</t>
  </si>
  <si>
    <t>Rate Base Additions:</t>
  </si>
  <si>
    <t>Transmission Plant Held for Future Use</t>
  </si>
  <si>
    <t>Transmission Plant Abandoned Project Cost</t>
  </si>
  <si>
    <t xml:space="preserve">     Total Rate Base Additions</t>
  </si>
  <si>
    <t>Rate Base Reductions:</t>
  </si>
  <si>
    <t>Transmission Related Accum. Def. Inc. Taxes</t>
  </si>
  <si>
    <t>Transmission Plant Abandoned Accum. Def. Inc. Taxes</t>
  </si>
  <si>
    <t xml:space="preserve">     Total Rate Base Reductions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</si>
  <si>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</si>
  <si>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</si>
  <si>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</si>
  <si>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</si>
  <si>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</si>
  <si>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Other Regulatory Assets/Liabilities</t>
  </si>
  <si>
    <t xml:space="preserve">     Total Transmission Rate Base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</si>
  <si>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</si>
  <si>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</si>
  <si>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</si>
  <si>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</si>
  <si>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</si>
  <si>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</si>
  <si>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</si>
  <si>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</si>
  <si>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D. Incentive Transmission Construction Work In Progress</t>
  </si>
  <si>
    <t>A. Derivation of Net Transmission Plant:</t>
  </si>
  <si>
    <t>Gross Transmission Plant:</t>
  </si>
  <si>
    <t>Transmission Related Electric Misc. Intangible Plant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</si>
  <si>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</si>
  <si>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</si>
  <si>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</si>
  <si>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</si>
  <si>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</si>
  <si>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</si>
  <si>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</si>
  <si>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</si>
  <si>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</si>
  <si>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</si>
  <si>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</si>
  <si>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Sum Lines 3 and 5</t>
  </si>
  <si>
    <t>Line 7 / Line 9</t>
  </si>
  <si>
    <t>Total Citizens' Annual Prior Year Cost of Service</t>
  </si>
  <si>
    <t>Total Citizens' Monthly Prior Year Cost of Service</t>
  </si>
  <si>
    <t>Citizens' Lease Payment</t>
  </si>
  <si>
    <t>Citizens' Financed Transmission Projects:</t>
  </si>
  <si>
    <t xml:space="preserve">Citizens' Share of the SX-PQ Underground Line Segment  </t>
  </si>
  <si>
    <t>Page 2; Line 17; Col. C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</si>
  <si>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</si>
  <si>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</si>
  <si>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</si>
  <si>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</si>
  <si>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</si>
  <si>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</si>
  <si>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</si>
  <si>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</si>
  <si>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Section 1; Page 1; Line 17</t>
  </si>
  <si>
    <t>Section 2; Page 1; Line 25</t>
  </si>
  <si>
    <t>Section 3; Page 1; Line 31</t>
  </si>
  <si>
    <t>Sum Lines 1, 3, 5</t>
  </si>
  <si>
    <t>Section 4; Page TU; Col. 11; Line 21</t>
  </si>
  <si>
    <t>Section 5; Page Interest TU (CY); Col. 6; Line 20</t>
  </si>
  <si>
    <t>Sum Lines 7, 9, 11</t>
  </si>
  <si>
    <t>Line 13 + Line 15</t>
  </si>
  <si>
    <t>AV-4; Line 6</t>
  </si>
  <si>
    <t>Statement AH; Line 18</t>
  </si>
  <si>
    <t>Line 4 / Line 1</t>
  </si>
  <si>
    <t>Statement AH; Line 41</t>
  </si>
  <si>
    <t>Line 9 / Line 1</t>
  </si>
  <si>
    <t>Statement AK; Line 17</t>
  </si>
  <si>
    <t>Line 14 / Line 1</t>
  </si>
  <si>
    <t>Statement AK; Line 28</t>
  </si>
  <si>
    <t>Line 19 / Line 1</t>
  </si>
  <si>
    <t>Statement AL; Line 5</t>
  </si>
  <si>
    <t>Statement AL; Line 9</t>
  </si>
  <si>
    <t>Statement AL; Line 19</t>
  </si>
  <si>
    <t>Sum Lines 25 thru 27</t>
  </si>
  <si>
    <t>Statement AV2; Line 31</t>
  </si>
  <si>
    <t>Line 28 x Line 30</t>
  </si>
  <si>
    <t>Line 32 / Line 1</t>
  </si>
  <si>
    <t>AV-4; Line 4</t>
  </si>
  <si>
    <t>AV-4; Line 5</t>
  </si>
  <si>
    <t>Line 37 + Line 39</t>
  </si>
  <si>
    <t>Line 30</t>
  </si>
  <si>
    <t>Line 41 * Line 43</t>
  </si>
  <si>
    <t>Statement AJ; Line 17</t>
  </si>
  <si>
    <t>Line 45 + Line 47</t>
  </si>
  <si>
    <t>Line 49 / Line 1</t>
  </si>
  <si>
    <t>AH-1; Line 48</t>
  </si>
  <si>
    <t>AH-2; Line 37; Col. a</t>
  </si>
  <si>
    <t>Negative of AH-2; Line 42; Col. b</t>
  </si>
  <si>
    <t>Negative of AH-2; Line 43; Col. b</t>
  </si>
  <si>
    <t>Negative of AH-2; Line 44; Col. b</t>
  </si>
  <si>
    <t>Negative of AH-2; Line 45; Col. b</t>
  </si>
  <si>
    <t>Negative of AH-2; Line 46; Col. b</t>
  </si>
  <si>
    <t>Negative of AH-2; Line 52; Col. b</t>
  </si>
  <si>
    <t>Negative of AH-2; Line 53; Col. b</t>
  </si>
  <si>
    <t>Negative of AH-2; Line 54; Col. b</t>
  </si>
  <si>
    <t>Negative of AH-2; Line 55; Col. b</t>
  </si>
  <si>
    <t>Sum Lines 5 thru 17</t>
  </si>
  <si>
    <t>Statement AI; Line 17</t>
  </si>
  <si>
    <t>Statement AD; Line 25</t>
  </si>
  <si>
    <t>Statement AD; Line 29</t>
  </si>
  <si>
    <t>Statement AD; Line 31</t>
  </si>
  <si>
    <t>Sum Lines 44 thru 47</t>
  </si>
  <si>
    <t>Line 44 Above</t>
  </si>
  <si>
    <t>Statement AD; Line 1</t>
  </si>
  <si>
    <t>Statement AD; Line 7</t>
  </si>
  <si>
    <t>Statement AD; Line 9</t>
  </si>
  <si>
    <t>Statement AD; Line 17</t>
  </si>
  <si>
    <t>Statement AD; Line 19</t>
  </si>
  <si>
    <t>Sum Lines 50 thru 57</t>
  </si>
  <si>
    <t>AL-1; Line 18</t>
  </si>
  <si>
    <t>Statement AD; Line 35</t>
  </si>
  <si>
    <t>Line 1 x Line 3</t>
  </si>
  <si>
    <t>AL-2; Line 18</t>
  </si>
  <si>
    <t>Line 3 x Line 7</t>
  </si>
  <si>
    <t>Negative of Statement AH; Line 25</t>
  </si>
  <si>
    <t>Sum Lines 12 thru 14</t>
  </si>
  <si>
    <t>Line 15 x Line 17</t>
  </si>
  <si>
    <t>Negative of Statement AR; Line 11</t>
  </si>
  <si>
    <t>AV-2A; Line 40</t>
  </si>
  <si>
    <t>AV-4; Page 1; Line 26</t>
  </si>
  <si>
    <t>Statement AD; Line 11</t>
  </si>
  <si>
    <t>Statement AD; Line 27</t>
  </si>
  <si>
    <t>Sum Lines 2 thru 5</t>
  </si>
  <si>
    <t>Statement AE; Line 1</t>
  </si>
  <si>
    <t>Statement AE; Line 11</t>
  </si>
  <si>
    <t>Statement AE; Line 13</t>
  </si>
  <si>
    <t>Statement AE; Line 15</t>
  </si>
  <si>
    <t>Sum Lines 9 thru 12</t>
  </si>
  <si>
    <t>Page 2; Line 16</t>
  </si>
  <si>
    <t>Page 2; Line 17</t>
  </si>
  <si>
    <t>Page 2; Line 18</t>
  </si>
  <si>
    <t>Page 2; Line 19</t>
  </si>
  <si>
    <t>Statement AG; Line 1</t>
  </si>
  <si>
    <t>Statement Misc.; Line 3</t>
  </si>
  <si>
    <t>Line 9 + Line 10</t>
  </si>
  <si>
    <t>Statement AF; Line 7</t>
  </si>
  <si>
    <t>Statement AF; Line 11</t>
  </si>
  <si>
    <t>Line 14 + Line 15</t>
  </si>
  <si>
    <t>Sum Lines 19 thru 21</t>
  </si>
  <si>
    <t>Statement Misc.; Line 5</t>
  </si>
  <si>
    <t>Sum Lines 6, 11, 16, 22, 24</t>
  </si>
  <si>
    <t>Line 29 + Line 30</t>
  </si>
  <si>
    <t>Line 34 + Line 35</t>
  </si>
  <si>
    <t>Used to allocate property insurance in conformance with the TO5 Formula Rate Mechanism.</t>
  </si>
  <si>
    <t>Page 3 and Page 4, Line 1</t>
  </si>
  <si>
    <t>Page 3 and Page 4, Line 3</t>
  </si>
  <si>
    <t>Page 3 and Page 4, Line 5</t>
  </si>
  <si>
    <t>Page 3 and Page 4, Line 9</t>
  </si>
  <si>
    <t>Page 3 and Page 4, Line 11</t>
  </si>
  <si>
    <t>Page 3 and Page 4, Line 15</t>
  </si>
  <si>
    <t>Page 3 and Page 4, Line 20</t>
  </si>
  <si>
    <t>Page 3 and Page 4, Line 22</t>
  </si>
  <si>
    <t>Page 3 and Page 4, Line 24</t>
  </si>
  <si>
    <t>Page 3 and Page 4, Line 28</t>
  </si>
  <si>
    <t>Page 3 and Page 4, Line 30</t>
  </si>
  <si>
    <t>Page 3 and Page 4, Line 32</t>
  </si>
  <si>
    <t>Page 3 and Page 4, Line 38</t>
  </si>
  <si>
    <t>Derivation of Other Adjustments Applicable to Appendix XII Cycle 4</t>
  </si>
  <si>
    <t>Other Cost Adjustments due to Appendix XII Cycle 4 Cost Adjustments Calculation:</t>
  </si>
  <si>
    <t>Revised - Appendix XII Cycle 4</t>
  </si>
  <si>
    <t>Rate Effective Period January 1, 2021 to December 31, 2022</t>
  </si>
  <si>
    <t xml:space="preserve"> 12 Months Ending December 31, 2020</t>
  </si>
  <si>
    <t>CEMA Costs</t>
  </si>
  <si>
    <t>WMPMA Costs</t>
  </si>
  <si>
    <r>
      <t xml:space="preserve">Other Exclusion - 3P Adjustment </t>
    </r>
    <r>
      <rPr>
        <b/>
        <vertAlign val="superscript"/>
        <sz val="12"/>
        <rFont val="Times New Roman"/>
        <family val="1"/>
      </rPr>
      <t>2</t>
    </r>
  </si>
  <si>
    <r>
      <t xml:space="preserve">Other Exclusion - FERC Audit Adjustment (Finding #3) </t>
    </r>
    <r>
      <rPr>
        <b/>
        <vertAlign val="superscript"/>
        <sz val="12"/>
        <rFont val="Times New Roman"/>
        <family val="1"/>
      </rPr>
      <t>3</t>
    </r>
  </si>
  <si>
    <r>
      <t xml:space="preserve">Other Exclusion - FERC Audit Adjustment (Finding #8) </t>
    </r>
    <r>
      <rPr>
        <b/>
        <vertAlign val="superscript"/>
        <sz val="12"/>
        <rFont val="Times New Roman"/>
        <family val="1"/>
      </rPr>
      <t>3</t>
    </r>
  </si>
  <si>
    <t>Customer Information System</t>
  </si>
  <si>
    <r>
      <t xml:space="preserve">Other Exclusion - FERC Audit Adjustment (Finding #5) </t>
    </r>
    <r>
      <rPr>
        <b/>
        <vertAlign val="superscript"/>
        <sz val="12"/>
        <rFont val="Times New Roman"/>
        <family val="1"/>
      </rPr>
      <t>3</t>
    </r>
  </si>
  <si>
    <r>
      <t>Other Exclusion - FERC Audit Adjustment (Finding #7)</t>
    </r>
    <r>
      <rPr>
        <b/>
        <vertAlign val="superscript"/>
        <sz val="12"/>
        <rFont val="Times New Roman"/>
        <family val="1"/>
      </rPr>
      <t>3</t>
    </r>
  </si>
  <si>
    <r>
      <t xml:space="preserve">2019 Abandoned Projects Correction </t>
    </r>
    <r>
      <rPr>
        <b/>
        <vertAlign val="superscript"/>
        <sz val="12"/>
        <rFont val="Times New Roman"/>
        <family val="1"/>
      </rPr>
      <t>4</t>
    </r>
  </si>
  <si>
    <t>2</t>
  </si>
  <si>
    <t>Represents reclassification of 2018 and 2019 3P (People, Process, Priorities) project costs from O&amp;M FERC Accounts 560, 566, 580, and 588 to A&amp;G FERC</t>
  </si>
  <si>
    <t>Account 923, in 2020. Entries are excluded here and reflected as an "Other Adjustments" in Cycle 4 (see separate Cost Adjustment workpapers).</t>
  </si>
  <si>
    <t>3</t>
  </si>
  <si>
    <t>Adjusting journal entries related to prior year O&amp;M and A&amp;G costs (2016 - 2019) that resulted from the 2020 FERC Audit are excluded from Appendix XII Cycle 4.</t>
  </si>
  <si>
    <t>The impacts of the adjusting entries is reflected in the per book amount and were excluded from the adjusted 2020 total. The impact of FERC Audit adjustments</t>
  </si>
  <si>
    <t>and corresponding refunds will be accounted for in a separate refund analysis filed with FERC.</t>
  </si>
  <si>
    <t>4</t>
  </si>
  <si>
    <t>Represents reclassification of 2019 abandoned project costs from A&amp;G FERC Account 930.2 to FERC Account 426.5. Entry is excluded here and reflected as</t>
  </si>
  <si>
    <t>an "Other Adjustments" in Cycle 4 (see separate Cost Adjustment workpapers).</t>
  </si>
  <si>
    <t>Add back of credit balance included in FERC account 930.2 related to electric vehicles or clean transportation initiatives which is a balancing account.</t>
  </si>
  <si>
    <t>Not Applicable to 2020 Base Period</t>
  </si>
  <si>
    <t>Sum Lines 20 thru 33</t>
  </si>
  <si>
    <t>Negative of AH-1; Line 5; Col. c</t>
  </si>
  <si>
    <t>Line 36 x Line 37</t>
  </si>
  <si>
    <t>Line 38 + Line 39</t>
  </si>
  <si>
    <t>Negative of Line 35 x Line 59</t>
  </si>
  <si>
    <t>Line 47 / Line 57</t>
  </si>
  <si>
    <t>Statement AH; Line 17</t>
  </si>
  <si>
    <t>Statement AH; Line 40</t>
  </si>
  <si>
    <t>Base Period &amp; True-Up Period 12 - Months Ending December 31, 2020</t>
  </si>
  <si>
    <t>Derivation of Interest Expense on Other Adjustments Applicable to Appendix XII Cycle 4</t>
  </si>
  <si>
    <t>AH-3; Line 21; Col. a</t>
  </si>
  <si>
    <t>Negative of AH-3; Line 52; Col. a</t>
  </si>
  <si>
    <t xml:space="preserve">Negative of AH-3; Sum Lines 25, 28, 32, 38, 41, 46, 55; Col. a </t>
  </si>
  <si>
    <t>Negative of AH-3; Line 48; Col. a</t>
  </si>
  <si>
    <t>Negative of AH-3; Line 49; Col. a</t>
  </si>
  <si>
    <t>Negative of AH-3; Line 44; Col. a</t>
  </si>
  <si>
    <t>Negative of AH-3; Line 44; Col. b</t>
  </si>
  <si>
    <t>Negative of AH-3; Line 56; Col. a</t>
  </si>
  <si>
    <t xml:space="preserve">Negative of AH-3; Line 47; Col. a   </t>
  </si>
  <si>
    <t>Removal of EPRI dues from Appendix XII Cycle 4 per response to Six Cities protest.</t>
  </si>
  <si>
    <t>Negative of AH-3; Sum Lines 26, 27, 29, 30, 33, 34, 35, 36, 37, 39, 40, 42, 43, 50, 53, 54; Col. a; and Line 31; Col. b</t>
  </si>
  <si>
    <t>Negative of AH-3; Line 51; Col. b</t>
  </si>
  <si>
    <t>This amount represents the Non-Direct A&amp;G expenses billed to Citizens in , which is added back to derive Total Adjusted A&amp;G Expenses in SAP</t>
  </si>
  <si>
    <t>AH-3; Line 20; Col. d</t>
  </si>
  <si>
    <t>Items in BOLD have changed due to A&amp;G adjustments as compared to the original SX-PQ Appendix XII Cycle 4 filing per ER22-133.</t>
  </si>
  <si>
    <t>as compared to the original SX-PQ Appendix XII Cycle 4 filing per ER22-133.</t>
  </si>
  <si>
    <r>
      <t>(d)</t>
    </r>
    <r>
      <rPr>
        <b/>
        <vertAlign val="superscript"/>
        <sz val="12"/>
        <rFont val="Times New Roman"/>
        <family val="1"/>
      </rPr>
      <t xml:space="preserve"> </t>
    </r>
  </si>
  <si>
    <t>Source: As Filed Appendix XII Cycle 4 Cost Adj.; Summary of Cost Components; ER23-110</t>
  </si>
  <si>
    <t>Source: Orig. Filing; Appendix XII Cycle 4; Summary of Cost Components; ER22-133</t>
  </si>
  <si>
    <t>Source: As Filed Appendix XII Cycle 4 Cost Adj; Rev. Sec.2-Non-Direct Exp; ER23-110</t>
  </si>
  <si>
    <t>DERIVATION OF CITIZENS' TRUE-UP ADJUSTMENT -  (OVER) / UNDERCOLLECTION</t>
  </si>
  <si>
    <t>Col. 7</t>
  </si>
  <si>
    <t>Col. 8</t>
  </si>
  <si>
    <t>Col. 9</t>
  </si>
  <si>
    <t>Col. 10</t>
  </si>
  <si>
    <t>Col. 11</t>
  </si>
  <si>
    <t>Prior</t>
  </si>
  <si>
    <t>Adjusted Monthly</t>
  </si>
  <si>
    <t>True-Up</t>
  </si>
  <si>
    <t>Prior Other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</si>
  <si>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</si>
  <si>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</si>
  <si>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</si>
  <si>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</si>
  <si>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</si>
  <si>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</si>
  <si>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</si>
  <si>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</si>
  <si>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</si>
  <si>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</si>
  <si>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</si>
  <si>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</si>
  <si>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</si>
  <si>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Source: As Filed Appendix XII Cycle 4; B. Sec.4-TU; ER22-133</t>
  </si>
  <si>
    <t>Source: As Filed Appendix XII Cycle 4 Cost Adj; Rev. Stmt AH; ER23-110</t>
  </si>
  <si>
    <t>Source: As Filed Appendix XII Cycle 4 Cost Adj; Rev. Stmt AL; ER23-110</t>
  </si>
  <si>
    <t>Source: As Filed Appendix XII Cycle 4 Cost Adj; Rev Stmt AV; ER23-110</t>
  </si>
  <si>
    <t xml:space="preserve">Appendix XII Cycle 6 Annual Informational Filing </t>
  </si>
  <si>
    <t>(f)</t>
  </si>
  <si>
    <t>(g) = (e) + (f)</t>
  </si>
  <si>
    <t>Addtl A&amp;G</t>
  </si>
  <si>
    <r>
      <t xml:space="preserve">Other Exclusion - FERC Audit Adjustment (Finding #7) </t>
    </r>
    <r>
      <rPr>
        <b/>
        <vertAlign val="superscript"/>
        <sz val="12"/>
        <rFont val="Times New Roman"/>
        <family val="1"/>
      </rPr>
      <t>3</t>
    </r>
  </si>
  <si>
    <t>Reversal of A&amp;G exclusion on FERC Audit Finding #7 in the originally filed TO5 Cycle 4 filing. The total amount that should have been excluded in 2020 A&amp;G for the 2016 to 2019 is shown in footnote 7.</t>
  </si>
  <si>
    <t>Source: As Filed Appendix XII Cycle 4 Cost Adj; AH-3; ER23-110</t>
  </si>
  <si>
    <t>Sum Lines 20 thru 34</t>
  </si>
  <si>
    <t>Line 35 + Line 36</t>
  </si>
  <si>
    <t>Line 37 x Line 38</t>
  </si>
  <si>
    <t>Negative of Line 36 x Line 60</t>
  </si>
  <si>
    <t>Line 39 + Line 40</t>
  </si>
  <si>
    <t>Line 48 / Line 58</t>
  </si>
  <si>
    <r>
      <t xml:space="preserve">Appendix XII Cycle 6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</si>
  <si>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Sum Lines 43 thru 46</t>
  </si>
  <si>
    <t>Line 43 Above</t>
  </si>
  <si>
    <t>Sum Lines 49 thru 56</t>
  </si>
  <si>
    <t>w/o Interest</t>
  </si>
  <si>
    <t>Source: As Filed Appendix XII Cycle 4 Cost Adj; Rev Stmt AV-4; ER23-110</t>
  </si>
  <si>
    <t>As Filed - Appendix XII Cycle 4 ER22-133 and ER23-110</t>
  </si>
  <si>
    <t>Items in BOLD have changed due to A&amp;G adjustments and removal of CIAC related ADIT per SDG&amp;E's TO5 Cycle 4 Letter Order determination in ER22-527</t>
  </si>
  <si>
    <t>Pg9.2 Rev AH-3; Line 21; Col. a</t>
  </si>
  <si>
    <t>Represents FERC Audit adjusting entry on Finding #7 - accounting for donations &amp; lobbying expenses related to prior year A&amp;G costs (2016 - 2019) credited in the 2020 balances that was missed in prior year cost adjustment filings</t>
  </si>
  <si>
    <t>resulting from the 2020 FERC Audit that should be added back in the TO5 Cycle 4 A&amp;G. The impact of FERC audit adjustments and corresponding refunds will be accounted for in a separate FERC Audit refund analysis files with FERC.</t>
  </si>
  <si>
    <t>Appendix XII Cycle 6 Annual Informational Filing</t>
  </si>
  <si>
    <t>Adj</t>
  </si>
  <si>
    <t>A&amp;G</t>
  </si>
  <si>
    <t>Posted FERC Interest rates</t>
  </si>
  <si>
    <t xml:space="preserve">   Other Cost Adjustments (included in Appendix XII Cycle 4; ER23-110)</t>
  </si>
  <si>
    <t>True-Up Period - January 1, 2020 to December 31, 2020</t>
  </si>
  <si>
    <t>CEMA/WMPMA exclusion corrections</t>
  </si>
  <si>
    <t>2020 CEMA/WMPMA exclusion corrections.</t>
  </si>
  <si>
    <t>Pg8 Rev Stmt AH; Line 41</t>
  </si>
  <si>
    <t>Pg9 Rev Stmt AL; Line 19</t>
  </si>
  <si>
    <t>Pg12 Rev AV-4; Page 1; Line 26</t>
  </si>
  <si>
    <t>Pg10 Rev Stmt AV; Page 2; Line 31</t>
  </si>
  <si>
    <t>Pg5 Rev Section 2; Page 1; Line 25</t>
  </si>
  <si>
    <t>Pg7 Rev Section 4; Page TU; Col. 11; Line 21</t>
  </si>
  <si>
    <t>Page 14 Line 57; Col. 5</t>
  </si>
  <si>
    <t>Rate Effective Period January 1, 2022 to December 31, 2022</t>
  </si>
  <si>
    <t>Pg8.2 Negative of Rev AH-3; Line 60; Col. a</t>
  </si>
  <si>
    <t xml:space="preserve">Pg8.2 Negative of Rev AH-3; Sum Lines 27, 31, 37, 44, 48, 54, 63; Col. a </t>
  </si>
  <si>
    <t>Pg8.2 Negative of Rev AH-3; Line 56; Col. a</t>
  </si>
  <si>
    <t>Pg8.2 Negative of Rev AH-3; Line 57; Col. a</t>
  </si>
  <si>
    <t>Pg8.2 Negative of Rev AH-3; Line 53; Col. a</t>
  </si>
  <si>
    <t>Pg8.2 Negative of Rev AH-3; Line 59; Col. b</t>
  </si>
  <si>
    <t xml:space="preserve">Pg8.2 Negative of Rev AH-3; Line 55; Col. a   </t>
  </si>
  <si>
    <t>Pg8.2 Negative of Rev AH-3; Sum Lines 28, 29, 32, 33, 35, 38, 39, 40, 41, 42, 45, 46, 49, 50, 58, 62; Col. a and Line 35; Col. b</t>
  </si>
  <si>
    <t>Pg8.2 Rev AH-3; Line 23; Col. d</t>
  </si>
  <si>
    <t>Pg8.2 Rev AH-3; Line 23; Col. f</t>
  </si>
  <si>
    <t>Pg8.2 Negative of Rev AH-3; Line 64; Col. a</t>
  </si>
  <si>
    <t>Pg8.2 Negative of Rev AH-3; Line 52; Col. b</t>
  </si>
  <si>
    <t>Pg8.2 Negative of Rev AH-3; Line 7; Col. c</t>
  </si>
  <si>
    <t>In this Appendix XII Cycle 6 Informational Filing, SDG&amp;E is correcting Appendix XII Cycle 4 for approximately $21K for 2020 adjustments to A&amp;G.</t>
  </si>
  <si>
    <t>per ER22-133 and cost adj. incl. in Appendix XII Cycle 5 per ER23-110.</t>
  </si>
  <si>
    <t>Items in BOLD have changed due to A&amp;G adj. missed in prior cost adj. and CEMA/WMPMA exclusion corrections compared to the original SX-PQ Appendix XII Cycle 4 per ER22-133 and cost adj. incl. in Appendix XII Cycle 5 per ER23-110.</t>
  </si>
  <si>
    <t>Items in BOLD have changed due to A&amp;G adj. missed in prior cost adj. and CEMA/WMPMA exclusion corrections compared to the original SX-PQ Appendix XII Cycle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</si>
</sst>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0_);\(0\)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_(* #,##0.000000000000000_);_(* \(#,##0.000000000000000\);_(* &quot;-&quot;??_);_(@_)"/>
    <numFmt numFmtId="178" formatCode="&quot;$&quot;#,##0"/>
    <numFmt numFmtId="179" formatCode="_(&quot;$&quot;* #,##0.0_);_(&quot;$&quot;* \(#,##0.0\);_(&quot;$&quot;* &quot;-&quot;??_);_(@_)"/>
    <numFmt numFmtId="180" formatCode="_(* #,##0.0_);_(* \(#,##0.0\);_(* &quot;-&quot;??_);_(@_)"/>
    <numFmt numFmtId="181" formatCode="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z val="12"/>
      <color rgb="FF0000FF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3"/>
      <name val="Times New Roman"/>
      <family val="1"/>
    </font>
    <font>
      <vertAlign val="superscript"/>
      <sz val="12"/>
      <color rgb="FFFF0000"/>
      <name val="Times New Roman"/>
      <family val="1"/>
    </font>
    <font>
      <sz val="11"/>
      <name val="Calibri"/>
      <family val="2"/>
      <scheme val="minor"/>
    </font>
    <font>
      <b/>
      <vertAlign val="superscript"/>
      <sz val="11"/>
      <name val="Times New Roman"/>
      <family val="1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781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1" xfId="6" applyNumberFormat="1" applyFont="1" applyBorder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37" fontId="9" fillId="0" borderId="0" xfId="0" applyNumberFormat="1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9" fillId="0" borderId="0" xfId="1" applyNumberFormat="1" applyFont="1"/>
    <xf numFmtId="0" fontId="19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9" fillId="0" borderId="0" xfId="2" applyNumberFormat="1" applyFont="1" applyFill="1" applyBorder="1"/>
    <xf numFmtId="165" fontId="9" fillId="2" borderId="1" xfId="1" applyNumberFormat="1" applyFont="1" applyFill="1" applyBorder="1" applyAlignment="1">
      <alignment horizontal="right" vertical="center"/>
    </xf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21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9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9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2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8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23" xfId="0" quotePrefix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164" fontId="9" fillId="0" borderId="16" xfId="2" applyNumberFormat="1" applyFont="1" applyFill="1" applyBorder="1" applyAlignment="1">
      <alignment vertical="center"/>
    </xf>
    <xf numFmtId="165" fontId="9" fillId="0" borderId="16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25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25" xfId="2" applyNumberFormat="1" applyFont="1" applyFill="1" applyBorder="1" applyAlignment="1">
      <alignment vertical="center"/>
    </xf>
    <xf numFmtId="164" fontId="5" fillId="0" borderId="16" xfId="2" applyNumberFormat="1" applyFont="1" applyFill="1" applyBorder="1" applyAlignment="1">
      <alignment vertical="center"/>
    </xf>
    <xf numFmtId="164" fontId="5" fillId="0" borderId="18" xfId="2" applyNumberFormat="1" applyFont="1" applyFill="1" applyBorder="1" applyAlignment="1">
      <alignment vertical="center"/>
    </xf>
    <xf numFmtId="0" fontId="18" fillId="0" borderId="31" xfId="0" applyFont="1" applyBorder="1" applyAlignment="1">
      <alignment horizontal="center"/>
    </xf>
    <xf numFmtId="164" fontId="5" fillId="0" borderId="32" xfId="2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3" xfId="0" applyNumberFormat="1" applyFont="1" applyBorder="1" applyAlignment="1">
      <alignment vertical="center"/>
    </xf>
    <xf numFmtId="37" fontId="5" fillId="0" borderId="22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37" fontId="5" fillId="0" borderId="12" xfId="0" quotePrefix="1" applyNumberFormat="1" applyFont="1" applyBorder="1" applyAlignment="1">
      <alignment horizontal="center" vertical="center"/>
    </xf>
    <xf numFmtId="37" fontId="5" fillId="0" borderId="6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6" xfId="16" applyNumberFormat="1" applyFont="1" applyBorder="1" applyAlignment="1">
      <alignment horizontal="center" vertical="center"/>
    </xf>
    <xf numFmtId="37" fontId="5" fillId="0" borderId="0" xfId="16" applyNumberFormat="1" applyFont="1" applyAlignment="1">
      <alignment horizontal="center"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28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9" xfId="16" applyNumberFormat="1" applyFont="1" applyBorder="1" applyAlignment="1">
      <alignment horizontal="center" vertical="center"/>
    </xf>
    <xf numFmtId="37" fontId="5" fillId="0" borderId="3" xfId="16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37" fontId="5" fillId="0" borderId="8" xfId="0" applyNumberFormat="1" applyFont="1" applyBorder="1" applyAlignment="1">
      <alignment horizontal="center" vertical="center"/>
    </xf>
    <xf numFmtId="37" fontId="9" fillId="0" borderId="24" xfId="0" applyNumberFormat="1" applyFont="1" applyBorder="1" applyAlignment="1">
      <alignment horizontal="center" vertical="center"/>
    </xf>
    <xf numFmtId="37" fontId="20" fillId="0" borderId="0" xfId="0" applyNumberFormat="1" applyFont="1" applyAlignment="1">
      <alignment vertical="center"/>
    </xf>
    <xf numFmtId="37" fontId="9" fillId="0" borderId="16" xfId="16" applyNumberFormat="1" applyFont="1" applyBorder="1" applyAlignment="1">
      <alignment horizontal="center" vertical="center"/>
    </xf>
    <xf numFmtId="37" fontId="9" fillId="0" borderId="0" xfId="16" applyNumberFormat="1" applyFont="1" applyAlignment="1">
      <alignment horizontal="center" vertical="center"/>
    </xf>
    <xf numFmtId="37" fontId="9" fillId="0" borderId="12" xfId="16" applyNumberFormat="1" applyFont="1" applyBorder="1" applyAlignment="1">
      <alignment horizontal="center" vertical="center"/>
    </xf>
    <xf numFmtId="37" fontId="9" fillId="0" borderId="11" xfId="16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5" fontId="9" fillId="0" borderId="16" xfId="1" applyNumberFormat="1" applyFont="1" applyFill="1" applyBorder="1" applyAlignment="1">
      <alignment horizontal="right" vertical="center"/>
    </xf>
    <xf numFmtId="165" fontId="5" fillId="0" borderId="25" xfId="1" applyNumberFormat="1" applyFont="1" applyFill="1" applyBorder="1"/>
    <xf numFmtId="43" fontId="9" fillId="0" borderId="0" xfId="1" applyFont="1" applyBorder="1" applyAlignment="1">
      <alignment vertical="center"/>
    </xf>
    <xf numFmtId="37" fontId="9" fillId="0" borderId="16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164" fontId="5" fillId="0" borderId="18" xfId="2" applyNumberFormat="1" applyFont="1" applyBorder="1" applyAlignment="1">
      <alignment vertical="center"/>
    </xf>
    <xf numFmtId="37" fontId="9" fillId="0" borderId="11" xfId="0" applyNumberFormat="1" applyFont="1" applyBorder="1" applyAlignment="1">
      <alignment horizontal="center" vertical="center"/>
    </xf>
    <xf numFmtId="37" fontId="9" fillId="0" borderId="28" xfId="0" applyNumberFormat="1" applyFont="1" applyBorder="1" applyAlignment="1">
      <alignment vertical="center"/>
    </xf>
    <xf numFmtId="37" fontId="9" fillId="0" borderId="9" xfId="1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7" fontId="9" fillId="0" borderId="8" xfId="0" applyNumberFormat="1" applyFont="1" applyBorder="1" applyAlignment="1">
      <alignment vertical="center"/>
    </xf>
    <xf numFmtId="37" fontId="17" fillId="0" borderId="10" xfId="0" applyNumberFormat="1" applyFont="1" applyBorder="1" applyAlignment="1">
      <alignment horizontal="left" vertical="center"/>
    </xf>
    <xf numFmtId="37" fontId="9" fillId="0" borderId="10" xfId="11" applyNumberFormat="1" applyFont="1" applyBorder="1" applyAlignment="1">
      <alignment horizontal="center"/>
    </xf>
    <xf numFmtId="37" fontId="9" fillId="0" borderId="0" xfId="0" applyNumberFormat="1" applyFont="1" applyAlignment="1">
      <alignment vertical="top"/>
    </xf>
    <xf numFmtId="37" fontId="21" fillId="0" borderId="0" xfId="0" applyNumberFormat="1" applyFont="1"/>
    <xf numFmtId="37" fontId="10" fillId="0" borderId="0" xfId="0" applyNumberFormat="1" applyFont="1" applyAlignment="1">
      <alignment horizontal="right" vertical="center"/>
    </xf>
    <xf numFmtId="37" fontId="9" fillId="0" borderId="10" xfId="11" applyNumberFormat="1" applyFont="1" applyBorder="1" applyAlignment="1">
      <alignment horizontal="center" vertical="top"/>
    </xf>
    <xf numFmtId="167" fontId="9" fillId="0" borderId="10" xfId="11" applyNumberFormat="1" applyFont="1" applyBorder="1" applyAlignment="1">
      <alignment horizontal="center" wrapText="1"/>
    </xf>
    <xf numFmtId="37" fontId="9" fillId="0" borderId="0" xfId="0" applyNumberFormat="1" applyFont="1" applyAlignment="1">
      <alignment wrapText="1"/>
    </xf>
    <xf numFmtId="37" fontId="9" fillId="0" borderId="10" xfId="17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37" fontId="9" fillId="0" borderId="10" xfId="0" applyNumberFormat="1" applyFont="1" applyBorder="1" applyAlignment="1">
      <alignment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37" fontId="9" fillId="0" borderId="7" xfId="0" applyNumberFormat="1" applyFont="1" applyBorder="1" applyAlignment="1">
      <alignment vertical="center"/>
    </xf>
    <xf numFmtId="37" fontId="9" fillId="0" borderId="3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9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21" xfId="2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164" fontId="9" fillId="0" borderId="20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2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9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9" xfId="0" applyNumberFormat="1" applyFont="1" applyBorder="1" applyAlignment="1">
      <alignment vertical="center"/>
    </xf>
    <xf numFmtId="10" fontId="9" fillId="0" borderId="2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2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2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9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3" xfId="11" applyFont="1" applyBorder="1"/>
    <xf numFmtId="0" fontId="9" fillId="0" borderId="11" xfId="11" applyFont="1" applyBorder="1" applyAlignment="1">
      <alignment horizontal="center" vertical="center"/>
    </xf>
    <xf numFmtId="0" fontId="5" fillId="0" borderId="22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0" fontId="5" fillId="0" borderId="5" xfId="11" applyFont="1" applyBorder="1" applyAlignment="1">
      <alignment horizontal="center"/>
    </xf>
    <xf numFmtId="0" fontId="9" fillId="0" borderId="10" xfId="11" applyFont="1" applyBorder="1" applyAlignment="1">
      <alignment horizontal="center" vertical="center"/>
    </xf>
    <xf numFmtId="0" fontId="5" fillId="0" borderId="26" xfId="11" applyFont="1" applyBorder="1" applyAlignment="1">
      <alignment horizontal="center"/>
    </xf>
    <xf numFmtId="0" fontId="5" fillId="0" borderId="1" xfId="11" applyFont="1" applyBorder="1" applyAlignment="1">
      <alignment horizontal="center"/>
    </xf>
    <xf numFmtId="0" fontId="5" fillId="0" borderId="27" xfId="11" applyFont="1" applyBorder="1"/>
    <xf numFmtId="10" fontId="5" fillId="0" borderId="16" xfId="20" applyNumberFormat="1" applyFont="1" applyBorder="1" applyAlignment="1">
      <alignment horizontal="center"/>
    </xf>
    <xf numFmtId="10" fontId="5" fillId="0" borderId="0" xfId="20" applyNumberFormat="1" applyFont="1" applyFill="1" applyBorder="1" applyAlignment="1">
      <alignment horizontal="center"/>
    </xf>
    <xf numFmtId="10" fontId="5" fillId="0" borderId="0" xfId="20" applyNumberFormat="1" applyFont="1" applyBorder="1" applyAlignment="1">
      <alignment horizontal="center"/>
    </xf>
    <xf numFmtId="0" fontId="9" fillId="0" borderId="25" xfId="11" applyFont="1" applyBorder="1" applyAlignment="1">
      <alignment horizontal="left"/>
    </xf>
    <xf numFmtId="164" fontId="9" fillId="2" borderId="16" xfId="21" applyNumberFormat="1" applyFont="1" applyFill="1" applyBorder="1" applyAlignment="1">
      <alignment horizontal="right" vertical="center"/>
    </xf>
    <xf numFmtId="164" fontId="9" fillId="0" borderId="0" xfId="21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5" xfId="11" applyFont="1" applyBorder="1"/>
    <xf numFmtId="164" fontId="9" fillId="0" borderId="16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2" borderId="14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5" xfId="11" applyFont="1" applyBorder="1" applyAlignment="1">
      <alignment horizontal="left" indent="2"/>
    </xf>
    <xf numFmtId="41" fontId="9" fillId="0" borderId="0" xfId="13" applyNumberFormat="1" applyFont="1" applyFill="1" applyBorder="1" applyAlignment="1">
      <alignment horizontal="center"/>
    </xf>
    <xf numFmtId="0" fontId="5" fillId="0" borderId="25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6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65" fontId="9" fillId="3" borderId="14" xfId="1" applyNumberFormat="1" applyFont="1" applyFill="1" applyBorder="1" applyAlignment="1">
      <alignment vertical="center"/>
    </xf>
    <xf numFmtId="170" fontId="5" fillId="0" borderId="16" xfId="11" applyNumberFormat="1" applyFont="1" applyBorder="1" applyAlignment="1">
      <alignment vertical="center"/>
    </xf>
    <xf numFmtId="170" fontId="5" fillId="0" borderId="0" xfId="11" applyNumberFormat="1" applyFont="1" applyAlignment="1">
      <alignment vertical="center"/>
    </xf>
    <xf numFmtId="164" fontId="5" fillId="0" borderId="18" xfId="21" applyNumberFormat="1" applyFont="1" applyBorder="1" applyAlignment="1">
      <alignment horizontal="right" vertical="center"/>
    </xf>
    <xf numFmtId="9" fontId="9" fillId="0" borderId="0" xfId="3" applyFont="1"/>
    <xf numFmtId="0" fontId="5" fillId="0" borderId="30" xfId="11" applyFont="1" applyBorder="1"/>
    <xf numFmtId="0" fontId="5" fillId="0" borderId="9" xfId="11" applyFont="1" applyBorder="1"/>
    <xf numFmtId="0" fontId="9" fillId="0" borderId="3" xfId="19" applyFont="1" applyBorder="1"/>
    <xf numFmtId="44" fontId="5" fillId="0" borderId="3" xfId="11" applyNumberFormat="1" applyFont="1" applyBorder="1"/>
    <xf numFmtId="0" fontId="5" fillId="0" borderId="25" xfId="11" applyFont="1" applyBorder="1" applyAlignment="1">
      <alignment horizontal="center"/>
    </xf>
    <xf numFmtId="0" fontId="5" fillId="0" borderId="25" xfId="11" applyFont="1" applyBorder="1"/>
    <xf numFmtId="170" fontId="9" fillId="0" borderId="16" xfId="21" applyNumberFormat="1" applyFont="1" applyFill="1" applyBorder="1" applyAlignment="1">
      <alignment horizontal="right"/>
    </xf>
    <xf numFmtId="170" fontId="9" fillId="0" borderId="0" xfId="21" applyNumberFormat="1" applyFont="1" applyFill="1" applyBorder="1" applyAlignment="1">
      <alignment horizontal="right"/>
    </xf>
    <xf numFmtId="170" fontId="9" fillId="0" borderId="16" xfId="11" applyNumberFormat="1" applyFont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1" fontId="5" fillId="0" borderId="16" xfId="1" applyNumberFormat="1" applyFont="1" applyFill="1" applyBorder="1" applyAlignment="1">
      <alignment horizontal="right"/>
    </xf>
    <xf numFmtId="165" fontId="9" fillId="0" borderId="16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14" xfId="1" applyNumberFormat="1" applyFont="1" applyFill="1" applyBorder="1" applyAlignment="1">
      <alignment horizontal="right"/>
    </xf>
    <xf numFmtId="171" fontId="9" fillId="0" borderId="0" xfId="1" applyNumberFormat="1" applyFont="1" applyFill="1" applyBorder="1" applyAlignment="1">
      <alignment horizontal="right"/>
    </xf>
    <xf numFmtId="165" fontId="9" fillId="0" borderId="16" xfId="1" applyNumberFormat="1" applyFont="1" applyFill="1" applyBorder="1" applyAlignment="1">
      <alignment horizontal="right"/>
    </xf>
    <xf numFmtId="170" fontId="5" fillId="0" borderId="16" xfId="2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71" fontId="9" fillId="0" borderId="16" xfId="1" applyNumberFormat="1" applyFont="1" applyFill="1" applyBorder="1" applyAlignment="1">
      <alignment horizontal="right"/>
    </xf>
    <xf numFmtId="165" fontId="9" fillId="0" borderId="16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8" xfId="2" applyNumberFormat="1" applyFont="1" applyFill="1" applyBorder="1"/>
    <xf numFmtId="170" fontId="5" fillId="0" borderId="16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3" borderId="14" xfId="22" applyNumberFormat="1" applyFont="1" applyFill="1" applyBorder="1"/>
    <xf numFmtId="165" fontId="9" fillId="0" borderId="0" xfId="22" applyNumberFormat="1" applyFont="1" applyFill="1" applyBorder="1"/>
    <xf numFmtId="165" fontId="5" fillId="0" borderId="0" xfId="14" applyNumberFormat="1" applyFont="1" applyFill="1" applyBorder="1"/>
    <xf numFmtId="164" fontId="5" fillId="0" borderId="18" xfId="21" applyNumberFormat="1" applyFont="1" applyBorder="1" applyAlignment="1">
      <alignment horizontal="right"/>
    </xf>
    <xf numFmtId="165" fontId="5" fillId="0" borderId="9" xfId="14" applyNumberFormat="1" applyFont="1" applyBorder="1"/>
    <xf numFmtId="165" fontId="5" fillId="0" borderId="3" xfId="14" applyNumberFormat="1" applyFont="1" applyFill="1" applyBorder="1"/>
    <xf numFmtId="0" fontId="5" fillId="0" borderId="3" xfId="11" applyFont="1" applyBorder="1" applyAlignment="1">
      <alignment horizontal="center"/>
    </xf>
    <xf numFmtId="0" fontId="5" fillId="0" borderId="23" xfId="11" applyFont="1" applyBorder="1" applyAlignment="1">
      <alignment horizontal="center"/>
    </xf>
    <xf numFmtId="0" fontId="5" fillId="0" borderId="13" xfId="11" applyFont="1" applyBorder="1" applyAlignment="1">
      <alignment horizontal="center"/>
    </xf>
    <xf numFmtId="0" fontId="5" fillId="0" borderId="15" xfId="11" applyFont="1" applyBorder="1" applyAlignment="1">
      <alignment horizontal="center"/>
    </xf>
    <xf numFmtId="10" fontId="5" fillId="0" borderId="25" xfId="20" applyNumberFormat="1" applyFont="1" applyBorder="1" applyAlignment="1">
      <alignment horizontal="center"/>
    </xf>
    <xf numFmtId="10" fontId="5" fillId="0" borderId="17" xfId="20" applyNumberFormat="1" applyFont="1" applyBorder="1" applyAlignment="1">
      <alignment horizontal="center"/>
    </xf>
    <xf numFmtId="164" fontId="9" fillId="2" borderId="25" xfId="21" applyNumberFormat="1" applyFont="1" applyFill="1" applyBorder="1" applyAlignment="1">
      <alignment horizontal="right" vertical="center"/>
    </xf>
    <xf numFmtId="41" fontId="9" fillId="0" borderId="17" xfId="13" applyNumberFormat="1" applyFont="1" applyBorder="1" applyAlignment="1">
      <alignment horizontal="center"/>
    </xf>
    <xf numFmtId="164" fontId="9" fillId="0" borderId="25" xfId="11" applyNumberFormat="1" applyFont="1" applyBorder="1" applyAlignment="1">
      <alignment horizontal="right" vertical="center"/>
    </xf>
    <xf numFmtId="0" fontId="5" fillId="0" borderId="17" xfId="11" applyFont="1" applyBorder="1" applyAlignment="1">
      <alignment horizontal="center"/>
    </xf>
    <xf numFmtId="165" fontId="9" fillId="2" borderId="25" xfId="1" applyNumberFormat="1" applyFont="1" applyFill="1" applyBorder="1" applyAlignment="1">
      <alignment horizontal="right" vertical="center"/>
    </xf>
    <xf numFmtId="43" fontId="5" fillId="0" borderId="17" xfId="11" applyNumberFormat="1" applyFont="1" applyBorder="1" applyAlignment="1">
      <alignment horizontal="center"/>
    </xf>
    <xf numFmtId="164" fontId="9" fillId="0" borderId="16" xfId="2" applyNumberFormat="1" applyFont="1" applyFill="1" applyBorder="1" applyAlignment="1">
      <alignment horizontal="right" vertical="center"/>
    </xf>
    <xf numFmtId="41" fontId="5" fillId="0" borderId="17" xfId="13" applyNumberFormat="1" applyFont="1" applyBorder="1" applyAlignment="1">
      <alignment horizontal="left"/>
    </xf>
    <xf numFmtId="165" fontId="9" fillId="2" borderId="16" xfId="1" applyNumberFormat="1" applyFont="1" applyFill="1" applyBorder="1" applyAlignment="1">
      <alignment horizontal="right" vertical="center"/>
    </xf>
    <xf numFmtId="41" fontId="5" fillId="0" borderId="17" xfId="13" applyNumberFormat="1" applyFont="1" applyFill="1" applyBorder="1" applyAlignment="1">
      <alignment horizontal="left"/>
    </xf>
    <xf numFmtId="41" fontId="9" fillId="0" borderId="17" xfId="13" applyNumberFormat="1" applyFont="1" applyFill="1" applyBorder="1" applyAlignment="1">
      <alignment horizontal="center"/>
    </xf>
    <xf numFmtId="0" fontId="5" fillId="0" borderId="29" xfId="11" applyFont="1" applyBorder="1"/>
    <xf numFmtId="170" fontId="9" fillId="0" borderId="25" xfId="21" applyNumberFormat="1" applyFont="1" applyFill="1" applyBorder="1" applyAlignment="1">
      <alignment horizontal="right"/>
    </xf>
    <xf numFmtId="170" fontId="9" fillId="0" borderId="25" xfId="11" applyNumberFormat="1" applyFont="1" applyBorder="1" applyAlignment="1">
      <alignment horizontal="right"/>
    </xf>
    <xf numFmtId="0" fontId="9" fillId="0" borderId="17" xfId="11" applyFont="1" applyBorder="1" applyAlignment="1">
      <alignment horizontal="center"/>
    </xf>
    <xf numFmtId="171" fontId="9" fillId="0" borderId="25" xfId="1" applyNumberFormat="1" applyFont="1" applyFill="1" applyBorder="1" applyAlignment="1">
      <alignment horizontal="right"/>
    </xf>
    <xf numFmtId="165" fontId="9" fillId="0" borderId="25" xfId="1" applyNumberFormat="1" applyFont="1" applyBorder="1" applyAlignment="1">
      <alignment horizontal="right"/>
    </xf>
    <xf numFmtId="43" fontId="9" fillId="0" borderId="17" xfId="11" applyNumberFormat="1" applyFont="1" applyBorder="1" applyAlignment="1">
      <alignment horizontal="center"/>
    </xf>
    <xf numFmtId="165" fontId="9" fillId="0" borderId="25" xfId="1" applyNumberFormat="1" applyFont="1" applyFill="1" applyBorder="1" applyAlignment="1">
      <alignment horizontal="right"/>
    </xf>
    <xf numFmtId="170" fontId="9" fillId="0" borderId="25" xfId="2" applyNumberFormat="1" applyFont="1" applyFill="1" applyBorder="1" applyAlignment="1">
      <alignment horizontal="right"/>
    </xf>
    <xf numFmtId="41" fontId="5" fillId="0" borderId="17" xfId="13" applyNumberFormat="1" applyFont="1" applyBorder="1" applyAlignment="1">
      <alignment horizontal="center"/>
    </xf>
    <xf numFmtId="41" fontId="5" fillId="0" borderId="17" xfId="13" applyNumberFormat="1" applyFont="1" applyFill="1" applyBorder="1" applyAlignment="1">
      <alignment horizontal="center"/>
    </xf>
    <xf numFmtId="41" fontId="5" fillId="0" borderId="17" xfId="13" applyNumberFormat="1" applyFont="1" applyFill="1" applyBorder="1"/>
    <xf numFmtId="165" fontId="5" fillId="0" borderId="17" xfId="14" applyNumberFormat="1" applyFont="1" applyFill="1" applyBorder="1"/>
    <xf numFmtId="0" fontId="5" fillId="0" borderId="29" xfId="11" applyFont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1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9" fillId="3" borderId="1" xfId="1" applyNumberFormat="1" applyFont="1" applyFill="1" applyBorder="1" applyAlignment="1">
      <alignment vertical="center"/>
    </xf>
    <xf numFmtId="164" fontId="9" fillId="0" borderId="0" xfId="21" applyNumberFormat="1" applyFont="1" applyBorder="1" applyAlignment="1">
      <alignment horizontal="right" vertical="center"/>
    </xf>
    <xf numFmtId="164" fontId="9" fillId="0" borderId="2" xfId="21" applyNumberFormat="1" applyFont="1" applyBorder="1" applyAlignment="1">
      <alignment horizontal="right" vertical="center"/>
    </xf>
    <xf numFmtId="0" fontId="0" fillId="0" borderId="3" xfId="0" applyBorder="1"/>
    <xf numFmtId="0" fontId="15" fillId="0" borderId="3" xfId="0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5" fillId="0" borderId="21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0" fontId="5" fillId="0" borderId="34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1" xfId="1" applyNumberFormat="1" applyFont="1" applyFill="1" applyBorder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3" xfId="14" applyNumberFormat="1" applyFont="1" applyBorder="1"/>
    <xf numFmtId="164" fontId="5" fillId="0" borderId="2" xfId="21" applyNumberFormat="1" applyFont="1" applyBorder="1" applyAlignment="1">
      <alignment horizontal="right"/>
    </xf>
    <xf numFmtId="165" fontId="9" fillId="3" borderId="1" xfId="22" applyNumberFormat="1" applyFont="1" applyFill="1" applyBorder="1"/>
    <xf numFmtId="165" fontId="9" fillId="0" borderId="1" xfId="22" applyNumberFormat="1" applyFont="1" applyFill="1" applyBorder="1"/>
    <xf numFmtId="0" fontId="5" fillId="0" borderId="0" xfId="23" applyFont="1" applyAlignment="1">
      <alignment horizontal="center" vertical="center"/>
    </xf>
    <xf numFmtId="0" fontId="5" fillId="0" borderId="0" xfId="23" applyFont="1"/>
    <xf numFmtId="0" fontId="9" fillId="0" borderId="0" xfId="19" applyFont="1"/>
    <xf numFmtId="49" fontId="5" fillId="0" borderId="0" xfId="11" applyNumberFormat="1" applyFont="1" applyAlignment="1">
      <alignment horizontal="center" vertical="center"/>
    </xf>
    <xf numFmtId="0" fontId="9" fillId="0" borderId="0" xfId="19" applyFont="1" applyAlignment="1">
      <alignment vertical="center"/>
    </xf>
    <xf numFmtId="0" fontId="9" fillId="0" borderId="0" xfId="23" applyFont="1" applyAlignment="1">
      <alignment horizontal="center" vertical="center"/>
    </xf>
    <xf numFmtId="0" fontId="9" fillId="0" borderId="35" xfId="23" applyFont="1" applyBorder="1" applyAlignment="1">
      <alignment horizontal="center"/>
    </xf>
    <xf numFmtId="166" fontId="9" fillId="0" borderId="0" xfId="23" applyNumberFormat="1" applyFont="1" applyAlignment="1">
      <alignment horizontal="right"/>
    </xf>
    <xf numFmtId="0" fontId="17" fillId="0" borderId="0" xfId="23" applyFont="1"/>
    <xf numFmtId="0" fontId="9" fillId="0" borderId="0" xfId="23" applyFont="1"/>
    <xf numFmtId="0" fontId="9" fillId="0" borderId="0" xfId="23" applyFont="1" applyAlignment="1">
      <alignment vertical="center"/>
    </xf>
    <xf numFmtId="0" fontId="9" fillId="0" borderId="0" xfId="23" applyFont="1" applyAlignment="1">
      <alignment horizontal="center"/>
    </xf>
    <xf numFmtId="0" fontId="5" fillId="0" borderId="0" xfId="23" applyFont="1" applyAlignment="1">
      <alignment vertical="center"/>
    </xf>
    <xf numFmtId="166" fontId="9" fillId="0" borderId="0" xfId="23" applyNumberFormat="1" applyFont="1" applyAlignment="1">
      <alignment horizontal="right" vertical="center"/>
    </xf>
    <xf numFmtId="10" fontId="9" fillId="2" borderId="0" xfId="23" applyNumberFormat="1" applyFont="1" applyFill="1" applyAlignment="1">
      <alignment horizontal="right" vertical="center"/>
    </xf>
    <xf numFmtId="10" fontId="9" fillId="0" borderId="0" xfId="23" applyNumberFormat="1" applyFont="1" applyAlignment="1">
      <alignment horizontal="right"/>
    </xf>
    <xf numFmtId="166" fontId="9" fillId="0" borderId="0" xfId="23" applyNumberFormat="1" applyFont="1" applyAlignment="1">
      <alignment vertical="center"/>
    </xf>
    <xf numFmtId="166" fontId="9" fillId="0" borderId="0" xfId="23" applyNumberFormat="1" applyFont="1"/>
    <xf numFmtId="10" fontId="9" fillId="2" borderId="0" xfId="23" applyNumberFormat="1" applyFont="1" applyFill="1" applyAlignment="1">
      <alignment vertical="center"/>
    </xf>
    <xf numFmtId="0" fontId="5" fillId="0" borderId="0" xfId="23" applyFont="1" applyProtection="1">
      <protection locked="0"/>
    </xf>
    <xf numFmtId="0" fontId="5" fillId="0" borderId="0" xfId="23" applyFont="1" applyAlignment="1" applyProtection="1">
      <alignment vertical="center"/>
      <protection locked="0"/>
    </xf>
    <xf numFmtId="166" fontId="9" fillId="0" borderId="21" xfId="23" applyNumberFormat="1" applyFont="1" applyBorder="1" applyAlignment="1" applyProtection="1">
      <alignment horizontal="right" vertical="center"/>
      <protection locked="0"/>
    </xf>
    <xf numFmtId="166" fontId="9" fillId="0" borderId="0" xfId="23" applyNumberFormat="1" applyFont="1" applyAlignment="1" applyProtection="1">
      <alignment horizontal="right"/>
      <protection locked="0"/>
    </xf>
    <xf numFmtId="166" fontId="9" fillId="0" borderId="0" xfId="23" quotePrefix="1" applyNumberFormat="1" applyFont="1" applyAlignment="1">
      <alignment horizontal="right" vertical="center"/>
    </xf>
    <xf numFmtId="166" fontId="9" fillId="0" borderId="0" xfId="23" quotePrefix="1" applyNumberFormat="1" applyFont="1" applyAlignment="1">
      <alignment horizontal="right"/>
    </xf>
    <xf numFmtId="168" fontId="9" fillId="3" borderId="0" xfId="23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21" xfId="23" quotePrefix="1" applyNumberFormat="1" applyFont="1" applyBorder="1" applyAlignment="1">
      <alignment horizontal="right" vertical="center"/>
    </xf>
    <xf numFmtId="166" fontId="5" fillId="0" borderId="0" xfId="23" quotePrefix="1" applyNumberFormat="1" applyFont="1" applyAlignment="1">
      <alignment horizontal="right"/>
    </xf>
    <xf numFmtId="0" fontId="17" fillId="0" borderId="0" xfId="23" applyFont="1" applyAlignment="1">
      <alignment vertical="center"/>
    </xf>
    <xf numFmtId="164" fontId="9" fillId="3" borderId="0" xfId="13" applyNumberFormat="1" applyFont="1" applyFill="1" applyAlignment="1" applyProtection="1">
      <alignment vertical="center"/>
      <protection locked="0"/>
    </xf>
    <xf numFmtId="10" fontId="17" fillId="0" borderId="21" xfId="23" applyNumberFormat="1" applyFont="1" applyBorder="1" applyAlignment="1">
      <alignment horizontal="right" vertical="center"/>
    </xf>
    <xf numFmtId="10" fontId="17" fillId="0" borderId="0" xfId="23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23" applyFont="1" applyAlignment="1">
      <alignment horizontal="left" vertical="center"/>
    </xf>
    <xf numFmtId="172" fontId="9" fillId="0" borderId="0" xfId="23" applyNumberFormat="1" applyFont="1" applyAlignment="1">
      <alignment horizontal="left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0" fontId="17" fillId="0" borderId="0" xfId="23" applyFont="1" applyAlignment="1">
      <alignment horizontal="center" vertical="center"/>
    </xf>
    <xf numFmtId="0" fontId="17" fillId="0" borderId="0" xfId="23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Fill="1" applyBorder="1" applyProtection="1">
      <protection locked="0"/>
    </xf>
    <xf numFmtId="5" fontId="9" fillId="0" borderId="0" xfId="23" applyNumberFormat="1" applyFont="1" applyAlignment="1" applyProtection="1">
      <alignment horizontal="right" vertical="center"/>
      <protection locked="0"/>
    </xf>
    <xf numFmtId="5" fontId="9" fillId="0" borderId="0" xfId="23" applyNumberFormat="1" applyFont="1" applyAlignment="1" applyProtection="1">
      <alignment horizontal="right"/>
      <protection locked="0"/>
    </xf>
    <xf numFmtId="5" fontId="5" fillId="0" borderId="0" xfId="23" applyNumberFormat="1" applyFont="1" applyAlignment="1" applyProtection="1">
      <alignment horizontal="right" vertical="center"/>
      <protection locked="0"/>
    </xf>
    <xf numFmtId="5" fontId="5" fillId="0" borderId="0" xfId="23" applyNumberFormat="1" applyFont="1" applyAlignment="1" applyProtection="1">
      <alignment horizontal="right"/>
      <protection locked="0"/>
    </xf>
    <xf numFmtId="0" fontId="5" fillId="0" borderId="0" xfId="23" applyFont="1" applyAlignment="1">
      <alignment horizontal="left"/>
    </xf>
    <xf numFmtId="164" fontId="5" fillId="2" borderId="36" xfId="23" applyNumberFormat="1" applyFont="1" applyFill="1" applyBorder="1" applyAlignment="1" applyProtection="1">
      <alignment horizontal="right" vertical="center"/>
      <protection locked="0"/>
    </xf>
    <xf numFmtId="0" fontId="9" fillId="0" borderId="0" xfId="23" applyFont="1" applyAlignment="1">
      <alignment horizontal="left"/>
    </xf>
    <xf numFmtId="10" fontId="9" fillId="0" borderId="0" xfId="24" applyNumberFormat="1" applyFont="1" applyBorder="1" applyAlignment="1">
      <alignment horizontal="right" vertical="center"/>
    </xf>
    <xf numFmtId="10" fontId="5" fillId="0" borderId="0" xfId="24" applyNumberFormat="1" applyFont="1" applyBorder="1" applyAlignment="1">
      <alignment horizontal="right"/>
    </xf>
    <xf numFmtId="10" fontId="5" fillId="0" borderId="0" xfId="20" applyNumberFormat="1" applyFont="1" applyBorder="1" applyAlignment="1">
      <alignment vertical="center"/>
    </xf>
    <xf numFmtId="10" fontId="5" fillId="0" borderId="0" xfId="20" applyNumberFormat="1" applyFont="1" applyBorder="1"/>
    <xf numFmtId="164" fontId="9" fillId="2" borderId="36" xfId="23" applyNumberFormat="1" applyFont="1" applyFill="1" applyBorder="1" applyAlignment="1" applyProtection="1">
      <alignment horizontal="right" vertical="center"/>
      <protection locked="0"/>
    </xf>
    <xf numFmtId="10" fontId="5" fillId="0" borderId="0" xfId="24" applyNumberFormat="1" applyFont="1" applyAlignment="1" applyProtection="1">
      <alignment horizontal="right" vertical="center"/>
    </xf>
    <xf numFmtId="10" fontId="5" fillId="0" borderId="0" xfId="24" applyNumberFormat="1" applyFont="1" applyAlignment="1" applyProtection="1">
      <alignment horizontal="right"/>
    </xf>
    <xf numFmtId="0" fontId="19" fillId="0" borderId="0" xfId="23" applyFont="1"/>
    <xf numFmtId="164" fontId="9" fillId="2" borderId="0" xfId="23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7" xfId="23" applyNumberFormat="1" applyFont="1" applyBorder="1" applyAlignment="1" applyProtection="1">
      <alignment horizontal="right" vertical="center"/>
      <protection locked="0"/>
    </xf>
    <xf numFmtId="164" fontId="5" fillId="0" borderId="0" xfId="23" applyNumberFormat="1" applyFont="1" applyAlignment="1" applyProtection="1">
      <alignment horizontal="right" vertical="center"/>
      <protection locked="0"/>
    </xf>
    <xf numFmtId="164" fontId="5" fillId="0" borderId="0" xfId="23" applyNumberFormat="1" applyFont="1" applyAlignment="1" applyProtection="1">
      <alignment horizontal="right"/>
      <protection locked="0"/>
    </xf>
    <xf numFmtId="168" fontId="9" fillId="2" borderId="0" xfId="20" applyNumberFormat="1" applyFont="1" applyFill="1" applyBorder="1" applyAlignment="1">
      <alignment horizontal="right" vertical="center"/>
    </xf>
    <xf numFmtId="10" fontId="9" fillId="0" borderId="0" xfId="24" applyNumberFormat="1" applyFont="1" applyBorder="1" applyAlignment="1">
      <alignment horizontal="right"/>
    </xf>
    <xf numFmtId="0" fontId="10" fillId="0" borderId="0" xfId="23" applyFont="1"/>
    <xf numFmtId="0" fontId="12" fillId="0" borderId="0" xfId="19" applyFont="1"/>
    <xf numFmtId="165" fontId="9" fillId="2" borderId="38" xfId="1" applyNumberFormat="1" applyFont="1" applyFill="1" applyBorder="1" applyAlignment="1">
      <alignment horizontal="center" vertical="center"/>
    </xf>
    <xf numFmtId="0" fontId="12" fillId="0" borderId="0" xfId="0" applyFont="1"/>
    <xf numFmtId="165" fontId="27" fillId="0" borderId="0" xfId="14" applyNumberFormat="1" applyFont="1" applyBorder="1" applyAlignment="1">
      <alignment vertical="center"/>
    </xf>
    <xf numFmtId="165" fontId="27" fillId="0" borderId="0" xfId="14" applyNumberFormat="1" applyFont="1" applyBorder="1"/>
    <xf numFmtId="164" fontId="9" fillId="0" borderId="0" xfId="21" applyNumberFormat="1" applyFont="1" applyAlignment="1">
      <alignment vertical="center"/>
    </xf>
    <xf numFmtId="164" fontId="10" fillId="0" borderId="0" xfId="21" applyNumberFormat="1" applyFont="1"/>
    <xf numFmtId="0" fontId="12" fillId="0" borderId="0" xfId="23" applyFont="1"/>
    <xf numFmtId="164" fontId="12" fillId="0" borderId="0" xfId="21" applyNumberFormat="1" applyFont="1" applyAlignment="1">
      <alignment vertical="center"/>
    </xf>
    <xf numFmtId="0" fontId="12" fillId="0" borderId="0" xfId="23" applyFont="1" applyAlignment="1">
      <alignment horizontal="center"/>
    </xf>
    <xf numFmtId="168" fontId="9" fillId="0" borderId="36" xfId="3" applyNumberFormat="1" applyFont="1" applyFill="1" applyBorder="1" applyAlignment="1">
      <alignment vertical="center"/>
    </xf>
    <xf numFmtId="10" fontId="28" fillId="0" borderId="0" xfId="20" applyNumberFormat="1" applyFont="1" applyBorder="1" applyAlignment="1" applyProtection="1">
      <alignment vertical="center"/>
    </xf>
    <xf numFmtId="10" fontId="28" fillId="0" borderId="0" xfId="20" applyNumberFormat="1" applyFont="1" applyBorder="1" applyProtection="1"/>
    <xf numFmtId="164" fontId="10" fillId="0" borderId="0" xfId="21" applyNumberFormat="1" applyFont="1" applyBorder="1" applyAlignment="1">
      <alignment horizontal="right"/>
    </xf>
    <xf numFmtId="164" fontId="12" fillId="0" borderId="0" xfId="21" applyNumberFormat="1" applyFont="1" applyBorder="1" applyAlignment="1">
      <alignment horizontal="right" vertical="center"/>
    </xf>
    <xf numFmtId="164" fontId="9" fillId="2" borderId="36" xfId="2" applyNumberFormat="1" applyFont="1" applyFill="1" applyBorder="1" applyAlignment="1">
      <alignment horizontal="right" vertical="center"/>
    </xf>
    <xf numFmtId="0" fontId="10" fillId="0" borderId="0" xfId="23" applyFont="1" applyAlignment="1">
      <alignment vertical="center"/>
    </xf>
    <xf numFmtId="10" fontId="9" fillId="0" borderId="2" xfId="24" applyNumberFormat="1" applyFont="1" applyBorder="1" applyAlignment="1">
      <alignment horizontal="right" vertical="center"/>
    </xf>
    <xf numFmtId="10" fontId="10" fillId="0" borderId="0" xfId="24" applyNumberFormat="1" applyFont="1" applyBorder="1" applyAlignment="1">
      <alignment horizontal="right"/>
    </xf>
    <xf numFmtId="10" fontId="5" fillId="0" borderId="0" xfId="20" applyNumberFormat="1" applyFont="1"/>
    <xf numFmtId="0" fontId="17" fillId="0" borderId="0" xfId="0" quotePrefix="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0" fontId="9" fillId="0" borderId="36" xfId="11" applyFont="1" applyBorder="1" applyAlignment="1">
      <alignment horizontal="left" vertical="center"/>
    </xf>
    <xf numFmtId="1" fontId="9" fillId="0" borderId="36" xfId="11" applyNumberFormat="1" applyFont="1" applyBorder="1" applyAlignment="1">
      <alignment horizontal="center" vertical="center"/>
    </xf>
    <xf numFmtId="165" fontId="9" fillId="0" borderId="36" xfId="1" applyNumberFormat="1" applyFont="1" applyFill="1" applyBorder="1" applyAlignment="1">
      <alignment vertical="center"/>
    </xf>
    <xf numFmtId="165" fontId="9" fillId="0" borderId="36" xfId="1" applyNumberFormat="1" applyFont="1" applyFill="1" applyBorder="1" applyAlignment="1">
      <alignment horizontal="right" vertical="center"/>
    </xf>
    <xf numFmtId="175" fontId="9" fillId="0" borderId="0" xfId="0" applyNumberFormat="1" applyFont="1" applyAlignment="1">
      <alignment vertical="center"/>
    </xf>
    <xf numFmtId="0" fontId="14" fillId="0" borderId="0" xfId="26" quotePrefix="1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5" fontId="9" fillId="0" borderId="36" xfId="0" applyNumberFormat="1" applyFont="1" applyBorder="1" applyAlignment="1">
      <alignment horizontal="center" vertical="center"/>
    </xf>
    <xf numFmtId="0" fontId="19" fillId="0" borderId="0" xfId="11" applyFont="1"/>
    <xf numFmtId="0" fontId="19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5" fontId="5" fillId="3" borderId="36" xfId="1" applyNumberFormat="1" applyFont="1" applyFill="1" applyBorder="1" applyAlignment="1" applyProtection="1">
      <alignment vertical="center"/>
      <protection locked="0"/>
    </xf>
    <xf numFmtId="165" fontId="9" fillId="3" borderId="36" xfId="1" applyNumberFormat="1" applyFont="1" applyFill="1" applyBorder="1" applyAlignment="1" applyProtection="1">
      <alignment vertical="center"/>
      <protection locked="0"/>
    </xf>
    <xf numFmtId="10" fontId="9" fillId="2" borderId="36" xfId="0" applyNumberFormat="1" applyFont="1" applyFill="1" applyBorder="1" applyAlignment="1">
      <alignment horizontal="right" vertical="center"/>
    </xf>
    <xf numFmtId="165" fontId="9" fillId="0" borderId="36" xfId="1" applyNumberFormat="1" applyFont="1" applyFill="1" applyBorder="1" applyAlignment="1" applyProtection="1">
      <alignment vertical="center"/>
      <protection locked="0"/>
    </xf>
    <xf numFmtId="164" fontId="5" fillId="0" borderId="2" xfId="2" applyNumberFormat="1" applyFont="1" applyFill="1" applyBorder="1" applyAlignment="1">
      <alignment horizontal="right" vertical="center"/>
    </xf>
    <xf numFmtId="165" fontId="9" fillId="2" borderId="36" xfId="1" applyNumberFormat="1" applyFont="1" applyFill="1" applyBorder="1" applyAlignment="1" applyProtection="1">
      <alignment horizontal="right" vertical="center"/>
    </xf>
    <xf numFmtId="165" fontId="9" fillId="2" borderId="36" xfId="1" applyNumberFormat="1" applyFont="1" applyFill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65" fontId="9" fillId="0" borderId="39" xfId="1" applyNumberFormat="1" applyFont="1" applyFill="1" applyBorder="1" applyAlignment="1">
      <alignment vertical="center"/>
    </xf>
    <xf numFmtId="165" fontId="9" fillId="0" borderId="41" xfId="1" applyNumberFormat="1" applyFont="1" applyFill="1" applyBorder="1" applyAlignment="1">
      <alignment vertical="center"/>
    </xf>
    <xf numFmtId="165" fontId="9" fillId="0" borderId="40" xfId="1" applyNumberFormat="1" applyFont="1" applyFill="1" applyBorder="1" applyAlignment="1">
      <alignment vertical="center"/>
    </xf>
    <xf numFmtId="165" fontId="9" fillId="0" borderId="36" xfId="1" applyNumberFormat="1" applyFont="1" applyFill="1" applyBorder="1"/>
    <xf numFmtId="0" fontId="9" fillId="0" borderId="0" xfId="25" applyFont="1"/>
    <xf numFmtId="0" fontId="14" fillId="0" borderId="10" xfId="25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7" fontId="5" fillId="0" borderId="16" xfId="16" applyNumberFormat="1" applyFont="1" applyBorder="1" applyAlignment="1">
      <alignment horizontal="left" vertical="center"/>
    </xf>
    <xf numFmtId="164" fontId="5" fillId="0" borderId="16" xfId="2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5" fillId="0" borderId="0" xfId="0" applyNumberFormat="1" applyFont="1" applyAlignment="1">
      <alignment horizontal="right" vertical="center"/>
    </xf>
    <xf numFmtId="37" fontId="5" fillId="0" borderId="11" xfId="0" applyNumberFormat="1" applyFont="1" applyBorder="1" applyAlignment="1">
      <alignment vertical="center"/>
    </xf>
    <xf numFmtId="43" fontId="10" fillId="0" borderId="0" xfId="1" applyFont="1" applyAlignment="1">
      <alignment horizontal="right" vertical="center"/>
    </xf>
    <xf numFmtId="164" fontId="5" fillId="0" borderId="2" xfId="2" applyNumberFormat="1" applyFont="1" applyBorder="1" applyAlignment="1">
      <alignment vertical="center"/>
    </xf>
    <xf numFmtId="0" fontId="23" fillId="0" borderId="10" xfId="25" applyFont="1" applyBorder="1" applyAlignment="1">
      <alignment horizontal="center"/>
    </xf>
    <xf numFmtId="37" fontId="5" fillId="0" borderId="0" xfId="28" applyNumberFormat="1" applyFont="1" applyAlignment="1" applyProtection="1">
      <alignment horizontal="center" vertical="center"/>
      <protection locked="0"/>
    </xf>
    <xf numFmtId="37" fontId="5" fillId="0" borderId="0" xfId="28" applyNumberFormat="1" applyFont="1" applyAlignment="1">
      <alignment vertical="center"/>
    </xf>
    <xf numFmtId="15" fontId="9" fillId="0" borderId="36" xfId="11" applyNumberFormat="1" applyFont="1" applyBorder="1" applyAlignment="1">
      <alignment horizontal="center" vertical="center"/>
    </xf>
    <xf numFmtId="0" fontId="9" fillId="0" borderId="36" xfId="11" applyFont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0" fontId="9" fillId="2" borderId="36" xfId="11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2" xfId="13" applyNumberFormat="1" applyFont="1" applyBorder="1" applyAlignment="1" applyProtection="1">
      <alignment horizontal="right" vertical="center"/>
      <protection locked="0"/>
    </xf>
    <xf numFmtId="165" fontId="9" fillId="0" borderId="0" xfId="29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4" fontId="9" fillId="3" borderId="36" xfId="13" applyNumberFormat="1" applyFont="1" applyFill="1" applyBorder="1" applyAlignment="1" applyProtection="1">
      <alignment horizontal="center" vertical="center"/>
      <protection locked="0"/>
    </xf>
    <xf numFmtId="165" fontId="9" fillId="0" borderId="0" xfId="29" applyNumberFormat="1" applyFont="1" applyBorder="1" applyAlignment="1" applyProtection="1">
      <alignment vertical="center"/>
      <protection locked="0"/>
    </xf>
    <xf numFmtId="165" fontId="9" fillId="0" borderId="0" xfId="29" applyNumberFormat="1" applyFont="1" applyAlignment="1" applyProtection="1">
      <alignment vertical="center"/>
      <protection locked="0"/>
    </xf>
    <xf numFmtId="165" fontId="5" fillId="2" borderId="0" xfId="29" applyNumberFormat="1" applyFont="1" applyFill="1" applyBorder="1" applyAlignment="1" applyProtection="1">
      <alignment horizontal="right" vertical="center"/>
      <protection locked="0"/>
    </xf>
    <xf numFmtId="165" fontId="9" fillId="0" borderId="0" xfId="29" applyNumberFormat="1" applyFont="1" applyFill="1" applyBorder="1" applyAlignment="1" applyProtection="1">
      <alignment vertical="center"/>
      <protection locked="0"/>
    </xf>
    <xf numFmtId="165" fontId="9" fillId="2" borderId="36" xfId="1" applyNumberFormat="1" applyFont="1" applyFill="1" applyBorder="1" applyAlignment="1" applyProtection="1">
      <alignment vertical="center"/>
      <protection locked="0"/>
    </xf>
    <xf numFmtId="0" fontId="12" fillId="0" borderId="0" xfId="11" applyFont="1" applyAlignment="1">
      <alignment vertical="center"/>
    </xf>
    <xf numFmtId="164" fontId="5" fillId="0" borderId="0" xfId="13" applyNumberFormat="1" applyFont="1" applyAlignment="1">
      <alignment horizontal="right" vertical="center"/>
    </xf>
    <xf numFmtId="10" fontId="9" fillId="3" borderId="36" xfId="30" applyNumberFormat="1" applyFont="1" applyFill="1" applyBorder="1" applyAlignment="1">
      <alignment vertical="center"/>
    </xf>
    <xf numFmtId="10" fontId="9" fillId="0" borderId="0" xfId="30" applyNumberFormat="1" applyFont="1" applyBorder="1" applyAlignment="1">
      <alignment vertical="center"/>
    </xf>
    <xf numFmtId="164" fontId="5" fillId="0" borderId="2" xfId="13" applyNumberFormat="1" applyFont="1" applyBorder="1" applyAlignment="1" applyProtection="1">
      <alignment horizontal="right" vertical="center"/>
      <protection locked="0"/>
    </xf>
    <xf numFmtId="0" fontId="9" fillId="0" borderId="0" xfId="31" applyFont="1" applyAlignment="1">
      <alignment vertical="center"/>
    </xf>
    <xf numFmtId="0" fontId="5" fillId="0" borderId="0" xfId="32" applyFont="1" applyAlignment="1">
      <alignment horizontal="left" vertical="center"/>
    </xf>
    <xf numFmtId="0" fontId="9" fillId="0" borderId="36" xfId="0" applyFont="1" applyBorder="1" applyAlignment="1">
      <alignment horizontal="center" vertical="center" wrapText="1"/>
    </xf>
    <xf numFmtId="164" fontId="9" fillId="3" borderId="36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36" xfId="3" applyNumberFormat="1" applyFont="1" applyFill="1" applyBorder="1" applyAlignment="1">
      <alignment horizontal="right" vertical="center"/>
    </xf>
    <xf numFmtId="10" fontId="9" fillId="0" borderId="36" xfId="3" applyNumberFormat="1" applyFont="1" applyBorder="1" applyAlignment="1">
      <alignment horizontal="right" vertical="center"/>
    </xf>
    <xf numFmtId="176" fontId="9" fillId="0" borderId="3" xfId="3" applyNumberFormat="1" applyFont="1" applyBorder="1" applyAlignment="1">
      <alignment horizontal="right" vertical="center"/>
    </xf>
    <xf numFmtId="10" fontId="9" fillId="4" borderId="2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36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vertical="center"/>
    </xf>
    <xf numFmtId="9" fontId="9" fillId="3" borderId="36" xfId="3" applyFont="1" applyFill="1" applyBorder="1" applyAlignment="1">
      <alignment horizontal="right" vertical="center"/>
    </xf>
    <xf numFmtId="0" fontId="9" fillId="3" borderId="36" xfId="3" applyNumberFormat="1" applyFont="1" applyFill="1" applyBorder="1" applyAlignment="1">
      <alignment horizontal="right" vertical="center"/>
    </xf>
    <xf numFmtId="168" fontId="9" fillId="0" borderId="36" xfId="3" applyNumberFormat="1" applyFont="1" applyBorder="1" applyAlignment="1">
      <alignment horizontal="right" vertical="center"/>
    </xf>
    <xf numFmtId="168" fontId="9" fillId="2" borderId="36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9" fontId="9" fillId="2" borderId="36" xfId="3" applyFont="1" applyFill="1" applyBorder="1" applyAlignment="1">
      <alignment horizontal="right" vertical="center"/>
    </xf>
    <xf numFmtId="10" fontId="9" fillId="2" borderId="36" xfId="3" applyNumberFormat="1" applyFont="1" applyFill="1" applyBorder="1" applyAlignment="1">
      <alignment horizontal="right" vertical="center"/>
    </xf>
    <xf numFmtId="168" fontId="9" fillId="2" borderId="36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165" fontId="7" fillId="0" borderId="36" xfId="1" applyNumberFormat="1" applyFont="1" applyBorder="1"/>
    <xf numFmtId="0" fontId="5" fillId="0" borderId="0" xfId="11" applyFont="1" applyAlignment="1">
      <alignment horizontal="right"/>
    </xf>
    <xf numFmtId="0" fontId="5" fillId="0" borderId="0" xfId="23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40" xfId="11" applyFont="1" applyBorder="1" applyAlignment="1">
      <alignment horizontal="center"/>
    </xf>
    <xf numFmtId="0" fontId="5" fillId="0" borderId="39" xfId="11" applyFont="1" applyBorder="1" applyAlignment="1">
      <alignment horizontal="center"/>
    </xf>
    <xf numFmtId="0" fontId="5" fillId="0" borderId="36" xfId="11" applyFont="1" applyBorder="1" applyAlignment="1">
      <alignment horizontal="center"/>
    </xf>
    <xf numFmtId="165" fontId="9" fillId="2" borderId="39" xfId="1" applyNumberFormat="1" applyFont="1" applyFill="1" applyBorder="1" applyAlignment="1">
      <alignment horizontal="right" vertical="center"/>
    </xf>
    <xf numFmtId="165" fontId="9" fillId="3" borderId="39" xfId="1" applyNumberFormat="1" applyFont="1" applyFill="1" applyBorder="1" applyAlignment="1">
      <alignment vertical="center"/>
    </xf>
    <xf numFmtId="171" fontId="9" fillId="0" borderId="39" xfId="1" applyNumberFormat="1" applyFont="1" applyFill="1" applyBorder="1" applyAlignment="1">
      <alignment horizontal="right"/>
    </xf>
    <xf numFmtId="165" fontId="9" fillId="3" borderId="39" xfId="22" applyNumberFormat="1" applyFont="1" applyFill="1" applyBorder="1"/>
    <xf numFmtId="10" fontId="9" fillId="0" borderId="36" xfId="3" quotePrefix="1" applyNumberFormat="1" applyFont="1" applyBorder="1" applyAlignment="1">
      <alignment horizontal="right" vertical="center"/>
    </xf>
    <xf numFmtId="165" fontId="29" fillId="0" borderId="25" xfId="1" applyNumberFormat="1" applyFont="1" applyFill="1" applyBorder="1" applyAlignment="1">
      <alignment vertical="center"/>
    </xf>
    <xf numFmtId="167" fontId="5" fillId="0" borderId="24" xfId="0" applyNumberFormat="1" applyFont="1" applyBorder="1" applyAlignment="1">
      <alignment horizontal="center" vertical="center"/>
    </xf>
    <xf numFmtId="164" fontId="5" fillId="0" borderId="2" xfId="2" applyNumberFormat="1" applyFont="1" applyFill="1" applyBorder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0" fontId="5" fillId="0" borderId="0" xfId="11" quotePrefix="1" applyFont="1" applyAlignment="1">
      <alignment horizontal="center"/>
    </xf>
    <xf numFmtId="167" fontId="5" fillId="0" borderId="0" xfId="11" applyNumberFormat="1" applyFont="1" applyAlignment="1">
      <alignment horizontal="center"/>
    </xf>
    <xf numFmtId="5" fontId="9" fillId="0" borderId="36" xfId="11" applyNumberFormat="1" applyFont="1" applyBorder="1" applyAlignment="1">
      <alignment horizontal="center"/>
    </xf>
    <xf numFmtId="0" fontId="9" fillId="0" borderId="36" xfId="11" applyFont="1" applyBorder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7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5" fontId="9" fillId="2" borderId="0" xfId="29" applyNumberFormat="1" applyFont="1" applyFill="1" applyBorder="1" applyAlignment="1" applyProtection="1">
      <alignment horizontal="right" vertical="center"/>
      <protection locked="0"/>
    </xf>
    <xf numFmtId="165" fontId="9" fillId="0" borderId="0" xfId="29" applyNumberFormat="1" applyFont="1" applyFill="1" applyBorder="1" applyAlignment="1" applyProtection="1">
      <alignment horizontal="right"/>
      <protection locked="0"/>
    </xf>
    <xf numFmtId="165" fontId="9" fillId="2" borderId="36" xfId="29" applyNumberFormat="1" applyFont="1" applyFill="1" applyBorder="1" applyAlignment="1" applyProtection="1">
      <alignment horizontal="right" vertical="center"/>
      <protection locked="0"/>
    </xf>
    <xf numFmtId="164" fontId="9" fillId="0" borderId="20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9" applyNumberFormat="1" applyFont="1" applyFill="1" applyAlignment="1" applyProtection="1">
      <alignment horizontal="center" vertical="center"/>
    </xf>
    <xf numFmtId="165" fontId="5" fillId="0" borderId="0" xfId="29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9" applyFont="1" applyFill="1" applyBorder="1" applyAlignment="1" applyProtection="1">
      <alignment horizontal="center" vertical="center"/>
    </xf>
    <xf numFmtId="164" fontId="9" fillId="0" borderId="20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9" applyFont="1" applyFill="1" applyBorder="1" applyAlignment="1" applyProtection="1">
      <alignment horizontal="right" vertical="center"/>
    </xf>
    <xf numFmtId="165" fontId="5" fillId="0" borderId="0" xfId="29" applyNumberFormat="1" applyFont="1" applyFill="1" applyAlignment="1" applyProtection="1">
      <alignment horizontal="right" vertical="center"/>
    </xf>
    <xf numFmtId="165" fontId="5" fillId="0" borderId="0" xfId="29" applyNumberFormat="1" applyFont="1" applyFill="1" applyAlignment="1" applyProtection="1">
      <alignment horizontal="right"/>
    </xf>
    <xf numFmtId="165" fontId="5" fillId="2" borderId="36" xfId="29" applyNumberFormat="1" applyFont="1" applyFill="1" applyBorder="1" applyAlignment="1" applyProtection="1">
      <alignment horizontal="right" vertical="center"/>
      <protection locked="0"/>
    </xf>
    <xf numFmtId="164" fontId="5" fillId="0" borderId="20" xfId="13" applyNumberFormat="1" applyFont="1" applyFill="1" applyBorder="1" applyAlignment="1" applyProtection="1">
      <alignment horizontal="right" vertical="center"/>
    </xf>
    <xf numFmtId="165" fontId="5" fillId="0" borderId="0" xfId="29" applyNumberFormat="1" applyFont="1" applyFill="1" applyBorder="1" applyAlignment="1" applyProtection="1">
      <alignment horizontal="center" vertical="center"/>
    </xf>
    <xf numFmtId="165" fontId="5" fillId="0" borderId="0" xfId="29" applyNumberFormat="1" applyFont="1" applyFill="1" applyBorder="1" applyAlignment="1" applyProtection="1">
      <alignment horizontal="center"/>
    </xf>
    <xf numFmtId="165" fontId="5" fillId="2" borderId="36" xfId="29" applyNumberFormat="1" applyFont="1" applyFill="1" applyBorder="1" applyAlignment="1" applyProtection="1">
      <alignment horizontal="center" vertical="center"/>
    </xf>
    <xf numFmtId="164" fontId="5" fillId="0" borderId="2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9" applyNumberFormat="1" applyFont="1" applyFill="1" applyBorder="1" applyAlignment="1" applyProtection="1">
      <alignment horizontal="right" vertical="center"/>
    </xf>
    <xf numFmtId="165" fontId="9" fillId="4" borderId="36" xfId="29" applyNumberFormat="1" applyFont="1" applyFill="1" applyBorder="1" applyAlignment="1" applyProtection="1">
      <alignment horizontal="right" vertical="center"/>
    </xf>
    <xf numFmtId="164" fontId="9" fillId="4" borderId="2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3" applyFont="1"/>
    <xf numFmtId="165" fontId="9" fillId="2" borderId="0" xfId="29" applyNumberFormat="1" applyFont="1" applyFill="1" applyAlignment="1" applyProtection="1">
      <alignment horizontal="right" vertical="center"/>
    </xf>
    <xf numFmtId="10" fontId="5" fillId="0" borderId="0" xfId="30" applyNumberFormat="1" applyFont="1"/>
    <xf numFmtId="165" fontId="9" fillId="2" borderId="36" xfId="29" applyNumberFormat="1" applyFont="1" applyFill="1" applyBorder="1" applyAlignment="1" applyProtection="1">
      <alignment horizontal="right" vertical="center"/>
    </xf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0" xfId="13" applyNumberFormat="1" applyFont="1" applyFill="1" applyAlignment="1" applyProtection="1">
      <alignment horizontal="right"/>
    </xf>
    <xf numFmtId="165" fontId="9" fillId="0" borderId="0" xfId="29" applyNumberFormat="1" applyFont="1" applyFill="1" applyAlignment="1" applyProtection="1">
      <alignment horizontal="right" vertical="center"/>
    </xf>
    <xf numFmtId="165" fontId="9" fillId="0" borderId="0" xfId="29" applyNumberFormat="1" applyFont="1" applyFill="1" applyAlignment="1" applyProtection="1">
      <alignment horizontal="right"/>
    </xf>
    <xf numFmtId="165" fontId="9" fillId="0" borderId="36" xfId="29" applyNumberFormat="1" applyFont="1" applyFill="1" applyBorder="1" applyAlignment="1" applyProtection="1">
      <alignment horizontal="right" vertical="center"/>
    </xf>
    <xf numFmtId="165" fontId="9" fillId="0" borderId="0" xfId="29" applyNumberFormat="1" applyFont="1" applyFill="1" applyBorder="1" applyAlignment="1" applyProtection="1">
      <alignment horizontal="right"/>
    </xf>
    <xf numFmtId="164" fontId="9" fillId="0" borderId="19" xfId="13" applyNumberFormat="1" applyFont="1" applyFill="1" applyBorder="1" applyAlignment="1" applyProtection="1">
      <alignment horizontal="right" vertical="center"/>
    </xf>
    <xf numFmtId="164" fontId="9" fillId="0" borderId="2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4" fontId="3" fillId="0" borderId="0" xfId="2" applyNumberFormat="1" applyFont="1" applyBorder="1"/>
    <xf numFmtId="165" fontId="9" fillId="3" borderId="36" xfId="1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9" fillId="0" borderId="10" xfId="11" applyFont="1" applyBorder="1" applyAlignment="1">
      <alignment horizontal="center"/>
    </xf>
    <xf numFmtId="0" fontId="9" fillId="0" borderId="11" xfId="11" applyFont="1" applyBorder="1" applyAlignment="1">
      <alignment horizont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36" xfId="1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65" fontId="7" fillId="0" borderId="36" xfId="1" applyNumberFormat="1" applyFont="1" applyFill="1" applyBorder="1" applyAlignment="1">
      <alignment vertical="center"/>
    </xf>
    <xf numFmtId="10" fontId="9" fillId="3" borderId="36" xfId="3" applyNumberFormat="1" applyFont="1" applyFill="1" applyBorder="1"/>
    <xf numFmtId="174" fontId="7" fillId="0" borderId="0" xfId="2" applyNumberFormat="1" applyFont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0" fontId="3" fillId="0" borderId="2" xfId="2" applyNumberFormat="1" applyFont="1" applyBorder="1"/>
    <xf numFmtId="164" fontId="9" fillId="0" borderId="2" xfId="21" applyNumberFormat="1" applyFont="1" applyBorder="1" applyAlignment="1">
      <alignment horizontal="right"/>
    </xf>
    <xf numFmtId="37" fontId="9" fillId="0" borderId="0" xfId="0" applyNumberFormat="1" applyFont="1" applyAlignment="1">
      <alignment horizontal="right"/>
    </xf>
    <xf numFmtId="37" fontId="9" fillId="0" borderId="36" xfId="0" applyNumberFormat="1" applyFont="1" applyBorder="1" applyAlignment="1">
      <alignment horizontal="right"/>
    </xf>
    <xf numFmtId="165" fontId="9" fillId="0" borderId="0" xfId="1" applyNumberFormat="1" applyFont="1" applyFill="1" applyBorder="1" applyAlignment="1"/>
    <xf numFmtId="165" fontId="9" fillId="0" borderId="0" xfId="1" applyNumberFormat="1" applyFont="1" applyFill="1"/>
    <xf numFmtId="165" fontId="9" fillId="0" borderId="0" xfId="1" applyNumberFormat="1" applyFont="1" applyFill="1" applyBorder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9" fillId="0" borderId="36" xfId="1" applyNumberFormat="1" applyFont="1" applyFill="1" applyBorder="1" applyAlignment="1">
      <alignment vertical="top"/>
    </xf>
    <xf numFmtId="49" fontId="14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top"/>
    </xf>
    <xf numFmtId="164" fontId="9" fillId="0" borderId="0" xfId="2" applyNumberFormat="1" applyFont="1" applyBorder="1" applyAlignment="1">
      <alignment horizontal="center" vertical="center"/>
    </xf>
    <xf numFmtId="164" fontId="9" fillId="2" borderId="0" xfId="13" applyNumberFormat="1" applyFont="1" applyFill="1" applyAlignment="1" applyProtection="1">
      <alignment vertical="center"/>
      <protection locked="0"/>
    </xf>
    <xf numFmtId="170" fontId="9" fillId="0" borderId="0" xfId="11" applyNumberFormat="1" applyFont="1" applyAlignment="1">
      <alignment vertic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0" fontId="9" fillId="0" borderId="0" xfId="23" applyNumberFormat="1" applyFont="1" applyAlignment="1">
      <alignment horizontal="right" vertical="center"/>
    </xf>
    <xf numFmtId="10" fontId="9" fillId="0" borderId="2" xfId="23" quotePrefix="1" applyNumberFormat="1" applyFont="1" applyBorder="1" applyAlignment="1">
      <alignment horizontal="right" vertical="center"/>
    </xf>
    <xf numFmtId="164" fontId="9" fillId="0" borderId="2" xfId="2" applyNumberFormat="1" applyFont="1" applyBorder="1" applyAlignment="1">
      <alignment horizontal="right" vertical="center"/>
    </xf>
    <xf numFmtId="164" fontId="9" fillId="2" borderId="36" xfId="13" applyNumberFormat="1" applyFont="1" applyFill="1" applyBorder="1" applyAlignment="1" applyProtection="1">
      <alignment vertical="center"/>
      <protection locked="0"/>
    </xf>
    <xf numFmtId="164" fontId="9" fillId="0" borderId="38" xfId="23" applyNumberFormat="1" applyFont="1" applyBorder="1" applyAlignment="1" applyProtection="1">
      <alignment horizontal="right" vertical="center"/>
      <protection locked="0"/>
    </xf>
    <xf numFmtId="167" fontId="9" fillId="0" borderId="24" xfId="0" applyNumberFormat="1" applyFont="1" applyBorder="1" applyAlignment="1">
      <alignment horizontal="center" vertical="center"/>
    </xf>
    <xf numFmtId="170" fontId="1" fillId="0" borderId="0" xfId="4" applyNumberFormat="1"/>
    <xf numFmtId="174" fontId="7" fillId="0" borderId="0" xfId="2" applyNumberFormat="1" applyFont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4" fontId="9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68" fontId="5" fillId="2" borderId="0" xfId="20" applyNumberFormat="1" applyFont="1" applyFill="1" applyBorder="1" applyAlignment="1">
      <alignment horizontal="right" vertical="center"/>
    </xf>
    <xf numFmtId="164" fontId="5" fillId="2" borderId="0" xfId="13" applyNumberFormat="1" applyFont="1" applyFill="1" applyBorder="1" applyAlignment="1" applyProtection="1">
      <alignment horizontal="right" vertical="center"/>
    </xf>
    <xf numFmtId="168" fontId="5" fillId="0" borderId="0" xfId="3" applyNumberFormat="1" applyFont="1" applyAlignment="1">
      <alignment horizontal="right" vertical="center"/>
    </xf>
    <xf numFmtId="168" fontId="5" fillId="0" borderId="0" xfId="3" applyNumberFormat="1" applyFont="1" applyFill="1" applyAlignment="1">
      <alignment horizontal="right" vertical="center"/>
    </xf>
    <xf numFmtId="168" fontId="5" fillId="0" borderId="36" xfId="3" applyNumberFormat="1" applyFont="1" applyBorder="1" applyAlignment="1">
      <alignment horizontal="right" vertical="center"/>
    </xf>
    <xf numFmtId="168" fontId="5" fillId="0" borderId="2" xfId="3" applyNumberFormat="1" applyFont="1" applyBorder="1" applyAlignment="1">
      <alignment horizontal="right" vertical="center"/>
    </xf>
    <xf numFmtId="168" fontId="5" fillId="0" borderId="36" xfId="3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171" fontId="5" fillId="0" borderId="39" xfId="1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center"/>
    </xf>
    <xf numFmtId="164" fontId="5" fillId="0" borderId="0" xfId="13" applyNumberFormat="1" applyFont="1" applyBorder="1" applyAlignment="1" applyProtection="1">
      <alignment horizontal="right" vertical="center"/>
      <protection locked="0"/>
    </xf>
    <xf numFmtId="177" fontId="1" fillId="0" borderId="0" xfId="1" applyNumberFormat="1"/>
    <xf numFmtId="165" fontId="5" fillId="0" borderId="16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164" fontId="5" fillId="0" borderId="2" xfId="2" applyNumberFormat="1" applyFont="1" applyBorder="1" applyAlignment="1">
      <alignment horizontal="right" vertical="center"/>
    </xf>
    <xf numFmtId="178" fontId="9" fillId="0" borderId="0" xfId="0" applyNumberFormat="1" applyFont="1" applyAlignment="1">
      <alignment vertical="center"/>
    </xf>
    <xf numFmtId="0" fontId="17" fillId="0" borderId="0" xfId="1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79" fontId="9" fillId="0" borderId="0" xfId="2" applyNumberFormat="1" applyFont="1" applyAlignment="1">
      <alignment horizontal="right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center" vertical="center"/>
    </xf>
    <xf numFmtId="180" fontId="9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0" fontId="9" fillId="3" borderId="36" xfId="3" applyNumberFormat="1" applyFont="1" applyFill="1" applyBorder="1" applyAlignment="1">
      <alignment horizontal="center" vertical="center"/>
    </xf>
    <xf numFmtId="165" fontId="9" fillId="0" borderId="36" xfId="1" applyNumberFormat="1" applyFont="1" applyBorder="1" applyAlignment="1">
      <alignment horizontal="center" vertical="center"/>
    </xf>
    <xf numFmtId="180" fontId="9" fillId="0" borderId="36" xfId="1" applyNumberFormat="1" applyFont="1" applyBorder="1" applyAlignment="1">
      <alignment horizontal="right" vertical="center"/>
    </xf>
    <xf numFmtId="164" fontId="9" fillId="0" borderId="19" xfId="2" applyNumberFormat="1" applyFont="1" applyFill="1" applyBorder="1" applyAlignment="1">
      <alignment vertical="center"/>
    </xf>
    <xf numFmtId="174" fontId="9" fillId="0" borderId="19" xfId="2" applyNumberFormat="1" applyFont="1" applyBorder="1" applyAlignment="1">
      <alignment vertical="center"/>
    </xf>
    <xf numFmtId="174" fontId="9" fillId="0" borderId="0" xfId="2" applyNumberFormat="1" applyFont="1" applyAlignment="1">
      <alignment vertical="center"/>
    </xf>
    <xf numFmtId="180" fontId="9" fillId="0" borderId="19" xfId="1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5" fillId="0" borderId="6" xfId="0" quotePrefix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165" fontId="32" fillId="0" borderId="0" xfId="1" applyNumberFormat="1" applyFont="1" applyFill="1" applyBorder="1" applyAlignment="1">
      <alignment horizontal="left" vertical="center"/>
    </xf>
    <xf numFmtId="0" fontId="5" fillId="0" borderId="12" xfId="0" quotePrefix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5" fontId="29" fillId="0" borderId="0" xfId="1" applyNumberFormat="1" applyFont="1" applyFill="1" applyBorder="1" applyAlignment="1">
      <alignment vertical="center"/>
    </xf>
    <xf numFmtId="165" fontId="32" fillId="0" borderId="25" xfId="1" applyNumberFormat="1" applyFont="1" applyFill="1" applyBorder="1" applyAlignment="1">
      <alignment vertical="center"/>
    </xf>
    <xf numFmtId="37" fontId="5" fillId="0" borderId="0" xfId="0" applyNumberFormat="1" applyFont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5" fillId="0" borderId="0" xfId="0" applyNumberFormat="1" applyFont="1" applyAlignment="1">
      <alignment vertical="center"/>
    </xf>
    <xf numFmtId="37" fontId="32" fillId="0" borderId="0" xfId="0" applyNumberFormat="1" applyFont="1" applyAlignment="1">
      <alignment vertical="center"/>
    </xf>
    <xf numFmtId="10" fontId="5" fillId="0" borderId="0" xfId="23" applyNumberFormat="1" applyFont="1" applyAlignment="1">
      <alignment horizontal="right" vertical="center"/>
    </xf>
    <xf numFmtId="10" fontId="5" fillId="0" borderId="2" xfId="23" quotePrefix="1" applyNumberFormat="1" applyFont="1" applyBorder="1" applyAlignment="1">
      <alignment horizontal="right" vertical="center"/>
    </xf>
    <xf numFmtId="165" fontId="5" fillId="2" borderId="16" xfId="1" applyNumberFormat="1" applyFont="1" applyFill="1" applyBorder="1" applyAlignment="1">
      <alignment horizontal="right" vertical="center"/>
    </xf>
    <xf numFmtId="164" fontId="5" fillId="0" borderId="16" xfId="2" applyNumberFormat="1" applyFont="1" applyFill="1" applyBorder="1" applyAlignment="1">
      <alignment horizontal="right" vertical="center"/>
    </xf>
    <xf numFmtId="164" fontId="5" fillId="0" borderId="19" xfId="2" applyNumberFormat="1" applyFont="1" applyFill="1" applyBorder="1" applyAlignment="1">
      <alignment vertical="center"/>
    </xf>
    <xf numFmtId="164" fontId="5" fillId="0" borderId="0" xfId="2" applyNumberFormat="1" applyFont="1" applyFill="1" applyAlignment="1">
      <alignment vertical="center"/>
    </xf>
    <xf numFmtId="165" fontId="5" fillId="0" borderId="36" xfId="1" applyNumberFormat="1" applyFont="1" applyFill="1" applyBorder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5" fillId="0" borderId="36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/>
    </xf>
    <xf numFmtId="165" fontId="5" fillId="2" borderId="0" xfId="1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/>
    </xf>
    <xf numFmtId="164" fontId="5" fillId="0" borderId="2" xfId="21" applyNumberFormat="1" applyFont="1" applyBorder="1" applyAlignment="1">
      <alignment horizontal="right" vertical="center"/>
    </xf>
    <xf numFmtId="44" fontId="7" fillId="0" borderId="0" xfId="2" applyFont="1" applyAlignment="1">
      <alignment horizontal="right" vertical="center"/>
    </xf>
    <xf numFmtId="43" fontId="9" fillId="0" borderId="36" xfId="1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165" fontId="5" fillId="0" borderId="36" xfId="1" applyNumberFormat="1" applyFont="1" applyBorder="1" applyAlignment="1">
      <alignment horizontal="center" vertical="center"/>
    </xf>
    <xf numFmtId="164" fontId="5" fillId="0" borderId="38" xfId="23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37" fontId="5" fillId="0" borderId="0" xfId="0" applyNumberFormat="1" applyFont="1"/>
    <xf numFmtId="37" fontId="14" fillId="0" borderId="0" xfId="0" applyNumberFormat="1" applyFont="1" applyAlignment="1">
      <alignment vertical="center"/>
    </xf>
    <xf numFmtId="165" fontId="32" fillId="0" borderId="25" xfId="1" applyNumberFormat="1" applyFont="1" applyFill="1" applyBorder="1" applyAlignment="1">
      <alignment horizontal="left" vertical="center"/>
    </xf>
    <xf numFmtId="0" fontId="32" fillId="0" borderId="10" xfId="0" applyFont="1" applyBorder="1" applyAlignment="1">
      <alignment horizontal="center" vertical="top"/>
    </xf>
    <xf numFmtId="0" fontId="33" fillId="0" borderId="31" xfId="0" applyFont="1" applyBorder="1" applyAlignment="1">
      <alignment horizontal="center"/>
    </xf>
    <xf numFmtId="0" fontId="33" fillId="0" borderId="0" xfId="0" applyFont="1" applyAlignment="1">
      <alignment horizontal="center"/>
    </xf>
    <xf numFmtId="165" fontId="5" fillId="2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horizontal="right" vertical="center"/>
    </xf>
    <xf numFmtId="180" fontId="5" fillId="0" borderId="19" xfId="1" applyNumberFormat="1" applyFont="1" applyBorder="1" applyAlignment="1">
      <alignment vertical="center"/>
    </xf>
    <xf numFmtId="180" fontId="5" fillId="0" borderId="0" xfId="1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10" fontId="5" fillId="2" borderId="0" xfId="23" applyNumberFormat="1" applyFont="1" applyFill="1" applyAlignment="1">
      <alignment horizontal="right" vertical="center"/>
    </xf>
    <xf numFmtId="10" fontId="5" fillId="0" borderId="0" xfId="24" applyNumberFormat="1" applyFont="1" applyBorder="1" applyAlignment="1">
      <alignment horizontal="right" vertical="center"/>
    </xf>
    <xf numFmtId="164" fontId="7" fillId="0" borderId="2" xfId="2" applyNumberFormat="1" applyFont="1" applyFill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horizontal="right"/>
    </xf>
    <xf numFmtId="181" fontId="9" fillId="0" borderId="0" xfId="0" applyNumberFormat="1" applyFont="1"/>
    <xf numFmtId="164" fontId="7" fillId="0" borderId="0" xfId="2" applyNumberFormat="1" applyFont="1" applyFill="1" applyBorder="1" applyAlignment="1">
      <alignment vertical="center"/>
    </xf>
    <xf numFmtId="164" fontId="7" fillId="0" borderId="0" xfId="2" applyNumberFormat="1" applyFont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36" xfId="1" applyNumberFormat="1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2" fontId="5" fillId="2" borderId="0" xfId="23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23" applyFont="1" applyAlignment="1">
      <alignment horizontal="center"/>
    </xf>
    <xf numFmtId="0" fontId="5" fillId="0" borderId="0" xfId="23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3" borderId="0" xfId="25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/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37" fontId="5" fillId="0" borderId="0" xfId="0" applyNumberFormat="1" applyFont="1" applyFill="1" applyAlignment="1">
      <alignment horizontal="right" vertical="center"/>
    </xf>
    <xf numFmtId="37" fontId="9" fillId="0" borderId="0" xfId="0" applyNumberFormat="1" applyFont="1" applyFill="1" applyAlignment="1">
      <alignment vertical="center"/>
    </xf>
    <xf numFmtId="37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</cellXfs>
  <cellStyles count="38">
    <cellStyle name="Comma" xfId="1" builtinId="3"/>
    <cellStyle name="Comma 2" xfId="9" xr:uid="{E218AF85-C6C9-44D7-9826-DAAE82C52D81}"/>
    <cellStyle name="Comma 2 10 2" xfId="29" xr:uid="{1A440B24-83E7-48A9-BF3F-43DED02E8437}"/>
    <cellStyle name="Comma 2 2" xfId="14" xr:uid="{AF071F67-3B0C-4EA1-BB2D-77CA586E1771}"/>
    <cellStyle name="Comma 4" xfId="6" xr:uid="{B22F5E81-ABE4-4EEE-9861-61D4A72D0EC8}"/>
    <cellStyle name="Comma 79" xfId="22" xr:uid="{70FD1783-1E2A-4A0C-8E08-8B8328F1C457}"/>
    <cellStyle name="Comma 81" xfId="37" xr:uid="{1B45014A-97EA-447A-BDBA-C4E0121279D6}"/>
    <cellStyle name="Currency" xfId="2" builtinId="4"/>
    <cellStyle name="Currency 2" xfId="7" xr:uid="{2FB3A6EC-A591-418E-AE53-135728C8FF55}"/>
    <cellStyle name="Currency 2 2" xfId="13" xr:uid="{BE5CA40B-4EF2-46C0-ACCA-0BF3AC0AF312}"/>
    <cellStyle name="Currency 30" xfId="36" xr:uid="{408B0A0A-B81E-44AB-8E65-E28A65C9135F}"/>
    <cellStyle name="Currency 4" xfId="5" xr:uid="{0A571740-701C-4662-8164-0257FFEF0B5F}"/>
    <cellStyle name="Currency 4 3" xfId="21" xr:uid="{9B1E9624-E95D-4E37-A9D6-EFEB828EBEA8}"/>
    <cellStyle name="Normal" xfId="0" builtinId="0"/>
    <cellStyle name="Normal 10 18" xfId="26" xr:uid="{28E62634-0252-4126-95EF-F50304483256}"/>
    <cellStyle name="Normal 12 3" xfId="34" xr:uid="{F57775A4-F002-494C-8F9A-D8F4A8DA16D4}"/>
    <cellStyle name="Normal 12 4" xfId="32" xr:uid="{E01B4A8D-A77C-4E1B-B7FA-765F95B4B0B3}"/>
    <cellStyle name="Normal 2" xfId="11" xr:uid="{CF6AB890-B773-46E7-BCE6-08FB6AEB0DA0}"/>
    <cellStyle name="Normal 2 2 2" xfId="17" xr:uid="{92A4FFDA-8860-4BAD-9EAB-44F0DE9FCFF8}"/>
    <cellStyle name="Normal 2 2 2 2" xfId="25" xr:uid="{32CDF306-7647-4DCA-AE08-C65B8D466C60}"/>
    <cellStyle name="Normal 2 2 6" xfId="27" xr:uid="{CCAFE435-1243-4CED-981B-645B00CA3137}"/>
    <cellStyle name="Normal 29" xfId="19" xr:uid="{6A52BBCB-32F0-4AFA-B971-925038B08277}"/>
    <cellStyle name="Normal 29 2" xfId="35" xr:uid="{D0AD0B4D-E989-40F3-8569-F0EEF1C74A4D}"/>
    <cellStyle name="Normal 3 2" xfId="18" xr:uid="{03100693-46EF-4B5B-9F9D-D6D3C25C0406}"/>
    <cellStyle name="Normal 3 2 2" xfId="28" xr:uid="{69ED09F3-8154-4E45-BE4C-534C12218F5F}"/>
    <cellStyle name="Normal 4" xfId="4" xr:uid="{43D116BF-F776-4CC1-8D01-7D68022FBD06}"/>
    <cellStyle name="Normal 72" xfId="33" xr:uid="{CEB114C6-1808-46DE-9448-99DA392C50BD}"/>
    <cellStyle name="Normal 8" xfId="12" xr:uid="{58534AD9-7916-478A-A9F1-0462037A1FEC}"/>
    <cellStyle name="Normal 9" xfId="8" xr:uid="{93A86AC0-49E3-4B08-85E9-0569D134CF47}"/>
    <cellStyle name="Normal 9 6" xfId="31" xr:uid="{1BD78D70-AA43-4588-A83F-7E19D6F844BC}"/>
    <cellStyle name="Normal_A&amp;gallc1999" xfId="16" xr:uid="{2FFB1A0F-1F23-429E-960E-C59C7E6D56EA}"/>
    <cellStyle name="Normal_Statement BK (2008)" xfId="23" xr:uid="{CAC8C099-7813-48D2-880B-DED03A5BA36E}"/>
    <cellStyle name="Percent" xfId="3" builtinId="5"/>
    <cellStyle name="Percent 10" xfId="24" xr:uid="{B490E828-D192-4B31-8202-A310DC6CA985}"/>
    <cellStyle name="Percent 2" xfId="10" xr:uid="{68EB3EBF-0DBC-4DCD-9C99-F0A5ACE39AE1}"/>
    <cellStyle name="Percent 2 2 2 5" xfId="30" xr:uid="{7D4F2786-915E-414B-845A-E96F963CFB53}"/>
    <cellStyle name="Percent 2 2 7" xfId="20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2BA08D4A-A0DB-4B2E-9EB2-55A026BC4F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1116013</xdr:colOff>
      <xdr:row>23</xdr:row>
      <xdr:rowOff>47625</xdr:rowOff>
    </xdr:from>
    <xdr:to>
      <xdr:col>12</xdr:col>
      <xdr:colOff>71437</xdr:colOff>
      <xdr:row>24</xdr:row>
      <xdr:rowOff>199230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D532E9C-4559-4796-91B9-228C5A10ECE8}"/>
            </a:ext>
          </a:extLst>
        </xdr:cNvPr>
        <xdr:cNvSpPr/>
      </xdr:nvSpPr>
      <xdr:spPr>
        <a:xfrm>
          <a:off x="13371513" y="4740275"/>
          <a:ext cx="126999" cy="39608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1087437</xdr:colOff>
      <xdr:row>11</xdr:row>
      <xdr:rowOff>47625</xdr:rowOff>
    </xdr:from>
    <xdr:to>
      <xdr:col>12</xdr:col>
      <xdr:colOff>39687</xdr:colOff>
      <xdr:row>12</xdr:row>
      <xdr:rowOff>182562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C06C352-7E84-4C9B-A170-DDB419317B74}"/>
            </a:ext>
          </a:extLst>
        </xdr:cNvPr>
        <xdr:cNvSpPr/>
      </xdr:nvSpPr>
      <xdr:spPr>
        <a:xfrm>
          <a:off x="13239750" y="2317750"/>
          <a:ext cx="127000" cy="37306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1127125</xdr:colOff>
      <xdr:row>14</xdr:row>
      <xdr:rowOff>55563</xdr:rowOff>
    </xdr:from>
    <xdr:to>
      <xdr:col>12</xdr:col>
      <xdr:colOff>79375</xdr:colOff>
      <xdr:row>15</xdr:row>
      <xdr:rowOff>206375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D70EC314-D7A8-4CB5-802F-F9F6493AB9C4}"/>
            </a:ext>
          </a:extLst>
        </xdr:cNvPr>
        <xdr:cNvSpPr/>
      </xdr:nvSpPr>
      <xdr:spPr>
        <a:xfrm>
          <a:off x="13279438" y="3008313"/>
          <a:ext cx="127000" cy="38893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E751C44-6C52-4F89-A527-FD384B936B7D}"/>
            </a:ext>
          </a:extLst>
        </xdr:cNvPr>
        <xdr:cNvSpPr>
          <a:spLocks noChangeShapeType="1"/>
        </xdr:cNvSpPr>
      </xdr:nvSpPr>
      <xdr:spPr bwMode="auto">
        <a:xfrm>
          <a:off x="1898652" y="180784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B0587497-528D-4276-B928-2B831E9AF2FE}"/>
            </a:ext>
          </a:extLst>
        </xdr:cNvPr>
        <xdr:cNvSpPr>
          <a:spLocks noChangeShapeType="1"/>
        </xdr:cNvSpPr>
      </xdr:nvSpPr>
      <xdr:spPr bwMode="auto">
        <a:xfrm>
          <a:off x="1755780" y="20416837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9F568E25-5F73-4787-B797-ADACBD58443F}"/>
            </a:ext>
          </a:extLst>
        </xdr:cNvPr>
        <xdr:cNvSpPr>
          <a:spLocks noChangeShapeType="1"/>
        </xdr:cNvSpPr>
      </xdr:nvSpPr>
      <xdr:spPr bwMode="auto">
        <a:xfrm>
          <a:off x="1898652" y="26998613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7F8A05FF-FDB3-45CC-8BBD-0D552E185006}"/>
            </a:ext>
          </a:extLst>
        </xdr:cNvPr>
        <xdr:cNvSpPr>
          <a:spLocks noChangeShapeType="1"/>
        </xdr:cNvSpPr>
      </xdr:nvSpPr>
      <xdr:spPr bwMode="auto">
        <a:xfrm>
          <a:off x="1898652" y="26998613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2586C438-5324-411A-B048-DCE98F9301B9}"/>
            </a:ext>
          </a:extLst>
        </xdr:cNvPr>
        <xdr:cNvSpPr>
          <a:spLocks noChangeShapeType="1"/>
        </xdr:cNvSpPr>
      </xdr:nvSpPr>
      <xdr:spPr bwMode="auto">
        <a:xfrm>
          <a:off x="1755780" y="29332237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7DA505D2-3B7B-4E29-A7CF-4B61504AA1C0}"/>
            </a:ext>
          </a:extLst>
        </xdr:cNvPr>
        <xdr:cNvSpPr>
          <a:spLocks noChangeShapeType="1"/>
        </xdr:cNvSpPr>
      </xdr:nvSpPr>
      <xdr:spPr bwMode="auto">
        <a:xfrm>
          <a:off x="1887539" y="184562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2CDA759F-D4E6-4D33-8260-344A23B5851F}"/>
            </a:ext>
          </a:extLst>
        </xdr:cNvPr>
        <xdr:cNvSpPr>
          <a:spLocks noChangeShapeType="1"/>
        </xdr:cNvSpPr>
      </xdr:nvSpPr>
      <xdr:spPr bwMode="auto">
        <a:xfrm>
          <a:off x="1741492" y="208502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5E54FD0-FA4E-4DEE-97AF-C9989AF53256}"/>
            </a:ext>
          </a:extLst>
        </xdr:cNvPr>
        <xdr:cNvSpPr>
          <a:spLocks noChangeShapeType="1"/>
        </xdr:cNvSpPr>
      </xdr:nvSpPr>
      <xdr:spPr bwMode="auto">
        <a:xfrm>
          <a:off x="1887539" y="279812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307E5E03-AFA7-4569-89CC-73AB2BD51551}"/>
            </a:ext>
          </a:extLst>
        </xdr:cNvPr>
        <xdr:cNvSpPr>
          <a:spLocks noChangeShapeType="1"/>
        </xdr:cNvSpPr>
      </xdr:nvSpPr>
      <xdr:spPr bwMode="auto">
        <a:xfrm>
          <a:off x="1887539" y="279812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151</xdr:row>
      <xdr:rowOff>-1</xdr:rowOff>
    </xdr:from>
    <xdr:to>
      <xdr:col>2</xdr:col>
      <xdr:colOff>312424</xdr:colOff>
      <xdr:row>151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70DF5C40-7429-4DB9-9E96-E323B81CBEAD}"/>
            </a:ext>
          </a:extLst>
        </xdr:cNvPr>
        <xdr:cNvSpPr>
          <a:spLocks noChangeShapeType="1"/>
        </xdr:cNvSpPr>
      </xdr:nvSpPr>
      <xdr:spPr bwMode="auto">
        <a:xfrm>
          <a:off x="1741492" y="303752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796875" defaultRowHeight="14.5" x14ac:dyDescent="0.35"/>
  <cols>
    <col min="1" max="1" width="4.81640625" style="1" bestFit="1" customWidth="1"/>
    <col min="2" max="2" width="71.54296875" style="1" customWidth="1"/>
    <col min="3" max="3" width="1.54296875" style="1" customWidth="1"/>
    <col min="4" max="4" width="20.81640625" style="1" customWidth="1"/>
    <col min="5" max="5" width="1.54296875" style="1" customWidth="1"/>
    <col min="6" max="6" width="40.54296875" style="1" customWidth="1"/>
    <col min="7" max="7" width="4.81640625" style="1" customWidth="1"/>
    <col min="8" max="8" width="21.1796875" style="1" customWidth="1"/>
    <col min="9" max="16384" width="9.1796875" style="1"/>
  </cols>
  <sheetData>
    <row r="2" spans="1:8" ht="17.5" x14ac:dyDescent="0.35">
      <c r="B2" s="2" t="s">
        <v>0</v>
      </c>
      <c r="C2" s="2"/>
      <c r="D2" s="3"/>
      <c r="E2" s="3"/>
      <c r="F2" s="3"/>
    </row>
    <row r="3" spans="1:8" ht="17.5" x14ac:dyDescent="0.35">
      <c r="B3" s="216" t="s">
        <v>394</v>
      </c>
      <c r="C3" s="2"/>
      <c r="D3" s="3"/>
      <c r="E3" s="3"/>
      <c r="F3" s="3"/>
    </row>
    <row r="4" spans="1:8" ht="17.5" x14ac:dyDescent="0.35">
      <c r="B4" s="750" t="s">
        <v>604</v>
      </c>
      <c r="C4" s="750"/>
      <c r="D4" s="750"/>
      <c r="E4" s="750"/>
      <c r="F4" s="750"/>
    </row>
    <row r="5" spans="1:8" ht="17.5" x14ac:dyDescent="0.35">
      <c r="B5" s="218" t="s">
        <v>508</v>
      </c>
      <c r="C5" s="2"/>
      <c r="D5" s="2"/>
      <c r="E5" s="2"/>
      <c r="F5" s="2"/>
    </row>
    <row r="6" spans="1:8" ht="15.5" x14ac:dyDescent="0.35">
      <c r="B6" s="749" t="s">
        <v>1</v>
      </c>
      <c r="C6" s="749"/>
      <c r="D6" s="749"/>
      <c r="E6" s="749"/>
      <c r="F6" s="749"/>
      <c r="G6" s="4"/>
      <c r="H6" s="4"/>
    </row>
    <row r="7" spans="1:8" ht="15.5" x14ac:dyDescent="0.35">
      <c r="B7" s="5"/>
      <c r="C7" s="5"/>
      <c r="D7" s="6"/>
      <c r="E7" s="7"/>
      <c r="F7" s="5"/>
      <c r="G7" s="5"/>
    </row>
    <row r="8" spans="1:8" ht="15.5" x14ac:dyDescent="0.35">
      <c r="A8" s="8" t="s">
        <v>2</v>
      </c>
      <c r="G8" s="8" t="s">
        <v>2</v>
      </c>
    </row>
    <row r="9" spans="1:8" ht="15.5" x14ac:dyDescent="0.35">
      <c r="A9" s="11" t="s">
        <v>6</v>
      </c>
      <c r="B9" s="9" t="s">
        <v>3</v>
      </c>
      <c r="C9" s="9"/>
      <c r="D9" s="9" t="s">
        <v>4</v>
      </c>
      <c r="E9" s="10"/>
      <c r="F9" s="9" t="s">
        <v>5</v>
      </c>
      <c r="G9" s="11" t="s">
        <v>6</v>
      </c>
    </row>
    <row r="10" spans="1:8" ht="15.5" x14ac:dyDescent="0.35">
      <c r="A10" s="8"/>
      <c r="B10" s="5"/>
      <c r="C10" s="5"/>
      <c r="D10" s="12"/>
      <c r="E10" s="12"/>
      <c r="F10" s="12"/>
      <c r="G10" s="8"/>
    </row>
    <row r="11" spans="1:8" ht="15.5" x14ac:dyDescent="0.35">
      <c r="A11" s="8">
        <v>1</v>
      </c>
      <c r="B11" s="7" t="s">
        <v>509</v>
      </c>
      <c r="C11" s="7"/>
      <c r="D11" s="12"/>
      <c r="E11" s="12"/>
      <c r="F11" s="12"/>
      <c r="G11" s="8">
        <v>1</v>
      </c>
    </row>
    <row r="12" spans="1:8" ht="15.5" x14ac:dyDescent="0.35">
      <c r="A12" s="8">
        <f>A11+1</f>
        <v>2</v>
      </c>
      <c r="B12" s="7"/>
      <c r="C12" s="7"/>
      <c r="D12" s="12"/>
      <c r="E12" s="12"/>
      <c r="F12" s="12"/>
      <c r="G12" s="8">
        <f>G11+1</f>
        <v>2</v>
      </c>
    </row>
    <row r="13" spans="1:8" ht="31" x14ac:dyDescent="0.35">
      <c r="A13" s="41">
        <f>A12+1</f>
        <v>3</v>
      </c>
      <c r="B13" s="222" t="s">
        <v>215</v>
      </c>
      <c r="C13" s="13"/>
      <c r="D13" s="14">
        <f>'Pg2 Appendix XII C4 Comparison'!G28</f>
        <v>17.706284696330385</v>
      </c>
      <c r="E13" s="14"/>
      <c r="F13" s="12" t="s">
        <v>395</v>
      </c>
      <c r="G13" s="41">
        <f>G12+1</f>
        <v>3</v>
      </c>
    </row>
    <row r="14" spans="1:8" ht="15.5" x14ac:dyDescent="0.35">
      <c r="A14" s="8">
        <f t="shared" ref="A14:A21" si="0">A13+1</f>
        <v>4</v>
      </c>
      <c r="B14" s="5"/>
      <c r="C14" s="12"/>
      <c r="D14" s="14"/>
      <c r="E14" s="14"/>
      <c r="F14" s="12"/>
      <c r="G14" s="8">
        <f t="shared" ref="G14:G21" si="1">G13+1</f>
        <v>4</v>
      </c>
    </row>
    <row r="15" spans="1:8" ht="15.5" x14ac:dyDescent="0.35">
      <c r="A15" s="8">
        <f t="shared" si="0"/>
        <v>5</v>
      </c>
      <c r="B15" s="5" t="s">
        <v>8</v>
      </c>
      <c r="C15" s="12"/>
      <c r="D15" s="15">
        <f>'Pg14 Appendix XII C4 Int Calc'!G66</f>
        <v>3.1719101861226635</v>
      </c>
      <c r="E15" s="16"/>
      <c r="F15" s="12" t="s">
        <v>629</v>
      </c>
      <c r="G15" s="8">
        <f t="shared" si="1"/>
        <v>5</v>
      </c>
    </row>
    <row r="16" spans="1:8" ht="15.5" x14ac:dyDescent="0.35">
      <c r="A16" s="8">
        <f t="shared" si="0"/>
        <v>6</v>
      </c>
      <c r="B16" s="5"/>
      <c r="C16" s="12"/>
      <c r="D16" s="17"/>
      <c r="E16" s="17"/>
      <c r="F16" s="12"/>
      <c r="G16" s="8">
        <f t="shared" si="1"/>
        <v>6</v>
      </c>
    </row>
    <row r="17" spans="1:8" ht="15.5" x14ac:dyDescent="0.35">
      <c r="A17" s="8">
        <f t="shared" si="0"/>
        <v>7</v>
      </c>
      <c r="B17" s="606" t="s">
        <v>230</v>
      </c>
      <c r="C17" s="10"/>
      <c r="D17" s="607">
        <f>D13+D15</f>
        <v>20.878194882453048</v>
      </c>
      <c r="E17" s="14"/>
      <c r="F17" s="12" t="s">
        <v>388</v>
      </c>
      <c r="G17" s="8">
        <f t="shared" si="1"/>
        <v>7</v>
      </c>
      <c r="H17" s="666"/>
    </row>
    <row r="18" spans="1:8" ht="15.5" x14ac:dyDescent="0.35">
      <c r="A18" s="8">
        <f t="shared" si="0"/>
        <v>8</v>
      </c>
      <c r="B18" s="5"/>
      <c r="C18" s="12"/>
      <c r="D18" s="217"/>
      <c r="E18" s="5"/>
      <c r="F18" s="5"/>
      <c r="G18" s="8">
        <f t="shared" si="1"/>
        <v>8</v>
      </c>
    </row>
    <row r="19" spans="1:8" ht="15.5" x14ac:dyDescent="0.35">
      <c r="A19" s="8">
        <f t="shared" si="0"/>
        <v>9</v>
      </c>
      <c r="B19" s="340" t="s">
        <v>229</v>
      </c>
      <c r="C19" s="12"/>
      <c r="D19" s="531">
        <v>12</v>
      </c>
      <c r="E19" s="5"/>
      <c r="F19" s="5"/>
      <c r="G19" s="8">
        <f t="shared" si="1"/>
        <v>9</v>
      </c>
    </row>
    <row r="20" spans="1:8" ht="15.5" x14ac:dyDescent="0.35">
      <c r="A20" s="8">
        <f t="shared" si="0"/>
        <v>10</v>
      </c>
      <c r="B20" s="5"/>
      <c r="C20" s="12"/>
      <c r="D20" s="217"/>
      <c r="E20" s="5"/>
      <c r="F20" s="5"/>
      <c r="G20" s="8">
        <f t="shared" si="1"/>
        <v>10</v>
      </c>
    </row>
    <row r="21" spans="1:8" ht="16" thickBot="1" x14ac:dyDescent="0.4">
      <c r="A21" s="8">
        <f t="shared" si="0"/>
        <v>11</v>
      </c>
      <c r="B21" s="606" t="s">
        <v>341</v>
      </c>
      <c r="C21" s="5"/>
      <c r="D21" s="628">
        <f>D17/12</f>
        <v>1.7398495735377539</v>
      </c>
      <c r="E21" s="5"/>
      <c r="F21" s="12" t="s">
        <v>389</v>
      </c>
      <c r="G21" s="8">
        <f t="shared" si="1"/>
        <v>11</v>
      </c>
      <c r="H21" s="650"/>
    </row>
    <row r="22" spans="1:8" ht="16" thickTop="1" x14ac:dyDescent="0.35">
      <c r="A22" s="8"/>
      <c r="B22" s="219"/>
      <c r="C22" s="5"/>
      <c r="D22" s="530"/>
      <c r="E22" s="5"/>
      <c r="F22" s="5"/>
      <c r="G22" s="5"/>
    </row>
    <row r="23" spans="1:8" ht="15.5" x14ac:dyDescent="0.35">
      <c r="B23" s="5"/>
      <c r="C23" s="5"/>
      <c r="D23" s="5"/>
      <c r="E23" s="5"/>
      <c r="F23" s="5"/>
      <c r="G23" s="5"/>
    </row>
    <row r="24" spans="1:8" ht="17" x14ac:dyDescent="0.35">
      <c r="A24" s="18">
        <v>1</v>
      </c>
      <c r="B24" s="19" t="s">
        <v>342</v>
      </c>
      <c r="C24" s="5"/>
      <c r="D24" s="5"/>
      <c r="E24" s="5"/>
      <c r="F24" s="5"/>
      <c r="G24" s="5"/>
    </row>
    <row r="25" spans="1:8" ht="15.5" x14ac:dyDescent="0.35">
      <c r="B25" s="19" t="s">
        <v>644</v>
      </c>
      <c r="C25" s="5"/>
      <c r="D25" s="5"/>
      <c r="E25" s="5"/>
      <c r="F25" s="5"/>
      <c r="G25" s="5"/>
    </row>
    <row r="26" spans="1:8" ht="15.5" x14ac:dyDescent="0.35">
      <c r="B26" s="5"/>
      <c r="C26" s="5"/>
      <c r="D26" s="5"/>
      <c r="E26" s="5"/>
      <c r="F26" s="5"/>
      <c r="G26" s="5"/>
    </row>
    <row r="27" spans="1:8" ht="15.5" x14ac:dyDescent="0.35">
      <c r="B27" s="5"/>
      <c r="C27" s="5"/>
      <c r="D27" s="5"/>
      <c r="E27" s="5"/>
      <c r="F27" s="5"/>
      <c r="G27" s="5"/>
    </row>
    <row r="28" spans="1:8" ht="15.5" x14ac:dyDescent="0.35">
      <c r="B28" s="5"/>
      <c r="C28" s="5"/>
      <c r="D28" s="5"/>
      <c r="E28" s="5"/>
      <c r="F28" s="5"/>
      <c r="G28" s="5"/>
    </row>
    <row r="29" spans="1:8" ht="17" x14ac:dyDescent="0.35">
      <c r="A29" s="18"/>
      <c r="B29" s="5"/>
      <c r="C29" s="5"/>
      <c r="D29" s="5"/>
      <c r="E29" s="5"/>
      <c r="F29" s="5"/>
      <c r="G29" s="5"/>
    </row>
    <row r="30" spans="1:8" ht="15.5" x14ac:dyDescent="0.35">
      <c r="B30" s="5"/>
      <c r="C30" s="5"/>
      <c r="D30" s="5"/>
      <c r="E30" s="5"/>
      <c r="F30" s="5"/>
      <c r="G30" s="5"/>
    </row>
    <row r="31" spans="1:8" ht="15.5" x14ac:dyDescent="0.35">
      <c r="B31" s="5"/>
      <c r="C31" s="5"/>
      <c r="D31" s="5"/>
      <c r="E31" s="5"/>
      <c r="F31" s="5"/>
      <c r="G31" s="5"/>
    </row>
    <row r="32" spans="1:8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  <row r="40" spans="2:7" ht="15.5" x14ac:dyDescent="0.35">
      <c r="B40" s="5"/>
      <c r="C40" s="5"/>
      <c r="D40" s="5"/>
      <c r="E40" s="5"/>
      <c r="F40" s="5"/>
      <c r="G40" s="5"/>
    </row>
    <row r="41" spans="2:7" ht="15.5" x14ac:dyDescent="0.35">
      <c r="B41" s="5"/>
      <c r="C41" s="5"/>
      <c r="D41" s="5"/>
      <c r="E41" s="5"/>
      <c r="F41" s="5"/>
      <c r="G41" s="5"/>
    </row>
  </sheetData>
  <mergeCells count="2">
    <mergeCell ref="B6:F6"/>
    <mergeCell ref="B4:F4"/>
  </mergeCells>
  <printOptions horizontalCentered="1"/>
  <pageMargins left="0.5" right="0.5" top="0.5" bottom="0.5" header="0.25" footer="0.25"/>
  <pageSetup scale="65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6"/>
  <sheetViews>
    <sheetView zoomScale="80" zoomScaleNormal="80" workbookViewId="0"/>
  </sheetViews>
  <sheetFormatPr defaultColWidth="8.81640625" defaultRowHeight="15.5" x14ac:dyDescent="0.35"/>
  <cols>
    <col min="1" max="1" width="5.1796875" style="41" bestFit="1" customWidth="1"/>
    <col min="2" max="2" width="80.54296875" style="42" customWidth="1"/>
    <col min="3" max="3" width="21.1796875" style="42" customWidth="1"/>
    <col min="4" max="4" width="1.54296875" style="42" customWidth="1"/>
    <col min="5" max="5" width="16.81640625" style="42" customWidth="1"/>
    <col min="6" max="6" width="1.54296875" style="42" customWidth="1"/>
    <col min="7" max="7" width="53.81640625" style="42" customWidth="1"/>
    <col min="8" max="8" width="5.1796875" style="42" customWidth="1"/>
    <col min="9" max="9" width="9.1796875" style="42" bestFit="1" customWidth="1"/>
    <col min="10" max="10" width="20.453125" style="42" bestFit="1" customWidth="1"/>
    <col min="11" max="16384" width="8.81640625" style="42"/>
  </cols>
  <sheetData>
    <row r="1" spans="1:8" x14ac:dyDescent="0.35">
      <c r="G1" s="43"/>
      <c r="H1" s="41"/>
    </row>
    <row r="2" spans="1:8" x14ac:dyDescent="0.35">
      <c r="B2" s="758" t="s">
        <v>24</v>
      </c>
      <c r="C2" s="758"/>
      <c r="D2" s="758"/>
      <c r="E2" s="758"/>
      <c r="F2" s="758"/>
      <c r="G2" s="758"/>
      <c r="H2" s="41"/>
    </row>
    <row r="3" spans="1:8" x14ac:dyDescent="0.35">
      <c r="B3" s="758" t="s">
        <v>25</v>
      </c>
      <c r="C3" s="758"/>
      <c r="D3" s="758"/>
      <c r="E3" s="758"/>
      <c r="F3" s="758"/>
      <c r="G3" s="758"/>
      <c r="H3" s="41"/>
    </row>
    <row r="4" spans="1:8" x14ac:dyDescent="0.35">
      <c r="B4" s="758" t="s">
        <v>26</v>
      </c>
      <c r="C4" s="758"/>
      <c r="D4" s="758"/>
      <c r="E4" s="758"/>
      <c r="F4" s="758"/>
      <c r="G4" s="758"/>
      <c r="H4" s="41"/>
    </row>
    <row r="5" spans="1:8" x14ac:dyDescent="0.35">
      <c r="B5" s="761" t="s">
        <v>542</v>
      </c>
      <c r="C5" s="761"/>
      <c r="D5" s="761"/>
      <c r="E5" s="761"/>
      <c r="F5" s="761"/>
      <c r="G5" s="761"/>
      <c r="H5" s="41"/>
    </row>
    <row r="6" spans="1:8" x14ac:dyDescent="0.35">
      <c r="B6" s="760" t="s">
        <v>1</v>
      </c>
      <c r="C6" s="762"/>
      <c r="D6" s="762"/>
      <c r="E6" s="762"/>
      <c r="F6" s="762"/>
      <c r="G6" s="762"/>
      <c r="H6" s="41"/>
    </row>
    <row r="7" spans="1:8" x14ac:dyDescent="0.35">
      <c r="B7" s="41"/>
      <c r="C7" s="41"/>
      <c r="D7" s="41"/>
      <c r="E7" s="44"/>
      <c r="F7" s="44"/>
      <c r="G7" s="41"/>
      <c r="H7" s="41"/>
    </row>
    <row r="8" spans="1:8" x14ac:dyDescent="0.35">
      <c r="A8" s="41" t="s">
        <v>2</v>
      </c>
      <c r="B8" s="534"/>
      <c r="C8" s="41" t="s">
        <v>27</v>
      </c>
      <c r="D8" s="534"/>
      <c r="E8" s="45"/>
      <c r="F8" s="45"/>
      <c r="G8" s="41"/>
      <c r="H8" s="41" t="s">
        <v>2</v>
      </c>
    </row>
    <row r="9" spans="1:8" x14ac:dyDescent="0.35">
      <c r="A9" s="41" t="s">
        <v>6</v>
      </c>
      <c r="C9" s="455" t="s">
        <v>28</v>
      </c>
      <c r="D9" s="534"/>
      <c r="E9" s="456" t="s">
        <v>4</v>
      </c>
      <c r="F9" s="45"/>
      <c r="G9" s="455" t="s">
        <v>5</v>
      </c>
      <c r="H9" s="41" t="s">
        <v>6</v>
      </c>
    </row>
    <row r="10" spans="1:8" x14ac:dyDescent="0.35">
      <c r="C10" s="534"/>
      <c r="D10" s="534"/>
      <c r="E10" s="45"/>
      <c r="F10" s="45"/>
      <c r="G10" s="41"/>
      <c r="H10" s="41"/>
    </row>
    <row r="11" spans="1:8" x14ac:dyDescent="0.35">
      <c r="A11" s="41">
        <v>1</v>
      </c>
      <c r="B11" s="457" t="s">
        <v>301</v>
      </c>
      <c r="C11" s="534"/>
      <c r="D11" s="534"/>
      <c r="E11" s="45"/>
      <c r="F11" s="45"/>
      <c r="G11" s="41"/>
      <c r="H11" s="41">
        <f>A11</f>
        <v>1</v>
      </c>
    </row>
    <row r="12" spans="1:8" x14ac:dyDescent="0.35">
      <c r="A12" s="41">
        <f>+A11+1</f>
        <v>2</v>
      </c>
      <c r="B12" s="340" t="s">
        <v>302</v>
      </c>
      <c r="C12" s="534"/>
      <c r="D12" s="534"/>
      <c r="E12" s="47">
        <v>0</v>
      </c>
      <c r="F12" s="45"/>
      <c r="G12" s="41" t="s">
        <v>436</v>
      </c>
      <c r="H12" s="41">
        <f>H11+1</f>
        <v>2</v>
      </c>
    </row>
    <row r="13" spans="1:8" x14ac:dyDescent="0.35">
      <c r="A13" s="41">
        <f t="shared" ref="A13:A70" si="0">+A12+1</f>
        <v>3</v>
      </c>
      <c r="C13" s="534"/>
      <c r="D13" s="534"/>
      <c r="E13" s="45"/>
      <c r="F13" s="45"/>
      <c r="G13" s="41"/>
      <c r="H13" s="41">
        <f t="shared" ref="H13:H70" si="1">H12+1</f>
        <v>3</v>
      </c>
    </row>
    <row r="14" spans="1:8" x14ac:dyDescent="0.35">
      <c r="A14" s="41">
        <f t="shared" si="0"/>
        <v>4</v>
      </c>
      <c r="B14" s="457" t="s">
        <v>303</v>
      </c>
      <c r="G14" s="41"/>
      <c r="H14" s="41">
        <f t="shared" si="1"/>
        <v>4</v>
      </c>
    </row>
    <row r="15" spans="1:8" x14ac:dyDescent="0.35">
      <c r="A15" s="41">
        <f t="shared" si="0"/>
        <v>5</v>
      </c>
      <c r="B15" s="20" t="s">
        <v>304</v>
      </c>
      <c r="C15" s="41"/>
      <c r="E15" s="47">
        <v>99948.700800000006</v>
      </c>
      <c r="G15" s="41" t="s">
        <v>437</v>
      </c>
      <c r="H15" s="41">
        <f t="shared" si="1"/>
        <v>5</v>
      </c>
    </row>
    <row r="16" spans="1:8" x14ac:dyDescent="0.35">
      <c r="A16" s="41">
        <f t="shared" si="0"/>
        <v>6</v>
      </c>
      <c r="B16" s="26" t="s">
        <v>29</v>
      </c>
      <c r="E16" s="49"/>
      <c r="G16" s="41"/>
      <c r="H16" s="41">
        <f t="shared" si="1"/>
        <v>6</v>
      </c>
    </row>
    <row r="17" spans="1:10" x14ac:dyDescent="0.35">
      <c r="A17" s="41">
        <f t="shared" si="0"/>
        <v>7</v>
      </c>
      <c r="B17" s="20" t="s">
        <v>305</v>
      </c>
      <c r="C17" s="41"/>
      <c r="E17" s="50">
        <v>-5200.3239999999996</v>
      </c>
      <c r="G17" s="41" t="s">
        <v>438</v>
      </c>
      <c r="H17" s="41">
        <f t="shared" si="1"/>
        <v>7</v>
      </c>
    </row>
    <row r="18" spans="1:10" x14ac:dyDescent="0.35">
      <c r="A18" s="41">
        <f t="shared" si="0"/>
        <v>8</v>
      </c>
      <c r="B18" s="20" t="s">
        <v>306</v>
      </c>
      <c r="E18" s="50">
        <v>-2469.29151</v>
      </c>
      <c r="G18" s="41" t="s">
        <v>439</v>
      </c>
      <c r="H18" s="41">
        <f t="shared" si="1"/>
        <v>8</v>
      </c>
    </row>
    <row r="19" spans="1:10" x14ac:dyDescent="0.35">
      <c r="A19" s="41">
        <f t="shared" si="0"/>
        <v>9</v>
      </c>
      <c r="B19" s="340" t="s">
        <v>307</v>
      </c>
      <c r="E19" s="50">
        <v>-6458.357</v>
      </c>
      <c r="G19" s="41" t="s">
        <v>440</v>
      </c>
      <c r="H19" s="41">
        <f t="shared" si="1"/>
        <v>9</v>
      </c>
    </row>
    <row r="20" spans="1:10" x14ac:dyDescent="0.35">
      <c r="A20" s="41">
        <f t="shared" si="0"/>
        <v>10</v>
      </c>
      <c r="B20" s="340" t="s">
        <v>308</v>
      </c>
      <c r="E20" s="50">
        <v>-9764.84</v>
      </c>
      <c r="G20" s="41" t="s">
        <v>441</v>
      </c>
      <c r="H20" s="41">
        <f t="shared" si="1"/>
        <v>10</v>
      </c>
    </row>
    <row r="21" spans="1:10" x14ac:dyDescent="0.35">
      <c r="A21" s="41">
        <f t="shared" si="0"/>
        <v>11</v>
      </c>
      <c r="B21" s="20" t="s">
        <v>309</v>
      </c>
      <c r="E21" s="50">
        <v>0</v>
      </c>
      <c r="G21" s="41" t="s">
        <v>442</v>
      </c>
      <c r="H21" s="41">
        <f t="shared" si="1"/>
        <v>11</v>
      </c>
    </row>
    <row r="22" spans="1:10" x14ac:dyDescent="0.35">
      <c r="A22" s="41">
        <f t="shared" si="0"/>
        <v>12</v>
      </c>
      <c r="B22" s="20" t="s">
        <v>310</v>
      </c>
      <c r="E22" s="50">
        <v>-325.87329000000057</v>
      </c>
      <c r="G22" s="41" t="s">
        <v>443</v>
      </c>
      <c r="H22" s="41">
        <f t="shared" si="1"/>
        <v>12</v>
      </c>
    </row>
    <row r="23" spans="1:10" x14ac:dyDescent="0.35">
      <c r="A23" s="41">
        <f t="shared" si="0"/>
        <v>13</v>
      </c>
      <c r="B23" s="340" t="s">
        <v>311</v>
      </c>
      <c r="E23" s="50">
        <v>-15716.966</v>
      </c>
      <c r="G23" s="41" t="s">
        <v>444</v>
      </c>
      <c r="H23" s="41">
        <f t="shared" si="1"/>
        <v>13</v>
      </c>
    </row>
    <row r="24" spans="1:10" x14ac:dyDescent="0.35">
      <c r="A24" s="41">
        <f t="shared" si="0"/>
        <v>14</v>
      </c>
      <c r="B24" s="340" t="s">
        <v>312</v>
      </c>
      <c r="E24" s="50">
        <v>-26863.351999999999</v>
      </c>
      <c r="G24" s="41" t="s">
        <v>445</v>
      </c>
      <c r="H24" s="41">
        <f t="shared" si="1"/>
        <v>14</v>
      </c>
    </row>
    <row r="25" spans="1:10" x14ac:dyDescent="0.35">
      <c r="A25" s="41">
        <f t="shared" si="0"/>
        <v>15</v>
      </c>
      <c r="B25" s="340" t="s">
        <v>313</v>
      </c>
      <c r="E25" s="50">
        <v>-1113.175</v>
      </c>
      <c r="G25" s="41" t="s">
        <v>446</v>
      </c>
      <c r="H25" s="41">
        <f t="shared" si="1"/>
        <v>15</v>
      </c>
    </row>
    <row r="26" spans="1:10" x14ac:dyDescent="0.35">
      <c r="A26" s="41">
        <f t="shared" si="0"/>
        <v>16</v>
      </c>
      <c r="B26" s="20" t="s">
        <v>314</v>
      </c>
      <c r="E26" s="51">
        <v>1614.6884600000001</v>
      </c>
      <c r="G26" s="41" t="s">
        <v>315</v>
      </c>
      <c r="H26" s="41">
        <f t="shared" si="1"/>
        <v>16</v>
      </c>
    </row>
    <row r="27" spans="1:10" x14ac:dyDescent="0.35">
      <c r="A27" s="41">
        <f t="shared" si="0"/>
        <v>17</v>
      </c>
      <c r="B27" s="20" t="s">
        <v>317</v>
      </c>
      <c r="E27" s="163">
        <f>SUM(E15:E26)</f>
        <v>33651.210460000017</v>
      </c>
      <c r="F27" s="27"/>
      <c r="G27" s="35" t="s">
        <v>447</v>
      </c>
      <c r="H27" s="41">
        <f t="shared" si="1"/>
        <v>17</v>
      </c>
    </row>
    <row r="28" spans="1:10" x14ac:dyDescent="0.35">
      <c r="A28" s="41">
        <f t="shared" si="0"/>
        <v>18</v>
      </c>
      <c r="E28" s="40"/>
      <c r="H28" s="41">
        <f t="shared" si="1"/>
        <v>18</v>
      </c>
    </row>
    <row r="29" spans="1:10" x14ac:dyDescent="0.35">
      <c r="A29" s="41">
        <f t="shared" si="0"/>
        <v>19</v>
      </c>
      <c r="B29" s="458" t="s">
        <v>318</v>
      </c>
      <c r="E29" s="52"/>
      <c r="G29" s="41"/>
      <c r="H29" s="41">
        <f t="shared" si="1"/>
        <v>19</v>
      </c>
    </row>
    <row r="30" spans="1:10" x14ac:dyDescent="0.35">
      <c r="A30" s="41">
        <f t="shared" si="0"/>
        <v>20</v>
      </c>
      <c r="B30" s="26" t="s">
        <v>319</v>
      </c>
      <c r="C30" s="41"/>
      <c r="E30" s="47">
        <f>'Pg8.3 As Filed-AH-3-Cost Adj'!D31</f>
        <v>595154.03483999986</v>
      </c>
      <c r="G30" s="41" t="s">
        <v>612</v>
      </c>
      <c r="H30" s="41">
        <f t="shared" si="1"/>
        <v>20</v>
      </c>
    </row>
    <row r="31" spans="1:10" x14ac:dyDescent="0.35">
      <c r="A31" s="41">
        <f t="shared" si="0"/>
        <v>21</v>
      </c>
      <c r="B31" s="26" t="s">
        <v>30</v>
      </c>
      <c r="E31" s="52" t="s">
        <v>11</v>
      </c>
      <c r="G31" s="41"/>
      <c r="H31" s="41">
        <f t="shared" si="1"/>
        <v>21</v>
      </c>
    </row>
    <row r="32" spans="1:10" x14ac:dyDescent="0.35">
      <c r="A32" s="41">
        <f t="shared" si="0"/>
        <v>22</v>
      </c>
      <c r="B32" s="48" t="s">
        <v>31</v>
      </c>
      <c r="E32" s="50">
        <f>-'Pg8.2 Rev AH-3'!D72</f>
        <v>-2360.7200000000003</v>
      </c>
      <c r="G32" s="41" t="s">
        <v>631</v>
      </c>
      <c r="H32" s="41">
        <f t="shared" si="1"/>
        <v>22</v>
      </c>
      <c r="I32" s="459"/>
      <c r="J32" s="54"/>
    </row>
    <row r="33" spans="1:10" ht="31" x14ac:dyDescent="0.35">
      <c r="A33" s="41">
        <f t="shared" si="0"/>
        <v>23</v>
      </c>
      <c r="B33" s="48" t="s">
        <v>32</v>
      </c>
      <c r="E33" s="50">
        <f>-('Pg8.3 As Filed-AH-3-Cost Adj'!D35+'Pg8.3 As Filed-AH-3-Cost Adj'!D38+'Pg8.3 As Filed-AH-3-Cost Adj'!D42+'Pg8.3 As Filed-AH-3-Cost Adj'!D48+'Pg8.3 As Filed-AH-3-Cost Adj'!D51+'Pg8.3 As Filed-AH-3-Cost Adj'!D56+'Pg8.3 As Filed-AH-3-Cost Adj'!D65)</f>
        <v>555.40800074000003</v>
      </c>
      <c r="G33" s="53" t="s">
        <v>632</v>
      </c>
      <c r="H33" s="41">
        <f t="shared" si="1"/>
        <v>23</v>
      </c>
      <c r="I33" s="459"/>
      <c r="J33" s="54"/>
    </row>
    <row r="34" spans="1:10" x14ac:dyDescent="0.35">
      <c r="A34" s="41">
        <f t="shared" si="0"/>
        <v>24</v>
      </c>
      <c r="B34" s="48" t="s">
        <v>121</v>
      </c>
      <c r="E34" s="50">
        <f>-'Pg8.3 As Filed-AH-3-Cost Adj'!D58</f>
        <v>0</v>
      </c>
      <c r="G34" s="41" t="s">
        <v>633</v>
      </c>
      <c r="H34" s="41">
        <f t="shared" si="1"/>
        <v>24</v>
      </c>
    </row>
    <row r="35" spans="1:10" x14ac:dyDescent="0.35">
      <c r="A35" s="41">
        <f t="shared" si="0"/>
        <v>25</v>
      </c>
      <c r="B35" s="48" t="s">
        <v>33</v>
      </c>
      <c r="E35" s="50">
        <f>-'Pg8.3 As Filed-AH-3-Cost Adj'!D59</f>
        <v>-2085.1866</v>
      </c>
      <c r="G35" s="41" t="s">
        <v>634</v>
      </c>
      <c r="H35" s="41">
        <f t="shared" si="1"/>
        <v>25</v>
      </c>
      <c r="J35" s="54"/>
    </row>
    <row r="36" spans="1:10" x14ac:dyDescent="0.35">
      <c r="A36" s="41">
        <f t="shared" si="0"/>
        <v>26</v>
      </c>
      <c r="B36" s="48" t="s">
        <v>34</v>
      </c>
      <c r="E36" s="50">
        <f>-'Pg8.3 As Filed-AH-3-Cost Adj'!D55</f>
        <v>-13015.817289999999</v>
      </c>
      <c r="G36" s="41" t="s">
        <v>635</v>
      </c>
      <c r="H36" s="41">
        <f t="shared" si="1"/>
        <v>26</v>
      </c>
      <c r="J36" s="54"/>
    </row>
    <row r="37" spans="1:10" x14ac:dyDescent="0.35">
      <c r="A37" s="41">
        <f t="shared" si="0"/>
        <v>27</v>
      </c>
      <c r="B37" s="48" t="s">
        <v>35</v>
      </c>
      <c r="E37" s="50">
        <v>0</v>
      </c>
      <c r="G37" s="639" t="s">
        <v>533</v>
      </c>
      <c r="H37" s="41">
        <f t="shared" si="1"/>
        <v>27</v>
      </c>
      <c r="J37" s="54"/>
    </row>
    <row r="38" spans="1:10" x14ac:dyDescent="0.35">
      <c r="A38" s="41">
        <f t="shared" si="0"/>
        <v>28</v>
      </c>
      <c r="B38" s="48" t="s">
        <v>36</v>
      </c>
      <c r="E38" s="50">
        <f>-'Pg8.3 As Filed-AH-3-Cost Adj'!E61+'Pg8.3 As Filed-AH-3-Cost Adj'!H22</f>
        <v>204.155</v>
      </c>
      <c r="F38" s="27"/>
      <c r="G38" s="53" t="s">
        <v>636</v>
      </c>
      <c r="H38" s="41">
        <f t="shared" si="1"/>
        <v>28</v>
      </c>
      <c r="I38" s="459"/>
    </row>
    <row r="39" spans="1:10" x14ac:dyDescent="0.35">
      <c r="A39" s="41">
        <f t="shared" si="0"/>
        <v>29</v>
      </c>
      <c r="B39" s="48" t="s">
        <v>37</v>
      </c>
      <c r="E39" s="50">
        <f>-'Pg8.3 As Filed-AH-3-Cost Adj'!E54</f>
        <v>-130506.76528000001</v>
      </c>
      <c r="G39" s="41" t="s">
        <v>642</v>
      </c>
      <c r="H39" s="41">
        <f t="shared" si="1"/>
        <v>29</v>
      </c>
      <c r="I39" s="459"/>
      <c r="J39" s="54"/>
    </row>
    <row r="40" spans="1:10" x14ac:dyDescent="0.35">
      <c r="A40" s="41">
        <f t="shared" si="0"/>
        <v>30</v>
      </c>
      <c r="B40" s="48" t="s">
        <v>38</v>
      </c>
      <c r="E40" s="50">
        <f>-'Pg8.3 As Filed-AH-3-Cost Adj'!D66</f>
        <v>-12.147468914000001</v>
      </c>
      <c r="G40" s="53" t="s">
        <v>641</v>
      </c>
      <c r="H40" s="41">
        <f t="shared" si="1"/>
        <v>30</v>
      </c>
    </row>
    <row r="41" spans="1:10" x14ac:dyDescent="0.35">
      <c r="A41" s="41">
        <f t="shared" si="0"/>
        <v>31</v>
      </c>
      <c r="B41" s="48" t="s">
        <v>39</v>
      </c>
      <c r="E41" s="50">
        <f>-'Pg8.3 As Filed-AH-3-Cost Adj'!D57</f>
        <v>-40.544630000000005</v>
      </c>
      <c r="G41" s="53" t="s">
        <v>637</v>
      </c>
      <c r="H41" s="41">
        <f t="shared" si="1"/>
        <v>31</v>
      </c>
    </row>
    <row r="42" spans="1:10" ht="46.5" x14ac:dyDescent="0.35">
      <c r="A42" s="41">
        <f t="shared" si="0"/>
        <v>32</v>
      </c>
      <c r="B42" s="48" t="s">
        <v>40</v>
      </c>
      <c r="E42" s="50">
        <f>-('Pg8.3 As Filed-AH-3-Cost Adj'!D36+'Pg8.3 As Filed-AH-3-Cost Adj'!D37+'Pg8.3 As Filed-AH-3-Cost Adj'!D39+'Pg8.3 As Filed-AH-3-Cost Adj'!D40+'Pg8.3 As Filed-AH-3-Cost Adj'!D43+'Pg8.3 As Filed-AH-3-Cost Adj'!D44+'Pg8.3 As Filed-AH-3-Cost Adj'!D45+'Pg8.3 As Filed-AH-3-Cost Adj'!D46+'Pg8.3 As Filed-AH-3-Cost Adj'!D47+'Pg8.3 As Filed-AH-3-Cost Adj'!D49+'Pg8.3 As Filed-AH-3-Cost Adj'!D50+'Pg8.3 As Filed-AH-3-Cost Adj'!D52+'Pg8.3 As Filed-AH-3-Cost Adj'!D53+'Pg8.3 As Filed-AH-3-Cost Adj'!D60+'Pg8.3 As Filed-AH-3-Cost Adj'!D63+'Pg8.3 As Filed-AH-3-Cost Adj'!D64+'Pg8.3 As Filed-AH-3-Cost Adj'!E41)</f>
        <v>-24673.96447250203</v>
      </c>
      <c r="G42" s="53" t="s">
        <v>638</v>
      </c>
      <c r="H42" s="41">
        <f t="shared" si="1"/>
        <v>32</v>
      </c>
    </row>
    <row r="43" spans="1:10" x14ac:dyDescent="0.35">
      <c r="A43" s="41">
        <f t="shared" si="0"/>
        <v>33</v>
      </c>
      <c r="B43" s="42" t="s">
        <v>619</v>
      </c>
      <c r="E43" s="50">
        <f>'Pg8.3 As Filed-AH-3-Cost Adj'!H31-'Pg8.3 As Filed-AH-3-Cost Adj'!H22</f>
        <v>-90.331999999999994</v>
      </c>
      <c r="F43" s="27"/>
      <c r="G43" s="41" t="s">
        <v>639</v>
      </c>
      <c r="H43" s="41">
        <f t="shared" si="1"/>
        <v>33</v>
      </c>
      <c r="I43" s="54"/>
    </row>
    <row r="44" spans="1:10" x14ac:dyDescent="0.35">
      <c r="A44" s="41">
        <f t="shared" si="0"/>
        <v>34</v>
      </c>
      <c r="B44" s="535" t="s">
        <v>316</v>
      </c>
      <c r="E44" s="460">
        <f>'Pg8.2 Rev AH-3'!L33</f>
        <v>16552.13812</v>
      </c>
      <c r="F44" s="27" t="s">
        <v>16</v>
      </c>
      <c r="G44" s="41" t="s">
        <v>640</v>
      </c>
      <c r="H44" s="41">
        <f t="shared" si="1"/>
        <v>34</v>
      </c>
      <c r="I44" s="54"/>
    </row>
    <row r="45" spans="1:10" x14ac:dyDescent="0.35">
      <c r="A45" s="41">
        <f t="shared" si="0"/>
        <v>35</v>
      </c>
      <c r="B45" s="26" t="s">
        <v>320</v>
      </c>
      <c r="E45" s="55">
        <f>SUM(E30:E44)</f>
        <v>439680.25821932388</v>
      </c>
      <c r="F45" s="27" t="s">
        <v>16</v>
      </c>
      <c r="G45" s="41" t="s">
        <v>598</v>
      </c>
      <c r="H45" s="41">
        <f t="shared" si="1"/>
        <v>35</v>
      </c>
    </row>
    <row r="46" spans="1:10" x14ac:dyDescent="0.35">
      <c r="A46" s="41">
        <f t="shared" si="0"/>
        <v>36</v>
      </c>
      <c r="B46" s="26" t="s">
        <v>41</v>
      </c>
      <c r="E46" s="461">
        <f>-'Pg8.3 As Filed-AH-3-Cost Adj'!F16</f>
        <v>-8310.402</v>
      </c>
      <c r="G46" s="41" t="s">
        <v>643</v>
      </c>
      <c r="H46" s="41">
        <f t="shared" si="1"/>
        <v>36</v>
      </c>
    </row>
    <row r="47" spans="1:10" x14ac:dyDescent="0.35">
      <c r="A47" s="41">
        <f t="shared" si="0"/>
        <v>37</v>
      </c>
      <c r="B47" s="26" t="s">
        <v>321</v>
      </c>
      <c r="E47" s="55">
        <f>SUM(E45:E46)</f>
        <v>431369.85621932388</v>
      </c>
      <c r="F47" s="27" t="s">
        <v>16</v>
      </c>
      <c r="G47" s="41" t="s">
        <v>599</v>
      </c>
      <c r="H47" s="41">
        <f t="shared" si="1"/>
        <v>37</v>
      </c>
    </row>
    <row r="48" spans="1:10" x14ac:dyDescent="0.35">
      <c r="A48" s="41">
        <f t="shared" si="0"/>
        <v>38</v>
      </c>
      <c r="B48" s="20" t="s">
        <v>42</v>
      </c>
      <c r="E48" s="462">
        <v>0.10287974321775711</v>
      </c>
      <c r="G48" s="35" t="s">
        <v>448</v>
      </c>
      <c r="H48" s="41">
        <f t="shared" si="1"/>
        <v>38</v>
      </c>
    </row>
    <row r="49" spans="1:9" x14ac:dyDescent="0.35">
      <c r="A49" s="41">
        <f t="shared" si="0"/>
        <v>39</v>
      </c>
      <c r="B49" s="26" t="s">
        <v>322</v>
      </c>
      <c r="E49" s="56">
        <f>E47*E48</f>
        <v>44379.220039724845</v>
      </c>
      <c r="F49" s="27" t="s">
        <v>16</v>
      </c>
      <c r="G49" s="41" t="s">
        <v>600</v>
      </c>
      <c r="H49" s="41">
        <f t="shared" si="1"/>
        <v>39</v>
      </c>
    </row>
    <row r="50" spans="1:9" x14ac:dyDescent="0.35">
      <c r="A50" s="41">
        <f t="shared" si="0"/>
        <v>40</v>
      </c>
      <c r="B50" s="42" t="s">
        <v>43</v>
      </c>
      <c r="E50" s="463">
        <f>E70*(-E46)</f>
        <v>3315.0316733642535</v>
      </c>
      <c r="G50" s="41" t="s">
        <v>601</v>
      </c>
      <c r="H50" s="41">
        <f t="shared" si="1"/>
        <v>40</v>
      </c>
    </row>
    <row r="51" spans="1:9" ht="16" thickBot="1" x14ac:dyDescent="0.4">
      <c r="A51" s="41">
        <f t="shared" si="0"/>
        <v>41</v>
      </c>
      <c r="B51" s="48" t="s">
        <v>323</v>
      </c>
      <c r="E51" s="464">
        <f>E50+E49</f>
        <v>47694.251713089099</v>
      </c>
      <c r="F51" s="27" t="s">
        <v>16</v>
      </c>
      <c r="G51" s="41" t="s">
        <v>602</v>
      </c>
      <c r="H51" s="41">
        <f t="shared" si="1"/>
        <v>41</v>
      </c>
      <c r="I51" s="48"/>
    </row>
    <row r="52" spans="1:9" ht="16" thickTop="1" x14ac:dyDescent="0.35">
      <c r="A52" s="41">
        <f t="shared" si="0"/>
        <v>42</v>
      </c>
      <c r="B52" s="57"/>
      <c r="E52" s="58"/>
      <c r="G52" s="41"/>
      <c r="H52" s="41">
        <f t="shared" si="1"/>
        <v>42</v>
      </c>
    </row>
    <row r="53" spans="1:9" x14ac:dyDescent="0.35">
      <c r="A53" s="41">
        <f t="shared" si="0"/>
        <v>43</v>
      </c>
      <c r="B53" s="29" t="s">
        <v>44</v>
      </c>
      <c r="E53" s="59"/>
      <c r="G53" s="41"/>
      <c r="H53" s="41">
        <f t="shared" si="1"/>
        <v>43</v>
      </c>
    </row>
    <row r="54" spans="1:9" x14ac:dyDescent="0.35">
      <c r="A54" s="41">
        <f t="shared" si="0"/>
        <v>44</v>
      </c>
      <c r="B54" s="26" t="s">
        <v>45</v>
      </c>
      <c r="E54" s="36">
        <v>6659410.4084030753</v>
      </c>
      <c r="G54" s="41" t="s">
        <v>449</v>
      </c>
      <c r="H54" s="41">
        <f t="shared" si="1"/>
        <v>44</v>
      </c>
    </row>
    <row r="55" spans="1:9" x14ac:dyDescent="0.35">
      <c r="A55" s="41">
        <f t="shared" si="0"/>
        <v>45</v>
      </c>
      <c r="B55" s="26" t="s">
        <v>20</v>
      </c>
      <c r="E55" s="60">
        <v>0</v>
      </c>
      <c r="G55" s="41" t="s">
        <v>19</v>
      </c>
      <c r="H55" s="41">
        <f t="shared" si="1"/>
        <v>45</v>
      </c>
    </row>
    <row r="56" spans="1:9" x14ac:dyDescent="0.35">
      <c r="A56" s="41">
        <f t="shared" si="0"/>
        <v>46</v>
      </c>
      <c r="B56" s="26" t="s">
        <v>21</v>
      </c>
      <c r="E56" s="61">
        <v>47368.546650440985</v>
      </c>
      <c r="G56" s="62" t="s">
        <v>450</v>
      </c>
      <c r="H56" s="41">
        <f t="shared" si="1"/>
        <v>46</v>
      </c>
    </row>
    <row r="57" spans="1:9" x14ac:dyDescent="0.35">
      <c r="A57" s="41">
        <f t="shared" si="0"/>
        <v>47</v>
      </c>
      <c r="B57" s="26" t="s">
        <v>46</v>
      </c>
      <c r="E57" s="465">
        <v>117205.19981479381</v>
      </c>
      <c r="G57" s="62" t="s">
        <v>451</v>
      </c>
      <c r="H57" s="41">
        <f t="shared" si="1"/>
        <v>47</v>
      </c>
    </row>
    <row r="58" spans="1:9" ht="16" thickBot="1" x14ac:dyDescent="0.4">
      <c r="A58" s="41">
        <f t="shared" si="0"/>
        <v>48</v>
      </c>
      <c r="B58" s="26" t="s">
        <v>47</v>
      </c>
      <c r="E58" s="63">
        <f>SUM(E54:E57)</f>
        <v>6823984.1548683103</v>
      </c>
      <c r="G58" s="41" t="s">
        <v>452</v>
      </c>
      <c r="H58" s="41">
        <f t="shared" si="1"/>
        <v>48</v>
      </c>
      <c r="I58" s="48"/>
    </row>
    <row r="59" spans="1:9" ht="16" thickTop="1" x14ac:dyDescent="0.35">
      <c r="A59" s="41">
        <f t="shared" si="0"/>
        <v>49</v>
      </c>
      <c r="B59" s="57"/>
      <c r="E59" s="40"/>
      <c r="G59" s="41"/>
      <c r="H59" s="41">
        <f t="shared" si="1"/>
        <v>49</v>
      </c>
    </row>
    <row r="60" spans="1:9" x14ac:dyDescent="0.35">
      <c r="A60" s="41">
        <f t="shared" si="0"/>
        <v>50</v>
      </c>
      <c r="B60" s="26" t="s">
        <v>48</v>
      </c>
      <c r="E60" s="64">
        <f>E54</f>
        <v>6659410.4084030753</v>
      </c>
      <c r="G60" s="65" t="s">
        <v>453</v>
      </c>
      <c r="H60" s="41">
        <f t="shared" si="1"/>
        <v>50</v>
      </c>
    </row>
    <row r="61" spans="1:9" x14ac:dyDescent="0.35">
      <c r="A61" s="41">
        <f t="shared" si="0"/>
        <v>51</v>
      </c>
      <c r="B61" s="26" t="s">
        <v>49</v>
      </c>
      <c r="E61" s="37">
        <v>557045.05025384598</v>
      </c>
      <c r="G61" s="62" t="s">
        <v>454</v>
      </c>
      <c r="H61" s="41">
        <f t="shared" si="1"/>
        <v>51</v>
      </c>
    </row>
    <row r="62" spans="1:9" x14ac:dyDescent="0.35">
      <c r="A62" s="41">
        <f t="shared" si="0"/>
        <v>52</v>
      </c>
      <c r="B62" s="26" t="s">
        <v>50</v>
      </c>
      <c r="E62" s="60">
        <v>0</v>
      </c>
      <c r="G62" s="41" t="s">
        <v>19</v>
      </c>
      <c r="H62" s="41">
        <f t="shared" si="1"/>
        <v>52</v>
      </c>
    </row>
    <row r="63" spans="1:9" x14ac:dyDescent="0.35">
      <c r="A63" s="41">
        <f t="shared" si="0"/>
        <v>53</v>
      </c>
      <c r="B63" s="26" t="s">
        <v>51</v>
      </c>
      <c r="E63" s="37">
        <v>529465.61728230771</v>
      </c>
      <c r="G63" s="62" t="s">
        <v>455</v>
      </c>
      <c r="H63" s="41">
        <f t="shared" si="1"/>
        <v>53</v>
      </c>
    </row>
    <row r="64" spans="1:9" x14ac:dyDescent="0.35">
      <c r="A64" s="41">
        <f t="shared" si="0"/>
        <v>54</v>
      </c>
      <c r="B64" s="26" t="s">
        <v>52</v>
      </c>
      <c r="E64" s="37">
        <v>7761348.9741599998</v>
      </c>
      <c r="G64" s="62" t="s">
        <v>456</v>
      </c>
      <c r="H64" s="41">
        <f t="shared" si="1"/>
        <v>54</v>
      </c>
    </row>
    <row r="65" spans="1:9" x14ac:dyDescent="0.35">
      <c r="A65" s="41">
        <f t="shared" si="0"/>
        <v>55</v>
      </c>
      <c r="B65" s="48" t="s">
        <v>20</v>
      </c>
      <c r="E65" s="60">
        <v>0</v>
      </c>
      <c r="G65" s="41" t="s">
        <v>19</v>
      </c>
      <c r="H65" s="41">
        <f t="shared" si="1"/>
        <v>55</v>
      </c>
    </row>
    <row r="66" spans="1:9" x14ac:dyDescent="0.35">
      <c r="A66" s="41">
        <f t="shared" si="0"/>
        <v>56</v>
      </c>
      <c r="B66" s="26" t="s">
        <v>53</v>
      </c>
      <c r="E66" s="37">
        <v>460426.36935999995</v>
      </c>
      <c r="G66" s="62" t="s">
        <v>457</v>
      </c>
      <c r="H66" s="41">
        <f t="shared" si="1"/>
        <v>56</v>
      </c>
    </row>
    <row r="67" spans="1:9" x14ac:dyDescent="0.35">
      <c r="A67" s="41">
        <f t="shared" si="0"/>
        <v>57</v>
      </c>
      <c r="B67" s="26" t="s">
        <v>54</v>
      </c>
      <c r="E67" s="466">
        <v>1139244.6768331758</v>
      </c>
      <c r="G67" s="62" t="s">
        <v>458</v>
      </c>
      <c r="H67" s="41">
        <f t="shared" si="1"/>
        <v>57</v>
      </c>
    </row>
    <row r="68" spans="1:9" ht="16" thickBot="1" x14ac:dyDescent="0.4">
      <c r="A68" s="41">
        <f t="shared" si="0"/>
        <v>58</v>
      </c>
      <c r="B68" s="26" t="s">
        <v>55</v>
      </c>
      <c r="E68" s="66">
        <f>SUM(E60:E67)</f>
        <v>17106941.096292403</v>
      </c>
      <c r="G68" s="41" t="s">
        <v>459</v>
      </c>
      <c r="H68" s="41">
        <f t="shared" si="1"/>
        <v>58</v>
      </c>
      <c r="I68" s="48"/>
    </row>
    <row r="69" spans="1:9" ht="16" thickTop="1" x14ac:dyDescent="0.35">
      <c r="A69" s="41">
        <f t="shared" si="0"/>
        <v>59</v>
      </c>
      <c r="E69" s="67"/>
      <c r="G69" s="41"/>
      <c r="H69" s="41">
        <f t="shared" si="1"/>
        <v>59</v>
      </c>
    </row>
    <row r="70" spans="1:9" ht="19" thickBot="1" x14ac:dyDescent="0.4">
      <c r="A70" s="41">
        <f t="shared" si="0"/>
        <v>60</v>
      </c>
      <c r="B70" s="26" t="s">
        <v>324</v>
      </c>
      <c r="E70" s="68">
        <f>E58/E68</f>
        <v>0.39890148194566921</v>
      </c>
      <c r="G70" s="41" t="s">
        <v>603</v>
      </c>
      <c r="H70" s="41">
        <f t="shared" si="1"/>
        <v>60</v>
      </c>
      <c r="I70" s="48"/>
    </row>
    <row r="71" spans="1:9" ht="16" thickTop="1" x14ac:dyDescent="0.35">
      <c r="B71" s="48" t="s">
        <v>11</v>
      </c>
      <c r="E71" s="69"/>
      <c r="G71" s="41"/>
      <c r="H71" s="41"/>
    </row>
    <row r="72" spans="1:9" x14ac:dyDescent="0.35">
      <c r="B72" s="48"/>
      <c r="E72" s="69"/>
      <c r="G72" s="41"/>
      <c r="H72" s="41"/>
    </row>
    <row r="73" spans="1:9" x14ac:dyDescent="0.35">
      <c r="A73" s="27" t="s">
        <v>16</v>
      </c>
      <c r="B73" s="24" t="str">
        <f>'Pg2 Appendix XII C4 Comparison'!B57</f>
        <v>Items in BOLD have changed due to A&amp;G adj. missed in prior cost adj. and CEMA/WMPMA exclusion corrections compared to the original SX-PQ Appendix XII Cycle 4</v>
      </c>
      <c r="E73" s="69"/>
      <c r="F73" s="69"/>
      <c r="G73" s="41"/>
      <c r="H73" s="41"/>
    </row>
    <row r="74" spans="1:9" x14ac:dyDescent="0.35">
      <c r="A74" s="27"/>
      <c r="B74" s="24" t="str">
        <f>'Pg2 Appendix XII C4 Comparison'!B58</f>
        <v>per ER22-133 and cost adj. incl. in Appendix XII Cycle 5 per ER23-110.</v>
      </c>
      <c r="E74" s="69"/>
      <c r="F74" s="69"/>
      <c r="G74" s="41"/>
      <c r="H74" s="41"/>
    </row>
    <row r="75" spans="1:9" ht="18" x14ac:dyDescent="0.35">
      <c r="A75" s="71">
        <v>1</v>
      </c>
      <c r="B75" s="26" t="s">
        <v>494</v>
      </c>
      <c r="H75" s="41"/>
    </row>
    <row r="76" spans="1:9" x14ac:dyDescent="0.35">
      <c r="B76" s="48"/>
      <c r="E76" s="67"/>
      <c r="F76" s="67"/>
      <c r="G76" s="41"/>
      <c r="H76" s="41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2FCC-C445-4BFC-BB3C-EE424542E92D}">
  <sheetPr>
    <pageSetUpPr fitToPage="1"/>
  </sheetPr>
  <dimension ref="A1:J75"/>
  <sheetViews>
    <sheetView zoomScale="80" zoomScaleNormal="80" workbookViewId="0"/>
  </sheetViews>
  <sheetFormatPr defaultColWidth="8.81640625" defaultRowHeight="15.5" x14ac:dyDescent="0.35"/>
  <cols>
    <col min="1" max="1" width="5.1796875" style="41" bestFit="1" customWidth="1"/>
    <col min="2" max="2" width="80.54296875" style="42" customWidth="1"/>
    <col min="3" max="3" width="21.1796875" style="42" customWidth="1"/>
    <col min="4" max="4" width="1.54296875" style="42" customWidth="1"/>
    <col min="5" max="5" width="16.81640625" style="42" customWidth="1"/>
    <col min="6" max="6" width="1.54296875" style="42" customWidth="1"/>
    <col min="7" max="7" width="53.81640625" style="42" customWidth="1"/>
    <col min="8" max="8" width="5.1796875" style="42" customWidth="1"/>
    <col min="9" max="9" width="9.1796875" style="42" bestFit="1" customWidth="1"/>
    <col min="10" max="10" width="20.453125" style="42" bestFit="1" customWidth="1"/>
    <col min="11" max="16384" width="8.81640625" style="42"/>
  </cols>
  <sheetData>
    <row r="1" spans="1:8" x14ac:dyDescent="0.35">
      <c r="A1" s="668" t="s">
        <v>588</v>
      </c>
    </row>
    <row r="2" spans="1:8" x14ac:dyDescent="0.35">
      <c r="G2" s="43"/>
      <c r="H2" s="41"/>
    </row>
    <row r="3" spans="1:8" x14ac:dyDescent="0.35">
      <c r="B3" s="758" t="s">
        <v>24</v>
      </c>
      <c r="C3" s="758"/>
      <c r="D3" s="758"/>
      <c r="E3" s="758"/>
      <c r="F3" s="758"/>
      <c r="G3" s="758"/>
      <c r="H3" s="41"/>
    </row>
    <row r="4" spans="1:8" x14ac:dyDescent="0.35">
      <c r="B4" s="758" t="s">
        <v>25</v>
      </c>
      <c r="C4" s="758"/>
      <c r="D4" s="758"/>
      <c r="E4" s="758"/>
      <c r="F4" s="758"/>
      <c r="G4" s="758"/>
      <c r="H4" s="41"/>
    </row>
    <row r="5" spans="1:8" x14ac:dyDescent="0.35">
      <c r="B5" s="758" t="s">
        <v>26</v>
      </c>
      <c r="C5" s="758"/>
      <c r="D5" s="758"/>
      <c r="E5" s="758"/>
      <c r="F5" s="758"/>
      <c r="G5" s="758"/>
      <c r="H5" s="41"/>
    </row>
    <row r="6" spans="1:8" x14ac:dyDescent="0.35">
      <c r="B6" s="761" t="s">
        <v>542</v>
      </c>
      <c r="C6" s="761"/>
      <c r="D6" s="761"/>
      <c r="E6" s="761"/>
      <c r="F6" s="761"/>
      <c r="G6" s="761"/>
      <c r="H6" s="41"/>
    </row>
    <row r="7" spans="1:8" x14ac:dyDescent="0.35">
      <c r="B7" s="760" t="s">
        <v>1</v>
      </c>
      <c r="C7" s="762"/>
      <c r="D7" s="762"/>
      <c r="E7" s="762"/>
      <c r="F7" s="762"/>
      <c r="G7" s="762"/>
      <c r="H7" s="41"/>
    </row>
    <row r="8" spans="1:8" x14ac:dyDescent="0.35">
      <c r="B8" s="41"/>
      <c r="C8" s="41"/>
      <c r="D8" s="41"/>
      <c r="E8" s="44"/>
      <c r="F8" s="44"/>
      <c r="G8" s="41"/>
      <c r="H8" s="41"/>
    </row>
    <row r="9" spans="1:8" x14ac:dyDescent="0.35">
      <c r="A9" s="41" t="s">
        <v>2</v>
      </c>
      <c r="B9" s="534"/>
      <c r="C9" s="41" t="s">
        <v>27</v>
      </c>
      <c r="D9" s="534"/>
      <c r="E9" s="45"/>
      <c r="F9" s="45"/>
      <c r="G9" s="41"/>
      <c r="H9" s="41" t="s">
        <v>2</v>
      </c>
    </row>
    <row r="10" spans="1:8" x14ac:dyDescent="0.35">
      <c r="A10" s="41" t="s">
        <v>6</v>
      </c>
      <c r="C10" s="455" t="s">
        <v>28</v>
      </c>
      <c r="D10" s="534"/>
      <c r="E10" s="456" t="s">
        <v>4</v>
      </c>
      <c r="F10" s="45"/>
      <c r="G10" s="455" t="s">
        <v>5</v>
      </c>
      <c r="H10" s="41" t="s">
        <v>6</v>
      </c>
    </row>
    <row r="11" spans="1:8" x14ac:dyDescent="0.35">
      <c r="C11" s="534"/>
      <c r="D11" s="534"/>
      <c r="E11" s="45"/>
      <c r="F11" s="45"/>
      <c r="G11" s="41"/>
      <c r="H11" s="41"/>
    </row>
    <row r="12" spans="1:8" x14ac:dyDescent="0.35">
      <c r="A12" s="41">
        <v>1</v>
      </c>
      <c r="B12" s="457" t="s">
        <v>301</v>
      </c>
      <c r="C12" s="534"/>
      <c r="D12" s="534"/>
      <c r="E12" s="45"/>
      <c r="F12" s="45"/>
      <c r="G12" s="41"/>
      <c r="H12" s="41">
        <f>A12</f>
        <v>1</v>
      </c>
    </row>
    <row r="13" spans="1:8" x14ac:dyDescent="0.35">
      <c r="A13" s="41">
        <f>+A12+1</f>
        <v>2</v>
      </c>
      <c r="B13" s="340" t="s">
        <v>302</v>
      </c>
      <c r="C13" s="534"/>
      <c r="D13" s="534"/>
      <c r="E13" s="47">
        <v>0</v>
      </c>
      <c r="F13" s="45"/>
      <c r="G13" s="41" t="s">
        <v>436</v>
      </c>
      <c r="H13" s="41">
        <f>H12+1</f>
        <v>2</v>
      </c>
    </row>
    <row r="14" spans="1:8" x14ac:dyDescent="0.35">
      <c r="A14" s="41">
        <f t="shared" ref="A14:A70" si="0">+A13+1</f>
        <v>3</v>
      </c>
      <c r="C14" s="534"/>
      <c r="D14" s="534"/>
      <c r="E14" s="45"/>
      <c r="F14" s="45"/>
      <c r="G14" s="41"/>
      <c r="H14" s="41">
        <f t="shared" ref="H14:H70" si="1">H13+1</f>
        <v>3</v>
      </c>
    </row>
    <row r="15" spans="1:8" x14ac:dyDescent="0.35">
      <c r="A15" s="41">
        <f t="shared" si="0"/>
        <v>4</v>
      </c>
      <c r="B15" s="457" t="s">
        <v>303</v>
      </c>
      <c r="G15" s="41"/>
      <c r="H15" s="41">
        <f t="shared" si="1"/>
        <v>4</v>
      </c>
    </row>
    <row r="16" spans="1:8" x14ac:dyDescent="0.35">
      <c r="A16" s="41">
        <f t="shared" si="0"/>
        <v>5</v>
      </c>
      <c r="B16" s="20" t="s">
        <v>304</v>
      </c>
      <c r="C16" s="41"/>
      <c r="E16" s="47">
        <v>99948.700800000006</v>
      </c>
      <c r="G16" s="41" t="s">
        <v>437</v>
      </c>
      <c r="H16" s="41">
        <f t="shared" si="1"/>
        <v>5</v>
      </c>
    </row>
    <row r="17" spans="1:8" x14ac:dyDescent="0.35">
      <c r="A17" s="41">
        <f t="shared" si="0"/>
        <v>6</v>
      </c>
      <c r="B17" s="26" t="s">
        <v>29</v>
      </c>
      <c r="E17" s="49"/>
      <c r="G17" s="41"/>
      <c r="H17" s="41">
        <f t="shared" si="1"/>
        <v>6</v>
      </c>
    </row>
    <row r="18" spans="1:8" x14ac:dyDescent="0.35">
      <c r="A18" s="41">
        <f t="shared" si="0"/>
        <v>7</v>
      </c>
      <c r="B18" s="20" t="s">
        <v>305</v>
      </c>
      <c r="C18" s="41"/>
      <c r="E18" s="50">
        <v>-5200.3239999999996</v>
      </c>
      <c r="G18" s="41" t="s">
        <v>438</v>
      </c>
      <c r="H18" s="41">
        <f t="shared" si="1"/>
        <v>7</v>
      </c>
    </row>
    <row r="19" spans="1:8" x14ac:dyDescent="0.35">
      <c r="A19" s="41">
        <f t="shared" si="0"/>
        <v>8</v>
      </c>
      <c r="B19" s="20" t="s">
        <v>306</v>
      </c>
      <c r="E19" s="50">
        <v>-2469.29151</v>
      </c>
      <c r="G19" s="41" t="s">
        <v>439</v>
      </c>
      <c r="H19" s="41">
        <f t="shared" si="1"/>
        <v>8</v>
      </c>
    </row>
    <row r="20" spans="1:8" x14ac:dyDescent="0.35">
      <c r="A20" s="41">
        <f t="shared" si="0"/>
        <v>9</v>
      </c>
      <c r="B20" s="340" t="s">
        <v>307</v>
      </c>
      <c r="E20" s="50">
        <v>-6458.357</v>
      </c>
      <c r="G20" s="41" t="s">
        <v>440</v>
      </c>
      <c r="H20" s="41">
        <f t="shared" si="1"/>
        <v>9</v>
      </c>
    </row>
    <row r="21" spans="1:8" x14ac:dyDescent="0.35">
      <c r="A21" s="41">
        <f t="shared" si="0"/>
        <v>10</v>
      </c>
      <c r="B21" s="340" t="s">
        <v>308</v>
      </c>
      <c r="E21" s="50">
        <v>-9764.84</v>
      </c>
      <c r="G21" s="41" t="s">
        <v>441</v>
      </c>
      <c r="H21" s="41">
        <f t="shared" si="1"/>
        <v>10</v>
      </c>
    </row>
    <row r="22" spans="1:8" x14ac:dyDescent="0.35">
      <c r="A22" s="41">
        <f t="shared" si="0"/>
        <v>11</v>
      </c>
      <c r="B22" s="20" t="s">
        <v>309</v>
      </c>
      <c r="E22" s="50">
        <v>0</v>
      </c>
      <c r="G22" s="41" t="s">
        <v>442</v>
      </c>
      <c r="H22" s="41">
        <f t="shared" si="1"/>
        <v>11</v>
      </c>
    </row>
    <row r="23" spans="1:8" x14ac:dyDescent="0.35">
      <c r="A23" s="41">
        <f t="shared" si="0"/>
        <v>12</v>
      </c>
      <c r="B23" s="20" t="s">
        <v>310</v>
      </c>
      <c r="E23" s="50">
        <v>-325.87329000000057</v>
      </c>
      <c r="G23" s="41" t="s">
        <v>443</v>
      </c>
      <c r="H23" s="41">
        <f t="shared" si="1"/>
        <v>12</v>
      </c>
    </row>
    <row r="24" spans="1:8" x14ac:dyDescent="0.35">
      <c r="A24" s="41">
        <f t="shared" si="0"/>
        <v>13</v>
      </c>
      <c r="B24" s="340" t="s">
        <v>311</v>
      </c>
      <c r="E24" s="50">
        <v>-15716.966</v>
      </c>
      <c r="G24" s="41" t="s">
        <v>444</v>
      </c>
      <c r="H24" s="41">
        <f t="shared" si="1"/>
        <v>13</v>
      </c>
    </row>
    <row r="25" spans="1:8" x14ac:dyDescent="0.35">
      <c r="A25" s="41">
        <f t="shared" si="0"/>
        <v>14</v>
      </c>
      <c r="B25" s="340" t="s">
        <v>312</v>
      </c>
      <c r="E25" s="50">
        <v>-26863.351999999999</v>
      </c>
      <c r="G25" s="41" t="s">
        <v>445</v>
      </c>
      <c r="H25" s="41">
        <f t="shared" si="1"/>
        <v>14</v>
      </c>
    </row>
    <row r="26" spans="1:8" x14ac:dyDescent="0.35">
      <c r="A26" s="41">
        <f t="shared" si="0"/>
        <v>15</v>
      </c>
      <c r="B26" s="340" t="s">
        <v>313</v>
      </c>
      <c r="E26" s="50">
        <v>-1113.175</v>
      </c>
      <c r="G26" s="41" t="s">
        <v>446</v>
      </c>
      <c r="H26" s="41">
        <f t="shared" si="1"/>
        <v>15</v>
      </c>
    </row>
    <row r="27" spans="1:8" x14ac:dyDescent="0.35">
      <c r="A27" s="41">
        <f t="shared" si="0"/>
        <v>16</v>
      </c>
      <c r="B27" s="20" t="s">
        <v>314</v>
      </c>
      <c r="E27" s="51">
        <v>1614.6884600000001</v>
      </c>
      <c r="G27" s="41" t="s">
        <v>315</v>
      </c>
      <c r="H27" s="41">
        <f t="shared" si="1"/>
        <v>16</v>
      </c>
    </row>
    <row r="28" spans="1:8" x14ac:dyDescent="0.35">
      <c r="A28" s="41">
        <f t="shared" si="0"/>
        <v>17</v>
      </c>
      <c r="B28" s="20" t="s">
        <v>317</v>
      </c>
      <c r="E28" s="163">
        <f>SUM(E16:E27)</f>
        <v>33651.210460000017</v>
      </c>
      <c r="F28" s="27"/>
      <c r="G28" s="35" t="s">
        <v>447</v>
      </c>
      <c r="H28" s="41">
        <f t="shared" si="1"/>
        <v>17</v>
      </c>
    </row>
    <row r="29" spans="1:8" x14ac:dyDescent="0.35">
      <c r="A29" s="41">
        <f t="shared" si="0"/>
        <v>18</v>
      </c>
      <c r="E29" s="40"/>
      <c r="H29" s="41">
        <f t="shared" si="1"/>
        <v>18</v>
      </c>
    </row>
    <row r="30" spans="1:8" x14ac:dyDescent="0.35">
      <c r="A30" s="41">
        <f t="shared" si="0"/>
        <v>19</v>
      </c>
      <c r="B30" s="458" t="s">
        <v>318</v>
      </c>
      <c r="E30" s="52"/>
      <c r="G30" s="41"/>
      <c r="H30" s="41">
        <f t="shared" si="1"/>
        <v>19</v>
      </c>
    </row>
    <row r="31" spans="1:8" x14ac:dyDescent="0.35">
      <c r="A31" s="41">
        <f t="shared" si="0"/>
        <v>20</v>
      </c>
      <c r="B31" s="26" t="s">
        <v>319</v>
      </c>
      <c r="C31" s="41"/>
      <c r="E31" s="47">
        <v>595154.03483999986</v>
      </c>
      <c r="G31" s="41" t="s">
        <v>544</v>
      </c>
      <c r="H31" s="41">
        <f t="shared" si="1"/>
        <v>20</v>
      </c>
    </row>
    <row r="32" spans="1:8" x14ac:dyDescent="0.35">
      <c r="A32" s="41">
        <f t="shared" si="0"/>
        <v>21</v>
      </c>
      <c r="B32" s="26" t="s">
        <v>30</v>
      </c>
      <c r="E32" s="52" t="s">
        <v>11</v>
      </c>
      <c r="G32" s="41"/>
      <c r="H32" s="41">
        <f t="shared" si="1"/>
        <v>21</v>
      </c>
    </row>
    <row r="33" spans="1:10" x14ac:dyDescent="0.35">
      <c r="A33" s="41">
        <f t="shared" si="0"/>
        <v>22</v>
      </c>
      <c r="B33" s="48" t="s">
        <v>31</v>
      </c>
      <c r="E33" s="50">
        <v>-2360.7200000000003</v>
      </c>
      <c r="G33" s="41" t="s">
        <v>545</v>
      </c>
      <c r="H33" s="41">
        <f t="shared" si="1"/>
        <v>22</v>
      </c>
      <c r="I33" s="459"/>
      <c r="J33" s="54"/>
    </row>
    <row r="34" spans="1:10" ht="31" x14ac:dyDescent="0.35">
      <c r="A34" s="41">
        <f t="shared" si="0"/>
        <v>23</v>
      </c>
      <c r="B34" s="48" t="s">
        <v>32</v>
      </c>
      <c r="E34" s="50">
        <v>555.40800074000003</v>
      </c>
      <c r="G34" s="53" t="s">
        <v>546</v>
      </c>
      <c r="H34" s="41">
        <f t="shared" si="1"/>
        <v>23</v>
      </c>
      <c r="I34" s="459"/>
      <c r="J34" s="54"/>
    </row>
    <row r="35" spans="1:10" x14ac:dyDescent="0.35">
      <c r="A35" s="41">
        <f t="shared" si="0"/>
        <v>24</v>
      </c>
      <c r="B35" s="48" t="s">
        <v>121</v>
      </c>
      <c r="E35" s="50">
        <v>0</v>
      </c>
      <c r="G35" s="41" t="s">
        <v>547</v>
      </c>
      <c r="H35" s="41">
        <f t="shared" si="1"/>
        <v>24</v>
      </c>
    </row>
    <row r="36" spans="1:10" x14ac:dyDescent="0.35">
      <c r="A36" s="41">
        <f t="shared" si="0"/>
        <v>25</v>
      </c>
      <c r="B36" s="48" t="s">
        <v>33</v>
      </c>
      <c r="E36" s="50">
        <v>-2085.1866</v>
      </c>
      <c r="G36" s="41" t="s">
        <v>548</v>
      </c>
      <c r="H36" s="41">
        <f t="shared" si="1"/>
        <v>25</v>
      </c>
      <c r="J36" s="54"/>
    </row>
    <row r="37" spans="1:10" x14ac:dyDescent="0.35">
      <c r="A37" s="41">
        <f t="shared" si="0"/>
        <v>26</v>
      </c>
      <c r="B37" s="48" t="s">
        <v>34</v>
      </c>
      <c r="E37" s="50">
        <v>-13015.817289999999</v>
      </c>
      <c r="G37" s="41" t="s">
        <v>549</v>
      </c>
      <c r="H37" s="41">
        <f t="shared" si="1"/>
        <v>26</v>
      </c>
      <c r="J37" s="54"/>
    </row>
    <row r="38" spans="1:10" x14ac:dyDescent="0.35">
      <c r="A38" s="41">
        <f t="shared" si="0"/>
        <v>27</v>
      </c>
      <c r="B38" s="48" t="s">
        <v>35</v>
      </c>
      <c r="E38" s="50">
        <v>0</v>
      </c>
      <c r="G38" s="639" t="s">
        <v>533</v>
      </c>
      <c r="H38" s="41">
        <f t="shared" si="1"/>
        <v>27</v>
      </c>
      <c r="J38" s="54"/>
    </row>
    <row r="39" spans="1:10" x14ac:dyDescent="0.35">
      <c r="A39" s="41">
        <f t="shared" si="0"/>
        <v>28</v>
      </c>
      <c r="B39" s="48" t="s">
        <v>36</v>
      </c>
      <c r="E39" s="50">
        <v>204.155</v>
      </c>
      <c r="F39" s="27"/>
      <c r="G39" s="53" t="s">
        <v>555</v>
      </c>
      <c r="H39" s="41">
        <f t="shared" si="1"/>
        <v>28</v>
      </c>
      <c r="I39" s="459"/>
    </row>
    <row r="40" spans="1:10" x14ac:dyDescent="0.35">
      <c r="A40" s="41">
        <f t="shared" si="0"/>
        <v>29</v>
      </c>
      <c r="B40" s="48" t="s">
        <v>37</v>
      </c>
      <c r="E40" s="50">
        <v>-130506.76528000001</v>
      </c>
      <c r="G40" s="41" t="s">
        <v>550</v>
      </c>
      <c r="H40" s="41">
        <f t="shared" si="1"/>
        <v>29</v>
      </c>
      <c r="I40" s="459"/>
      <c r="J40" s="54"/>
    </row>
    <row r="41" spans="1:10" x14ac:dyDescent="0.35">
      <c r="A41" s="41">
        <f t="shared" si="0"/>
        <v>30</v>
      </c>
      <c r="B41" s="48" t="s">
        <v>38</v>
      </c>
      <c r="E41" s="50">
        <v>-12.147468914000001</v>
      </c>
      <c r="G41" s="53" t="s">
        <v>551</v>
      </c>
      <c r="H41" s="41">
        <f t="shared" si="1"/>
        <v>30</v>
      </c>
    </row>
    <row r="42" spans="1:10" x14ac:dyDescent="0.35">
      <c r="A42" s="41">
        <f t="shared" si="0"/>
        <v>31</v>
      </c>
      <c r="B42" s="48" t="s">
        <v>39</v>
      </c>
      <c r="E42" s="50">
        <v>-40.544630000000005</v>
      </c>
      <c r="G42" s="53" t="s">
        <v>552</v>
      </c>
      <c r="H42" s="41">
        <f t="shared" si="1"/>
        <v>31</v>
      </c>
    </row>
    <row r="43" spans="1:10" ht="46.5" x14ac:dyDescent="0.35">
      <c r="A43" s="41">
        <f t="shared" si="0"/>
        <v>32</v>
      </c>
      <c r="B43" s="48" t="s">
        <v>40</v>
      </c>
      <c r="E43" s="50">
        <v>-24673.96447250203</v>
      </c>
      <c r="G43" s="53" t="s">
        <v>554</v>
      </c>
      <c r="H43" s="41">
        <f t="shared" si="1"/>
        <v>32</v>
      </c>
    </row>
    <row r="44" spans="1:10" x14ac:dyDescent="0.35">
      <c r="A44" s="41">
        <f t="shared" si="0"/>
        <v>33</v>
      </c>
      <c r="B44" s="42" t="s">
        <v>316</v>
      </c>
      <c r="E44" s="460">
        <v>-90.331999999999994</v>
      </c>
      <c r="F44" s="27" t="s">
        <v>16</v>
      </c>
      <c r="G44" s="41" t="s">
        <v>557</v>
      </c>
      <c r="H44" s="41">
        <f t="shared" si="1"/>
        <v>33</v>
      </c>
      <c r="I44" s="54"/>
    </row>
    <row r="45" spans="1:10" x14ac:dyDescent="0.35">
      <c r="A45" s="41">
        <f t="shared" si="0"/>
        <v>34</v>
      </c>
      <c r="B45" s="26" t="s">
        <v>320</v>
      </c>
      <c r="E45" s="55">
        <f>SUM(E31:E44)</f>
        <v>423128.12009932386</v>
      </c>
      <c r="F45" s="27" t="s">
        <v>16</v>
      </c>
      <c r="G45" s="41" t="s">
        <v>534</v>
      </c>
      <c r="H45" s="41">
        <f t="shared" si="1"/>
        <v>34</v>
      </c>
    </row>
    <row r="46" spans="1:10" x14ac:dyDescent="0.35">
      <c r="A46" s="41">
        <f t="shared" si="0"/>
        <v>35</v>
      </c>
      <c r="B46" s="26" t="s">
        <v>41</v>
      </c>
      <c r="E46" s="461">
        <v>-8310.402</v>
      </c>
      <c r="G46" s="41" t="s">
        <v>535</v>
      </c>
      <c r="H46" s="41">
        <f t="shared" si="1"/>
        <v>35</v>
      </c>
    </row>
    <row r="47" spans="1:10" x14ac:dyDescent="0.35">
      <c r="A47" s="41">
        <f t="shared" si="0"/>
        <v>36</v>
      </c>
      <c r="B47" s="26" t="s">
        <v>321</v>
      </c>
      <c r="E47" s="55">
        <f>SUM(E45:E46)</f>
        <v>414817.71809932386</v>
      </c>
      <c r="F47" s="27" t="s">
        <v>16</v>
      </c>
      <c r="G47" s="41" t="s">
        <v>493</v>
      </c>
      <c r="H47" s="41">
        <f t="shared" si="1"/>
        <v>36</v>
      </c>
    </row>
    <row r="48" spans="1:10" x14ac:dyDescent="0.35">
      <c r="A48" s="41">
        <f t="shared" si="0"/>
        <v>37</v>
      </c>
      <c r="B48" s="20" t="s">
        <v>42</v>
      </c>
      <c r="E48" s="462">
        <v>0.10287974321775711</v>
      </c>
      <c r="G48" s="35" t="s">
        <v>448</v>
      </c>
      <c r="H48" s="41">
        <f t="shared" si="1"/>
        <v>37</v>
      </c>
    </row>
    <row r="49" spans="1:9" x14ac:dyDescent="0.35">
      <c r="A49" s="41">
        <f t="shared" si="0"/>
        <v>38</v>
      </c>
      <c r="B49" s="26" t="s">
        <v>322</v>
      </c>
      <c r="E49" s="56">
        <f>E47*E48</f>
        <v>42676.340320234398</v>
      </c>
      <c r="F49" s="27" t="s">
        <v>16</v>
      </c>
      <c r="G49" s="41" t="s">
        <v>536</v>
      </c>
      <c r="H49" s="41">
        <f t="shared" si="1"/>
        <v>38</v>
      </c>
    </row>
    <row r="50" spans="1:9" x14ac:dyDescent="0.35">
      <c r="A50" s="41">
        <f t="shared" si="0"/>
        <v>39</v>
      </c>
      <c r="B50" s="42" t="s">
        <v>43</v>
      </c>
      <c r="E50" s="463">
        <f>E70*(-E46)</f>
        <v>3315.0316733642535</v>
      </c>
      <c r="G50" s="41" t="s">
        <v>538</v>
      </c>
      <c r="H50" s="41">
        <f t="shared" si="1"/>
        <v>39</v>
      </c>
    </row>
    <row r="51" spans="1:9" ht="16" thickBot="1" x14ac:dyDescent="0.4">
      <c r="A51" s="41">
        <f t="shared" si="0"/>
        <v>40</v>
      </c>
      <c r="B51" s="48" t="s">
        <v>323</v>
      </c>
      <c r="E51" s="464">
        <f>E50+E49</f>
        <v>45991.371993598652</v>
      </c>
      <c r="F51" s="27" t="s">
        <v>16</v>
      </c>
      <c r="G51" s="41" t="s">
        <v>537</v>
      </c>
      <c r="H51" s="41">
        <f t="shared" si="1"/>
        <v>40</v>
      </c>
      <c r="I51" s="48"/>
    </row>
    <row r="52" spans="1:9" ht="16" thickTop="1" x14ac:dyDescent="0.35">
      <c r="A52" s="41">
        <f t="shared" si="0"/>
        <v>41</v>
      </c>
      <c r="B52" s="57"/>
      <c r="E52" s="58"/>
      <c r="G52" s="41"/>
      <c r="H52" s="41">
        <f t="shared" si="1"/>
        <v>41</v>
      </c>
    </row>
    <row r="53" spans="1:9" x14ac:dyDescent="0.35">
      <c r="A53" s="41">
        <f t="shared" si="0"/>
        <v>42</v>
      </c>
      <c r="B53" s="29" t="s">
        <v>44</v>
      </c>
      <c r="E53" s="59"/>
      <c r="G53" s="41"/>
      <c r="H53" s="41">
        <f t="shared" si="1"/>
        <v>42</v>
      </c>
    </row>
    <row r="54" spans="1:9" x14ac:dyDescent="0.35">
      <c r="A54" s="41">
        <f t="shared" si="0"/>
        <v>43</v>
      </c>
      <c r="B54" s="26" t="s">
        <v>45</v>
      </c>
      <c r="E54" s="36">
        <v>6659410.4084030753</v>
      </c>
      <c r="G54" s="41" t="s">
        <v>449</v>
      </c>
      <c r="H54" s="41">
        <f t="shared" si="1"/>
        <v>43</v>
      </c>
    </row>
    <row r="55" spans="1:9" x14ac:dyDescent="0.35">
      <c r="A55" s="41">
        <f t="shared" si="0"/>
        <v>44</v>
      </c>
      <c r="B55" s="26" t="s">
        <v>20</v>
      </c>
      <c r="E55" s="60">
        <v>0</v>
      </c>
      <c r="G55" s="41" t="s">
        <v>19</v>
      </c>
      <c r="H55" s="41">
        <f t="shared" si="1"/>
        <v>44</v>
      </c>
    </row>
    <row r="56" spans="1:9" x14ac:dyDescent="0.35">
      <c r="A56" s="41">
        <f t="shared" si="0"/>
        <v>45</v>
      </c>
      <c r="B56" s="26" t="s">
        <v>21</v>
      </c>
      <c r="E56" s="61">
        <v>47368.546650440985</v>
      </c>
      <c r="G56" s="62" t="s">
        <v>450</v>
      </c>
      <c r="H56" s="41">
        <f t="shared" si="1"/>
        <v>45</v>
      </c>
    </row>
    <row r="57" spans="1:9" x14ac:dyDescent="0.35">
      <c r="A57" s="41">
        <f t="shared" si="0"/>
        <v>46</v>
      </c>
      <c r="B57" s="26" t="s">
        <v>46</v>
      </c>
      <c r="E57" s="465">
        <v>117205.19981479381</v>
      </c>
      <c r="G57" s="62" t="s">
        <v>451</v>
      </c>
      <c r="H57" s="41">
        <f t="shared" si="1"/>
        <v>46</v>
      </c>
    </row>
    <row r="58" spans="1:9" ht="16" thickBot="1" x14ac:dyDescent="0.4">
      <c r="A58" s="41">
        <f t="shared" si="0"/>
        <v>47</v>
      </c>
      <c r="B58" s="26" t="s">
        <v>47</v>
      </c>
      <c r="E58" s="63">
        <f>SUM(E54:E57)</f>
        <v>6823984.1548683103</v>
      </c>
      <c r="G58" s="41" t="s">
        <v>605</v>
      </c>
      <c r="H58" s="41">
        <f t="shared" si="1"/>
        <v>47</v>
      </c>
      <c r="I58" s="48"/>
    </row>
    <row r="59" spans="1:9" ht="16" thickTop="1" x14ac:dyDescent="0.35">
      <c r="A59" s="41">
        <f t="shared" si="0"/>
        <v>48</v>
      </c>
      <c r="B59" s="57"/>
      <c r="E59" s="40"/>
      <c r="G59" s="41"/>
      <c r="H59" s="41">
        <f t="shared" si="1"/>
        <v>48</v>
      </c>
    </row>
    <row r="60" spans="1:9" x14ac:dyDescent="0.35">
      <c r="A60" s="41">
        <f t="shared" si="0"/>
        <v>49</v>
      </c>
      <c r="B60" s="26" t="s">
        <v>48</v>
      </c>
      <c r="E60" s="64">
        <f>E54</f>
        <v>6659410.4084030753</v>
      </c>
      <c r="G60" s="65" t="s">
        <v>606</v>
      </c>
      <c r="H60" s="41">
        <f t="shared" si="1"/>
        <v>49</v>
      </c>
    </row>
    <row r="61" spans="1:9" x14ac:dyDescent="0.35">
      <c r="A61" s="41">
        <f t="shared" si="0"/>
        <v>50</v>
      </c>
      <c r="B61" s="26" t="s">
        <v>49</v>
      </c>
      <c r="E61" s="37">
        <v>557045.05025384598</v>
      </c>
      <c r="G61" s="62" t="s">
        <v>454</v>
      </c>
      <c r="H61" s="41">
        <f t="shared" si="1"/>
        <v>50</v>
      </c>
    </row>
    <row r="62" spans="1:9" x14ac:dyDescent="0.35">
      <c r="A62" s="41">
        <f t="shared" si="0"/>
        <v>51</v>
      </c>
      <c r="B62" s="26" t="s">
        <v>50</v>
      </c>
      <c r="E62" s="60">
        <v>0</v>
      </c>
      <c r="G62" s="41" t="s">
        <v>19</v>
      </c>
      <c r="H62" s="41">
        <f t="shared" si="1"/>
        <v>51</v>
      </c>
    </row>
    <row r="63" spans="1:9" x14ac:dyDescent="0.35">
      <c r="A63" s="41">
        <f t="shared" si="0"/>
        <v>52</v>
      </c>
      <c r="B63" s="26" t="s">
        <v>51</v>
      </c>
      <c r="E63" s="37">
        <v>529465.61728230771</v>
      </c>
      <c r="G63" s="62" t="s">
        <v>455</v>
      </c>
      <c r="H63" s="41">
        <f t="shared" si="1"/>
        <v>52</v>
      </c>
    </row>
    <row r="64" spans="1:9" x14ac:dyDescent="0.35">
      <c r="A64" s="41">
        <f t="shared" si="0"/>
        <v>53</v>
      </c>
      <c r="B64" s="26" t="s">
        <v>52</v>
      </c>
      <c r="E64" s="37">
        <v>7761348.9741599998</v>
      </c>
      <c r="G64" s="62" t="s">
        <v>456</v>
      </c>
      <c r="H64" s="41">
        <f t="shared" si="1"/>
        <v>53</v>
      </c>
    </row>
    <row r="65" spans="1:9" x14ac:dyDescent="0.35">
      <c r="A65" s="41">
        <f t="shared" si="0"/>
        <v>54</v>
      </c>
      <c r="B65" s="48" t="s">
        <v>20</v>
      </c>
      <c r="E65" s="60">
        <v>0</v>
      </c>
      <c r="G65" s="41" t="s">
        <v>19</v>
      </c>
      <c r="H65" s="41">
        <f t="shared" si="1"/>
        <v>54</v>
      </c>
    </row>
    <row r="66" spans="1:9" x14ac:dyDescent="0.35">
      <c r="A66" s="41">
        <f t="shared" si="0"/>
        <v>55</v>
      </c>
      <c r="B66" s="26" t="s">
        <v>53</v>
      </c>
      <c r="E66" s="37">
        <v>460426.36935999995</v>
      </c>
      <c r="G66" s="62" t="s">
        <v>457</v>
      </c>
      <c r="H66" s="41">
        <f t="shared" si="1"/>
        <v>55</v>
      </c>
    </row>
    <row r="67" spans="1:9" x14ac:dyDescent="0.35">
      <c r="A67" s="41">
        <f t="shared" si="0"/>
        <v>56</v>
      </c>
      <c r="B67" s="26" t="s">
        <v>54</v>
      </c>
      <c r="E67" s="466">
        <v>1139244.6768331758</v>
      </c>
      <c r="G67" s="62" t="s">
        <v>458</v>
      </c>
      <c r="H67" s="41">
        <f t="shared" si="1"/>
        <v>56</v>
      </c>
    </row>
    <row r="68" spans="1:9" ht="16" thickBot="1" x14ac:dyDescent="0.4">
      <c r="A68" s="41">
        <f t="shared" si="0"/>
        <v>57</v>
      </c>
      <c r="B68" s="26" t="s">
        <v>55</v>
      </c>
      <c r="E68" s="66">
        <f>SUM(E60:E67)</f>
        <v>17106941.096292403</v>
      </c>
      <c r="G68" s="41" t="s">
        <v>607</v>
      </c>
      <c r="H68" s="41">
        <f t="shared" si="1"/>
        <v>57</v>
      </c>
      <c r="I68" s="48"/>
    </row>
    <row r="69" spans="1:9" ht="16" thickTop="1" x14ac:dyDescent="0.35">
      <c r="A69" s="41">
        <f t="shared" si="0"/>
        <v>58</v>
      </c>
      <c r="E69" s="67"/>
      <c r="G69" s="41"/>
      <c r="H69" s="41">
        <f t="shared" si="1"/>
        <v>58</v>
      </c>
    </row>
    <row r="70" spans="1:9" ht="19" thickBot="1" x14ac:dyDescent="0.4">
      <c r="A70" s="41">
        <f t="shared" si="0"/>
        <v>59</v>
      </c>
      <c r="B70" s="26" t="s">
        <v>324</v>
      </c>
      <c r="E70" s="68">
        <f>E58/E68</f>
        <v>0.39890148194566921</v>
      </c>
      <c r="G70" s="41" t="s">
        <v>539</v>
      </c>
      <c r="H70" s="41">
        <f t="shared" si="1"/>
        <v>59</v>
      </c>
      <c r="I70" s="48"/>
    </row>
    <row r="71" spans="1:9" ht="16" thickTop="1" x14ac:dyDescent="0.35">
      <c r="B71" s="48" t="s">
        <v>11</v>
      </c>
      <c r="E71" s="69"/>
      <c r="G71" s="41"/>
      <c r="H71" s="41"/>
    </row>
    <row r="72" spans="1:9" x14ac:dyDescent="0.35">
      <c r="B72" s="48"/>
      <c r="E72" s="69"/>
      <c r="G72" s="41"/>
      <c r="H72" s="41"/>
    </row>
    <row r="73" spans="1:9" x14ac:dyDescent="0.35">
      <c r="A73" s="27" t="s">
        <v>16</v>
      </c>
      <c r="B73" s="24" t="s">
        <v>558</v>
      </c>
      <c r="E73" s="69"/>
      <c r="F73" s="69"/>
      <c r="G73" s="41"/>
      <c r="H73" s="41"/>
    </row>
    <row r="74" spans="1:9" ht="18" x14ac:dyDescent="0.35">
      <c r="A74" s="71">
        <v>1</v>
      </c>
      <c r="B74" s="26" t="s">
        <v>494</v>
      </c>
      <c r="H74" s="41"/>
    </row>
    <row r="75" spans="1:9" x14ac:dyDescent="0.35">
      <c r="B75" s="48"/>
      <c r="E75" s="67"/>
      <c r="F75" s="67"/>
      <c r="G75" s="41"/>
      <c r="H75" s="41"/>
    </row>
  </sheetData>
  <mergeCells count="5">
    <mergeCell ref="B4:G4"/>
    <mergeCell ref="B3:G3"/>
    <mergeCell ref="B5:G5"/>
    <mergeCell ref="B6:G6"/>
    <mergeCell ref="B7:G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Roman,Bold"&amp;6AS FILED STMT AH WITH COST ADJ. INCL. IN APPENDIX XII CYCLE 5 (ER23-110)</oddHeader>
    <oddFooter>&amp;L&amp;F&amp;CPage 8.1&amp;R&amp;A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490E-350D-4A33-B61B-CE73AF11D1CF}">
  <sheetPr>
    <pageSetUpPr fitToPage="1"/>
  </sheetPr>
  <dimension ref="A1:S118"/>
  <sheetViews>
    <sheetView zoomScale="80" zoomScaleNormal="80" workbookViewId="0"/>
  </sheetViews>
  <sheetFormatPr defaultColWidth="9.1796875" defaultRowHeight="15.5" x14ac:dyDescent="0.35"/>
  <cols>
    <col min="1" max="1" width="5.1796875" style="88" customWidth="1"/>
    <col min="2" max="2" width="8.54296875" style="89" customWidth="1"/>
    <col min="3" max="3" width="68.81640625" style="89" customWidth="1"/>
    <col min="4" max="6" width="16.81640625" style="89" customWidth="1"/>
    <col min="7" max="7" width="1.54296875" style="89" customWidth="1"/>
    <col min="8" max="8" width="16.81640625" style="89" customWidth="1"/>
    <col min="9" max="9" width="2.81640625" style="89" bestFit="1" customWidth="1"/>
    <col min="10" max="10" width="16.81640625" style="89" customWidth="1"/>
    <col min="11" max="11" width="2.81640625" style="89" customWidth="1"/>
    <col min="12" max="12" width="16.81640625" style="89" customWidth="1"/>
    <col min="13" max="13" width="2.453125" style="89" customWidth="1"/>
    <col min="14" max="14" width="20.1796875" style="89" bestFit="1" customWidth="1"/>
    <col min="15" max="15" width="34.54296875" style="89" customWidth="1"/>
    <col min="16" max="16" width="5.1796875" style="88" customWidth="1"/>
    <col min="17" max="17" width="4" style="89" customWidth="1"/>
    <col min="18" max="18" width="13.1796875" style="89" bestFit="1" customWidth="1"/>
    <col min="19" max="19" width="9.1796875" style="89"/>
    <col min="20" max="20" width="9.81640625" style="89" customWidth="1"/>
    <col min="21" max="21" width="10" style="89" customWidth="1"/>
    <col min="22" max="16384" width="9.1796875" style="89"/>
  </cols>
  <sheetData>
    <row r="1" spans="1:19" x14ac:dyDescent="0.35">
      <c r="O1" s="43"/>
    </row>
    <row r="2" spans="1:19" x14ac:dyDescent="0.35">
      <c r="B2" s="763" t="s">
        <v>24</v>
      </c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536"/>
    </row>
    <row r="3" spans="1:19" x14ac:dyDescent="0.35">
      <c r="B3" s="763" t="s">
        <v>68</v>
      </c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3"/>
      <c r="O3" s="763"/>
      <c r="P3" s="536"/>
    </row>
    <row r="4" spans="1:19" x14ac:dyDescent="0.35">
      <c r="B4" s="763" t="s">
        <v>512</v>
      </c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536"/>
    </row>
    <row r="5" spans="1:19" x14ac:dyDescent="0.35">
      <c r="B5" s="764" t="s">
        <v>1</v>
      </c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  <c r="O5" s="764"/>
      <c r="P5" s="536"/>
    </row>
    <row r="6" spans="1:19" ht="16" thickBot="1" x14ac:dyDescent="0.4"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R6" s="42"/>
    </row>
    <row r="7" spans="1:19" ht="18" x14ac:dyDescent="0.3">
      <c r="A7" s="536"/>
      <c r="B7" s="91"/>
      <c r="C7" s="92"/>
      <c r="D7" s="93" t="s">
        <v>10</v>
      </c>
      <c r="E7" s="94" t="s">
        <v>56</v>
      </c>
      <c r="F7" s="93" t="s">
        <v>57</v>
      </c>
      <c r="G7" s="94"/>
      <c r="H7" s="664" t="s">
        <v>560</v>
      </c>
      <c r="I7" s="73"/>
      <c r="J7" s="73" t="s">
        <v>58</v>
      </c>
      <c r="K7" s="688"/>
      <c r="L7" s="664" t="s">
        <v>592</v>
      </c>
      <c r="M7" s="690"/>
      <c r="N7" s="694" t="s">
        <v>593</v>
      </c>
      <c r="O7" s="95"/>
      <c r="P7" s="536"/>
    </row>
    <row r="8" spans="1:19" x14ac:dyDescent="0.3">
      <c r="A8" s="88" t="s">
        <v>2</v>
      </c>
      <c r="B8" s="96" t="s">
        <v>59</v>
      </c>
      <c r="C8" s="97"/>
      <c r="D8" s="98" t="s">
        <v>9</v>
      </c>
      <c r="E8" s="536" t="s">
        <v>60</v>
      </c>
      <c r="F8" s="98" t="s">
        <v>9</v>
      </c>
      <c r="G8" s="99"/>
      <c r="H8" s="534" t="s">
        <v>325</v>
      </c>
      <c r="I8" s="475"/>
      <c r="J8" s="74" t="s">
        <v>61</v>
      </c>
      <c r="K8" s="220"/>
      <c r="L8" s="220" t="s">
        <v>594</v>
      </c>
      <c r="M8" s="691"/>
      <c r="N8" s="695" t="s">
        <v>65</v>
      </c>
      <c r="O8" s="100"/>
      <c r="P8" s="88" t="s">
        <v>2</v>
      </c>
    </row>
    <row r="9" spans="1:19" ht="16" thickBot="1" x14ac:dyDescent="0.35">
      <c r="A9" s="88" t="s">
        <v>6</v>
      </c>
      <c r="B9" s="101" t="s">
        <v>62</v>
      </c>
      <c r="C9" s="102" t="s">
        <v>3</v>
      </c>
      <c r="D9" s="103" t="s">
        <v>63</v>
      </c>
      <c r="E9" s="102" t="s">
        <v>64</v>
      </c>
      <c r="F9" s="103" t="s">
        <v>65</v>
      </c>
      <c r="G9" s="104"/>
      <c r="H9" s="127" t="s">
        <v>326</v>
      </c>
      <c r="I9" s="128"/>
      <c r="J9" s="105" t="s">
        <v>69</v>
      </c>
      <c r="K9" s="689"/>
      <c r="L9" s="127" t="s">
        <v>616</v>
      </c>
      <c r="M9" s="692"/>
      <c r="N9" s="696" t="s">
        <v>617</v>
      </c>
      <c r="O9" s="106" t="s">
        <v>5</v>
      </c>
      <c r="P9" s="88" t="s">
        <v>6</v>
      </c>
      <c r="Q9" s="88"/>
    </row>
    <row r="10" spans="1:19" x14ac:dyDescent="0.35">
      <c r="B10" s="107"/>
      <c r="C10" s="108" t="s">
        <v>70</v>
      </c>
      <c r="D10" s="476"/>
      <c r="E10" s="476"/>
      <c r="F10" s="109"/>
      <c r="G10" s="110"/>
      <c r="H10" s="110"/>
      <c r="I10" s="110"/>
      <c r="J10" s="111"/>
      <c r="K10" s="110"/>
      <c r="L10" s="110"/>
      <c r="M10" s="110"/>
      <c r="N10" s="109"/>
      <c r="O10" s="112"/>
    </row>
    <row r="11" spans="1:19" ht="18.5" x14ac:dyDescent="0.35">
      <c r="A11" s="88">
        <v>1</v>
      </c>
      <c r="B11" s="96">
        <v>920</v>
      </c>
      <c r="C11" s="113" t="s">
        <v>71</v>
      </c>
      <c r="D11" s="76">
        <v>46411.108999999997</v>
      </c>
      <c r="E11" s="76">
        <f>E39</f>
        <v>968.08356942399996</v>
      </c>
      <c r="F11" s="76">
        <f>D11-E11</f>
        <v>45443.025430575995</v>
      </c>
      <c r="G11" s="27"/>
      <c r="H11" s="39"/>
      <c r="I11" s="546"/>
      <c r="J11" s="76">
        <f t="shared" ref="J11:J24" si="0">F11+H11</f>
        <v>45443.025430575995</v>
      </c>
      <c r="K11" s="27" t="s">
        <v>16</v>
      </c>
      <c r="L11" s="80">
        <f>L40</f>
        <v>930.25238000000002</v>
      </c>
      <c r="M11" s="729">
        <v>9</v>
      </c>
      <c r="N11" s="82">
        <f>J11+L11</f>
        <v>46373.277810575993</v>
      </c>
      <c r="O11" s="75" t="s">
        <v>72</v>
      </c>
      <c r="P11" s="88">
        <f>A11</f>
        <v>1</v>
      </c>
      <c r="Q11" s="89" t="s">
        <v>11</v>
      </c>
      <c r="R11" s="114"/>
    </row>
    <row r="12" spans="1:19" ht="18.5" x14ac:dyDescent="0.35">
      <c r="A12" s="88">
        <f t="shared" ref="A12:A88" si="1">A11+1</f>
        <v>2</v>
      </c>
      <c r="B12" s="96">
        <v>921</v>
      </c>
      <c r="C12" s="113" t="s">
        <v>73</v>
      </c>
      <c r="D12" s="77">
        <v>28861</v>
      </c>
      <c r="E12" s="78">
        <f>E43</f>
        <v>9375.0137418520007</v>
      </c>
      <c r="F12" s="77">
        <f>D12-E12</f>
        <v>19485.986258147997</v>
      </c>
      <c r="G12" s="27"/>
      <c r="H12" s="78"/>
      <c r="I12" s="546"/>
      <c r="J12" s="77">
        <f t="shared" si="0"/>
        <v>19485.986258147997</v>
      </c>
      <c r="K12" s="27" t="s">
        <v>16</v>
      </c>
      <c r="L12" s="652">
        <v>1717.9580000000001</v>
      </c>
      <c r="M12" s="693">
        <v>7</v>
      </c>
      <c r="N12" s="667">
        <f>J12+L12+L13</f>
        <v>30579.054108147997</v>
      </c>
      <c r="O12" s="75" t="s">
        <v>74</v>
      </c>
      <c r="P12" s="88">
        <f t="shared" ref="P12:P88" si="2">P11+1</f>
        <v>2</v>
      </c>
      <c r="R12" s="114"/>
      <c r="S12" s="115"/>
    </row>
    <row r="13" spans="1:19" ht="18.5" x14ac:dyDescent="0.35">
      <c r="A13" s="88">
        <f t="shared" si="1"/>
        <v>3</v>
      </c>
      <c r="B13" s="96">
        <v>921</v>
      </c>
      <c r="C13" s="113" t="s">
        <v>73</v>
      </c>
      <c r="D13" s="77"/>
      <c r="E13" s="78"/>
      <c r="F13" s="77"/>
      <c r="G13" s="27"/>
      <c r="H13" s="78"/>
      <c r="I13" s="546"/>
      <c r="J13" s="77"/>
      <c r="K13" s="27" t="s">
        <v>16</v>
      </c>
      <c r="L13" s="652">
        <f>L45</f>
        <v>9375.1098499999989</v>
      </c>
      <c r="M13" s="729">
        <v>9</v>
      </c>
      <c r="N13" s="667"/>
      <c r="O13" s="75" t="s">
        <v>74</v>
      </c>
      <c r="P13" s="88">
        <f t="shared" si="2"/>
        <v>3</v>
      </c>
      <c r="R13" s="114"/>
      <c r="S13" s="115"/>
    </row>
    <row r="14" spans="1:19" ht="16.5" x14ac:dyDescent="0.35">
      <c r="A14" s="88">
        <f t="shared" si="1"/>
        <v>4</v>
      </c>
      <c r="B14" s="96">
        <v>922</v>
      </c>
      <c r="C14" s="113" t="s">
        <v>75</v>
      </c>
      <c r="D14" s="77">
        <v>-18872.382000000001</v>
      </c>
      <c r="E14" s="78">
        <f>E46</f>
        <v>-125.07091</v>
      </c>
      <c r="F14" s="77">
        <f>D14-E14</f>
        <v>-18747.311090000003</v>
      </c>
      <c r="G14" s="78"/>
      <c r="H14" s="78"/>
      <c r="I14" s="79"/>
      <c r="J14" s="77">
        <f t="shared" si="0"/>
        <v>-18747.311090000003</v>
      </c>
      <c r="K14" s="27" t="s">
        <v>16</v>
      </c>
      <c r="L14" s="652">
        <f>L47</f>
        <v>-125.12939</v>
      </c>
      <c r="M14" s="729">
        <v>9</v>
      </c>
      <c r="N14" s="667">
        <f>J14+L14</f>
        <v>-18872.440480000001</v>
      </c>
      <c r="O14" s="75" t="s">
        <v>76</v>
      </c>
      <c r="P14" s="88">
        <f t="shared" si="2"/>
        <v>4</v>
      </c>
      <c r="R14" s="114"/>
    </row>
    <row r="15" spans="1:19" ht="18.5" x14ac:dyDescent="0.35">
      <c r="A15" s="88">
        <f t="shared" si="1"/>
        <v>5</v>
      </c>
      <c r="B15" s="96">
        <v>923</v>
      </c>
      <c r="C15" s="113" t="s">
        <v>77</v>
      </c>
      <c r="D15" s="77">
        <v>108535.25900000001</v>
      </c>
      <c r="E15" s="78">
        <f>E53</f>
        <v>12845.547155421998</v>
      </c>
      <c r="F15" s="77">
        <f>D15-E15</f>
        <v>95689.711844578007</v>
      </c>
      <c r="G15" s="27"/>
      <c r="H15" s="78"/>
      <c r="I15" s="546"/>
      <c r="J15" s="77">
        <f t="shared" si="0"/>
        <v>95689.711844578007</v>
      </c>
      <c r="K15" s="27" t="s">
        <v>16</v>
      </c>
      <c r="L15" s="652">
        <v>83.521000000000001</v>
      </c>
      <c r="M15" s="693">
        <v>7</v>
      </c>
      <c r="N15" s="667">
        <f>J15+L15+L16</f>
        <v>97939.248374578005</v>
      </c>
      <c r="O15" s="75" t="s">
        <v>78</v>
      </c>
      <c r="P15" s="88">
        <f t="shared" si="2"/>
        <v>5</v>
      </c>
      <c r="R15" s="114"/>
    </row>
    <row r="16" spans="1:19" ht="18.5" x14ac:dyDescent="0.35">
      <c r="A16" s="88">
        <f t="shared" si="1"/>
        <v>6</v>
      </c>
      <c r="B16" s="96">
        <v>923</v>
      </c>
      <c r="C16" s="113" t="s">
        <v>77</v>
      </c>
      <c r="D16" s="77"/>
      <c r="E16" s="78"/>
      <c r="F16" s="77"/>
      <c r="G16" s="27"/>
      <c r="H16" s="78"/>
      <c r="I16" s="546"/>
      <c r="J16" s="77"/>
      <c r="K16" s="27" t="s">
        <v>16</v>
      </c>
      <c r="L16" s="652">
        <f>L55</f>
        <v>2166.0155300000001</v>
      </c>
      <c r="M16" s="729">
        <v>9</v>
      </c>
      <c r="N16" s="667"/>
      <c r="O16" s="75" t="s">
        <v>78</v>
      </c>
      <c r="P16" s="88">
        <f t="shared" si="2"/>
        <v>6</v>
      </c>
      <c r="R16" s="114"/>
    </row>
    <row r="17" spans="1:18" x14ac:dyDescent="0.35">
      <c r="A17" s="88">
        <f t="shared" si="1"/>
        <v>7</v>
      </c>
      <c r="B17" s="107">
        <v>924</v>
      </c>
      <c r="C17" s="113" t="s">
        <v>79</v>
      </c>
      <c r="D17" s="77">
        <v>8310.402</v>
      </c>
      <c r="E17" s="78">
        <v>0</v>
      </c>
      <c r="F17" s="77">
        <f t="shared" ref="F17:F18" si="3">D17-E17</f>
        <v>8310.402</v>
      </c>
      <c r="G17" s="78"/>
      <c r="H17" s="78"/>
      <c r="I17" s="79"/>
      <c r="J17" s="77">
        <f t="shared" si="0"/>
        <v>8310.402</v>
      </c>
      <c r="K17" s="78"/>
      <c r="L17" s="78"/>
      <c r="M17" s="78"/>
      <c r="N17" s="77">
        <f t="shared" ref="N17:N26" si="4">J17+L17</f>
        <v>8310.402</v>
      </c>
      <c r="O17" s="75" t="s">
        <v>80</v>
      </c>
      <c r="P17" s="88">
        <f t="shared" si="2"/>
        <v>7</v>
      </c>
      <c r="R17" s="114"/>
    </row>
    <row r="18" spans="1:18" ht="18.5" x14ac:dyDescent="0.35">
      <c r="A18" s="88">
        <f t="shared" si="1"/>
        <v>8</v>
      </c>
      <c r="B18" s="96">
        <v>925</v>
      </c>
      <c r="C18" s="113" t="s">
        <v>81</v>
      </c>
      <c r="D18" s="77">
        <v>181130.33900000001</v>
      </c>
      <c r="E18" s="78">
        <f>E58</f>
        <v>1105.1051231060101</v>
      </c>
      <c r="F18" s="77">
        <f t="shared" si="3"/>
        <v>180025.233876894</v>
      </c>
      <c r="G18" s="732"/>
      <c r="H18" s="39">
        <v>-130.33199999999999</v>
      </c>
      <c r="I18" s="546">
        <v>5</v>
      </c>
      <c r="J18" s="77">
        <f t="shared" si="0"/>
        <v>179894.901876894</v>
      </c>
      <c r="K18" s="27" t="s">
        <v>16</v>
      </c>
      <c r="L18" s="652">
        <f>L59</f>
        <v>746.95546999999988</v>
      </c>
      <c r="M18" s="729">
        <v>9</v>
      </c>
      <c r="N18" s="667">
        <f t="shared" si="4"/>
        <v>180641.85734689399</v>
      </c>
      <c r="O18" s="75" t="s">
        <v>82</v>
      </c>
      <c r="P18" s="88">
        <f t="shared" si="2"/>
        <v>8</v>
      </c>
      <c r="R18" s="114"/>
    </row>
    <row r="19" spans="1:18" ht="18.5" x14ac:dyDescent="0.35">
      <c r="A19" s="88">
        <f t="shared" si="1"/>
        <v>9</v>
      </c>
      <c r="B19" s="96">
        <v>926</v>
      </c>
      <c r="C19" s="113" t="s">
        <v>327</v>
      </c>
      <c r="D19" s="77">
        <v>62304.38</v>
      </c>
      <c r="E19" s="78">
        <f>E62</f>
        <v>2589.589301958019</v>
      </c>
      <c r="F19" s="77">
        <f>D19-E19</f>
        <v>59714.790698041979</v>
      </c>
      <c r="G19" s="27"/>
      <c r="H19" s="78"/>
      <c r="I19" s="546"/>
      <c r="J19" s="77">
        <f t="shared" si="0"/>
        <v>59714.790698041979</v>
      </c>
      <c r="K19" s="27" t="s">
        <v>16</v>
      </c>
      <c r="L19" s="652">
        <f>L63</f>
        <v>1752.65128</v>
      </c>
      <c r="M19" s="729">
        <v>9</v>
      </c>
      <c r="N19" s="667">
        <f t="shared" si="4"/>
        <v>61467.441978041978</v>
      </c>
      <c r="O19" s="75" t="s">
        <v>83</v>
      </c>
      <c r="P19" s="88">
        <f t="shared" si="2"/>
        <v>9</v>
      </c>
      <c r="R19" s="116"/>
    </row>
    <row r="20" spans="1:18" x14ac:dyDescent="0.35">
      <c r="A20" s="88">
        <f t="shared" si="1"/>
        <v>10</v>
      </c>
      <c r="B20" s="107">
        <v>927</v>
      </c>
      <c r="C20" s="113" t="s">
        <v>84</v>
      </c>
      <c r="D20" s="77">
        <v>130506.765</v>
      </c>
      <c r="E20" s="78">
        <f>E64</f>
        <v>130506.76528000001</v>
      </c>
      <c r="F20" s="77">
        <f t="shared" ref="F20:F22" si="5">D20-E20</f>
        <v>-2.8000000747852027E-4</v>
      </c>
      <c r="G20" s="78"/>
      <c r="H20" s="78"/>
      <c r="I20" s="79"/>
      <c r="J20" s="77">
        <f t="shared" si="0"/>
        <v>-2.8000000747852027E-4</v>
      </c>
      <c r="K20" s="78"/>
      <c r="L20" s="78"/>
      <c r="M20" s="78"/>
      <c r="N20" s="77">
        <f t="shared" si="4"/>
        <v>-2.8000000747852027E-4</v>
      </c>
      <c r="O20" s="75" t="s">
        <v>85</v>
      </c>
      <c r="P20" s="88">
        <f t="shared" si="2"/>
        <v>10</v>
      </c>
      <c r="R20" s="116"/>
    </row>
    <row r="21" spans="1:18" x14ac:dyDescent="0.3">
      <c r="A21" s="88">
        <f t="shared" si="1"/>
        <v>11</v>
      </c>
      <c r="B21" s="107">
        <v>928</v>
      </c>
      <c r="C21" s="113" t="s">
        <v>328</v>
      </c>
      <c r="D21" s="77">
        <v>27995.793000000001</v>
      </c>
      <c r="E21" s="78">
        <f>E70</f>
        <v>16572.369439999999</v>
      </c>
      <c r="F21" s="77">
        <f t="shared" si="5"/>
        <v>11423.423560000003</v>
      </c>
      <c r="G21" s="78"/>
      <c r="H21" s="78"/>
      <c r="I21" s="118"/>
      <c r="J21" s="77">
        <f t="shared" si="0"/>
        <v>11423.423560000003</v>
      </c>
      <c r="K21" s="78"/>
      <c r="L21" s="78"/>
      <c r="M21" s="78"/>
      <c r="N21" s="77">
        <f t="shared" si="4"/>
        <v>11423.423560000003</v>
      </c>
      <c r="O21" s="75" t="s">
        <v>86</v>
      </c>
      <c r="P21" s="88">
        <f t="shared" si="2"/>
        <v>11</v>
      </c>
      <c r="R21" s="116"/>
    </row>
    <row r="22" spans="1:18" x14ac:dyDescent="0.35">
      <c r="A22" s="88">
        <f t="shared" si="1"/>
        <v>12</v>
      </c>
      <c r="B22" s="107">
        <v>929</v>
      </c>
      <c r="C22" s="113" t="s">
        <v>87</v>
      </c>
      <c r="D22" s="77">
        <v>-2772.7849999999999</v>
      </c>
      <c r="E22" s="78">
        <v>0</v>
      </c>
      <c r="F22" s="77">
        <f t="shared" si="5"/>
        <v>-2772.7849999999999</v>
      </c>
      <c r="G22" s="78"/>
      <c r="H22" s="78"/>
      <c r="I22" s="79"/>
      <c r="J22" s="77">
        <f t="shared" si="0"/>
        <v>-2772.7849999999999</v>
      </c>
      <c r="K22" s="78"/>
      <c r="L22" s="78"/>
      <c r="M22" s="78"/>
      <c r="N22" s="77">
        <f t="shared" si="4"/>
        <v>-2772.7849999999999</v>
      </c>
      <c r="O22" s="75" t="s">
        <v>88</v>
      </c>
      <c r="P22" s="88">
        <f t="shared" si="2"/>
        <v>12</v>
      </c>
      <c r="R22" s="114"/>
    </row>
    <row r="23" spans="1:18" ht="18.5" x14ac:dyDescent="0.35">
      <c r="A23" s="88">
        <f t="shared" si="1"/>
        <v>13</v>
      </c>
      <c r="B23" s="649">
        <v>930.1</v>
      </c>
      <c r="C23" s="113" t="s">
        <v>89</v>
      </c>
      <c r="D23" s="77">
        <v>-204.155</v>
      </c>
      <c r="E23" s="78">
        <f>E71</f>
        <v>-204.155</v>
      </c>
      <c r="F23" s="77">
        <f>D23-E23</f>
        <v>0</v>
      </c>
      <c r="G23" s="78"/>
      <c r="H23" s="78"/>
      <c r="I23" s="546"/>
      <c r="J23" s="77">
        <f t="shared" si="0"/>
        <v>0</v>
      </c>
      <c r="K23" s="78"/>
      <c r="L23" s="78"/>
      <c r="M23" s="78"/>
      <c r="N23" s="77">
        <f t="shared" si="4"/>
        <v>0</v>
      </c>
      <c r="O23" s="75" t="s">
        <v>90</v>
      </c>
      <c r="P23" s="88">
        <f t="shared" si="2"/>
        <v>13</v>
      </c>
      <c r="R23" s="114"/>
    </row>
    <row r="24" spans="1:18" ht="18.5" x14ac:dyDescent="0.35">
      <c r="A24" s="88">
        <f t="shared" si="1"/>
        <v>14</v>
      </c>
      <c r="B24" s="547">
        <v>930.2</v>
      </c>
      <c r="C24" s="113" t="s">
        <v>91</v>
      </c>
      <c r="D24" s="77">
        <v>2511.0549999999998</v>
      </c>
      <c r="E24" s="78">
        <f>E75</f>
        <v>217.58000000000015</v>
      </c>
      <c r="F24" s="77">
        <f t="shared" ref="F24" si="6">D24-E24</f>
        <v>2293.4749999999995</v>
      </c>
      <c r="G24" s="732"/>
      <c r="H24" s="78">
        <v>40</v>
      </c>
      <c r="I24" s="546">
        <v>6</v>
      </c>
      <c r="J24" s="77">
        <f t="shared" si="0"/>
        <v>2333.4749999999995</v>
      </c>
      <c r="K24" s="27" t="s">
        <v>16</v>
      </c>
      <c r="L24" s="652">
        <v>595.57100000000003</v>
      </c>
      <c r="M24" s="698">
        <v>7</v>
      </c>
      <c r="N24" s="667">
        <f>J24+L24+L25</f>
        <v>2238.2789999999995</v>
      </c>
      <c r="O24" s="75" t="s">
        <v>92</v>
      </c>
      <c r="P24" s="88">
        <f t="shared" si="2"/>
        <v>14</v>
      </c>
      <c r="R24" s="119"/>
    </row>
    <row r="25" spans="1:18" ht="18.5" x14ac:dyDescent="0.35">
      <c r="A25" s="88">
        <f t="shared" si="1"/>
        <v>15</v>
      </c>
      <c r="B25" s="547">
        <v>930.2</v>
      </c>
      <c r="C25" s="113" t="s">
        <v>91</v>
      </c>
      <c r="D25" s="77"/>
      <c r="E25" s="78"/>
      <c r="F25" s="77"/>
      <c r="G25" s="27"/>
      <c r="H25" s="78"/>
      <c r="I25" s="697"/>
      <c r="J25" s="667"/>
      <c r="K25" s="27" t="s">
        <v>16</v>
      </c>
      <c r="L25" s="97">
        <v>-690.76700000000005</v>
      </c>
      <c r="M25" s="698">
        <v>8</v>
      </c>
      <c r="N25" s="77"/>
      <c r="O25" s="75" t="s">
        <v>92</v>
      </c>
      <c r="P25" s="88">
        <f t="shared" si="2"/>
        <v>15</v>
      </c>
      <c r="R25" s="119"/>
    </row>
    <row r="26" spans="1:18" x14ac:dyDescent="0.35">
      <c r="A26" s="88">
        <f t="shared" si="1"/>
        <v>16</v>
      </c>
      <c r="B26" s="107">
        <v>931</v>
      </c>
      <c r="C26" s="113" t="s">
        <v>66</v>
      </c>
      <c r="D26" s="77">
        <v>10939.305</v>
      </c>
      <c r="E26" s="78">
        <v>0</v>
      </c>
      <c r="F26" s="77">
        <f>D26-E26</f>
        <v>10939.305</v>
      </c>
      <c r="G26" s="78"/>
      <c r="H26" s="78"/>
      <c r="I26" s="78"/>
      <c r="J26" s="77">
        <f>F26+H26</f>
        <v>10939.305</v>
      </c>
      <c r="K26" s="78"/>
      <c r="L26" s="78"/>
      <c r="M26" s="78"/>
      <c r="N26" s="77">
        <f t="shared" si="4"/>
        <v>10939.305</v>
      </c>
      <c r="O26" s="75" t="s">
        <v>93</v>
      </c>
      <c r="P26" s="88">
        <f t="shared" si="2"/>
        <v>16</v>
      </c>
      <c r="R26" s="114"/>
    </row>
    <row r="27" spans="1:18" x14ac:dyDescent="0.35">
      <c r="A27" s="88">
        <f t="shared" si="1"/>
        <v>17</v>
      </c>
      <c r="B27" s="107">
        <v>935</v>
      </c>
      <c r="C27" s="113" t="s">
        <v>94</v>
      </c>
      <c r="D27" s="468">
        <v>9293.2980000000007</v>
      </c>
      <c r="E27" s="451">
        <f>E77</f>
        <v>-1915.2449610859999</v>
      </c>
      <c r="F27" s="468">
        <f>D27-E27</f>
        <v>11208.542961086001</v>
      </c>
      <c r="G27" s="469"/>
      <c r="H27" s="451"/>
      <c r="I27" s="470"/>
      <c r="J27" s="470">
        <f>F27+H27</f>
        <v>11208.542961086001</v>
      </c>
      <c r="K27" s="469"/>
      <c r="L27" s="451"/>
      <c r="M27" s="451"/>
      <c r="N27" s="468">
        <f>J27+L27</f>
        <v>11208.542961086001</v>
      </c>
      <c r="O27" s="75" t="s">
        <v>95</v>
      </c>
      <c r="P27" s="88">
        <f t="shared" si="2"/>
        <v>17</v>
      </c>
      <c r="Q27" s="89" t="s">
        <v>11</v>
      </c>
      <c r="R27" s="114"/>
    </row>
    <row r="28" spans="1:18" x14ac:dyDescent="0.35">
      <c r="A28" s="88">
        <f t="shared" si="1"/>
        <v>18</v>
      </c>
      <c r="B28" s="107"/>
      <c r="D28" s="120"/>
      <c r="F28" s="120"/>
      <c r="J28" s="120"/>
      <c r="N28" s="120"/>
      <c r="O28" s="121"/>
      <c r="P28" s="88">
        <f t="shared" si="2"/>
        <v>18</v>
      </c>
    </row>
    <row r="29" spans="1:18" ht="16" thickBot="1" x14ac:dyDescent="0.4">
      <c r="A29" s="88">
        <f t="shared" si="1"/>
        <v>19</v>
      </c>
      <c r="B29" s="107"/>
      <c r="C29" s="97" t="s">
        <v>96</v>
      </c>
      <c r="D29" s="122">
        <f>SUM(D11:D27)</f>
        <v>594949.38299999991</v>
      </c>
      <c r="E29" s="85">
        <f>SUM(E11:E27)</f>
        <v>171935.58274067604</v>
      </c>
      <c r="F29" s="83">
        <f>SUM(F11:F27)</f>
        <v>423013.80025932402</v>
      </c>
      <c r="G29" s="731"/>
      <c r="H29" s="548">
        <f>SUM(H11:H27)</f>
        <v>-90.331999999999994</v>
      </c>
      <c r="I29" s="85"/>
      <c r="J29" s="83">
        <f>SUM(J11:J27)</f>
        <v>422923.46825932397</v>
      </c>
      <c r="K29" s="84" t="s">
        <v>16</v>
      </c>
      <c r="L29" s="548">
        <f>SUM(L11:L27)</f>
        <v>16552.13812</v>
      </c>
      <c r="M29" s="548"/>
      <c r="N29" s="83">
        <f>SUM(N11:N27)</f>
        <v>439475.60637932399</v>
      </c>
      <c r="O29" s="123" t="str">
        <f>"Sum Lines "&amp;A11&amp;" thru "&amp;A27</f>
        <v>Sum Lines 1 thru 17</v>
      </c>
      <c r="P29" s="88">
        <f t="shared" si="2"/>
        <v>19</v>
      </c>
    </row>
    <row r="30" spans="1:18" ht="16" thickTop="1" x14ac:dyDescent="0.35">
      <c r="A30" s="88">
        <f t="shared" si="1"/>
        <v>20</v>
      </c>
      <c r="B30" s="107"/>
      <c r="C30" s="97"/>
      <c r="D30" s="477"/>
      <c r="E30" s="81"/>
      <c r="F30" s="82"/>
      <c r="G30" s="80"/>
      <c r="H30" s="80"/>
      <c r="I30" s="80"/>
      <c r="J30" s="82"/>
      <c r="K30" s="80"/>
      <c r="L30" s="80"/>
      <c r="M30" s="80"/>
      <c r="N30" s="82"/>
      <c r="O30" s="123"/>
      <c r="P30" s="88">
        <f t="shared" si="2"/>
        <v>20</v>
      </c>
    </row>
    <row r="31" spans="1:18" ht="18" x14ac:dyDescent="0.35">
      <c r="A31" s="88">
        <f t="shared" si="1"/>
        <v>21</v>
      </c>
      <c r="B31" s="107">
        <v>413</v>
      </c>
      <c r="C31" s="89" t="s">
        <v>329</v>
      </c>
      <c r="D31" s="468">
        <v>204.65183999999999</v>
      </c>
      <c r="E31" s="470">
        <v>0</v>
      </c>
      <c r="F31" s="468">
        <f>D31-E31</f>
        <v>204.65183999999999</v>
      </c>
      <c r="G31" s="469"/>
      <c r="H31" s="451"/>
      <c r="I31" s="451"/>
      <c r="J31" s="468">
        <f>F31+H31</f>
        <v>204.65183999999999</v>
      </c>
      <c r="K31" s="469"/>
      <c r="L31" s="451"/>
      <c r="M31" s="451"/>
      <c r="N31" s="468">
        <f>J31+L31</f>
        <v>204.65183999999999</v>
      </c>
      <c r="O31" s="123"/>
      <c r="P31" s="88">
        <f t="shared" si="2"/>
        <v>21</v>
      </c>
    </row>
    <row r="32" spans="1:18" x14ac:dyDescent="0.35">
      <c r="A32" s="88">
        <f t="shared" si="1"/>
        <v>22</v>
      </c>
      <c r="B32" s="107"/>
      <c r="C32" s="97"/>
      <c r="D32" s="477"/>
      <c r="E32" s="81"/>
      <c r="F32" s="82"/>
      <c r="G32" s="80"/>
      <c r="H32" s="80"/>
      <c r="I32" s="80"/>
      <c r="J32" s="82"/>
      <c r="K32" s="80"/>
      <c r="L32" s="80"/>
      <c r="M32" s="80"/>
      <c r="N32" s="82"/>
      <c r="O32" s="123"/>
      <c r="P32" s="88">
        <f t="shared" si="2"/>
        <v>22</v>
      </c>
    </row>
    <row r="33" spans="1:18" ht="16" thickBot="1" x14ac:dyDescent="0.4">
      <c r="A33" s="88">
        <f t="shared" si="1"/>
        <v>23</v>
      </c>
      <c r="B33" s="107"/>
      <c r="C33" s="97" t="s">
        <v>330</v>
      </c>
      <c r="D33" s="122">
        <f>D29+D31</f>
        <v>595154.03483999986</v>
      </c>
      <c r="E33" s="81">
        <f>E29+E31</f>
        <v>171935.58274067604</v>
      </c>
      <c r="F33" s="82">
        <f>F29+F31</f>
        <v>423218.45209932403</v>
      </c>
      <c r="G33" s="731"/>
      <c r="H33" s="548">
        <f>H29+H31</f>
        <v>-90.331999999999994</v>
      </c>
      <c r="I33" s="85"/>
      <c r="J33" s="83">
        <f>J29+J31</f>
        <v>423128.12009932398</v>
      </c>
      <c r="K33" s="84" t="s">
        <v>16</v>
      </c>
      <c r="L33" s="548">
        <f>L29+L31</f>
        <v>16552.13812</v>
      </c>
      <c r="M33" s="548"/>
      <c r="N33" s="83">
        <f>N29+N31</f>
        <v>439680.25821932399</v>
      </c>
      <c r="O33" s="123" t="str">
        <f>"Line "&amp;A29&amp;" + Line "&amp;A31</f>
        <v>Line 19 + Line 21</v>
      </c>
      <c r="P33" s="88">
        <f t="shared" si="2"/>
        <v>23</v>
      </c>
    </row>
    <row r="34" spans="1:18" ht="16.5" thickTop="1" thickBot="1" x14ac:dyDescent="0.4">
      <c r="A34" s="88">
        <f t="shared" si="1"/>
        <v>24</v>
      </c>
      <c r="B34" s="124"/>
      <c r="C34" s="90"/>
      <c r="D34" s="125"/>
      <c r="E34" s="126"/>
      <c r="F34" s="126"/>
      <c r="G34" s="127"/>
      <c r="H34" s="127"/>
      <c r="I34" s="127"/>
      <c r="J34" s="129"/>
      <c r="K34" s="127"/>
      <c r="L34" s="127"/>
      <c r="M34" s="127"/>
      <c r="N34" s="129"/>
      <c r="O34" s="130"/>
      <c r="P34" s="88">
        <f t="shared" si="2"/>
        <v>24</v>
      </c>
    </row>
    <row r="35" spans="1:18" x14ac:dyDescent="0.35">
      <c r="A35" s="88">
        <f t="shared" si="1"/>
        <v>25</v>
      </c>
      <c r="B35" s="141"/>
      <c r="D35" s="478"/>
      <c r="E35" s="479"/>
      <c r="F35" s="478"/>
      <c r="G35" s="478"/>
      <c r="H35" s="478"/>
      <c r="I35" s="478"/>
      <c r="J35" s="478"/>
      <c r="K35" s="478"/>
      <c r="L35" s="478"/>
      <c r="M35" s="478"/>
      <c r="N35" s="478"/>
      <c r="O35" s="121"/>
      <c r="P35" s="88">
        <f t="shared" si="2"/>
        <v>25</v>
      </c>
    </row>
    <row r="36" spans="1:18" x14ac:dyDescent="0.35">
      <c r="A36" s="88">
        <f t="shared" si="1"/>
        <v>26</v>
      </c>
      <c r="B36" s="131" t="s">
        <v>97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121"/>
      <c r="P36" s="88">
        <f t="shared" si="2"/>
        <v>26</v>
      </c>
    </row>
    <row r="37" spans="1:18" x14ac:dyDescent="0.35">
      <c r="A37" s="88">
        <f t="shared" si="1"/>
        <v>27</v>
      </c>
      <c r="B37" s="132">
        <v>920</v>
      </c>
      <c r="C37" s="21" t="s">
        <v>98</v>
      </c>
      <c r="D37" s="33">
        <v>37.830849999999998</v>
      </c>
      <c r="F37" s="88"/>
      <c r="G37" s="88"/>
      <c r="H37" s="88"/>
      <c r="I37" s="88"/>
      <c r="J37" s="88"/>
      <c r="K37" s="88"/>
      <c r="L37" s="88"/>
      <c r="M37" s="88"/>
      <c r="N37" s="88"/>
      <c r="O37" s="121"/>
      <c r="P37" s="88">
        <f t="shared" si="2"/>
        <v>27</v>
      </c>
    </row>
    <row r="38" spans="1:18" x14ac:dyDescent="0.35">
      <c r="A38" s="88">
        <f t="shared" si="1"/>
        <v>28</v>
      </c>
      <c r="B38" s="132"/>
      <c r="C38" s="21" t="s">
        <v>513</v>
      </c>
      <c r="D38" s="630">
        <v>873.61009352399992</v>
      </c>
      <c r="E38" s="33"/>
      <c r="O38" s="121"/>
      <c r="P38" s="88">
        <f t="shared" si="2"/>
        <v>28</v>
      </c>
      <c r="R38" s="113"/>
    </row>
    <row r="39" spans="1:18" x14ac:dyDescent="0.35">
      <c r="A39" s="88">
        <f t="shared" si="1"/>
        <v>29</v>
      </c>
      <c r="B39" s="132"/>
      <c r="C39" s="21" t="s">
        <v>514</v>
      </c>
      <c r="D39" s="631">
        <v>56.642625899999999</v>
      </c>
      <c r="E39" s="33">
        <f>SUM(D37:D39)</f>
        <v>968.08356942399996</v>
      </c>
      <c r="O39" s="121"/>
      <c r="P39" s="88">
        <f t="shared" si="2"/>
        <v>29</v>
      </c>
    </row>
    <row r="40" spans="1:18" ht="18" x14ac:dyDescent="0.35">
      <c r="A40" s="88">
        <f t="shared" si="1"/>
        <v>30</v>
      </c>
      <c r="B40" s="132"/>
      <c r="C40" s="727" t="s">
        <v>621</v>
      </c>
      <c r="D40" s="630"/>
      <c r="E40" s="33"/>
      <c r="L40" s="776">
        <f>1015.03238-84.78</f>
        <v>930.25238000000002</v>
      </c>
      <c r="M40" s="728">
        <v>9</v>
      </c>
      <c r="O40" s="121"/>
      <c r="P40" s="88">
        <f t="shared" si="2"/>
        <v>30</v>
      </c>
    </row>
    <row r="41" spans="1:18" x14ac:dyDescent="0.35">
      <c r="A41" s="88">
        <f t="shared" si="1"/>
        <v>31</v>
      </c>
      <c r="B41" s="132">
        <v>921</v>
      </c>
      <c r="C41" s="21" t="s">
        <v>98</v>
      </c>
      <c r="D41" s="89">
        <v>-9.620999999999999E-2</v>
      </c>
      <c r="L41" s="777"/>
      <c r="O41" s="121"/>
      <c r="P41" s="88">
        <f t="shared" si="2"/>
        <v>31</v>
      </c>
    </row>
    <row r="42" spans="1:18" x14ac:dyDescent="0.35">
      <c r="A42" s="88">
        <f t="shared" si="1"/>
        <v>32</v>
      </c>
      <c r="B42" s="132"/>
      <c r="C42" s="21" t="s">
        <v>513</v>
      </c>
      <c r="D42" s="630">
        <v>8254.9592088600002</v>
      </c>
      <c r="L42" s="777"/>
      <c r="O42" s="121"/>
      <c r="P42" s="88">
        <f t="shared" si="2"/>
        <v>32</v>
      </c>
    </row>
    <row r="43" spans="1:18" x14ac:dyDescent="0.35">
      <c r="A43" s="88">
        <f t="shared" si="1"/>
        <v>33</v>
      </c>
      <c r="B43" s="132"/>
      <c r="C43" s="21" t="s">
        <v>514</v>
      </c>
      <c r="D43" s="631">
        <v>1120.1507429919998</v>
      </c>
      <c r="E43" s="89">
        <f>SUM(D41:D43)</f>
        <v>9375.0137418520007</v>
      </c>
      <c r="F43" s="480"/>
      <c r="G43" s="480"/>
      <c r="H43" s="480"/>
      <c r="I43" s="480"/>
      <c r="J43" s="480"/>
      <c r="K43" s="480"/>
      <c r="L43" s="776"/>
      <c r="M43" s="480"/>
      <c r="N43" s="480"/>
      <c r="O43" s="481"/>
      <c r="P43" s="88">
        <f t="shared" si="2"/>
        <v>33</v>
      </c>
    </row>
    <row r="44" spans="1:18" ht="18" x14ac:dyDescent="0.35">
      <c r="A44" s="88">
        <f t="shared" si="1"/>
        <v>34</v>
      </c>
      <c r="B44" s="132"/>
      <c r="C44" s="699" t="s">
        <v>595</v>
      </c>
      <c r="D44" s="630"/>
      <c r="F44" s="480"/>
      <c r="G44" s="480"/>
      <c r="H44" s="480"/>
      <c r="I44" s="480"/>
      <c r="J44" s="480"/>
      <c r="K44" s="480"/>
      <c r="L44" s="652">
        <v>1717.9580000000001</v>
      </c>
      <c r="M44" s="728">
        <v>7</v>
      </c>
      <c r="N44" s="480"/>
      <c r="O44" s="481"/>
      <c r="P44" s="88">
        <f t="shared" si="2"/>
        <v>34</v>
      </c>
    </row>
    <row r="45" spans="1:18" ht="18" x14ac:dyDescent="0.35">
      <c r="A45" s="88">
        <f t="shared" si="1"/>
        <v>35</v>
      </c>
      <c r="B45" s="132"/>
      <c r="C45" s="727" t="s">
        <v>621</v>
      </c>
      <c r="D45" s="630"/>
      <c r="F45" s="480"/>
      <c r="G45" s="480"/>
      <c r="H45" s="480"/>
      <c r="I45" s="480"/>
      <c r="J45" s="480"/>
      <c r="K45" s="480"/>
      <c r="L45" s="778">
        <f>9503.23885-128.129</f>
        <v>9375.1098499999989</v>
      </c>
      <c r="M45" s="728">
        <v>9</v>
      </c>
      <c r="N45" s="480"/>
      <c r="O45" s="481"/>
      <c r="P45" s="88">
        <f t="shared" si="2"/>
        <v>35</v>
      </c>
    </row>
    <row r="46" spans="1:18" x14ac:dyDescent="0.35">
      <c r="A46" s="88">
        <f t="shared" si="1"/>
        <v>36</v>
      </c>
      <c r="B46" s="132">
        <v>922</v>
      </c>
      <c r="C46" s="21" t="s">
        <v>514</v>
      </c>
      <c r="D46" s="630"/>
      <c r="E46" s="89">
        <v>-125.07091</v>
      </c>
      <c r="L46" s="777"/>
      <c r="O46" s="121"/>
      <c r="P46" s="88">
        <f t="shared" si="2"/>
        <v>36</v>
      </c>
    </row>
    <row r="47" spans="1:18" ht="18" x14ac:dyDescent="0.35">
      <c r="A47" s="88">
        <f t="shared" si="1"/>
        <v>37</v>
      </c>
      <c r="B47" s="132"/>
      <c r="C47" s="727" t="s">
        <v>621</v>
      </c>
      <c r="D47" s="630"/>
      <c r="L47" s="778">
        <v>-125.12939</v>
      </c>
      <c r="M47" s="728">
        <v>9</v>
      </c>
      <c r="O47" s="121"/>
      <c r="P47" s="88">
        <f t="shared" si="2"/>
        <v>37</v>
      </c>
    </row>
    <row r="48" spans="1:18" x14ac:dyDescent="0.35">
      <c r="A48" s="88">
        <f t="shared" si="1"/>
        <v>38</v>
      </c>
      <c r="B48" s="132">
        <v>923</v>
      </c>
      <c r="C48" s="21" t="s">
        <v>98</v>
      </c>
      <c r="D48" s="31">
        <v>-17.988400000000002</v>
      </c>
      <c r="E48" s="28"/>
      <c r="L48" s="777"/>
      <c r="O48" s="121"/>
      <c r="P48" s="88">
        <f t="shared" si="2"/>
        <v>38</v>
      </c>
    </row>
    <row r="49" spans="1:16" x14ac:dyDescent="0.35">
      <c r="A49" s="88">
        <f t="shared" si="1"/>
        <v>39</v>
      </c>
      <c r="B49" s="132"/>
      <c r="C49" s="21" t="s">
        <v>513</v>
      </c>
      <c r="D49" s="31">
        <v>2086.0140693979997</v>
      </c>
      <c r="F49" s="480"/>
      <c r="G49" s="480"/>
      <c r="H49" s="480"/>
      <c r="I49" s="480"/>
      <c r="J49" s="480"/>
      <c r="K49" s="480"/>
      <c r="L49" s="776"/>
      <c r="M49" s="480"/>
      <c r="N49" s="480"/>
      <c r="O49" s="481"/>
      <c r="P49" s="88">
        <f t="shared" si="2"/>
        <v>39</v>
      </c>
    </row>
    <row r="50" spans="1:16" x14ac:dyDescent="0.35">
      <c r="A50" s="88">
        <f t="shared" si="1"/>
        <v>40</v>
      </c>
      <c r="B50" s="132"/>
      <c r="C50" s="21" t="s">
        <v>514</v>
      </c>
      <c r="D50" s="31">
        <v>80.426986024000001</v>
      </c>
      <c r="L50" s="777"/>
      <c r="O50" s="121"/>
      <c r="P50" s="88">
        <f t="shared" si="2"/>
        <v>40</v>
      </c>
    </row>
    <row r="51" spans="1:16" ht="18" x14ac:dyDescent="0.35">
      <c r="A51" s="88">
        <f t="shared" si="1"/>
        <v>41</v>
      </c>
      <c r="B51" s="132"/>
      <c r="C51" s="42" t="s">
        <v>515</v>
      </c>
      <c r="D51" s="78">
        <v>3185.4904999999999</v>
      </c>
      <c r="L51" s="777"/>
      <c r="O51" s="121"/>
      <c r="P51" s="88">
        <f t="shared" si="2"/>
        <v>41</v>
      </c>
    </row>
    <row r="52" spans="1:16" ht="18" x14ac:dyDescent="0.35">
      <c r="A52" s="88">
        <f t="shared" si="1"/>
        <v>42</v>
      </c>
      <c r="B52" s="132"/>
      <c r="C52" s="42" t="s">
        <v>516</v>
      </c>
      <c r="D52" s="78">
        <v>6031</v>
      </c>
      <c r="L52" s="777"/>
      <c r="O52" s="121"/>
      <c r="P52" s="88">
        <f t="shared" si="2"/>
        <v>42</v>
      </c>
    </row>
    <row r="53" spans="1:16" ht="18" x14ac:dyDescent="0.35">
      <c r="A53" s="88">
        <f t="shared" si="1"/>
        <v>43</v>
      </c>
      <c r="B53" s="132"/>
      <c r="C53" s="42" t="s">
        <v>517</v>
      </c>
      <c r="D53" s="451">
        <v>1480.604</v>
      </c>
      <c r="E53" s="89">
        <f>SUM(D48:D53)</f>
        <v>12845.547155421998</v>
      </c>
      <c r="L53" s="777"/>
      <c r="O53" s="121"/>
      <c r="P53" s="88">
        <f t="shared" si="2"/>
        <v>43</v>
      </c>
    </row>
    <row r="54" spans="1:16" ht="18" x14ac:dyDescent="0.35">
      <c r="A54" s="88">
        <f t="shared" si="1"/>
        <v>44</v>
      </c>
      <c r="B54" s="132"/>
      <c r="C54" s="699" t="s">
        <v>595</v>
      </c>
      <c r="D54" s="78"/>
      <c r="L54" s="652">
        <v>83.521000000000001</v>
      </c>
      <c r="M54" s="728">
        <v>7</v>
      </c>
      <c r="O54" s="121"/>
      <c r="P54" s="88">
        <f t="shared" si="2"/>
        <v>44</v>
      </c>
    </row>
    <row r="55" spans="1:16" ht="18" x14ac:dyDescent="0.35">
      <c r="A55" s="88">
        <f t="shared" si="1"/>
        <v>45</v>
      </c>
      <c r="B55" s="132"/>
      <c r="C55" s="727" t="s">
        <v>621</v>
      </c>
      <c r="D55" s="78"/>
      <c r="L55" s="778">
        <f>2732.18753-566.172</f>
        <v>2166.0155300000001</v>
      </c>
      <c r="M55" s="728">
        <v>9</v>
      </c>
      <c r="O55" s="121"/>
      <c r="P55" s="88">
        <f t="shared" si="2"/>
        <v>45</v>
      </c>
    </row>
    <row r="56" spans="1:16" x14ac:dyDescent="0.35">
      <c r="A56" s="88">
        <f t="shared" si="1"/>
        <v>46</v>
      </c>
      <c r="B56" s="132">
        <v>925</v>
      </c>
      <c r="C56" s="21" t="s">
        <v>98</v>
      </c>
      <c r="D56" s="31">
        <v>277.64044235400002</v>
      </c>
      <c r="F56" s="57"/>
      <c r="G56" s="57"/>
      <c r="H56" s="57"/>
      <c r="I56" s="57"/>
      <c r="J56" s="57"/>
      <c r="K56" s="57"/>
      <c r="L56" s="779"/>
      <c r="M56" s="57"/>
      <c r="N56" s="57"/>
      <c r="O56" s="121"/>
      <c r="P56" s="88">
        <f t="shared" si="2"/>
        <v>46</v>
      </c>
    </row>
    <row r="57" spans="1:16" x14ac:dyDescent="0.35">
      <c r="A57" s="88">
        <f t="shared" si="1"/>
        <v>47</v>
      </c>
      <c r="B57" s="132"/>
      <c r="C57" s="21" t="s">
        <v>514</v>
      </c>
      <c r="D57" s="31">
        <v>746.9557907520101</v>
      </c>
      <c r="F57" s="57"/>
      <c r="G57" s="57"/>
      <c r="H57" s="57"/>
      <c r="I57" s="57"/>
      <c r="J57" s="57"/>
      <c r="K57" s="57"/>
      <c r="L57" s="779"/>
      <c r="M57" s="57"/>
      <c r="N57" s="57"/>
      <c r="O57" s="121"/>
      <c r="P57" s="88">
        <f t="shared" si="2"/>
        <v>47</v>
      </c>
    </row>
    <row r="58" spans="1:16" x14ac:dyDescent="0.35">
      <c r="A58" s="88">
        <f t="shared" si="1"/>
        <v>48</v>
      </c>
      <c r="B58" s="132"/>
      <c r="C58" s="133" t="s">
        <v>518</v>
      </c>
      <c r="D58" s="471">
        <v>80.508890000000008</v>
      </c>
      <c r="E58" s="89">
        <f>SUM(D56:D58)</f>
        <v>1105.1051231060101</v>
      </c>
      <c r="F58" s="57"/>
      <c r="G58" s="57"/>
      <c r="H58" s="57"/>
      <c r="I58" s="57"/>
      <c r="J58" s="57"/>
      <c r="K58" s="57"/>
      <c r="L58" s="779"/>
      <c r="M58" s="57"/>
      <c r="N58" s="57"/>
      <c r="O58" s="121"/>
      <c r="P58" s="88">
        <f t="shared" si="2"/>
        <v>48</v>
      </c>
    </row>
    <row r="59" spans="1:16" ht="18" x14ac:dyDescent="0.35">
      <c r="A59" s="88">
        <f t="shared" si="1"/>
        <v>49</v>
      </c>
      <c r="B59" s="132"/>
      <c r="C59" s="727" t="s">
        <v>621</v>
      </c>
      <c r="D59" s="31"/>
      <c r="F59" s="57"/>
      <c r="G59" s="57"/>
      <c r="H59" s="57"/>
      <c r="I59" s="57"/>
      <c r="J59" s="57"/>
      <c r="K59" s="57"/>
      <c r="L59" s="778">
        <f>1051.78847-304.833</f>
        <v>746.95546999999988</v>
      </c>
      <c r="M59" s="728">
        <v>9</v>
      </c>
      <c r="N59" s="57"/>
      <c r="O59" s="121"/>
      <c r="P59" s="88">
        <f t="shared" si="2"/>
        <v>49</v>
      </c>
    </row>
    <row r="60" spans="1:16" x14ac:dyDescent="0.35">
      <c r="A60" s="88">
        <f t="shared" si="1"/>
        <v>50</v>
      </c>
      <c r="B60" s="132">
        <v>926</v>
      </c>
      <c r="C60" s="133" t="s">
        <v>98</v>
      </c>
      <c r="D60" s="31">
        <v>646.29282690599985</v>
      </c>
      <c r="F60" s="535"/>
      <c r="G60" s="535"/>
      <c r="H60" s="535"/>
      <c r="I60" s="535"/>
      <c r="J60" s="535"/>
      <c r="K60" s="535"/>
      <c r="L60" s="780"/>
      <c r="M60" s="535"/>
      <c r="N60" s="535"/>
      <c r="O60" s="121"/>
      <c r="P60" s="88">
        <f t="shared" si="2"/>
        <v>50</v>
      </c>
    </row>
    <row r="61" spans="1:16" x14ac:dyDescent="0.35">
      <c r="A61" s="88">
        <f t="shared" si="1"/>
        <v>51</v>
      </c>
      <c r="B61" s="132"/>
      <c r="C61" s="133" t="s">
        <v>518</v>
      </c>
      <c r="D61" s="31">
        <v>190.64548000000002</v>
      </c>
      <c r="E61" s="31"/>
      <c r="F61" s="535"/>
      <c r="G61" s="535"/>
      <c r="H61" s="535"/>
      <c r="I61" s="535"/>
      <c r="J61" s="535"/>
      <c r="K61" s="535"/>
      <c r="L61" s="780"/>
      <c r="M61" s="535"/>
      <c r="N61" s="535"/>
      <c r="O61" s="121"/>
      <c r="P61" s="88">
        <f t="shared" si="2"/>
        <v>51</v>
      </c>
    </row>
    <row r="62" spans="1:16" x14ac:dyDescent="0.35">
      <c r="A62" s="88">
        <f t="shared" si="1"/>
        <v>52</v>
      </c>
      <c r="B62" s="132"/>
      <c r="C62" s="21" t="s">
        <v>514</v>
      </c>
      <c r="D62" s="471">
        <v>1752.650995052019</v>
      </c>
      <c r="E62" s="89">
        <f>SUM(D60:D62)</f>
        <v>2589.589301958019</v>
      </c>
      <c r="F62" s="535"/>
      <c r="G62" s="535"/>
      <c r="H62" s="535"/>
      <c r="I62" s="535"/>
      <c r="J62" s="535"/>
      <c r="K62" s="535"/>
      <c r="L62" s="780"/>
      <c r="M62" s="535"/>
      <c r="N62" s="535"/>
      <c r="O62" s="121"/>
      <c r="P62" s="88">
        <f t="shared" si="2"/>
        <v>52</v>
      </c>
    </row>
    <row r="63" spans="1:16" ht="18" x14ac:dyDescent="0.35">
      <c r="A63" s="88">
        <f t="shared" si="1"/>
        <v>53</v>
      </c>
      <c r="B63" s="132"/>
      <c r="C63" s="727" t="s">
        <v>621</v>
      </c>
      <c r="D63" s="31"/>
      <c r="F63" s="535"/>
      <c r="G63" s="535"/>
      <c r="H63" s="535"/>
      <c r="I63" s="535"/>
      <c r="J63" s="535"/>
      <c r="K63" s="535"/>
      <c r="L63" s="778">
        <f>2584.69528-832.044</f>
        <v>1752.65128</v>
      </c>
      <c r="M63" s="728">
        <v>9</v>
      </c>
      <c r="N63" s="535"/>
      <c r="O63" s="121"/>
      <c r="P63" s="88">
        <f t="shared" si="2"/>
        <v>53</v>
      </c>
    </row>
    <row r="64" spans="1:16" x14ac:dyDescent="0.35">
      <c r="A64" s="88">
        <f t="shared" si="1"/>
        <v>54</v>
      </c>
      <c r="B64" s="132">
        <v>927</v>
      </c>
      <c r="C64" s="133" t="s">
        <v>84</v>
      </c>
      <c r="D64" s="134"/>
      <c r="E64" s="28">
        <v>130506.76528000001</v>
      </c>
      <c r="F64" s="535"/>
      <c r="G64" s="535"/>
      <c r="H64" s="535"/>
      <c r="I64" s="535"/>
      <c r="J64" s="535"/>
      <c r="K64" s="535"/>
      <c r="L64" s="535"/>
      <c r="M64" s="535"/>
      <c r="N64" s="535"/>
      <c r="O64" s="121"/>
      <c r="P64" s="88">
        <f t="shared" si="2"/>
        <v>54</v>
      </c>
    </row>
    <row r="65" spans="1:16" x14ac:dyDescent="0.35">
      <c r="A65" s="88">
        <f t="shared" si="1"/>
        <v>55</v>
      </c>
      <c r="B65" s="132">
        <v>928</v>
      </c>
      <c r="C65" s="21" t="s">
        <v>100</v>
      </c>
      <c r="D65" s="31">
        <v>13015.817289999999</v>
      </c>
      <c r="E65" s="31"/>
      <c r="F65" s="535"/>
      <c r="G65" s="535"/>
      <c r="H65" s="535"/>
      <c r="I65" s="535"/>
      <c r="J65" s="535"/>
      <c r="K65" s="535"/>
      <c r="L65" s="535"/>
      <c r="M65" s="535"/>
      <c r="N65" s="535"/>
      <c r="O65" s="121"/>
      <c r="P65" s="88">
        <f t="shared" si="2"/>
        <v>55</v>
      </c>
    </row>
    <row r="66" spans="1:16" x14ac:dyDescent="0.35">
      <c r="A66" s="88">
        <f t="shared" si="1"/>
        <v>56</v>
      </c>
      <c r="B66" s="132"/>
      <c r="C66" s="133" t="s">
        <v>98</v>
      </c>
      <c r="D66" s="31">
        <v>428.3049200000001</v>
      </c>
      <c r="E66" s="31"/>
      <c r="F66" s="535"/>
      <c r="G66" s="535"/>
      <c r="H66" s="535"/>
      <c r="I66" s="535"/>
      <c r="J66" s="535"/>
      <c r="K66" s="535"/>
      <c r="L66" s="535"/>
      <c r="M66" s="535"/>
      <c r="N66" s="535"/>
      <c r="O66" s="121"/>
      <c r="P66" s="88">
        <f t="shared" si="2"/>
        <v>56</v>
      </c>
    </row>
    <row r="67" spans="1:16" x14ac:dyDescent="0.35">
      <c r="A67" s="88">
        <f t="shared" si="1"/>
        <v>57</v>
      </c>
      <c r="B67" s="132"/>
      <c r="C67" s="133" t="s">
        <v>101</v>
      </c>
      <c r="D67" s="632">
        <v>40.544630000000005</v>
      </c>
      <c r="E67" s="31"/>
      <c r="F67" s="535"/>
      <c r="G67" s="535"/>
      <c r="H67" s="535"/>
      <c r="I67" s="535"/>
      <c r="J67" s="535"/>
      <c r="K67" s="535"/>
      <c r="L67" s="535"/>
      <c r="M67" s="535"/>
      <c r="N67" s="535"/>
      <c r="O67" s="121"/>
      <c r="P67" s="88">
        <f t="shared" si="2"/>
        <v>57</v>
      </c>
    </row>
    <row r="68" spans="1:16" x14ac:dyDescent="0.35">
      <c r="A68" s="88">
        <f t="shared" si="1"/>
        <v>58</v>
      </c>
      <c r="B68" s="132"/>
      <c r="C68" s="21" t="s">
        <v>18</v>
      </c>
      <c r="D68" s="31">
        <v>0</v>
      </c>
      <c r="E68" s="31"/>
      <c r="F68" s="535"/>
      <c r="G68" s="535"/>
      <c r="H68" s="535"/>
      <c r="I68" s="535"/>
      <c r="J68" s="535"/>
      <c r="K68" s="535"/>
      <c r="L68" s="535"/>
      <c r="M68" s="535"/>
      <c r="N68" s="535"/>
      <c r="O68" s="121"/>
      <c r="P68" s="88">
        <f t="shared" si="2"/>
        <v>58</v>
      </c>
    </row>
    <row r="69" spans="1:16" x14ac:dyDescent="0.35">
      <c r="A69" s="88">
        <f t="shared" si="1"/>
        <v>59</v>
      </c>
      <c r="B69" s="136"/>
      <c r="C69" s="21" t="s">
        <v>99</v>
      </c>
      <c r="D69" s="31">
        <v>2085.1866</v>
      </c>
      <c r="F69" s="535"/>
      <c r="G69" s="535"/>
      <c r="H69" s="535"/>
      <c r="I69" s="535"/>
      <c r="J69" s="535"/>
      <c r="K69" s="535"/>
      <c r="L69" s="535"/>
      <c r="M69" s="535"/>
      <c r="N69" s="535"/>
      <c r="O69" s="121"/>
      <c r="P69" s="88">
        <f t="shared" si="2"/>
        <v>59</v>
      </c>
    </row>
    <row r="70" spans="1:16" ht="18" x14ac:dyDescent="0.35">
      <c r="A70" s="88">
        <f t="shared" si="1"/>
        <v>60</v>
      </c>
      <c r="B70" s="136"/>
      <c r="C70" s="42" t="s">
        <v>519</v>
      </c>
      <c r="D70" s="471">
        <v>1002.516</v>
      </c>
      <c r="E70" s="633">
        <f>SUM(D65:D70)</f>
        <v>16572.369439999999</v>
      </c>
      <c r="F70" s="535"/>
      <c r="G70" s="535"/>
      <c r="H70" s="535"/>
      <c r="I70" s="535"/>
      <c r="J70" s="535"/>
      <c r="K70" s="535"/>
      <c r="L70" s="535"/>
      <c r="M70" s="535"/>
      <c r="N70" s="535"/>
      <c r="O70" s="121"/>
      <c r="P70" s="88">
        <f t="shared" si="2"/>
        <v>60</v>
      </c>
    </row>
    <row r="71" spans="1:16" x14ac:dyDescent="0.35">
      <c r="A71" s="88">
        <f t="shared" si="1"/>
        <v>61</v>
      </c>
      <c r="B71" s="137">
        <v>930.1</v>
      </c>
      <c r="C71" s="21" t="s">
        <v>89</v>
      </c>
      <c r="D71" s="31"/>
      <c r="E71" s="89">
        <v>-204.155</v>
      </c>
      <c r="F71" s="535"/>
      <c r="G71" s="535"/>
      <c r="H71" s="535"/>
      <c r="I71" s="535"/>
      <c r="J71" s="535"/>
      <c r="K71" s="535"/>
      <c r="L71" s="535"/>
      <c r="M71" s="535"/>
      <c r="N71" s="535"/>
      <c r="O71" s="121"/>
      <c r="P71" s="88">
        <f t="shared" si="2"/>
        <v>61</v>
      </c>
    </row>
    <row r="72" spans="1:16" x14ac:dyDescent="0.35">
      <c r="A72" s="88">
        <f t="shared" si="1"/>
        <v>62</v>
      </c>
      <c r="B72" s="137">
        <v>930.2</v>
      </c>
      <c r="C72" s="133" t="s">
        <v>103</v>
      </c>
      <c r="D72" s="634">
        <f>1342.92+1017.8</f>
        <v>2360.7200000000003</v>
      </c>
      <c r="F72" s="535"/>
      <c r="G72" s="535"/>
      <c r="H72" s="535"/>
      <c r="I72" s="535"/>
      <c r="J72" s="535"/>
      <c r="K72" s="535"/>
      <c r="L72" s="535"/>
      <c r="M72" s="535"/>
      <c r="N72" s="535"/>
      <c r="O72" s="121"/>
      <c r="P72" s="88">
        <f t="shared" si="2"/>
        <v>62</v>
      </c>
    </row>
    <row r="73" spans="1:16" ht="18" x14ac:dyDescent="0.35">
      <c r="A73" s="88">
        <f t="shared" si="1"/>
        <v>63</v>
      </c>
      <c r="B73" s="137"/>
      <c r="C73" s="699" t="s">
        <v>595</v>
      </c>
      <c r="D73" s="634"/>
      <c r="F73" s="535"/>
      <c r="G73" s="535"/>
      <c r="H73" s="535"/>
      <c r="I73" s="535"/>
      <c r="J73" s="535"/>
      <c r="K73" s="535"/>
      <c r="L73" s="97">
        <v>595.57100000000003</v>
      </c>
      <c r="M73" s="728">
        <v>7</v>
      </c>
      <c r="N73" s="535"/>
      <c r="O73" s="121"/>
      <c r="P73" s="88">
        <f t="shared" si="2"/>
        <v>63</v>
      </c>
    </row>
    <row r="74" spans="1:16" ht="18" x14ac:dyDescent="0.35">
      <c r="A74" s="88">
        <f t="shared" si="1"/>
        <v>64</v>
      </c>
      <c r="B74" s="137"/>
      <c r="C74" s="699" t="s">
        <v>595</v>
      </c>
      <c r="D74" s="700">
        <v>-690.76700000000005</v>
      </c>
      <c r="F74" s="535"/>
      <c r="G74" s="535"/>
      <c r="H74" s="535"/>
      <c r="I74" s="535"/>
      <c r="J74" s="535"/>
      <c r="K74" s="535"/>
      <c r="L74" s="701">
        <f>D74</f>
        <v>-690.76700000000005</v>
      </c>
      <c r="M74" s="702">
        <v>8</v>
      </c>
      <c r="N74" s="535"/>
      <c r="O74" s="121"/>
      <c r="P74" s="88">
        <f t="shared" si="2"/>
        <v>64</v>
      </c>
    </row>
    <row r="75" spans="1:16" ht="18" x14ac:dyDescent="0.35">
      <c r="A75" s="88">
        <f t="shared" si="1"/>
        <v>65</v>
      </c>
      <c r="B75" s="137"/>
      <c r="C75" s="133" t="s">
        <v>521</v>
      </c>
      <c r="D75" s="451">
        <v>-1452.373</v>
      </c>
      <c r="E75" s="634">
        <f>SUM(D72:D75)</f>
        <v>217.58000000000015</v>
      </c>
      <c r="F75" s="535"/>
      <c r="G75" s="535"/>
      <c r="H75" s="535"/>
      <c r="I75" s="535"/>
      <c r="J75" s="535"/>
      <c r="K75" s="535"/>
      <c r="L75" s="535"/>
      <c r="M75" s="535"/>
      <c r="N75" s="535"/>
      <c r="O75" s="121"/>
      <c r="P75" s="88">
        <f t="shared" si="2"/>
        <v>65</v>
      </c>
    </row>
    <row r="76" spans="1:16" x14ac:dyDescent="0.35">
      <c r="A76" s="88">
        <f t="shared" si="1"/>
        <v>66</v>
      </c>
      <c r="B76" s="132">
        <v>935</v>
      </c>
      <c r="C76" s="133" t="s">
        <v>102</v>
      </c>
      <c r="D76" s="634">
        <f>-207.87024-1719.52219</f>
        <v>-1927.3924299999999</v>
      </c>
      <c r="E76" s="635"/>
      <c r="F76" s="535"/>
      <c r="G76" s="535"/>
      <c r="H76" s="535"/>
      <c r="I76" s="535"/>
      <c r="J76" s="535"/>
      <c r="K76" s="535"/>
      <c r="L76" s="535"/>
      <c r="M76" s="535"/>
      <c r="N76" s="535"/>
      <c r="O76" s="121"/>
      <c r="P76" s="88">
        <f t="shared" si="2"/>
        <v>66</v>
      </c>
    </row>
    <row r="77" spans="1:16" x14ac:dyDescent="0.35">
      <c r="A77" s="88">
        <f t="shared" si="1"/>
        <v>67</v>
      </c>
      <c r="B77" s="132"/>
      <c r="C77" s="138" t="s">
        <v>104</v>
      </c>
      <c r="D77" s="636">
        <v>12.147468914000001</v>
      </c>
      <c r="E77" s="636">
        <f>SUM(D76:D77)</f>
        <v>-1915.2449610859999</v>
      </c>
      <c r="F77" s="535"/>
      <c r="G77" s="535"/>
      <c r="H77" s="535"/>
      <c r="I77" s="535"/>
      <c r="J77" s="535"/>
      <c r="K77" s="535"/>
      <c r="L77" s="748"/>
      <c r="M77" s="535"/>
      <c r="N77" s="535"/>
      <c r="O77" s="121"/>
      <c r="P77" s="88">
        <f t="shared" si="2"/>
        <v>67</v>
      </c>
    </row>
    <row r="78" spans="1:16" x14ac:dyDescent="0.35">
      <c r="A78" s="88">
        <f t="shared" si="1"/>
        <v>68</v>
      </c>
      <c r="B78" s="139"/>
      <c r="C78" s="140"/>
      <c r="D78" s="482"/>
      <c r="E78" s="40"/>
      <c r="F78" s="535"/>
      <c r="G78" s="535"/>
      <c r="H78" s="535"/>
      <c r="I78" s="535"/>
      <c r="J78" s="535"/>
      <c r="K78" s="535"/>
      <c r="L78" s="535"/>
      <c r="M78" s="535"/>
      <c r="N78" s="535"/>
      <c r="O78" s="121"/>
      <c r="P78" s="88">
        <f t="shared" si="2"/>
        <v>68</v>
      </c>
    </row>
    <row r="79" spans="1:16" ht="16" thickBot="1" x14ac:dyDescent="0.4">
      <c r="A79" s="88">
        <f t="shared" si="1"/>
        <v>69</v>
      </c>
      <c r="B79" s="141"/>
      <c r="C79" s="142" t="s">
        <v>67</v>
      </c>
      <c r="D79" s="135"/>
      <c r="E79" s="483">
        <f>SUM(E37:E77)</f>
        <v>171935.58274067604</v>
      </c>
      <c r="F79" s="535"/>
      <c r="G79" s="535"/>
      <c r="H79" s="535"/>
      <c r="I79" s="535"/>
      <c r="J79" s="535"/>
      <c r="K79" s="535"/>
      <c r="L79" s="483">
        <f>SUM(L37:L77)</f>
        <v>16552.13812</v>
      </c>
      <c r="M79" s="535"/>
      <c r="N79" s="535"/>
      <c r="O79" s="121"/>
      <c r="P79" s="88">
        <f t="shared" si="2"/>
        <v>69</v>
      </c>
    </row>
    <row r="80" spans="1:16" ht="16" thickTop="1" x14ac:dyDescent="0.35">
      <c r="A80" s="88">
        <f t="shared" si="1"/>
        <v>70</v>
      </c>
      <c r="B80" s="141"/>
      <c r="C80" s="142"/>
      <c r="D80" s="135"/>
      <c r="E80" s="143"/>
      <c r="F80" s="535"/>
      <c r="G80" s="535"/>
      <c r="H80" s="535"/>
      <c r="I80" s="535"/>
      <c r="J80" s="535"/>
      <c r="K80" s="535"/>
      <c r="L80" s="535"/>
      <c r="M80" s="535"/>
      <c r="N80" s="535"/>
      <c r="O80" s="121"/>
      <c r="P80" s="88">
        <f t="shared" si="2"/>
        <v>70</v>
      </c>
    </row>
    <row r="81" spans="1:16" x14ac:dyDescent="0.35">
      <c r="A81" s="88">
        <f t="shared" si="1"/>
        <v>71</v>
      </c>
      <c r="B81" s="141"/>
      <c r="C81" s="142"/>
      <c r="D81" s="135"/>
      <c r="E81" s="143"/>
      <c r="F81" s="535"/>
      <c r="G81" s="535"/>
      <c r="H81" s="535"/>
      <c r="I81" s="535"/>
      <c r="J81" s="535"/>
      <c r="K81" s="535"/>
      <c r="L81" s="535"/>
      <c r="M81" s="535"/>
      <c r="N81" s="535"/>
      <c r="O81" s="121"/>
      <c r="P81" s="88">
        <f t="shared" si="2"/>
        <v>71</v>
      </c>
    </row>
    <row r="82" spans="1:16" x14ac:dyDescent="0.35">
      <c r="A82" s="88">
        <f t="shared" si="1"/>
        <v>72</v>
      </c>
      <c r="B82" s="70" t="s">
        <v>16</v>
      </c>
      <c r="C82" s="24" t="s">
        <v>646</v>
      </c>
      <c r="D82" s="135"/>
      <c r="E82" s="143"/>
      <c r="F82" s="535"/>
      <c r="G82" s="535"/>
      <c r="H82" s="535"/>
      <c r="I82" s="535"/>
      <c r="J82" s="535"/>
      <c r="K82" s="535"/>
      <c r="L82" s="535"/>
      <c r="M82" s="535"/>
      <c r="N82" s="535"/>
      <c r="O82" s="121"/>
      <c r="P82" s="88">
        <f t="shared" si="2"/>
        <v>72</v>
      </c>
    </row>
    <row r="83" spans="1:16" ht="18.5" x14ac:dyDescent="0.35">
      <c r="A83" s="88">
        <f t="shared" si="1"/>
        <v>73</v>
      </c>
      <c r="B83" s="473">
        <v>1</v>
      </c>
      <c r="C83" s="472" t="s">
        <v>556</v>
      </c>
      <c r="E83" s="143"/>
      <c r="F83" s="535"/>
      <c r="G83" s="535"/>
      <c r="H83" s="535"/>
      <c r="I83" s="535"/>
      <c r="J83" s="535"/>
      <c r="K83" s="535"/>
      <c r="L83" s="24"/>
      <c r="M83" s="535"/>
      <c r="N83" s="535"/>
      <c r="O83" s="121"/>
      <c r="P83" s="88">
        <f t="shared" si="2"/>
        <v>73</v>
      </c>
    </row>
    <row r="84" spans="1:16" ht="18.5" x14ac:dyDescent="0.35">
      <c r="A84" s="88">
        <f t="shared" si="1"/>
        <v>74</v>
      </c>
      <c r="B84" s="484"/>
      <c r="C84" s="20" t="s">
        <v>331</v>
      </c>
      <c r="E84" s="143"/>
      <c r="F84" s="535"/>
      <c r="G84" s="535"/>
      <c r="H84" s="535"/>
      <c r="I84" s="535"/>
      <c r="J84" s="535"/>
      <c r="K84" s="535"/>
      <c r="L84" s="535"/>
      <c r="M84" s="535"/>
      <c r="N84" s="535"/>
      <c r="O84" s="121"/>
      <c r="P84" s="88">
        <f t="shared" si="2"/>
        <v>74</v>
      </c>
    </row>
    <row r="85" spans="1:16" ht="18" x14ac:dyDescent="0.35">
      <c r="A85" s="88">
        <f t="shared" si="1"/>
        <v>75</v>
      </c>
      <c r="B85" s="637" t="s">
        <v>522</v>
      </c>
      <c r="C85" s="42" t="s">
        <v>523</v>
      </c>
      <c r="E85" s="143"/>
      <c r="F85" s="535"/>
      <c r="G85" s="535"/>
      <c r="H85" s="535"/>
      <c r="I85" s="535"/>
      <c r="J85" s="535"/>
      <c r="K85" s="535"/>
      <c r="L85" s="535"/>
      <c r="M85" s="535"/>
      <c r="N85" s="535"/>
      <c r="O85" s="121"/>
      <c r="P85" s="88">
        <f t="shared" si="2"/>
        <v>75</v>
      </c>
    </row>
    <row r="86" spans="1:16" ht="18" x14ac:dyDescent="0.35">
      <c r="A86" s="88">
        <f t="shared" si="1"/>
        <v>76</v>
      </c>
      <c r="B86" s="637"/>
      <c r="C86" s="42" t="s">
        <v>524</v>
      </c>
      <c r="E86" s="143"/>
      <c r="F86" s="535"/>
      <c r="G86" s="535"/>
      <c r="H86" s="535"/>
      <c r="I86" s="535"/>
      <c r="J86" s="535"/>
      <c r="K86" s="535"/>
      <c r="L86" s="535"/>
      <c r="M86" s="535"/>
      <c r="N86" s="535"/>
      <c r="O86" s="121"/>
      <c r="P86" s="88">
        <f t="shared" si="2"/>
        <v>76</v>
      </c>
    </row>
    <row r="87" spans="1:16" ht="18" x14ac:dyDescent="0.35">
      <c r="A87" s="88">
        <f t="shared" si="1"/>
        <v>77</v>
      </c>
      <c r="B87" s="637" t="s">
        <v>525</v>
      </c>
      <c r="C87" s="42" t="s">
        <v>526</v>
      </c>
      <c r="E87" s="143"/>
      <c r="F87" s="535"/>
      <c r="G87" s="535"/>
      <c r="H87" s="535"/>
      <c r="I87" s="535"/>
      <c r="J87" s="535"/>
      <c r="K87" s="535"/>
      <c r="L87" s="535"/>
      <c r="M87" s="535"/>
      <c r="N87" s="535"/>
      <c r="O87" s="121"/>
      <c r="P87" s="88">
        <f t="shared" si="2"/>
        <v>77</v>
      </c>
    </row>
    <row r="88" spans="1:16" ht="18" x14ac:dyDescent="0.35">
      <c r="A88" s="88">
        <f t="shared" si="1"/>
        <v>78</v>
      </c>
      <c r="B88" s="637"/>
      <c r="C88" s="42" t="s">
        <v>527</v>
      </c>
      <c r="E88" s="143"/>
      <c r="F88" s="535"/>
      <c r="G88" s="535"/>
      <c r="H88" s="535"/>
      <c r="I88" s="535"/>
      <c r="J88" s="535"/>
      <c r="K88" s="535"/>
      <c r="L88" s="535"/>
      <c r="M88" s="535"/>
      <c r="N88" s="535"/>
      <c r="O88" s="121"/>
      <c r="P88" s="88">
        <f t="shared" si="2"/>
        <v>78</v>
      </c>
    </row>
    <row r="89" spans="1:16" ht="18" x14ac:dyDescent="0.35">
      <c r="A89" s="88">
        <f t="shared" ref="A89:A98" si="7">A88+1</f>
        <v>79</v>
      </c>
      <c r="B89" s="637"/>
      <c r="C89" s="42" t="s">
        <v>528</v>
      </c>
      <c r="E89" s="143"/>
      <c r="F89" s="535"/>
      <c r="G89" s="535"/>
      <c r="H89" s="535"/>
      <c r="I89" s="535"/>
      <c r="J89" s="535"/>
      <c r="K89" s="535"/>
      <c r="L89" s="535"/>
      <c r="M89" s="535"/>
      <c r="N89" s="535"/>
      <c r="O89" s="121"/>
      <c r="P89" s="88">
        <f t="shared" ref="P89:P98" si="8">P88+1</f>
        <v>79</v>
      </c>
    </row>
    <row r="90" spans="1:16" ht="18" x14ac:dyDescent="0.35">
      <c r="A90" s="88">
        <f t="shared" si="7"/>
        <v>80</v>
      </c>
      <c r="B90" s="637" t="s">
        <v>529</v>
      </c>
      <c r="C90" s="42" t="s">
        <v>530</v>
      </c>
      <c r="E90" s="143"/>
      <c r="F90" s="535"/>
      <c r="G90" s="535"/>
      <c r="H90" s="535"/>
      <c r="I90" s="535"/>
      <c r="J90" s="535"/>
      <c r="K90" s="535"/>
      <c r="L90" s="535"/>
      <c r="M90" s="535"/>
      <c r="N90" s="535"/>
      <c r="O90" s="121"/>
      <c r="P90" s="88">
        <f t="shared" si="8"/>
        <v>80</v>
      </c>
    </row>
    <row r="91" spans="1:16" ht="18" x14ac:dyDescent="0.35">
      <c r="A91" s="88">
        <f t="shared" si="7"/>
        <v>81</v>
      </c>
      <c r="B91" s="637"/>
      <c r="C91" s="42" t="s">
        <v>531</v>
      </c>
      <c r="E91" s="143"/>
      <c r="F91" s="535"/>
      <c r="G91" s="535"/>
      <c r="H91" s="535"/>
      <c r="I91" s="535"/>
      <c r="J91" s="535"/>
      <c r="K91" s="535"/>
      <c r="L91" s="535"/>
      <c r="M91" s="535"/>
      <c r="N91" s="535"/>
      <c r="O91" s="121"/>
      <c r="P91" s="88">
        <f t="shared" si="8"/>
        <v>81</v>
      </c>
    </row>
    <row r="92" spans="1:16" ht="18" x14ac:dyDescent="0.35">
      <c r="A92" s="88">
        <f t="shared" si="7"/>
        <v>82</v>
      </c>
      <c r="B92" s="638">
        <v>5</v>
      </c>
      <c r="C92" s="42" t="s">
        <v>553</v>
      </c>
      <c r="E92" s="143"/>
      <c r="F92" s="535"/>
      <c r="G92" s="535"/>
      <c r="H92" s="535"/>
      <c r="I92" s="535"/>
      <c r="J92" s="535"/>
      <c r="K92" s="535"/>
      <c r="L92" s="535"/>
      <c r="M92" s="535"/>
      <c r="N92" s="535"/>
      <c r="O92" s="121"/>
      <c r="P92" s="88">
        <f t="shared" si="8"/>
        <v>82</v>
      </c>
    </row>
    <row r="93" spans="1:16" ht="18" x14ac:dyDescent="0.35">
      <c r="A93" s="88">
        <f t="shared" si="7"/>
        <v>83</v>
      </c>
      <c r="B93" s="638">
        <v>6</v>
      </c>
      <c r="C93" s="42" t="s">
        <v>532</v>
      </c>
      <c r="D93" s="135"/>
      <c r="E93" s="143"/>
      <c r="F93" s="535"/>
      <c r="G93" s="535"/>
      <c r="H93" s="535"/>
      <c r="I93" s="535"/>
      <c r="J93" s="535"/>
      <c r="K93" s="535"/>
      <c r="L93" s="535"/>
      <c r="M93" s="535"/>
      <c r="N93" s="535"/>
      <c r="O93" s="121"/>
      <c r="P93" s="88">
        <f t="shared" si="8"/>
        <v>83</v>
      </c>
    </row>
    <row r="94" spans="1:16" ht="18" x14ac:dyDescent="0.35">
      <c r="A94" s="88">
        <f t="shared" si="7"/>
        <v>84</v>
      </c>
      <c r="B94" s="638">
        <v>7</v>
      </c>
      <c r="C94" s="42" t="s">
        <v>613</v>
      </c>
      <c r="D94" s="135"/>
      <c r="E94" s="143"/>
      <c r="F94" s="535"/>
      <c r="G94" s="535"/>
      <c r="H94" s="535"/>
      <c r="I94" s="535"/>
      <c r="J94" s="535"/>
      <c r="K94" s="535"/>
      <c r="L94" s="535"/>
      <c r="M94" s="535"/>
      <c r="N94" s="535"/>
      <c r="O94" s="121"/>
      <c r="P94" s="88">
        <f t="shared" si="8"/>
        <v>84</v>
      </c>
    </row>
    <row r="95" spans="1:16" ht="18" x14ac:dyDescent="0.35">
      <c r="A95" s="88">
        <f t="shared" si="7"/>
        <v>85</v>
      </c>
      <c r="B95" s="638"/>
      <c r="C95" s="42" t="s">
        <v>614</v>
      </c>
      <c r="D95" s="135"/>
      <c r="E95" s="143"/>
      <c r="F95" s="535"/>
      <c r="G95" s="535"/>
      <c r="H95" s="535"/>
      <c r="I95" s="535"/>
      <c r="J95" s="535"/>
      <c r="K95" s="535"/>
      <c r="L95" s="535"/>
      <c r="M95" s="535"/>
      <c r="N95" s="535"/>
      <c r="O95" s="121"/>
      <c r="P95" s="88">
        <f t="shared" si="8"/>
        <v>85</v>
      </c>
    </row>
    <row r="96" spans="1:16" ht="18" x14ac:dyDescent="0.35">
      <c r="A96" s="88">
        <f t="shared" si="7"/>
        <v>86</v>
      </c>
      <c r="B96" s="638">
        <v>8</v>
      </c>
      <c r="C96" s="199" t="s">
        <v>596</v>
      </c>
      <c r="D96" s="135"/>
      <c r="E96" s="143"/>
      <c r="F96" s="535"/>
      <c r="G96" s="535"/>
      <c r="H96" s="535"/>
      <c r="I96" s="535"/>
      <c r="J96" s="535"/>
      <c r="K96" s="535"/>
      <c r="L96" s="535"/>
      <c r="M96" s="535"/>
      <c r="N96" s="535"/>
      <c r="O96" s="121"/>
      <c r="P96" s="88">
        <f t="shared" si="8"/>
        <v>86</v>
      </c>
    </row>
    <row r="97" spans="1:16" ht="16.5" x14ac:dyDescent="0.35">
      <c r="A97" s="88">
        <f t="shared" si="7"/>
        <v>87</v>
      </c>
      <c r="B97" s="730">
        <v>9</v>
      </c>
      <c r="C97" s="20" t="s">
        <v>622</v>
      </c>
      <c r="D97" s="135"/>
      <c r="E97" s="143"/>
      <c r="F97" s="535"/>
      <c r="G97" s="535"/>
      <c r="H97" s="535"/>
      <c r="I97" s="535"/>
      <c r="J97" s="535"/>
      <c r="K97" s="535"/>
      <c r="L97" s="535"/>
      <c r="M97" s="535"/>
      <c r="N97" s="535"/>
      <c r="O97" s="121"/>
      <c r="P97" s="88">
        <f t="shared" si="8"/>
        <v>87</v>
      </c>
    </row>
    <row r="98" spans="1:16" ht="16" thickBot="1" x14ac:dyDescent="0.4">
      <c r="A98" s="88">
        <f t="shared" si="7"/>
        <v>88</v>
      </c>
      <c r="B98" s="144"/>
      <c r="C98" s="145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130"/>
      <c r="P98" s="88">
        <f t="shared" si="8"/>
        <v>88</v>
      </c>
    </row>
    <row r="99" spans="1:16" x14ac:dyDescent="0.35">
      <c r="C99" s="113"/>
    </row>
    <row r="100" spans="1:16" x14ac:dyDescent="0.35">
      <c r="A100" s="536"/>
      <c r="C100" s="113"/>
      <c r="D100" s="146"/>
      <c r="E100" s="146"/>
    </row>
    <row r="101" spans="1:16" ht="18" x14ac:dyDescent="0.35">
      <c r="A101" s="147"/>
      <c r="B101" s="474"/>
      <c r="C101" s="20"/>
      <c r="D101" s="225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</row>
    <row r="102" spans="1:16" ht="18" x14ac:dyDescent="0.35">
      <c r="A102" s="147"/>
      <c r="B102" s="474"/>
      <c r="C102" s="340"/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</row>
    <row r="103" spans="1:16" ht="18" x14ac:dyDescent="0.35">
      <c r="A103" s="147"/>
      <c r="B103" s="41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6" ht="18" x14ac:dyDescent="0.35">
      <c r="A104" s="147"/>
      <c r="C104" s="113"/>
    </row>
    <row r="105" spans="1:16" ht="18" x14ac:dyDescent="0.35">
      <c r="A105" s="147"/>
      <c r="C105" s="113"/>
    </row>
    <row r="106" spans="1:16" ht="18" x14ac:dyDescent="0.35">
      <c r="A106" s="147"/>
      <c r="C106" s="113"/>
    </row>
    <row r="107" spans="1:16" x14ac:dyDescent="0.35">
      <c r="A107" s="536"/>
      <c r="C107" s="113"/>
    </row>
    <row r="108" spans="1:16" ht="18" x14ac:dyDescent="0.35">
      <c r="A108" s="147"/>
      <c r="C108" s="113"/>
    </row>
    <row r="109" spans="1:16" x14ac:dyDescent="0.35">
      <c r="A109" s="536"/>
      <c r="C109" s="113"/>
    </row>
    <row r="110" spans="1:16" ht="18" x14ac:dyDescent="0.35">
      <c r="A110" s="147"/>
      <c r="C110" s="113"/>
    </row>
    <row r="111" spans="1:16" x14ac:dyDescent="0.35">
      <c r="A111" s="536"/>
      <c r="C111" s="113"/>
    </row>
    <row r="112" spans="1:16" ht="18" x14ac:dyDescent="0.35">
      <c r="A112" s="147"/>
      <c r="C112" s="113"/>
    </row>
    <row r="113" spans="1:2" ht="18" x14ac:dyDescent="0.35">
      <c r="A113" s="147"/>
      <c r="B113" s="113"/>
    </row>
    <row r="114" spans="1:2" ht="18" x14ac:dyDescent="0.35">
      <c r="A114" s="147"/>
      <c r="B114" s="113"/>
    </row>
    <row r="115" spans="1:2" x14ac:dyDescent="0.35">
      <c r="B115" s="113"/>
    </row>
    <row r="116" spans="1:2" ht="18" x14ac:dyDescent="0.35">
      <c r="A116" s="147"/>
      <c r="B116" s="113"/>
    </row>
    <row r="117" spans="1:2" x14ac:dyDescent="0.35">
      <c r="A117" s="485"/>
      <c r="B117" s="486"/>
    </row>
    <row r="118" spans="1:2" x14ac:dyDescent="0.35">
      <c r="B118" s="113"/>
    </row>
  </sheetData>
  <mergeCells count="4">
    <mergeCell ref="B2:O2"/>
    <mergeCell ref="B3:O3"/>
    <mergeCell ref="B4:O4"/>
    <mergeCell ref="B5:O5"/>
  </mergeCells>
  <printOptions horizontalCentered="1"/>
  <pageMargins left="0.25" right="0.25" top="0.5" bottom="0.5" header="0.35" footer="0.25"/>
  <pageSetup scale="39" orientation="portrait" r:id="rId1"/>
  <headerFooter scaleWithDoc="0" alignWithMargins="0">
    <oddHeader>&amp;C&amp;"Times New Roman,Bold"&amp;7REVISED</oddHeader>
    <oddFooter>&amp;L&amp;F&amp;CPage 8.2&amp;R&amp;A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1:O103"/>
  <sheetViews>
    <sheetView zoomScale="80" zoomScaleNormal="80" workbookViewId="0"/>
  </sheetViews>
  <sheetFormatPr defaultColWidth="9.1796875" defaultRowHeight="15.5" x14ac:dyDescent="0.35"/>
  <cols>
    <col min="1" max="1" width="5.1796875" style="88" customWidth="1"/>
    <col min="2" max="2" width="8.54296875" style="89" customWidth="1"/>
    <col min="3" max="3" width="68.81640625" style="89" customWidth="1"/>
    <col min="4" max="6" width="16.81640625" style="89" customWidth="1"/>
    <col min="7" max="7" width="1.54296875" style="89" customWidth="1"/>
    <col min="8" max="8" width="16.81640625" style="89" customWidth="1"/>
    <col min="9" max="9" width="2.81640625" style="89" bestFit="1" customWidth="1"/>
    <col min="10" max="10" width="16.81640625" style="89" customWidth="1"/>
    <col min="11" max="11" width="34.54296875" style="89" customWidth="1"/>
    <col min="12" max="12" width="5.1796875" style="88" customWidth="1"/>
    <col min="13" max="13" width="4" style="89" customWidth="1"/>
    <col min="14" max="14" width="13.1796875" style="89" bestFit="1" customWidth="1"/>
    <col min="15" max="15" width="9.1796875" style="89"/>
    <col min="16" max="16" width="9.81640625" style="89" customWidth="1"/>
    <col min="17" max="17" width="10" style="89" customWidth="1"/>
    <col min="18" max="16384" width="9.1796875" style="89"/>
  </cols>
  <sheetData>
    <row r="1" spans="1:15" x14ac:dyDescent="0.35">
      <c r="A1" s="668" t="s">
        <v>597</v>
      </c>
      <c r="K1" s="43"/>
    </row>
    <row r="2" spans="1:15" x14ac:dyDescent="0.35">
      <c r="A2" s="668"/>
      <c r="K2" s="43"/>
    </row>
    <row r="3" spans="1:15" x14ac:dyDescent="0.35">
      <c r="B3" s="763" t="s">
        <v>24</v>
      </c>
      <c r="C3" s="763"/>
      <c r="D3" s="763"/>
      <c r="E3" s="763"/>
      <c r="F3" s="763"/>
      <c r="G3" s="763"/>
      <c r="H3" s="763"/>
      <c r="I3" s="763"/>
      <c r="J3" s="763"/>
      <c r="K3" s="763"/>
      <c r="L3" s="536"/>
    </row>
    <row r="4" spans="1:15" x14ac:dyDescent="0.35">
      <c r="B4" s="763" t="s">
        <v>68</v>
      </c>
      <c r="C4" s="763"/>
      <c r="D4" s="763"/>
      <c r="E4" s="763"/>
      <c r="F4" s="763"/>
      <c r="G4" s="763"/>
      <c r="H4" s="763"/>
      <c r="I4" s="763"/>
      <c r="J4" s="763"/>
      <c r="K4" s="763"/>
      <c r="L4" s="536"/>
    </row>
    <row r="5" spans="1:15" x14ac:dyDescent="0.35">
      <c r="B5" s="763" t="s">
        <v>512</v>
      </c>
      <c r="C5" s="763"/>
      <c r="D5" s="763"/>
      <c r="E5" s="763"/>
      <c r="F5" s="763"/>
      <c r="G5" s="763"/>
      <c r="H5" s="763"/>
      <c r="I5" s="763"/>
      <c r="J5" s="763"/>
      <c r="K5" s="763"/>
      <c r="L5" s="536"/>
    </row>
    <row r="6" spans="1:15" x14ac:dyDescent="0.35">
      <c r="B6" s="764" t="s">
        <v>1</v>
      </c>
      <c r="C6" s="764"/>
      <c r="D6" s="764"/>
      <c r="E6" s="764"/>
      <c r="F6" s="764"/>
      <c r="G6" s="764"/>
      <c r="H6" s="764"/>
      <c r="I6" s="764"/>
      <c r="J6" s="764"/>
      <c r="K6" s="764"/>
      <c r="L6" s="536"/>
    </row>
    <row r="7" spans="1:15" ht="16" thickBot="1" x14ac:dyDescent="0.4">
      <c r="D7" s="90"/>
      <c r="E7" s="90"/>
      <c r="F7" s="90"/>
      <c r="G7" s="90"/>
      <c r="H7" s="90"/>
      <c r="I7" s="90"/>
      <c r="J7" s="90"/>
      <c r="K7" s="90"/>
      <c r="N7" s="42"/>
    </row>
    <row r="8" spans="1:15" ht="18" x14ac:dyDescent="0.3">
      <c r="A8" s="536"/>
      <c r="B8" s="91"/>
      <c r="C8" s="92"/>
      <c r="D8" s="93" t="s">
        <v>10</v>
      </c>
      <c r="E8" s="94" t="s">
        <v>56</v>
      </c>
      <c r="F8" s="93" t="s">
        <v>57</v>
      </c>
      <c r="G8" s="94"/>
      <c r="H8" s="664" t="s">
        <v>560</v>
      </c>
      <c r="I8" s="73"/>
      <c r="J8" s="73" t="s">
        <v>58</v>
      </c>
      <c r="K8" s="95"/>
      <c r="L8" s="536"/>
    </row>
    <row r="9" spans="1:15" x14ac:dyDescent="0.3">
      <c r="A9" s="88" t="s">
        <v>2</v>
      </c>
      <c r="B9" s="96" t="s">
        <v>59</v>
      </c>
      <c r="C9" s="97"/>
      <c r="D9" s="98" t="s">
        <v>9</v>
      </c>
      <c r="E9" s="536" t="s">
        <v>60</v>
      </c>
      <c r="F9" s="98" t="s">
        <v>9</v>
      </c>
      <c r="G9" s="99"/>
      <c r="H9" s="534" t="s">
        <v>325</v>
      </c>
      <c r="I9" s="475"/>
      <c r="J9" s="74" t="s">
        <v>61</v>
      </c>
      <c r="K9" s="100"/>
      <c r="L9" s="88" t="s">
        <v>2</v>
      </c>
    </row>
    <row r="10" spans="1:15" ht="16" thickBot="1" x14ac:dyDescent="0.35">
      <c r="A10" s="88" t="s">
        <v>6</v>
      </c>
      <c r="B10" s="101" t="s">
        <v>62</v>
      </c>
      <c r="C10" s="102" t="s">
        <v>3</v>
      </c>
      <c r="D10" s="103" t="s">
        <v>63</v>
      </c>
      <c r="E10" s="102" t="s">
        <v>64</v>
      </c>
      <c r="F10" s="103" t="s">
        <v>65</v>
      </c>
      <c r="G10" s="104"/>
      <c r="H10" s="127" t="s">
        <v>326</v>
      </c>
      <c r="I10" s="128"/>
      <c r="J10" s="105" t="s">
        <v>69</v>
      </c>
      <c r="K10" s="106" t="s">
        <v>5</v>
      </c>
      <c r="L10" s="88" t="s">
        <v>6</v>
      </c>
      <c r="M10" s="88"/>
    </row>
    <row r="11" spans="1:15" x14ac:dyDescent="0.35">
      <c r="B11" s="107"/>
      <c r="C11" s="108" t="s">
        <v>70</v>
      </c>
      <c r="D11" s="476"/>
      <c r="E11" s="476"/>
      <c r="F11" s="109"/>
      <c r="G11" s="110"/>
      <c r="H11" s="110"/>
      <c r="I11" s="110"/>
      <c r="J11" s="111"/>
      <c r="K11" s="112"/>
    </row>
    <row r="12" spans="1:15" ht="18.5" x14ac:dyDescent="0.35">
      <c r="A12" s="88">
        <v>1</v>
      </c>
      <c r="B12" s="107">
        <v>920</v>
      </c>
      <c r="C12" s="113" t="s">
        <v>71</v>
      </c>
      <c r="D12" s="76">
        <v>46411.108999999997</v>
      </c>
      <c r="E12" s="76">
        <f>E37</f>
        <v>968.08356942399996</v>
      </c>
      <c r="F12" s="76">
        <f>D12-E12</f>
        <v>45443.025430575995</v>
      </c>
      <c r="G12" s="27"/>
      <c r="H12" s="39"/>
      <c r="I12" s="546"/>
      <c r="J12" s="76">
        <f>F12+H12</f>
        <v>45443.025430575995</v>
      </c>
      <c r="K12" s="75" t="s">
        <v>72</v>
      </c>
      <c r="L12" s="88">
        <f>A12</f>
        <v>1</v>
      </c>
      <c r="M12" s="89" t="s">
        <v>11</v>
      </c>
      <c r="N12" s="114"/>
    </row>
    <row r="13" spans="1:15" ht="18.5" x14ac:dyDescent="0.35">
      <c r="A13" s="88">
        <f t="shared" ref="A13:A75" si="0">A12+1</f>
        <v>2</v>
      </c>
      <c r="B13" s="107">
        <v>921</v>
      </c>
      <c r="C13" s="113" t="s">
        <v>73</v>
      </c>
      <c r="D13" s="77">
        <v>28861</v>
      </c>
      <c r="E13" s="78">
        <f>E40</f>
        <v>9375.0137418520007</v>
      </c>
      <c r="F13" s="77">
        <f>D13-E13</f>
        <v>19485.986258147997</v>
      </c>
      <c r="G13" s="27"/>
      <c r="H13" s="78"/>
      <c r="I13" s="546"/>
      <c r="J13" s="77">
        <f>F13+H13</f>
        <v>19485.986258147997</v>
      </c>
      <c r="K13" s="75" t="s">
        <v>74</v>
      </c>
      <c r="L13" s="88">
        <f t="shared" ref="L13:L75" si="1">L12+1</f>
        <v>2</v>
      </c>
      <c r="N13" s="114"/>
      <c r="O13" s="115"/>
    </row>
    <row r="14" spans="1:15" x14ac:dyDescent="0.35">
      <c r="A14" s="88">
        <f t="shared" si="0"/>
        <v>3</v>
      </c>
      <c r="B14" s="107">
        <v>922</v>
      </c>
      <c r="C14" s="113" t="s">
        <v>75</v>
      </c>
      <c r="D14" s="77">
        <v>-18872.382000000001</v>
      </c>
      <c r="E14" s="78">
        <f>E41</f>
        <v>-125.07091</v>
      </c>
      <c r="F14" s="77">
        <f>D14-E14</f>
        <v>-18747.311090000003</v>
      </c>
      <c r="G14" s="78"/>
      <c r="H14" s="78"/>
      <c r="I14" s="79"/>
      <c r="J14" s="77">
        <f t="shared" ref="J14:J25" si="2">F14+H14</f>
        <v>-18747.311090000003</v>
      </c>
      <c r="K14" s="75" t="s">
        <v>76</v>
      </c>
      <c r="L14" s="88">
        <f t="shared" si="1"/>
        <v>3</v>
      </c>
      <c r="N14" s="114"/>
    </row>
    <row r="15" spans="1:15" ht="18.5" x14ac:dyDescent="0.35">
      <c r="A15" s="88">
        <f t="shared" si="0"/>
        <v>4</v>
      </c>
      <c r="B15" s="107">
        <v>923</v>
      </c>
      <c r="C15" s="113" t="s">
        <v>77</v>
      </c>
      <c r="D15" s="77">
        <v>108535.25900000001</v>
      </c>
      <c r="E15" s="78">
        <f>E47</f>
        <v>12845.547155421998</v>
      </c>
      <c r="F15" s="77">
        <f>D15-E15</f>
        <v>95689.711844578007</v>
      </c>
      <c r="G15" s="27"/>
      <c r="H15" s="78"/>
      <c r="I15" s="546"/>
      <c r="J15" s="77">
        <f t="shared" si="2"/>
        <v>95689.711844578007</v>
      </c>
      <c r="K15" s="75" t="s">
        <v>78</v>
      </c>
      <c r="L15" s="88">
        <f t="shared" si="1"/>
        <v>4</v>
      </c>
      <c r="N15" s="114"/>
    </row>
    <row r="16" spans="1:15" x14ac:dyDescent="0.35">
      <c r="A16" s="88">
        <f t="shared" si="0"/>
        <v>5</v>
      </c>
      <c r="B16" s="107">
        <v>924</v>
      </c>
      <c r="C16" s="113" t="s">
        <v>79</v>
      </c>
      <c r="D16" s="77">
        <v>8310.402</v>
      </c>
      <c r="E16" s="78">
        <v>0</v>
      </c>
      <c r="F16" s="77">
        <f t="shared" ref="F16:F17" si="3">D16-E16</f>
        <v>8310.402</v>
      </c>
      <c r="G16" s="78"/>
      <c r="H16" s="78"/>
      <c r="I16" s="79"/>
      <c r="J16" s="77">
        <f t="shared" si="2"/>
        <v>8310.402</v>
      </c>
      <c r="K16" s="75" t="s">
        <v>80</v>
      </c>
      <c r="L16" s="88">
        <f t="shared" si="1"/>
        <v>5</v>
      </c>
      <c r="N16" s="114"/>
    </row>
    <row r="17" spans="1:14" ht="18.5" x14ac:dyDescent="0.35">
      <c r="A17" s="88">
        <f t="shared" si="0"/>
        <v>6</v>
      </c>
      <c r="B17" s="96">
        <v>925</v>
      </c>
      <c r="C17" s="113" t="s">
        <v>81</v>
      </c>
      <c r="D17" s="77">
        <v>181130.33900000001</v>
      </c>
      <c r="E17" s="78">
        <f>E50</f>
        <v>1105.1051231060101</v>
      </c>
      <c r="F17" s="77">
        <f t="shared" si="3"/>
        <v>180025.233876894</v>
      </c>
      <c r="G17" s="27" t="s">
        <v>16</v>
      </c>
      <c r="H17" s="39">
        <v>-130.33199999999999</v>
      </c>
      <c r="I17" s="546">
        <v>5</v>
      </c>
      <c r="J17" s="667">
        <f>F17+H17</f>
        <v>179894.901876894</v>
      </c>
      <c r="K17" s="75" t="s">
        <v>82</v>
      </c>
      <c r="L17" s="88">
        <f t="shared" si="1"/>
        <v>6</v>
      </c>
      <c r="N17" s="114"/>
    </row>
    <row r="18" spans="1:14" ht="18.5" x14ac:dyDescent="0.35">
      <c r="A18" s="88">
        <f t="shared" si="0"/>
        <v>7</v>
      </c>
      <c r="B18" s="107">
        <v>926</v>
      </c>
      <c r="C18" s="113" t="s">
        <v>327</v>
      </c>
      <c r="D18" s="77">
        <v>62304.38</v>
      </c>
      <c r="E18" s="78">
        <f>E53</f>
        <v>2589.589301958019</v>
      </c>
      <c r="F18" s="77">
        <f>D18-E18</f>
        <v>59714.790698041979</v>
      </c>
      <c r="G18" s="27"/>
      <c r="H18" s="78"/>
      <c r="I18" s="546"/>
      <c r="J18" s="77">
        <f t="shared" si="2"/>
        <v>59714.790698041979</v>
      </c>
      <c r="K18" s="75" t="s">
        <v>83</v>
      </c>
      <c r="L18" s="88">
        <f t="shared" si="1"/>
        <v>7</v>
      </c>
      <c r="N18" s="116"/>
    </row>
    <row r="19" spans="1:14" x14ac:dyDescent="0.35">
      <c r="A19" s="88">
        <f t="shared" si="0"/>
        <v>8</v>
      </c>
      <c r="B19" s="107">
        <v>927</v>
      </c>
      <c r="C19" s="113" t="s">
        <v>84</v>
      </c>
      <c r="D19" s="77">
        <v>130506.765</v>
      </c>
      <c r="E19" s="78">
        <f>E54</f>
        <v>130506.76528000001</v>
      </c>
      <c r="F19" s="77">
        <f t="shared" ref="F19:F21" si="4">D19-E19</f>
        <v>-2.8000000747852027E-4</v>
      </c>
      <c r="G19" s="78"/>
      <c r="H19" s="78"/>
      <c r="I19" s="79"/>
      <c r="J19" s="77">
        <f t="shared" si="2"/>
        <v>-2.8000000747852027E-4</v>
      </c>
      <c r="K19" s="75" t="s">
        <v>85</v>
      </c>
      <c r="L19" s="88">
        <f t="shared" si="1"/>
        <v>8</v>
      </c>
      <c r="N19" s="116"/>
    </row>
    <row r="20" spans="1:14" x14ac:dyDescent="0.3">
      <c r="A20" s="88">
        <f t="shared" si="0"/>
        <v>9</v>
      </c>
      <c r="B20" s="107">
        <v>928</v>
      </c>
      <c r="C20" s="113" t="s">
        <v>328</v>
      </c>
      <c r="D20" s="77">
        <v>27995.793000000001</v>
      </c>
      <c r="E20" s="78">
        <f>E60</f>
        <v>16572.369439999999</v>
      </c>
      <c r="F20" s="77">
        <f t="shared" si="4"/>
        <v>11423.423560000003</v>
      </c>
      <c r="G20" s="78"/>
      <c r="H20" s="78"/>
      <c r="I20" s="118"/>
      <c r="J20" s="77">
        <f t="shared" si="2"/>
        <v>11423.423560000003</v>
      </c>
      <c r="K20" s="75" t="s">
        <v>86</v>
      </c>
      <c r="L20" s="88">
        <f t="shared" si="1"/>
        <v>9</v>
      </c>
      <c r="N20" s="116"/>
    </row>
    <row r="21" spans="1:14" x14ac:dyDescent="0.35">
      <c r="A21" s="88">
        <f t="shared" si="0"/>
        <v>10</v>
      </c>
      <c r="B21" s="107">
        <v>929</v>
      </c>
      <c r="C21" s="113" t="s">
        <v>87</v>
      </c>
      <c r="D21" s="77">
        <v>-2772.7849999999999</v>
      </c>
      <c r="E21" s="78">
        <v>0</v>
      </c>
      <c r="F21" s="77">
        <f t="shared" si="4"/>
        <v>-2772.7849999999999</v>
      </c>
      <c r="G21" s="78"/>
      <c r="H21" s="78"/>
      <c r="I21" s="79"/>
      <c r="J21" s="77">
        <f t="shared" si="2"/>
        <v>-2772.7849999999999</v>
      </c>
      <c r="K21" s="75" t="s">
        <v>88</v>
      </c>
      <c r="L21" s="88">
        <f t="shared" si="1"/>
        <v>10</v>
      </c>
      <c r="N21" s="114"/>
    </row>
    <row r="22" spans="1:14" ht="18.5" x14ac:dyDescent="0.35">
      <c r="A22" s="88">
        <f t="shared" si="0"/>
        <v>11</v>
      </c>
      <c r="B22" s="649">
        <v>930.1</v>
      </c>
      <c r="C22" s="113" t="s">
        <v>89</v>
      </c>
      <c r="D22" s="77">
        <v>-204.155</v>
      </c>
      <c r="E22" s="78">
        <f>E61</f>
        <v>-204.155</v>
      </c>
      <c r="F22" s="77">
        <f>D22-E22</f>
        <v>0</v>
      </c>
      <c r="G22" s="78"/>
      <c r="H22" s="78"/>
      <c r="I22" s="546"/>
      <c r="J22" s="77">
        <f t="shared" si="2"/>
        <v>0</v>
      </c>
      <c r="K22" s="75" t="s">
        <v>90</v>
      </c>
      <c r="L22" s="88">
        <f t="shared" si="1"/>
        <v>11</v>
      </c>
      <c r="N22" s="114"/>
    </row>
    <row r="23" spans="1:14" ht="18.5" x14ac:dyDescent="0.35">
      <c r="A23" s="88">
        <f t="shared" si="0"/>
        <v>12</v>
      </c>
      <c r="B23" s="547">
        <v>930.2</v>
      </c>
      <c r="C23" s="113" t="s">
        <v>91</v>
      </c>
      <c r="D23" s="77">
        <v>2511.0549999999998</v>
      </c>
      <c r="E23" s="78">
        <f>E64</f>
        <v>217.58000000000015</v>
      </c>
      <c r="F23" s="77">
        <f t="shared" ref="F23" si="5">D23-E23</f>
        <v>2293.4749999999995</v>
      </c>
      <c r="G23" s="27" t="s">
        <v>16</v>
      </c>
      <c r="H23" s="78">
        <v>40</v>
      </c>
      <c r="I23" s="546">
        <v>6</v>
      </c>
      <c r="J23" s="667">
        <f t="shared" si="2"/>
        <v>2333.4749999999995</v>
      </c>
      <c r="K23" s="75" t="s">
        <v>92</v>
      </c>
      <c r="L23" s="88">
        <f t="shared" si="1"/>
        <v>12</v>
      </c>
      <c r="N23" s="119"/>
    </row>
    <row r="24" spans="1:14" x14ac:dyDescent="0.35">
      <c r="A24" s="88">
        <f t="shared" si="0"/>
        <v>13</v>
      </c>
      <c r="B24" s="107">
        <v>931</v>
      </c>
      <c r="C24" s="113" t="s">
        <v>66</v>
      </c>
      <c r="D24" s="77">
        <v>10939.305</v>
      </c>
      <c r="E24" s="78">
        <v>0</v>
      </c>
      <c r="F24" s="77">
        <f>D24-E24</f>
        <v>10939.305</v>
      </c>
      <c r="G24" s="78"/>
      <c r="H24" s="78"/>
      <c r="I24" s="78"/>
      <c r="J24" s="77">
        <f t="shared" si="2"/>
        <v>10939.305</v>
      </c>
      <c r="K24" s="75" t="s">
        <v>93</v>
      </c>
      <c r="L24" s="88">
        <f t="shared" si="1"/>
        <v>13</v>
      </c>
      <c r="N24" s="114"/>
    </row>
    <row r="25" spans="1:14" x14ac:dyDescent="0.35">
      <c r="A25" s="88">
        <f t="shared" si="0"/>
        <v>14</v>
      </c>
      <c r="B25" s="107">
        <v>935</v>
      </c>
      <c r="C25" s="113" t="s">
        <v>94</v>
      </c>
      <c r="D25" s="468">
        <v>9293.2980000000007</v>
      </c>
      <c r="E25" s="451">
        <f>E66</f>
        <v>-1915.2449610859999</v>
      </c>
      <c r="F25" s="468">
        <f>D25-E25</f>
        <v>11208.542961086001</v>
      </c>
      <c r="G25" s="469"/>
      <c r="H25" s="451"/>
      <c r="I25" s="470"/>
      <c r="J25" s="470">
        <f t="shared" si="2"/>
        <v>11208.542961086001</v>
      </c>
      <c r="K25" s="75" t="s">
        <v>95</v>
      </c>
      <c r="L25" s="88">
        <f t="shared" si="1"/>
        <v>14</v>
      </c>
      <c r="M25" s="89" t="s">
        <v>11</v>
      </c>
      <c r="N25" s="114"/>
    </row>
    <row r="26" spans="1:14" x14ac:dyDescent="0.35">
      <c r="A26" s="88">
        <f t="shared" si="0"/>
        <v>15</v>
      </c>
      <c r="B26" s="107"/>
      <c r="D26" s="120"/>
      <c r="F26" s="120"/>
      <c r="J26" s="120"/>
      <c r="K26" s="121"/>
      <c r="L26" s="88">
        <f t="shared" si="1"/>
        <v>15</v>
      </c>
    </row>
    <row r="27" spans="1:14" ht="16" thickBot="1" x14ac:dyDescent="0.4">
      <c r="A27" s="88">
        <f t="shared" si="0"/>
        <v>16</v>
      </c>
      <c r="B27" s="107"/>
      <c r="C27" s="97" t="s">
        <v>96</v>
      </c>
      <c r="D27" s="122">
        <f>SUM(D12:D25)</f>
        <v>594949.38299999991</v>
      </c>
      <c r="E27" s="85">
        <f>SUM(E12:E25)</f>
        <v>171935.58274067604</v>
      </c>
      <c r="F27" s="83">
        <f>SUM(F12:F25)</f>
        <v>423013.80025932402</v>
      </c>
      <c r="G27" s="84" t="s">
        <v>16</v>
      </c>
      <c r="H27" s="548">
        <f>SUM(H12:H25)</f>
        <v>-90.331999999999994</v>
      </c>
      <c r="I27" s="85"/>
      <c r="J27" s="83">
        <f>SUM(J12:J25)</f>
        <v>422923.46825932397</v>
      </c>
      <c r="K27" s="123" t="str">
        <f>"Sum Lines "&amp;A12&amp;" thru "&amp;A25</f>
        <v>Sum Lines 1 thru 14</v>
      </c>
      <c r="L27" s="88">
        <f t="shared" si="1"/>
        <v>16</v>
      </c>
    </row>
    <row r="28" spans="1:14" ht="16" thickTop="1" x14ac:dyDescent="0.35">
      <c r="A28" s="88">
        <f t="shared" si="0"/>
        <v>17</v>
      </c>
      <c r="B28" s="107"/>
      <c r="C28" s="97"/>
      <c r="D28" s="477"/>
      <c r="E28" s="81"/>
      <c r="F28" s="82"/>
      <c r="G28" s="80"/>
      <c r="H28" s="80"/>
      <c r="I28" s="80"/>
      <c r="J28" s="82"/>
      <c r="K28" s="123"/>
      <c r="L28" s="88">
        <f t="shared" si="1"/>
        <v>17</v>
      </c>
    </row>
    <row r="29" spans="1:14" ht="18" x14ac:dyDescent="0.35">
      <c r="A29" s="88">
        <f t="shared" si="0"/>
        <v>18</v>
      </c>
      <c r="B29" s="107">
        <v>413</v>
      </c>
      <c r="C29" s="89" t="s">
        <v>329</v>
      </c>
      <c r="D29" s="468">
        <v>204.65183999999999</v>
      </c>
      <c r="E29" s="470">
        <v>0</v>
      </c>
      <c r="F29" s="468">
        <f>D29-E29</f>
        <v>204.65183999999999</v>
      </c>
      <c r="G29" s="469"/>
      <c r="H29" s="451"/>
      <c r="I29" s="451"/>
      <c r="J29" s="468">
        <f>F29+H29</f>
        <v>204.65183999999999</v>
      </c>
      <c r="K29" s="123"/>
      <c r="L29" s="88">
        <f t="shared" si="1"/>
        <v>18</v>
      </c>
    </row>
    <row r="30" spans="1:14" x14ac:dyDescent="0.35">
      <c r="A30" s="88">
        <f t="shared" si="0"/>
        <v>19</v>
      </c>
      <c r="B30" s="107"/>
      <c r="C30" s="97"/>
      <c r="D30" s="477"/>
      <c r="E30" s="81"/>
      <c r="F30" s="82"/>
      <c r="G30" s="80"/>
      <c r="H30" s="80"/>
      <c r="I30" s="80"/>
      <c r="J30" s="82"/>
      <c r="K30" s="123"/>
      <c r="L30" s="88">
        <f t="shared" si="1"/>
        <v>19</v>
      </c>
    </row>
    <row r="31" spans="1:14" ht="16" thickBot="1" x14ac:dyDescent="0.4">
      <c r="A31" s="88">
        <f t="shared" si="0"/>
        <v>20</v>
      </c>
      <c r="B31" s="107"/>
      <c r="C31" s="97" t="s">
        <v>330</v>
      </c>
      <c r="D31" s="122">
        <f>D27+D29</f>
        <v>595154.03483999986</v>
      </c>
      <c r="E31" s="81">
        <f>E27+E29</f>
        <v>171935.58274067604</v>
      </c>
      <c r="F31" s="82">
        <f>F27+F29</f>
        <v>423218.45209932403</v>
      </c>
      <c r="G31" s="84" t="s">
        <v>16</v>
      </c>
      <c r="H31" s="548">
        <f>H27+H29</f>
        <v>-90.331999999999994</v>
      </c>
      <c r="I31" s="85"/>
      <c r="J31" s="83">
        <f>J27+J29</f>
        <v>423128.12009932398</v>
      </c>
      <c r="K31" s="123" t="str">
        <f>"Line "&amp;A27&amp;" + Line "&amp;A29</f>
        <v>Line 16 + Line 18</v>
      </c>
      <c r="L31" s="88">
        <f t="shared" si="1"/>
        <v>20</v>
      </c>
    </row>
    <row r="32" spans="1:14" ht="16.5" thickTop="1" thickBot="1" x14ac:dyDescent="0.4">
      <c r="A32" s="88">
        <f t="shared" si="0"/>
        <v>21</v>
      </c>
      <c r="B32" s="124"/>
      <c r="C32" s="90"/>
      <c r="D32" s="125"/>
      <c r="E32" s="126"/>
      <c r="F32" s="126"/>
      <c r="G32" s="127"/>
      <c r="H32" s="127"/>
      <c r="I32" s="127"/>
      <c r="J32" s="129"/>
      <c r="K32" s="130"/>
      <c r="L32" s="88">
        <f t="shared" si="1"/>
        <v>21</v>
      </c>
    </row>
    <row r="33" spans="1:14" x14ac:dyDescent="0.35">
      <c r="A33" s="88">
        <f t="shared" si="0"/>
        <v>22</v>
      </c>
      <c r="B33" s="141"/>
      <c r="D33" s="478"/>
      <c r="E33" s="479"/>
      <c r="F33" s="478"/>
      <c r="G33" s="478"/>
      <c r="H33" s="478"/>
      <c r="I33" s="478"/>
      <c r="J33" s="478"/>
      <c r="K33" s="121"/>
      <c r="L33" s="88">
        <f t="shared" si="1"/>
        <v>22</v>
      </c>
    </row>
    <row r="34" spans="1:14" x14ac:dyDescent="0.35">
      <c r="A34" s="88">
        <f t="shared" si="0"/>
        <v>23</v>
      </c>
      <c r="B34" s="131" t="s">
        <v>97</v>
      </c>
      <c r="C34" s="88"/>
      <c r="D34" s="88"/>
      <c r="E34" s="88"/>
      <c r="F34" s="88"/>
      <c r="G34" s="88"/>
      <c r="H34" s="88"/>
      <c r="I34" s="88"/>
      <c r="J34" s="88"/>
      <c r="K34" s="121"/>
      <c r="L34" s="88">
        <f t="shared" si="1"/>
        <v>23</v>
      </c>
    </row>
    <row r="35" spans="1:14" x14ac:dyDescent="0.35">
      <c r="A35" s="88">
        <f t="shared" si="0"/>
        <v>24</v>
      </c>
      <c r="B35" s="132">
        <v>920</v>
      </c>
      <c r="C35" s="21" t="s">
        <v>98</v>
      </c>
      <c r="D35" s="33">
        <v>37.830849999999998</v>
      </c>
      <c r="F35" s="88"/>
      <c r="G35" s="88"/>
      <c r="H35" s="88"/>
      <c r="I35" s="88"/>
      <c r="J35" s="88"/>
      <c r="K35" s="121"/>
      <c r="L35" s="88">
        <f t="shared" si="1"/>
        <v>24</v>
      </c>
    </row>
    <row r="36" spans="1:14" x14ac:dyDescent="0.35">
      <c r="A36" s="88">
        <f t="shared" si="0"/>
        <v>25</v>
      </c>
      <c r="B36" s="132"/>
      <c r="C36" s="21" t="s">
        <v>513</v>
      </c>
      <c r="D36" s="630">
        <v>873.61009352399992</v>
      </c>
      <c r="E36" s="33"/>
      <c r="K36" s="121"/>
      <c r="L36" s="88">
        <f t="shared" si="1"/>
        <v>25</v>
      </c>
      <c r="N36" s="113"/>
    </row>
    <row r="37" spans="1:14" x14ac:dyDescent="0.35">
      <c r="A37" s="88">
        <f t="shared" si="0"/>
        <v>26</v>
      </c>
      <c r="B37" s="132"/>
      <c r="C37" s="21" t="s">
        <v>514</v>
      </c>
      <c r="D37" s="631">
        <v>56.642625899999999</v>
      </c>
      <c r="E37" s="33">
        <f>SUM(D35:D37)</f>
        <v>968.08356942399996</v>
      </c>
      <c r="K37" s="121"/>
      <c r="L37" s="88">
        <f t="shared" si="1"/>
        <v>26</v>
      </c>
    </row>
    <row r="38" spans="1:14" x14ac:dyDescent="0.35">
      <c r="A38" s="88">
        <f t="shared" si="0"/>
        <v>27</v>
      </c>
      <c r="B38" s="132">
        <v>921</v>
      </c>
      <c r="C38" s="21" t="s">
        <v>98</v>
      </c>
      <c r="D38" s="89">
        <v>-9.620999999999999E-2</v>
      </c>
      <c r="K38" s="121"/>
      <c r="L38" s="88">
        <f t="shared" si="1"/>
        <v>27</v>
      </c>
    </row>
    <row r="39" spans="1:14" x14ac:dyDescent="0.35">
      <c r="A39" s="88">
        <f t="shared" si="0"/>
        <v>28</v>
      </c>
      <c r="B39" s="132"/>
      <c r="C39" s="21" t="s">
        <v>513</v>
      </c>
      <c r="D39" s="630">
        <v>8254.9592088600002</v>
      </c>
      <c r="K39" s="121"/>
      <c r="L39" s="88">
        <f t="shared" si="1"/>
        <v>28</v>
      </c>
    </row>
    <row r="40" spans="1:14" x14ac:dyDescent="0.35">
      <c r="A40" s="88">
        <f t="shared" si="0"/>
        <v>29</v>
      </c>
      <c r="B40" s="132"/>
      <c r="C40" s="21" t="s">
        <v>514</v>
      </c>
      <c r="D40" s="631">
        <v>1120.1507429919998</v>
      </c>
      <c r="E40" s="89">
        <f>SUM(D38:D40)</f>
        <v>9375.0137418520007</v>
      </c>
      <c r="F40" s="480"/>
      <c r="G40" s="480"/>
      <c r="H40" s="480"/>
      <c r="I40" s="480"/>
      <c r="J40" s="480"/>
      <c r="K40" s="481"/>
      <c r="L40" s="88">
        <f t="shared" si="1"/>
        <v>29</v>
      </c>
    </row>
    <row r="41" spans="1:14" x14ac:dyDescent="0.35">
      <c r="A41" s="88">
        <f t="shared" si="0"/>
        <v>30</v>
      </c>
      <c r="B41" s="132">
        <v>922</v>
      </c>
      <c r="C41" s="21" t="s">
        <v>514</v>
      </c>
      <c r="D41" s="630"/>
      <c r="E41" s="89">
        <v>-125.07091</v>
      </c>
      <c r="K41" s="121"/>
      <c r="L41" s="88">
        <f t="shared" si="1"/>
        <v>30</v>
      </c>
    </row>
    <row r="42" spans="1:14" x14ac:dyDescent="0.35">
      <c r="A42" s="88">
        <f t="shared" si="0"/>
        <v>31</v>
      </c>
      <c r="B42" s="132">
        <v>923</v>
      </c>
      <c r="C42" s="21" t="s">
        <v>98</v>
      </c>
      <c r="D42" s="31">
        <v>-17.988400000000002</v>
      </c>
      <c r="E42" s="28"/>
      <c r="K42" s="121"/>
      <c r="L42" s="88">
        <f t="shared" si="1"/>
        <v>31</v>
      </c>
    </row>
    <row r="43" spans="1:14" x14ac:dyDescent="0.35">
      <c r="A43" s="88">
        <f t="shared" si="0"/>
        <v>32</v>
      </c>
      <c r="B43" s="132"/>
      <c r="C43" s="21" t="s">
        <v>513</v>
      </c>
      <c r="D43" s="31">
        <v>2086.0140693979997</v>
      </c>
      <c r="F43" s="480"/>
      <c r="G43" s="480"/>
      <c r="H43" s="480"/>
      <c r="I43" s="480"/>
      <c r="J43" s="480"/>
      <c r="K43" s="481"/>
      <c r="L43" s="88">
        <f t="shared" si="1"/>
        <v>32</v>
      </c>
    </row>
    <row r="44" spans="1:14" x14ac:dyDescent="0.35">
      <c r="A44" s="88">
        <f t="shared" si="0"/>
        <v>33</v>
      </c>
      <c r="B44" s="132"/>
      <c r="C44" s="21" t="s">
        <v>514</v>
      </c>
      <c r="D44" s="31">
        <v>80.426986024000001</v>
      </c>
      <c r="K44" s="121"/>
      <c r="L44" s="88">
        <f t="shared" si="1"/>
        <v>33</v>
      </c>
    </row>
    <row r="45" spans="1:14" ht="18" x14ac:dyDescent="0.35">
      <c r="A45" s="88">
        <f t="shared" si="0"/>
        <v>34</v>
      </c>
      <c r="B45" s="132"/>
      <c r="C45" s="42" t="s">
        <v>515</v>
      </c>
      <c r="D45" s="78">
        <v>3185.4904999999999</v>
      </c>
      <c r="K45" s="121"/>
      <c r="L45" s="88">
        <f t="shared" si="1"/>
        <v>34</v>
      </c>
    </row>
    <row r="46" spans="1:14" ht="18" x14ac:dyDescent="0.35">
      <c r="A46" s="88">
        <f t="shared" si="0"/>
        <v>35</v>
      </c>
      <c r="B46" s="132"/>
      <c r="C46" s="42" t="s">
        <v>516</v>
      </c>
      <c r="D46" s="78">
        <v>6031</v>
      </c>
      <c r="K46" s="121"/>
      <c r="L46" s="88">
        <f t="shared" si="1"/>
        <v>35</v>
      </c>
    </row>
    <row r="47" spans="1:14" ht="18" x14ac:dyDescent="0.35">
      <c r="A47" s="88">
        <f t="shared" si="0"/>
        <v>36</v>
      </c>
      <c r="B47" s="132"/>
      <c r="C47" s="42" t="s">
        <v>517</v>
      </c>
      <c r="D47" s="451">
        <v>1480.604</v>
      </c>
      <c r="E47" s="89">
        <f>SUM(D42:D47)</f>
        <v>12845.547155421998</v>
      </c>
      <c r="K47" s="121"/>
      <c r="L47" s="88">
        <f t="shared" si="1"/>
        <v>36</v>
      </c>
    </row>
    <row r="48" spans="1:14" x14ac:dyDescent="0.35">
      <c r="A48" s="88">
        <f t="shared" si="0"/>
        <v>37</v>
      </c>
      <c r="B48" s="132">
        <v>925</v>
      </c>
      <c r="C48" s="21" t="s">
        <v>98</v>
      </c>
      <c r="D48" s="31">
        <v>277.64044235400002</v>
      </c>
      <c r="F48" s="57"/>
      <c r="G48" s="57"/>
      <c r="H48" s="57"/>
      <c r="I48" s="57"/>
      <c r="J48" s="57"/>
      <c r="K48" s="121"/>
      <c r="L48" s="88">
        <f t="shared" si="1"/>
        <v>37</v>
      </c>
    </row>
    <row r="49" spans="1:12" x14ac:dyDescent="0.35">
      <c r="A49" s="88">
        <f t="shared" si="0"/>
        <v>38</v>
      </c>
      <c r="B49" s="132"/>
      <c r="C49" s="21" t="s">
        <v>514</v>
      </c>
      <c r="D49" s="31">
        <v>746.9557907520101</v>
      </c>
      <c r="F49" s="57"/>
      <c r="G49" s="57"/>
      <c r="H49" s="57"/>
      <c r="I49" s="57"/>
      <c r="J49" s="57"/>
      <c r="K49" s="121"/>
      <c r="L49" s="88">
        <f t="shared" si="1"/>
        <v>38</v>
      </c>
    </row>
    <row r="50" spans="1:12" x14ac:dyDescent="0.35">
      <c r="A50" s="88">
        <f t="shared" si="0"/>
        <v>39</v>
      </c>
      <c r="B50" s="132"/>
      <c r="C50" s="133" t="s">
        <v>518</v>
      </c>
      <c r="D50" s="471">
        <v>80.508890000000008</v>
      </c>
      <c r="E50" s="89">
        <f>SUM(D48:D50)</f>
        <v>1105.1051231060101</v>
      </c>
      <c r="F50" s="57"/>
      <c r="G50" s="57"/>
      <c r="H50" s="57"/>
      <c r="I50" s="57"/>
      <c r="J50" s="57"/>
      <c r="K50" s="121"/>
      <c r="L50" s="88">
        <f t="shared" si="1"/>
        <v>39</v>
      </c>
    </row>
    <row r="51" spans="1:12" x14ac:dyDescent="0.35">
      <c r="A51" s="88">
        <f t="shared" si="0"/>
        <v>40</v>
      </c>
      <c r="B51" s="132">
        <v>926</v>
      </c>
      <c r="C51" s="133" t="s">
        <v>98</v>
      </c>
      <c r="D51" s="31">
        <v>646.29282690599985</v>
      </c>
      <c r="F51" s="535"/>
      <c r="G51" s="535"/>
      <c r="H51" s="535"/>
      <c r="I51" s="535"/>
      <c r="J51" s="535"/>
      <c r="K51" s="121"/>
      <c r="L51" s="88">
        <f t="shared" si="1"/>
        <v>40</v>
      </c>
    </row>
    <row r="52" spans="1:12" x14ac:dyDescent="0.35">
      <c r="A52" s="88">
        <f t="shared" si="0"/>
        <v>41</v>
      </c>
      <c r="B52" s="132"/>
      <c r="C52" s="133" t="s">
        <v>518</v>
      </c>
      <c r="D52" s="31">
        <v>190.64548000000002</v>
      </c>
      <c r="E52" s="31"/>
      <c r="F52" s="535"/>
      <c r="G52" s="535"/>
      <c r="H52" s="535"/>
      <c r="I52" s="535"/>
      <c r="J52" s="535"/>
      <c r="K52" s="121"/>
      <c r="L52" s="88">
        <f t="shared" si="1"/>
        <v>41</v>
      </c>
    </row>
    <row r="53" spans="1:12" x14ac:dyDescent="0.35">
      <c r="A53" s="88">
        <f t="shared" si="0"/>
        <v>42</v>
      </c>
      <c r="B53" s="132"/>
      <c r="C53" s="21" t="s">
        <v>514</v>
      </c>
      <c r="D53" s="471">
        <v>1752.650995052019</v>
      </c>
      <c r="E53" s="89">
        <f>SUM(D51:D53)</f>
        <v>2589.589301958019</v>
      </c>
      <c r="F53" s="535"/>
      <c r="G53" s="535"/>
      <c r="H53" s="535"/>
      <c r="I53" s="535"/>
      <c r="J53" s="535"/>
      <c r="K53" s="121"/>
      <c r="L53" s="88">
        <f t="shared" si="1"/>
        <v>42</v>
      </c>
    </row>
    <row r="54" spans="1:12" x14ac:dyDescent="0.35">
      <c r="A54" s="88">
        <f t="shared" si="0"/>
        <v>43</v>
      </c>
      <c r="B54" s="132">
        <v>927</v>
      </c>
      <c r="C54" s="133" t="s">
        <v>84</v>
      </c>
      <c r="D54" s="134"/>
      <c r="E54" s="28">
        <v>130506.76528000001</v>
      </c>
      <c r="F54" s="535"/>
      <c r="G54" s="535"/>
      <c r="H54" s="535"/>
      <c r="I54" s="535"/>
      <c r="J54" s="535"/>
      <c r="K54" s="121"/>
      <c r="L54" s="88">
        <f t="shared" si="1"/>
        <v>43</v>
      </c>
    </row>
    <row r="55" spans="1:12" x14ac:dyDescent="0.35">
      <c r="A55" s="88">
        <f t="shared" si="0"/>
        <v>44</v>
      </c>
      <c r="B55" s="132">
        <v>928</v>
      </c>
      <c r="C55" s="21" t="s">
        <v>100</v>
      </c>
      <c r="D55" s="31">
        <v>13015.817289999999</v>
      </c>
      <c r="E55" s="31"/>
      <c r="F55" s="535"/>
      <c r="G55" s="535"/>
      <c r="H55" s="535"/>
      <c r="I55" s="535"/>
      <c r="J55" s="535"/>
      <c r="K55" s="121"/>
      <c r="L55" s="88">
        <f t="shared" si="1"/>
        <v>44</v>
      </c>
    </row>
    <row r="56" spans="1:12" x14ac:dyDescent="0.35">
      <c r="A56" s="88">
        <f t="shared" si="0"/>
        <v>45</v>
      </c>
      <c r="B56" s="132"/>
      <c r="C56" s="133" t="s">
        <v>98</v>
      </c>
      <c r="D56" s="31">
        <v>428.3049200000001</v>
      </c>
      <c r="E56" s="31"/>
      <c r="F56" s="535"/>
      <c r="G56" s="535"/>
      <c r="H56" s="535"/>
      <c r="I56" s="535"/>
      <c r="J56" s="535"/>
      <c r="K56" s="121"/>
      <c r="L56" s="88">
        <f t="shared" si="1"/>
        <v>45</v>
      </c>
    </row>
    <row r="57" spans="1:12" x14ac:dyDescent="0.35">
      <c r="A57" s="88">
        <f t="shared" si="0"/>
        <v>46</v>
      </c>
      <c r="B57" s="132"/>
      <c r="C57" s="133" t="s">
        <v>101</v>
      </c>
      <c r="D57" s="632">
        <v>40.544630000000005</v>
      </c>
      <c r="E57" s="31"/>
      <c r="F57" s="535"/>
      <c r="G57" s="535"/>
      <c r="H57" s="535"/>
      <c r="I57" s="535"/>
      <c r="J57" s="535"/>
      <c r="K57" s="121"/>
      <c r="L57" s="88">
        <f t="shared" si="1"/>
        <v>46</v>
      </c>
    </row>
    <row r="58" spans="1:12" x14ac:dyDescent="0.35">
      <c r="A58" s="88">
        <f t="shared" si="0"/>
        <v>47</v>
      </c>
      <c r="B58" s="132"/>
      <c r="C58" s="21" t="s">
        <v>18</v>
      </c>
      <c r="D58" s="31">
        <v>0</v>
      </c>
      <c r="E58" s="31"/>
      <c r="F58" s="535"/>
      <c r="G58" s="535"/>
      <c r="H58" s="535"/>
      <c r="I58" s="535"/>
      <c r="J58" s="535"/>
      <c r="K58" s="121"/>
      <c r="L58" s="88">
        <f t="shared" si="1"/>
        <v>47</v>
      </c>
    </row>
    <row r="59" spans="1:12" x14ac:dyDescent="0.35">
      <c r="A59" s="88">
        <f t="shared" si="0"/>
        <v>48</v>
      </c>
      <c r="B59" s="136"/>
      <c r="C59" s="21" t="s">
        <v>99</v>
      </c>
      <c r="D59" s="31">
        <v>2085.1866</v>
      </c>
      <c r="F59" s="535"/>
      <c r="G59" s="535"/>
      <c r="H59" s="535"/>
      <c r="I59" s="535"/>
      <c r="J59" s="535"/>
      <c r="K59" s="121"/>
      <c r="L59" s="88">
        <f t="shared" si="1"/>
        <v>48</v>
      </c>
    </row>
    <row r="60" spans="1:12" ht="18" x14ac:dyDescent="0.35">
      <c r="A60" s="88">
        <f t="shared" si="0"/>
        <v>49</v>
      </c>
      <c r="B60" s="136"/>
      <c r="C60" s="42" t="s">
        <v>519</v>
      </c>
      <c r="D60" s="471">
        <v>1002.516</v>
      </c>
      <c r="E60" s="633">
        <f>SUM(D55:D60)</f>
        <v>16572.369439999999</v>
      </c>
      <c r="F60" s="535"/>
      <c r="G60" s="535"/>
      <c r="H60" s="535"/>
      <c r="I60" s="535"/>
      <c r="J60" s="535"/>
      <c r="K60" s="121"/>
      <c r="L60" s="88">
        <f t="shared" si="1"/>
        <v>49</v>
      </c>
    </row>
    <row r="61" spans="1:12" x14ac:dyDescent="0.35">
      <c r="A61" s="88">
        <f t="shared" si="0"/>
        <v>50</v>
      </c>
      <c r="B61" s="137">
        <v>930.1</v>
      </c>
      <c r="C61" s="21" t="s">
        <v>89</v>
      </c>
      <c r="D61" s="31"/>
      <c r="E61" s="89">
        <v>-204.155</v>
      </c>
      <c r="F61" s="535"/>
      <c r="G61" s="535"/>
      <c r="H61" s="535"/>
      <c r="I61" s="535"/>
      <c r="J61" s="535"/>
      <c r="K61" s="121"/>
      <c r="L61" s="88">
        <f t="shared" si="1"/>
        <v>50</v>
      </c>
    </row>
    <row r="62" spans="1:12" x14ac:dyDescent="0.35">
      <c r="A62" s="88">
        <f t="shared" si="0"/>
        <v>51</v>
      </c>
      <c r="B62" s="137">
        <v>930.2</v>
      </c>
      <c r="C62" s="133" t="s">
        <v>103</v>
      </c>
      <c r="D62" s="634">
        <f>1342.92+1017.8</f>
        <v>2360.7200000000003</v>
      </c>
      <c r="F62" s="535"/>
      <c r="G62" s="535"/>
      <c r="H62" s="535"/>
      <c r="I62" s="535"/>
      <c r="J62" s="535"/>
      <c r="K62" s="121"/>
      <c r="L62" s="88">
        <f t="shared" si="1"/>
        <v>51</v>
      </c>
    </row>
    <row r="63" spans="1:12" ht="18" x14ac:dyDescent="0.35">
      <c r="A63" s="88">
        <f t="shared" si="0"/>
        <v>52</v>
      </c>
      <c r="B63" s="137"/>
      <c r="C63" s="133" t="s">
        <v>520</v>
      </c>
      <c r="D63" s="634">
        <v>-690.76700000000005</v>
      </c>
      <c r="F63" s="535"/>
      <c r="G63" s="535"/>
      <c r="H63" s="535"/>
      <c r="I63" s="535"/>
      <c r="J63" s="535"/>
      <c r="K63" s="121"/>
      <c r="L63" s="88">
        <f t="shared" si="1"/>
        <v>52</v>
      </c>
    </row>
    <row r="64" spans="1:12" ht="18" x14ac:dyDescent="0.35">
      <c r="A64" s="88">
        <f t="shared" si="0"/>
        <v>53</v>
      </c>
      <c r="B64" s="137"/>
      <c r="C64" s="133" t="s">
        <v>521</v>
      </c>
      <c r="D64" s="451">
        <v>-1452.373</v>
      </c>
      <c r="E64" s="634">
        <f>SUM(D62:D64)</f>
        <v>217.58000000000015</v>
      </c>
      <c r="F64" s="535"/>
      <c r="G64" s="535"/>
      <c r="H64" s="535"/>
      <c r="I64" s="535"/>
      <c r="J64" s="535"/>
      <c r="K64" s="121"/>
      <c r="L64" s="88">
        <f t="shared" si="1"/>
        <v>53</v>
      </c>
    </row>
    <row r="65" spans="1:12" x14ac:dyDescent="0.35">
      <c r="A65" s="88">
        <f t="shared" si="0"/>
        <v>54</v>
      </c>
      <c r="B65" s="132">
        <v>935</v>
      </c>
      <c r="C65" s="133" t="s">
        <v>102</v>
      </c>
      <c r="D65" s="634">
        <f>-207.87024-1719.52219</f>
        <v>-1927.3924299999999</v>
      </c>
      <c r="E65" s="635"/>
      <c r="F65" s="535"/>
      <c r="G65" s="535"/>
      <c r="H65" s="535"/>
      <c r="I65" s="535"/>
      <c r="J65" s="535"/>
      <c r="K65" s="121"/>
      <c r="L65" s="88">
        <f t="shared" si="1"/>
        <v>54</v>
      </c>
    </row>
    <row r="66" spans="1:12" x14ac:dyDescent="0.35">
      <c r="A66" s="88">
        <f t="shared" si="0"/>
        <v>55</v>
      </c>
      <c r="B66" s="132"/>
      <c r="C66" s="138" t="s">
        <v>104</v>
      </c>
      <c r="D66" s="636">
        <v>12.147468914000001</v>
      </c>
      <c r="E66" s="636">
        <f>SUM(D65:D66)</f>
        <v>-1915.2449610859999</v>
      </c>
      <c r="F66" s="535"/>
      <c r="G66" s="535"/>
      <c r="H66" s="535"/>
      <c r="I66" s="535"/>
      <c r="J66" s="535"/>
      <c r="K66" s="121"/>
      <c r="L66" s="88">
        <f t="shared" si="1"/>
        <v>55</v>
      </c>
    </row>
    <row r="67" spans="1:12" x14ac:dyDescent="0.35">
      <c r="A67" s="88">
        <f t="shared" si="0"/>
        <v>56</v>
      </c>
      <c r="B67" s="139"/>
      <c r="C67" s="140"/>
      <c r="D67" s="482"/>
      <c r="E67" s="40"/>
      <c r="F67" s="535"/>
      <c r="G67" s="535"/>
      <c r="H67" s="535"/>
      <c r="I67" s="535"/>
      <c r="J67" s="535"/>
      <c r="K67" s="121"/>
      <c r="L67" s="88">
        <f t="shared" si="1"/>
        <v>56</v>
      </c>
    </row>
    <row r="68" spans="1:12" ht="16" thickBot="1" x14ac:dyDescent="0.4">
      <c r="A68" s="88">
        <f t="shared" si="0"/>
        <v>57</v>
      </c>
      <c r="B68" s="141"/>
      <c r="C68" s="142" t="s">
        <v>67</v>
      </c>
      <c r="D68" s="135"/>
      <c r="E68" s="483">
        <f>SUM(E35:E66)</f>
        <v>171935.58274067604</v>
      </c>
      <c r="F68" s="535"/>
      <c r="G68" s="535"/>
      <c r="H68" s="535"/>
      <c r="I68" s="535"/>
      <c r="J68" s="535"/>
      <c r="K68" s="121"/>
      <c r="L68" s="88">
        <f t="shared" si="1"/>
        <v>57</v>
      </c>
    </row>
    <row r="69" spans="1:12" ht="16" thickTop="1" x14ac:dyDescent="0.35">
      <c r="A69" s="88">
        <f t="shared" si="0"/>
        <v>58</v>
      </c>
      <c r="B69" s="141"/>
      <c r="C69" s="142"/>
      <c r="D69" s="135"/>
      <c r="E69" s="143"/>
      <c r="F69" s="535"/>
      <c r="G69" s="535"/>
      <c r="H69" s="535"/>
      <c r="I69" s="535"/>
      <c r="J69" s="535"/>
      <c r="K69" s="121"/>
      <c r="L69" s="88">
        <f t="shared" si="1"/>
        <v>58</v>
      </c>
    </row>
    <row r="70" spans="1:12" x14ac:dyDescent="0.35">
      <c r="A70" s="88">
        <f t="shared" si="0"/>
        <v>59</v>
      </c>
      <c r="B70" s="70" t="s">
        <v>16</v>
      </c>
      <c r="C70" s="24" t="s">
        <v>558</v>
      </c>
      <c r="D70" s="135"/>
      <c r="E70" s="143"/>
      <c r="F70" s="535"/>
      <c r="G70" s="535"/>
      <c r="H70" s="535"/>
      <c r="I70" s="535"/>
      <c r="J70" s="535"/>
      <c r="K70" s="121"/>
      <c r="L70" s="88">
        <f t="shared" si="1"/>
        <v>59</v>
      </c>
    </row>
    <row r="71" spans="1:12" ht="18.5" x14ac:dyDescent="0.35">
      <c r="A71" s="88">
        <f t="shared" si="0"/>
        <v>60</v>
      </c>
      <c r="B71" s="473">
        <v>1</v>
      </c>
      <c r="C71" s="472" t="s">
        <v>556</v>
      </c>
      <c r="E71" s="143"/>
      <c r="F71" s="535"/>
      <c r="G71" s="535"/>
      <c r="H71" s="535"/>
      <c r="I71" s="535"/>
      <c r="J71" s="535"/>
      <c r="K71" s="121"/>
      <c r="L71" s="88">
        <f t="shared" si="1"/>
        <v>60</v>
      </c>
    </row>
    <row r="72" spans="1:12" ht="18.5" x14ac:dyDescent="0.35">
      <c r="A72" s="88">
        <f t="shared" si="0"/>
        <v>61</v>
      </c>
      <c r="B72" s="484"/>
      <c r="C72" s="20" t="s">
        <v>331</v>
      </c>
      <c r="E72" s="143"/>
      <c r="F72" s="535"/>
      <c r="G72" s="535"/>
      <c r="H72" s="535"/>
      <c r="I72" s="535"/>
      <c r="J72" s="535"/>
      <c r="K72" s="121"/>
      <c r="L72" s="88">
        <f t="shared" si="1"/>
        <v>61</v>
      </c>
    </row>
    <row r="73" spans="1:12" ht="18" x14ac:dyDescent="0.35">
      <c r="A73" s="88">
        <f t="shared" si="0"/>
        <v>62</v>
      </c>
      <c r="B73" s="637" t="s">
        <v>522</v>
      </c>
      <c r="C73" s="42" t="s">
        <v>523</v>
      </c>
      <c r="E73" s="143"/>
      <c r="F73" s="535"/>
      <c r="G73" s="535"/>
      <c r="H73" s="535"/>
      <c r="I73" s="535"/>
      <c r="J73" s="535"/>
      <c r="K73" s="121"/>
      <c r="L73" s="88">
        <f t="shared" si="1"/>
        <v>62</v>
      </c>
    </row>
    <row r="74" spans="1:12" ht="18" x14ac:dyDescent="0.35">
      <c r="A74" s="88">
        <f t="shared" si="0"/>
        <v>63</v>
      </c>
      <c r="B74" s="637"/>
      <c r="C74" s="42" t="s">
        <v>524</v>
      </c>
      <c r="E74" s="143"/>
      <c r="F74" s="535"/>
      <c r="G74" s="535"/>
      <c r="H74" s="535"/>
      <c r="I74" s="535"/>
      <c r="J74" s="535"/>
      <c r="K74" s="121"/>
      <c r="L74" s="88">
        <f t="shared" si="1"/>
        <v>63</v>
      </c>
    </row>
    <row r="75" spans="1:12" ht="18" x14ac:dyDescent="0.35">
      <c r="A75" s="88">
        <f t="shared" si="0"/>
        <v>64</v>
      </c>
      <c r="B75" s="637" t="s">
        <v>525</v>
      </c>
      <c r="C75" s="42" t="s">
        <v>526</v>
      </c>
      <c r="E75" s="143"/>
      <c r="F75" s="535"/>
      <c r="G75" s="535"/>
      <c r="H75" s="535"/>
      <c r="I75" s="535"/>
      <c r="J75" s="535"/>
      <c r="K75" s="121"/>
      <c r="L75" s="88">
        <f t="shared" si="1"/>
        <v>64</v>
      </c>
    </row>
    <row r="76" spans="1:12" ht="18" x14ac:dyDescent="0.35">
      <c r="A76" s="88">
        <f t="shared" ref="A76:A83" si="6">A75+1</f>
        <v>65</v>
      </c>
      <c r="B76" s="637"/>
      <c r="C76" s="42" t="s">
        <v>527</v>
      </c>
      <c r="E76" s="143"/>
      <c r="F76" s="535"/>
      <c r="G76" s="535"/>
      <c r="H76" s="535"/>
      <c r="I76" s="535"/>
      <c r="J76" s="535"/>
      <c r="K76" s="121"/>
      <c r="L76" s="88">
        <f t="shared" ref="L76:L83" si="7">L75+1</f>
        <v>65</v>
      </c>
    </row>
    <row r="77" spans="1:12" ht="18" x14ac:dyDescent="0.35">
      <c r="A77" s="88">
        <f t="shared" si="6"/>
        <v>66</v>
      </c>
      <c r="B77" s="637"/>
      <c r="C77" s="42" t="s">
        <v>528</v>
      </c>
      <c r="E77" s="143"/>
      <c r="F77" s="535"/>
      <c r="G77" s="535"/>
      <c r="H77" s="535"/>
      <c r="I77" s="535"/>
      <c r="J77" s="535"/>
      <c r="K77" s="121"/>
      <c r="L77" s="88">
        <f t="shared" si="7"/>
        <v>66</v>
      </c>
    </row>
    <row r="78" spans="1:12" ht="18" x14ac:dyDescent="0.35">
      <c r="A78" s="88">
        <f t="shared" si="6"/>
        <v>67</v>
      </c>
      <c r="B78" s="637" t="s">
        <v>529</v>
      </c>
      <c r="C78" s="42" t="s">
        <v>530</v>
      </c>
      <c r="E78" s="143"/>
      <c r="F78" s="535"/>
      <c r="G78" s="535"/>
      <c r="H78" s="535"/>
      <c r="I78" s="535"/>
      <c r="J78" s="535"/>
      <c r="K78" s="121"/>
      <c r="L78" s="88">
        <f t="shared" si="7"/>
        <v>67</v>
      </c>
    </row>
    <row r="79" spans="1:12" ht="18" x14ac:dyDescent="0.35">
      <c r="A79" s="88">
        <f t="shared" si="6"/>
        <v>68</v>
      </c>
      <c r="B79" s="637"/>
      <c r="C79" s="42" t="s">
        <v>531</v>
      </c>
      <c r="E79" s="143"/>
      <c r="F79" s="535"/>
      <c r="G79" s="535"/>
      <c r="H79" s="535"/>
      <c r="I79" s="535"/>
      <c r="J79" s="535"/>
      <c r="K79" s="121"/>
      <c r="L79" s="88">
        <f t="shared" si="7"/>
        <v>68</v>
      </c>
    </row>
    <row r="80" spans="1:12" ht="18" x14ac:dyDescent="0.35">
      <c r="A80" s="88">
        <f t="shared" si="6"/>
        <v>69</v>
      </c>
      <c r="B80" s="638">
        <v>5</v>
      </c>
      <c r="C80" s="42" t="s">
        <v>553</v>
      </c>
      <c r="E80" s="143"/>
      <c r="F80" s="535"/>
      <c r="G80" s="535"/>
      <c r="H80" s="535"/>
      <c r="I80" s="535"/>
      <c r="J80" s="535"/>
      <c r="K80" s="121"/>
      <c r="L80" s="88">
        <f t="shared" si="7"/>
        <v>69</v>
      </c>
    </row>
    <row r="81" spans="1:12" ht="18" x14ac:dyDescent="0.35">
      <c r="A81" s="88">
        <f t="shared" si="6"/>
        <v>70</v>
      </c>
      <c r="B81" s="638">
        <v>6</v>
      </c>
      <c r="C81" s="42" t="s">
        <v>532</v>
      </c>
      <c r="D81" s="135"/>
      <c r="E81" s="143"/>
      <c r="F81" s="535"/>
      <c r="G81" s="535"/>
      <c r="H81" s="535"/>
      <c r="I81" s="535"/>
      <c r="J81" s="535"/>
      <c r="K81" s="121"/>
      <c r="L81" s="88">
        <f t="shared" si="7"/>
        <v>70</v>
      </c>
    </row>
    <row r="82" spans="1:12" ht="18" x14ac:dyDescent="0.35">
      <c r="A82" s="88">
        <f t="shared" si="6"/>
        <v>71</v>
      </c>
      <c r="B82" s="638"/>
      <c r="C82" s="42"/>
      <c r="D82" s="135"/>
      <c r="E82" s="143"/>
      <c r="F82" s="535"/>
      <c r="G82" s="535"/>
      <c r="H82" s="535"/>
      <c r="I82" s="535"/>
      <c r="J82" s="535"/>
      <c r="K82" s="121"/>
      <c r="L82" s="88">
        <f t="shared" si="7"/>
        <v>71</v>
      </c>
    </row>
    <row r="83" spans="1:12" ht="16" thickBot="1" x14ac:dyDescent="0.4">
      <c r="A83" s="88">
        <f t="shared" si="6"/>
        <v>72</v>
      </c>
      <c r="B83" s="144"/>
      <c r="C83" s="145"/>
      <c r="D83" s="90"/>
      <c r="E83" s="90"/>
      <c r="F83" s="90"/>
      <c r="G83" s="90"/>
      <c r="H83" s="90"/>
      <c r="I83" s="90"/>
      <c r="J83" s="90"/>
      <c r="K83" s="130"/>
      <c r="L83" s="88">
        <f t="shared" si="7"/>
        <v>72</v>
      </c>
    </row>
    <row r="84" spans="1:12" x14ac:dyDescent="0.35">
      <c r="C84" s="113"/>
    </row>
    <row r="85" spans="1:12" x14ac:dyDescent="0.35">
      <c r="A85" s="536"/>
      <c r="C85" s="113"/>
      <c r="D85" s="146"/>
      <c r="E85" s="146"/>
    </row>
    <row r="86" spans="1:12" ht="18" x14ac:dyDescent="0.35">
      <c r="A86" s="147"/>
      <c r="B86" s="474"/>
      <c r="C86" s="20"/>
      <c r="D86" s="225"/>
      <c r="E86" s="225"/>
      <c r="F86" s="225"/>
      <c r="G86" s="225"/>
      <c r="H86" s="225"/>
      <c r="I86" s="225"/>
      <c r="J86" s="225"/>
    </row>
    <row r="87" spans="1:12" ht="18" x14ac:dyDescent="0.35">
      <c r="A87" s="147"/>
      <c r="B87" s="474"/>
      <c r="C87" s="340"/>
      <c r="D87" s="225"/>
      <c r="E87" s="225"/>
      <c r="F87" s="225"/>
      <c r="G87" s="225"/>
      <c r="H87" s="225"/>
      <c r="I87" s="225"/>
      <c r="J87" s="225"/>
    </row>
    <row r="88" spans="1:12" ht="18" x14ac:dyDescent="0.35">
      <c r="A88" s="147"/>
      <c r="B88" s="41"/>
      <c r="C88" s="20"/>
      <c r="D88" s="20"/>
      <c r="E88" s="20"/>
      <c r="F88" s="20"/>
      <c r="G88" s="20"/>
      <c r="H88" s="20"/>
      <c r="I88" s="20"/>
      <c r="J88" s="20"/>
    </row>
    <row r="89" spans="1:12" ht="18" x14ac:dyDescent="0.35">
      <c r="A89" s="147"/>
      <c r="C89" s="113"/>
    </row>
    <row r="90" spans="1:12" ht="18" x14ac:dyDescent="0.35">
      <c r="A90" s="147"/>
      <c r="C90" s="113"/>
    </row>
    <row r="91" spans="1:12" ht="18" x14ac:dyDescent="0.35">
      <c r="A91" s="147"/>
      <c r="C91" s="113"/>
    </row>
    <row r="92" spans="1:12" x14ac:dyDescent="0.35">
      <c r="A92" s="536"/>
      <c r="C92" s="113"/>
    </row>
    <row r="93" spans="1:12" ht="18" x14ac:dyDescent="0.35">
      <c r="A93" s="147"/>
      <c r="C93" s="113"/>
    </row>
    <row r="94" spans="1:12" x14ac:dyDescent="0.35">
      <c r="A94" s="536"/>
      <c r="C94" s="113"/>
    </row>
    <row r="95" spans="1:12" ht="18" x14ac:dyDescent="0.35">
      <c r="A95" s="147"/>
      <c r="C95" s="113"/>
    </row>
    <row r="96" spans="1:12" x14ac:dyDescent="0.35">
      <c r="A96" s="536"/>
      <c r="C96" s="113"/>
    </row>
    <row r="97" spans="1:3" ht="18" x14ac:dyDescent="0.35">
      <c r="A97" s="147"/>
      <c r="C97" s="113"/>
    </row>
    <row r="98" spans="1:3" ht="18" x14ac:dyDescent="0.35">
      <c r="A98" s="147"/>
      <c r="B98" s="113"/>
    </row>
    <row r="99" spans="1:3" ht="18" x14ac:dyDescent="0.35">
      <c r="A99" s="147"/>
      <c r="B99" s="113"/>
    </row>
    <row r="100" spans="1:3" x14ac:dyDescent="0.35">
      <c r="B100" s="113"/>
    </row>
    <row r="101" spans="1:3" ht="18" x14ac:dyDescent="0.35">
      <c r="A101" s="147"/>
      <c r="B101" s="113"/>
    </row>
    <row r="102" spans="1:3" x14ac:dyDescent="0.35">
      <c r="A102" s="485"/>
      <c r="B102" s="486"/>
    </row>
    <row r="103" spans="1:3" x14ac:dyDescent="0.35">
      <c r="B103" s="113"/>
    </row>
  </sheetData>
  <mergeCells count="4"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47" orientation="portrait" r:id="rId1"/>
  <headerFooter scaleWithDoc="0" alignWithMargins="0">
    <oddHeader>&amp;C&amp;"Times New Roman,Bold"&amp;6AS FILED AH-3 WITH COST ADJ. INCL. IN APPENDIX XII CYCLE 5 (ER23-110)</oddHeader>
    <oddFooter>&amp;L&amp;F&amp;CPage 8.3&amp;R&amp;A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K36"/>
  <sheetViews>
    <sheetView zoomScale="80" zoomScaleNormal="80" workbookViewId="0"/>
  </sheetViews>
  <sheetFormatPr defaultColWidth="8.81640625" defaultRowHeight="15.5" x14ac:dyDescent="0.35"/>
  <cols>
    <col min="1" max="1" width="5.1796875" style="537" bestFit="1" customWidth="1"/>
    <col min="2" max="2" width="68.81640625" style="148" customWidth="1"/>
    <col min="3" max="3" width="24" style="149" customWidth="1"/>
    <col min="4" max="4" width="1.54296875" style="148" customWidth="1"/>
    <col min="5" max="5" width="16.81640625" style="148" customWidth="1"/>
    <col min="6" max="6" width="1.54296875" style="148" customWidth="1"/>
    <col min="7" max="7" width="16.81640625" style="148" customWidth="1"/>
    <col min="8" max="8" width="1.54296875" style="148" customWidth="1"/>
    <col min="9" max="9" width="36.1796875" style="148" customWidth="1"/>
    <col min="10" max="10" width="5.1796875" style="148" customWidth="1"/>
    <col min="11" max="16384" width="8.81640625" style="148"/>
  </cols>
  <sheetData>
    <row r="1" spans="1:10" x14ac:dyDescent="0.35">
      <c r="H1" s="537"/>
      <c r="I1" s="549"/>
      <c r="J1" s="537"/>
    </row>
    <row r="2" spans="1:10" x14ac:dyDescent="0.35">
      <c r="B2" s="765" t="s">
        <v>24</v>
      </c>
      <c r="C2" s="766"/>
      <c r="D2" s="766"/>
      <c r="E2" s="766"/>
      <c r="F2" s="766"/>
      <c r="G2" s="766"/>
      <c r="H2" s="766"/>
      <c r="I2" s="766"/>
      <c r="J2" s="221"/>
    </row>
    <row r="3" spans="1:10" x14ac:dyDescent="0.35">
      <c r="B3" s="765" t="s">
        <v>105</v>
      </c>
      <c r="C3" s="766"/>
      <c r="D3" s="766"/>
      <c r="E3" s="766"/>
      <c r="F3" s="766"/>
      <c r="G3" s="766"/>
      <c r="H3" s="766"/>
      <c r="I3" s="766"/>
      <c r="J3" s="221"/>
    </row>
    <row r="4" spans="1:10" x14ac:dyDescent="0.35">
      <c r="B4" s="765" t="s">
        <v>106</v>
      </c>
      <c r="C4" s="766"/>
      <c r="D4" s="766"/>
      <c r="E4" s="766"/>
      <c r="F4" s="766"/>
      <c r="G4" s="766"/>
      <c r="H4" s="766"/>
      <c r="I4" s="766"/>
      <c r="J4" s="221"/>
    </row>
    <row r="5" spans="1:10" x14ac:dyDescent="0.35">
      <c r="B5" s="767" t="s">
        <v>542</v>
      </c>
      <c r="C5" s="767"/>
      <c r="D5" s="767"/>
      <c r="E5" s="767"/>
      <c r="F5" s="767"/>
      <c r="G5" s="767"/>
      <c r="H5" s="767"/>
      <c r="I5" s="767"/>
      <c r="J5" s="221"/>
    </row>
    <row r="6" spans="1:10" x14ac:dyDescent="0.35">
      <c r="B6" s="768" t="s">
        <v>1</v>
      </c>
      <c r="C6" s="768"/>
      <c r="D6" s="768"/>
      <c r="E6" s="768"/>
      <c r="F6" s="768"/>
      <c r="G6" s="768"/>
      <c r="H6" s="768"/>
      <c r="I6" s="768"/>
      <c r="J6" s="150"/>
    </row>
    <row r="7" spans="1:10" x14ac:dyDescent="0.35">
      <c r="B7" s="537"/>
      <c r="D7" s="537"/>
      <c r="E7" s="537"/>
      <c r="F7" s="537"/>
      <c r="G7" s="537"/>
      <c r="H7" s="221"/>
      <c r="I7" s="221"/>
      <c r="J7" s="221"/>
    </row>
    <row r="8" spans="1:10" x14ac:dyDescent="0.35">
      <c r="A8" s="537" t="s">
        <v>2</v>
      </c>
      <c r="B8" s="221"/>
      <c r="C8" s="41" t="s">
        <v>27</v>
      </c>
      <c r="D8" s="537"/>
      <c r="E8" s="537" t="s">
        <v>107</v>
      </c>
      <c r="F8" s="537"/>
      <c r="G8" s="537" t="s">
        <v>108</v>
      </c>
      <c r="H8" s="221"/>
      <c r="I8" s="221"/>
      <c r="J8" s="537" t="s">
        <v>2</v>
      </c>
    </row>
    <row r="9" spans="1:10" x14ac:dyDescent="0.35">
      <c r="A9" s="537" t="s">
        <v>6</v>
      </c>
      <c r="B9" s="221"/>
      <c r="C9" s="455" t="s">
        <v>28</v>
      </c>
      <c r="D9" s="221"/>
      <c r="E9" s="487" t="s">
        <v>109</v>
      </c>
      <c r="F9" s="221"/>
      <c r="G9" s="487" t="s">
        <v>110</v>
      </c>
      <c r="H9" s="221"/>
      <c r="I9" s="488" t="s">
        <v>5</v>
      </c>
      <c r="J9" s="537" t="s">
        <v>6</v>
      </c>
    </row>
    <row r="10" spans="1:10" x14ac:dyDescent="0.35">
      <c r="B10" s="537"/>
      <c r="D10" s="537"/>
      <c r="E10" s="537"/>
      <c r="F10" s="537"/>
      <c r="G10" s="537"/>
      <c r="H10" s="537"/>
      <c r="I10" s="537"/>
      <c r="J10" s="537"/>
    </row>
    <row r="11" spans="1:10" ht="18" x14ac:dyDescent="0.35">
      <c r="A11" s="537">
        <v>1</v>
      </c>
      <c r="B11" s="148" t="s">
        <v>111</v>
      </c>
      <c r="C11" s="537" t="s">
        <v>112</v>
      </c>
      <c r="E11" s="489"/>
      <c r="F11" s="151"/>
      <c r="G11" s="390">
        <v>128758.20369230768</v>
      </c>
      <c r="H11" s="151"/>
      <c r="I11" s="65" t="s">
        <v>460</v>
      </c>
      <c r="J11" s="537">
        <f>A11</f>
        <v>1</v>
      </c>
    </row>
    <row r="12" spans="1:10" x14ac:dyDescent="0.35">
      <c r="A12" s="537">
        <f>+A11+1</f>
        <v>2</v>
      </c>
      <c r="C12" s="537"/>
      <c r="E12" s="152"/>
      <c r="F12" s="153"/>
      <c r="G12" s="153"/>
      <c r="H12" s="153"/>
      <c r="I12" s="65"/>
      <c r="J12" s="537">
        <f>+J11+1</f>
        <v>2</v>
      </c>
    </row>
    <row r="13" spans="1:10" x14ac:dyDescent="0.35">
      <c r="A13" s="537">
        <f t="shared" ref="A13:A29" si="0">+A12+1</f>
        <v>3</v>
      </c>
      <c r="B13" s="148" t="s">
        <v>113</v>
      </c>
      <c r="C13" s="537"/>
      <c r="E13" s="154"/>
      <c r="F13" s="155"/>
      <c r="G13" s="490">
        <v>0.39574943391450246</v>
      </c>
      <c r="H13" s="151"/>
      <c r="I13" s="65" t="s">
        <v>461</v>
      </c>
      <c r="J13" s="537">
        <f t="shared" ref="J13:J29" si="1">+J12+1</f>
        <v>3</v>
      </c>
    </row>
    <row r="14" spans="1:10" x14ac:dyDescent="0.35">
      <c r="A14" s="537">
        <f t="shared" si="0"/>
        <v>4</v>
      </c>
      <c r="C14" s="537"/>
      <c r="E14" s="152"/>
      <c r="F14" s="153"/>
      <c r="G14" s="152"/>
      <c r="H14" s="153"/>
      <c r="I14" s="65"/>
      <c r="J14" s="537">
        <f t="shared" si="1"/>
        <v>4</v>
      </c>
    </row>
    <row r="15" spans="1:10" ht="16" thickBot="1" x14ac:dyDescent="0.4">
      <c r="A15" s="537">
        <f t="shared" si="0"/>
        <v>5</v>
      </c>
      <c r="B15" s="148" t="s">
        <v>114</v>
      </c>
      <c r="C15" s="537"/>
      <c r="E15" s="491"/>
      <c r="F15" s="153"/>
      <c r="G15" s="492">
        <f>G11*G13</f>
        <v>50955.986223078966</v>
      </c>
      <c r="H15" s="151"/>
      <c r="I15" s="65" t="s">
        <v>462</v>
      </c>
      <c r="J15" s="537">
        <f t="shared" si="1"/>
        <v>5</v>
      </c>
    </row>
    <row r="16" spans="1:10" ht="16" thickTop="1" x14ac:dyDescent="0.35">
      <c r="A16" s="537">
        <f t="shared" si="0"/>
        <v>6</v>
      </c>
      <c r="C16" s="537"/>
      <c r="E16" s="493"/>
      <c r="F16" s="537"/>
      <c r="G16" s="537"/>
      <c r="H16" s="537"/>
      <c r="I16" s="65"/>
      <c r="J16" s="537">
        <f t="shared" si="1"/>
        <v>6</v>
      </c>
    </row>
    <row r="17" spans="1:11" ht="18" x14ac:dyDescent="0.35">
      <c r="A17" s="537">
        <f t="shared" si="0"/>
        <v>7</v>
      </c>
      <c r="B17" s="148" t="s">
        <v>115</v>
      </c>
      <c r="C17" s="537" t="s">
        <v>116</v>
      </c>
      <c r="D17" s="494"/>
      <c r="E17" s="489"/>
      <c r="F17" s="153"/>
      <c r="G17" s="495">
        <v>93697.406000000017</v>
      </c>
      <c r="H17" s="151"/>
      <c r="I17" s="65" t="s">
        <v>463</v>
      </c>
      <c r="J17" s="537">
        <f t="shared" si="1"/>
        <v>7</v>
      </c>
    </row>
    <row r="18" spans="1:11" x14ac:dyDescent="0.35">
      <c r="A18" s="537">
        <f t="shared" si="0"/>
        <v>8</v>
      </c>
      <c r="C18" s="537"/>
      <c r="E18" s="496"/>
      <c r="F18" s="153"/>
      <c r="G18" s="153"/>
      <c r="H18" s="153"/>
      <c r="I18" s="65"/>
      <c r="J18" s="537">
        <f t="shared" si="1"/>
        <v>8</v>
      </c>
    </row>
    <row r="19" spans="1:11" ht="16" thickBot="1" x14ac:dyDescent="0.4">
      <c r="A19" s="537">
        <f t="shared" si="0"/>
        <v>9</v>
      </c>
      <c r="B19" s="148" t="s">
        <v>117</v>
      </c>
      <c r="E19" s="489"/>
      <c r="F19" s="153"/>
      <c r="G19" s="492">
        <f>G13*G17</f>
        <v>37080.695383757316</v>
      </c>
      <c r="H19" s="151"/>
      <c r="I19" s="65" t="s">
        <v>464</v>
      </c>
      <c r="J19" s="537">
        <f t="shared" si="1"/>
        <v>9</v>
      </c>
    </row>
    <row r="20" spans="1:11" ht="16" thickTop="1" x14ac:dyDescent="0.35">
      <c r="A20" s="537">
        <f t="shared" si="0"/>
        <v>10</v>
      </c>
      <c r="E20" s="497"/>
      <c r="F20" s="153"/>
      <c r="G20" s="153"/>
      <c r="H20" s="153"/>
      <c r="I20" s="65"/>
      <c r="J20" s="537">
        <f t="shared" si="1"/>
        <v>10</v>
      </c>
    </row>
    <row r="21" spans="1:11" x14ac:dyDescent="0.35">
      <c r="A21" s="537">
        <f t="shared" si="0"/>
        <v>11</v>
      </c>
      <c r="B21" s="156" t="s">
        <v>118</v>
      </c>
      <c r="E21" s="497"/>
      <c r="F21" s="153"/>
      <c r="G21" s="153"/>
      <c r="H21" s="153"/>
      <c r="I21" s="65"/>
      <c r="J21" s="537">
        <f t="shared" si="1"/>
        <v>11</v>
      </c>
    </row>
    <row r="22" spans="1:11" x14ac:dyDescent="0.35">
      <c r="A22" s="537">
        <f t="shared" si="0"/>
        <v>12</v>
      </c>
      <c r="B22" s="148" t="s">
        <v>119</v>
      </c>
      <c r="E22" s="640">
        <v>33651.210460000017</v>
      </c>
      <c r="F22" s="27"/>
      <c r="G22" s="401"/>
      <c r="H22" s="153"/>
      <c r="I22" s="65" t="s">
        <v>540</v>
      </c>
      <c r="J22" s="537">
        <f t="shared" si="1"/>
        <v>12</v>
      </c>
    </row>
    <row r="23" spans="1:11" x14ac:dyDescent="0.35">
      <c r="A23" s="537">
        <f t="shared" si="0"/>
        <v>13</v>
      </c>
      <c r="B23" s="148" t="s">
        <v>120</v>
      </c>
      <c r="E23" s="498">
        <f>'Pg8 Rev Stmt AH'!E51</f>
        <v>47694.251713089099</v>
      </c>
      <c r="F23" s="27" t="s">
        <v>16</v>
      </c>
      <c r="G23" s="499"/>
      <c r="H23" s="153"/>
      <c r="I23" s="65" t="s">
        <v>623</v>
      </c>
      <c r="J23" s="537">
        <f t="shared" si="1"/>
        <v>13</v>
      </c>
    </row>
    <row r="24" spans="1:11" x14ac:dyDescent="0.35">
      <c r="A24" s="537">
        <f t="shared" si="0"/>
        <v>14</v>
      </c>
      <c r="B24" s="148" t="s">
        <v>121</v>
      </c>
      <c r="E24" s="500">
        <v>0</v>
      </c>
      <c r="F24" s="153"/>
      <c r="G24" s="499"/>
      <c r="H24" s="153"/>
      <c r="I24" s="65" t="s">
        <v>465</v>
      </c>
      <c r="J24" s="537">
        <f t="shared" si="1"/>
        <v>14</v>
      </c>
      <c r="K24" s="501"/>
    </row>
    <row r="25" spans="1:11" x14ac:dyDescent="0.35">
      <c r="A25" s="537">
        <f t="shared" si="0"/>
        <v>15</v>
      </c>
      <c r="B25" s="148" t="s">
        <v>122</v>
      </c>
      <c r="E25" s="502">
        <f>SUM(E22:E24)</f>
        <v>81345.462173089123</v>
      </c>
      <c r="F25" s="27" t="s">
        <v>16</v>
      </c>
      <c r="G25" s="494"/>
      <c r="H25" s="65"/>
      <c r="I25" s="65" t="s">
        <v>466</v>
      </c>
      <c r="J25" s="537">
        <f t="shared" si="1"/>
        <v>15</v>
      </c>
    </row>
    <row r="26" spans="1:11" x14ac:dyDescent="0.35">
      <c r="A26" s="537">
        <f t="shared" si="0"/>
        <v>16</v>
      </c>
      <c r="F26" s="537"/>
      <c r="H26" s="537"/>
      <c r="I26" s="65"/>
      <c r="J26" s="537">
        <f t="shared" si="1"/>
        <v>16</v>
      </c>
    </row>
    <row r="27" spans="1:11" x14ac:dyDescent="0.35">
      <c r="A27" s="537">
        <f t="shared" si="0"/>
        <v>17</v>
      </c>
      <c r="B27" s="148" t="s">
        <v>123</v>
      </c>
      <c r="E27" s="503">
        <f>1/8</f>
        <v>0.125</v>
      </c>
      <c r="F27" s="537"/>
      <c r="G27" s="504"/>
      <c r="H27" s="537"/>
      <c r="I27" s="65" t="s">
        <v>124</v>
      </c>
      <c r="J27" s="537">
        <f t="shared" si="1"/>
        <v>17</v>
      </c>
    </row>
    <row r="28" spans="1:11" x14ac:dyDescent="0.35">
      <c r="A28" s="537">
        <f t="shared" si="0"/>
        <v>18</v>
      </c>
      <c r="E28" s="152" t="s">
        <v>11</v>
      </c>
      <c r="F28" s="153"/>
      <c r="G28" s="152"/>
      <c r="H28" s="153"/>
      <c r="I28" s="65"/>
      <c r="J28" s="537">
        <f t="shared" si="1"/>
        <v>18</v>
      </c>
    </row>
    <row r="29" spans="1:11" ht="16" thickBot="1" x14ac:dyDescent="0.4">
      <c r="A29" s="537">
        <f t="shared" si="0"/>
        <v>19</v>
      </c>
      <c r="B29" s="148" t="s">
        <v>125</v>
      </c>
      <c r="E29" s="505">
        <f>E25*E27</f>
        <v>10168.18277163614</v>
      </c>
      <c r="F29" s="27" t="s">
        <v>16</v>
      </c>
      <c r="G29" s="491"/>
      <c r="H29" s="153"/>
      <c r="I29" s="537" t="s">
        <v>467</v>
      </c>
      <c r="J29" s="537">
        <f t="shared" si="1"/>
        <v>19</v>
      </c>
    </row>
    <row r="30" spans="1:11" ht="16" thickTop="1" x14ac:dyDescent="0.35">
      <c r="E30" s="665"/>
      <c r="F30" s="27"/>
      <c r="G30" s="491"/>
      <c r="H30" s="153"/>
      <c r="I30" s="537"/>
      <c r="J30" s="537"/>
    </row>
    <row r="31" spans="1:11" x14ac:dyDescent="0.35">
      <c r="B31" s="506"/>
    </row>
    <row r="32" spans="1:11" x14ac:dyDescent="0.35">
      <c r="A32" s="27" t="s">
        <v>16</v>
      </c>
      <c r="B32" s="24" t="s">
        <v>647</v>
      </c>
    </row>
    <row r="33" spans="1:2" x14ac:dyDescent="0.35">
      <c r="A33" s="27"/>
      <c r="B33" s="24" t="s">
        <v>645</v>
      </c>
    </row>
    <row r="34" spans="1:2" ht="18" x14ac:dyDescent="0.35">
      <c r="A34" s="159">
        <v>1</v>
      </c>
      <c r="B34" s="148" t="s">
        <v>126</v>
      </c>
    </row>
    <row r="35" spans="1:2" ht="18" x14ac:dyDescent="0.35">
      <c r="A35" s="159"/>
    </row>
    <row r="36" spans="1:2" x14ac:dyDescent="0.35">
      <c r="A36" s="221"/>
      <c r="B36" s="150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24F8-9D77-4909-8BF9-A2CCEE946F09}">
  <sheetPr>
    <pageSetUpPr fitToPage="1"/>
  </sheetPr>
  <dimension ref="A1:K36"/>
  <sheetViews>
    <sheetView zoomScale="80" zoomScaleNormal="80" workbookViewId="0"/>
  </sheetViews>
  <sheetFormatPr defaultColWidth="8.81640625" defaultRowHeight="15.5" x14ac:dyDescent="0.35"/>
  <cols>
    <col min="1" max="1" width="5.1796875" style="537" bestFit="1" customWidth="1"/>
    <col min="2" max="2" width="68.81640625" style="148" customWidth="1"/>
    <col min="3" max="3" width="24" style="149" customWidth="1"/>
    <col min="4" max="4" width="1.54296875" style="148" customWidth="1"/>
    <col min="5" max="5" width="16.81640625" style="148" customWidth="1"/>
    <col min="6" max="6" width="1.54296875" style="148" customWidth="1"/>
    <col min="7" max="7" width="16.81640625" style="148" customWidth="1"/>
    <col min="8" max="8" width="1.54296875" style="148" customWidth="1"/>
    <col min="9" max="9" width="36.1796875" style="148" customWidth="1"/>
    <col min="10" max="10" width="5.1796875" style="148" customWidth="1"/>
    <col min="11" max="16384" width="8.81640625" style="148"/>
  </cols>
  <sheetData>
    <row r="1" spans="1:10" x14ac:dyDescent="0.35">
      <c r="A1" s="668" t="s">
        <v>589</v>
      </c>
    </row>
    <row r="2" spans="1:10" x14ac:dyDescent="0.35">
      <c r="H2" s="537"/>
      <c r="I2" s="549"/>
      <c r="J2" s="537"/>
    </row>
    <row r="3" spans="1:10" x14ac:dyDescent="0.35">
      <c r="B3" s="765" t="s">
        <v>24</v>
      </c>
      <c r="C3" s="766"/>
      <c r="D3" s="766"/>
      <c r="E3" s="766"/>
      <c r="F3" s="766"/>
      <c r="G3" s="766"/>
      <c r="H3" s="766"/>
      <c r="I3" s="766"/>
      <c r="J3" s="221"/>
    </row>
    <row r="4" spans="1:10" x14ac:dyDescent="0.35">
      <c r="B4" s="765" t="s">
        <v>105</v>
      </c>
      <c r="C4" s="766"/>
      <c r="D4" s="766"/>
      <c r="E4" s="766"/>
      <c r="F4" s="766"/>
      <c r="G4" s="766"/>
      <c r="H4" s="766"/>
      <c r="I4" s="766"/>
      <c r="J4" s="221"/>
    </row>
    <row r="5" spans="1:10" x14ac:dyDescent="0.35">
      <c r="B5" s="765" t="s">
        <v>106</v>
      </c>
      <c r="C5" s="766"/>
      <c r="D5" s="766"/>
      <c r="E5" s="766"/>
      <c r="F5" s="766"/>
      <c r="G5" s="766"/>
      <c r="H5" s="766"/>
      <c r="I5" s="766"/>
      <c r="J5" s="221"/>
    </row>
    <row r="6" spans="1:10" x14ac:dyDescent="0.35">
      <c r="B6" s="767" t="s">
        <v>542</v>
      </c>
      <c r="C6" s="767"/>
      <c r="D6" s="767"/>
      <c r="E6" s="767"/>
      <c r="F6" s="767"/>
      <c r="G6" s="767"/>
      <c r="H6" s="767"/>
      <c r="I6" s="767"/>
      <c r="J6" s="221"/>
    </row>
    <row r="7" spans="1:10" x14ac:dyDescent="0.35">
      <c r="B7" s="768" t="s">
        <v>1</v>
      </c>
      <c r="C7" s="768"/>
      <c r="D7" s="768"/>
      <c r="E7" s="768"/>
      <c r="F7" s="768"/>
      <c r="G7" s="768"/>
      <c r="H7" s="768"/>
      <c r="I7" s="768"/>
      <c r="J7" s="150"/>
    </row>
    <row r="8" spans="1:10" x14ac:dyDescent="0.35">
      <c r="B8" s="537"/>
      <c r="D8" s="537"/>
      <c r="E8" s="537"/>
      <c r="F8" s="537"/>
      <c r="G8" s="537"/>
      <c r="H8" s="221"/>
      <c r="I8" s="221"/>
      <c r="J8" s="221"/>
    </row>
    <row r="9" spans="1:10" x14ac:dyDescent="0.35">
      <c r="A9" s="537" t="s">
        <v>2</v>
      </c>
      <c r="B9" s="221"/>
      <c r="C9" s="41" t="s">
        <v>27</v>
      </c>
      <c r="D9" s="537"/>
      <c r="E9" s="537" t="s">
        <v>107</v>
      </c>
      <c r="F9" s="537"/>
      <c r="G9" s="537" t="s">
        <v>108</v>
      </c>
      <c r="H9" s="221"/>
      <c r="I9" s="221"/>
      <c r="J9" s="537" t="s">
        <v>2</v>
      </c>
    </row>
    <row r="10" spans="1:10" x14ac:dyDescent="0.35">
      <c r="A10" s="537" t="s">
        <v>6</v>
      </c>
      <c r="B10" s="221"/>
      <c r="C10" s="455" t="s">
        <v>28</v>
      </c>
      <c r="D10" s="221"/>
      <c r="E10" s="487" t="s">
        <v>109</v>
      </c>
      <c r="F10" s="221"/>
      <c r="G10" s="487" t="s">
        <v>110</v>
      </c>
      <c r="H10" s="221"/>
      <c r="I10" s="488" t="s">
        <v>5</v>
      </c>
      <c r="J10" s="537" t="s">
        <v>6</v>
      </c>
    </row>
    <row r="11" spans="1:10" x14ac:dyDescent="0.35">
      <c r="B11" s="537"/>
      <c r="D11" s="537"/>
      <c r="E11" s="537"/>
      <c r="F11" s="537"/>
      <c r="G11" s="537"/>
      <c r="H11" s="537"/>
      <c r="I11" s="537"/>
      <c r="J11" s="537"/>
    </row>
    <row r="12" spans="1:10" ht="18" x14ac:dyDescent="0.35">
      <c r="A12" s="537">
        <v>1</v>
      </c>
      <c r="B12" s="148" t="s">
        <v>111</v>
      </c>
      <c r="C12" s="537" t="s">
        <v>112</v>
      </c>
      <c r="E12" s="489"/>
      <c r="F12" s="151"/>
      <c r="G12" s="390">
        <v>128758.20369230768</v>
      </c>
      <c r="H12" s="151"/>
      <c r="I12" s="65" t="s">
        <v>460</v>
      </c>
      <c r="J12" s="537">
        <f>A12</f>
        <v>1</v>
      </c>
    </row>
    <row r="13" spans="1:10" x14ac:dyDescent="0.35">
      <c r="A13" s="537">
        <f>+A12+1</f>
        <v>2</v>
      </c>
      <c r="C13" s="537"/>
      <c r="E13" s="152"/>
      <c r="F13" s="153"/>
      <c r="G13" s="153"/>
      <c r="H13" s="153"/>
      <c r="I13" s="65"/>
      <c r="J13" s="537">
        <f>+J12+1</f>
        <v>2</v>
      </c>
    </row>
    <row r="14" spans="1:10" x14ac:dyDescent="0.35">
      <c r="A14" s="537">
        <f t="shared" ref="A14:A30" si="0">+A13+1</f>
        <v>3</v>
      </c>
      <c r="B14" s="148" t="s">
        <v>113</v>
      </c>
      <c r="C14" s="537"/>
      <c r="E14" s="154"/>
      <c r="F14" s="155"/>
      <c r="G14" s="490">
        <v>0.39574943391450246</v>
      </c>
      <c r="H14" s="151"/>
      <c r="I14" s="65" t="s">
        <v>461</v>
      </c>
      <c r="J14" s="537">
        <f t="shared" ref="J14:J30" si="1">+J13+1</f>
        <v>3</v>
      </c>
    </row>
    <row r="15" spans="1:10" x14ac:dyDescent="0.35">
      <c r="A15" s="537">
        <f t="shared" si="0"/>
        <v>4</v>
      </c>
      <c r="C15" s="537"/>
      <c r="E15" s="152"/>
      <c r="F15" s="153"/>
      <c r="G15" s="152"/>
      <c r="H15" s="153"/>
      <c r="I15" s="65"/>
      <c r="J15" s="537">
        <f t="shared" si="1"/>
        <v>4</v>
      </c>
    </row>
    <row r="16" spans="1:10" ht="16" thickBot="1" x14ac:dyDescent="0.4">
      <c r="A16" s="537">
        <f t="shared" si="0"/>
        <v>5</v>
      </c>
      <c r="B16" s="148" t="s">
        <v>114</v>
      </c>
      <c r="C16" s="537"/>
      <c r="E16" s="491"/>
      <c r="F16" s="153"/>
      <c r="G16" s="492">
        <f>G12*G14</f>
        <v>50955.986223078966</v>
      </c>
      <c r="H16" s="151"/>
      <c r="I16" s="65" t="s">
        <v>462</v>
      </c>
      <c r="J16" s="537">
        <f t="shared" si="1"/>
        <v>5</v>
      </c>
    </row>
    <row r="17" spans="1:11" ht="16" thickTop="1" x14ac:dyDescent="0.35">
      <c r="A17" s="537">
        <f t="shared" si="0"/>
        <v>6</v>
      </c>
      <c r="C17" s="537"/>
      <c r="E17" s="493"/>
      <c r="F17" s="537"/>
      <c r="G17" s="537"/>
      <c r="H17" s="537"/>
      <c r="I17" s="65"/>
      <c r="J17" s="537">
        <f t="shared" si="1"/>
        <v>6</v>
      </c>
    </row>
    <row r="18" spans="1:11" ht="18" x14ac:dyDescent="0.35">
      <c r="A18" s="537">
        <f t="shared" si="0"/>
        <v>7</v>
      </c>
      <c r="B18" s="148" t="s">
        <v>115</v>
      </c>
      <c r="C18" s="537" t="s">
        <v>116</v>
      </c>
      <c r="D18" s="494"/>
      <c r="E18" s="489"/>
      <c r="F18" s="153"/>
      <c r="G18" s="495">
        <v>93697.406000000017</v>
      </c>
      <c r="H18" s="151"/>
      <c r="I18" s="65" t="s">
        <v>463</v>
      </c>
      <c r="J18" s="537">
        <f t="shared" si="1"/>
        <v>7</v>
      </c>
    </row>
    <row r="19" spans="1:11" x14ac:dyDescent="0.35">
      <c r="A19" s="537">
        <f t="shared" si="0"/>
        <v>8</v>
      </c>
      <c r="C19" s="537"/>
      <c r="E19" s="496"/>
      <c r="F19" s="153"/>
      <c r="G19" s="153"/>
      <c r="H19" s="153"/>
      <c r="I19" s="65"/>
      <c r="J19" s="537">
        <f t="shared" si="1"/>
        <v>8</v>
      </c>
    </row>
    <row r="20" spans="1:11" ht="16" thickBot="1" x14ac:dyDescent="0.4">
      <c r="A20" s="537">
        <f t="shared" si="0"/>
        <v>9</v>
      </c>
      <c r="B20" s="148" t="s">
        <v>117</v>
      </c>
      <c r="E20" s="489"/>
      <c r="F20" s="153"/>
      <c r="G20" s="492">
        <f>G14*G18</f>
        <v>37080.695383757316</v>
      </c>
      <c r="H20" s="151"/>
      <c r="I20" s="65" t="s">
        <v>464</v>
      </c>
      <c r="J20" s="537">
        <f t="shared" si="1"/>
        <v>9</v>
      </c>
    </row>
    <row r="21" spans="1:11" ht="16" thickTop="1" x14ac:dyDescent="0.35">
      <c r="A21" s="537">
        <f t="shared" si="0"/>
        <v>10</v>
      </c>
      <c r="E21" s="497"/>
      <c r="F21" s="153"/>
      <c r="G21" s="153"/>
      <c r="H21" s="153"/>
      <c r="I21" s="65"/>
      <c r="J21" s="537">
        <f t="shared" si="1"/>
        <v>10</v>
      </c>
    </row>
    <row r="22" spans="1:11" x14ac:dyDescent="0.35">
      <c r="A22" s="537">
        <f t="shared" si="0"/>
        <v>11</v>
      </c>
      <c r="B22" s="156" t="s">
        <v>118</v>
      </c>
      <c r="E22" s="497"/>
      <c r="F22" s="153"/>
      <c r="G22" s="153"/>
      <c r="H22" s="153"/>
      <c r="I22" s="65"/>
      <c r="J22" s="537">
        <f t="shared" si="1"/>
        <v>11</v>
      </c>
    </row>
    <row r="23" spans="1:11" x14ac:dyDescent="0.35">
      <c r="A23" s="537">
        <f t="shared" si="0"/>
        <v>12</v>
      </c>
      <c r="B23" s="148" t="s">
        <v>119</v>
      </c>
      <c r="E23" s="640">
        <v>33651.210460000017</v>
      </c>
      <c r="F23" s="27"/>
      <c r="G23" s="401"/>
      <c r="H23" s="153"/>
      <c r="I23" s="65" t="s">
        <v>540</v>
      </c>
      <c r="J23" s="537">
        <f t="shared" si="1"/>
        <v>12</v>
      </c>
    </row>
    <row r="24" spans="1:11" x14ac:dyDescent="0.35">
      <c r="A24" s="537">
        <f t="shared" si="0"/>
        <v>13</v>
      </c>
      <c r="B24" s="148" t="s">
        <v>120</v>
      </c>
      <c r="E24" s="498">
        <v>45991.371993598652</v>
      </c>
      <c r="F24" s="27" t="s">
        <v>16</v>
      </c>
      <c r="G24" s="499"/>
      <c r="H24" s="153"/>
      <c r="I24" s="65" t="s">
        <v>541</v>
      </c>
      <c r="J24" s="537">
        <f t="shared" si="1"/>
        <v>13</v>
      </c>
    </row>
    <row r="25" spans="1:11" x14ac:dyDescent="0.35">
      <c r="A25" s="537">
        <f t="shared" si="0"/>
        <v>14</v>
      </c>
      <c r="B25" s="148" t="s">
        <v>121</v>
      </c>
      <c r="E25" s="500">
        <v>0</v>
      </c>
      <c r="F25" s="153"/>
      <c r="G25" s="499"/>
      <c r="H25" s="153"/>
      <c r="I25" s="65" t="s">
        <v>465</v>
      </c>
      <c r="J25" s="537">
        <f t="shared" si="1"/>
        <v>14</v>
      </c>
      <c r="K25" s="501"/>
    </row>
    <row r="26" spans="1:11" x14ac:dyDescent="0.35">
      <c r="A26" s="537">
        <f t="shared" si="0"/>
        <v>15</v>
      </c>
      <c r="B26" s="148" t="s">
        <v>122</v>
      </c>
      <c r="E26" s="502">
        <f>SUM(E23:E25)</f>
        <v>79642.582453598676</v>
      </c>
      <c r="F26" s="27" t="s">
        <v>16</v>
      </c>
      <c r="G26" s="494"/>
      <c r="H26" s="65"/>
      <c r="I26" s="65" t="s">
        <v>466</v>
      </c>
      <c r="J26" s="537">
        <f t="shared" si="1"/>
        <v>15</v>
      </c>
    </row>
    <row r="27" spans="1:11" x14ac:dyDescent="0.35">
      <c r="A27" s="537">
        <f t="shared" si="0"/>
        <v>16</v>
      </c>
      <c r="F27" s="537"/>
      <c r="H27" s="537"/>
      <c r="I27" s="65"/>
      <c r="J27" s="537">
        <f t="shared" si="1"/>
        <v>16</v>
      </c>
    </row>
    <row r="28" spans="1:11" x14ac:dyDescent="0.35">
      <c r="A28" s="537">
        <f t="shared" si="0"/>
        <v>17</v>
      </c>
      <c r="B28" s="148" t="s">
        <v>123</v>
      </c>
      <c r="E28" s="503">
        <f>1/8</f>
        <v>0.125</v>
      </c>
      <c r="F28" s="537"/>
      <c r="G28" s="504"/>
      <c r="H28" s="537"/>
      <c r="I28" s="65" t="s">
        <v>124</v>
      </c>
      <c r="J28" s="537">
        <f t="shared" si="1"/>
        <v>17</v>
      </c>
    </row>
    <row r="29" spans="1:11" x14ac:dyDescent="0.35">
      <c r="A29" s="537">
        <f t="shared" si="0"/>
        <v>18</v>
      </c>
      <c r="E29" s="152" t="s">
        <v>11</v>
      </c>
      <c r="F29" s="153"/>
      <c r="G29" s="152"/>
      <c r="H29" s="153"/>
      <c r="I29" s="65"/>
      <c r="J29" s="537">
        <f t="shared" si="1"/>
        <v>18</v>
      </c>
    </row>
    <row r="30" spans="1:11" ht="16" thickBot="1" x14ac:dyDescent="0.4">
      <c r="A30" s="537">
        <f t="shared" si="0"/>
        <v>19</v>
      </c>
      <c r="B30" s="148" t="s">
        <v>125</v>
      </c>
      <c r="E30" s="505">
        <f>E26*E28</f>
        <v>9955.3228066998345</v>
      </c>
      <c r="F30" s="27" t="s">
        <v>16</v>
      </c>
      <c r="G30" s="491"/>
      <c r="H30" s="153"/>
      <c r="I30" s="537" t="s">
        <v>467</v>
      </c>
      <c r="J30" s="537">
        <f t="shared" si="1"/>
        <v>19</v>
      </c>
    </row>
    <row r="31" spans="1:11" ht="16" thickTop="1" x14ac:dyDescent="0.35">
      <c r="E31" s="665"/>
      <c r="F31" s="27"/>
      <c r="G31" s="491"/>
      <c r="H31" s="153"/>
      <c r="I31" s="537"/>
      <c r="J31" s="537"/>
    </row>
    <row r="32" spans="1:11" x14ac:dyDescent="0.35">
      <c r="B32" s="506"/>
    </row>
    <row r="33" spans="1:2" x14ac:dyDescent="0.35">
      <c r="A33" s="27" t="s">
        <v>16</v>
      </c>
      <c r="B33" s="24" t="s">
        <v>558</v>
      </c>
    </row>
    <row r="34" spans="1:2" ht="18" x14ac:dyDescent="0.35">
      <c r="A34" s="159">
        <v>1</v>
      </c>
      <c r="B34" s="148" t="s">
        <v>126</v>
      </c>
    </row>
    <row r="35" spans="1:2" ht="18" x14ac:dyDescent="0.35">
      <c r="A35" s="159"/>
    </row>
    <row r="36" spans="1:2" x14ac:dyDescent="0.35">
      <c r="A36" s="221"/>
      <c r="B36" s="150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Roman,Bold"&amp;7AS FILED STMT AL WITH COST ADJ. INCL. IN APPENDIX XII CYCLE 5 (ER23-110)</oddHeader>
    <oddFooter>&amp;L&amp;F&amp;CPage 9.1&amp;R&amp;A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0"/>
  <sheetViews>
    <sheetView zoomScale="80" zoomScaleNormal="80" workbookViewId="0"/>
  </sheetViews>
  <sheetFormatPr defaultColWidth="8.81640625" defaultRowHeight="15.5" x14ac:dyDescent="0.35"/>
  <cols>
    <col min="1" max="1" width="5.1796875" style="41" customWidth="1"/>
    <col min="2" max="2" width="55.453125" style="42" customWidth="1"/>
    <col min="3" max="5" width="15.54296875" style="42" customWidth="1"/>
    <col min="6" max="6" width="1.54296875" style="42" customWidth="1"/>
    <col min="7" max="7" width="16.81640625" style="42" customWidth="1"/>
    <col min="8" max="8" width="1.54296875" style="42" customWidth="1"/>
    <col min="9" max="9" width="38.81640625" style="160" customWidth="1"/>
    <col min="10" max="10" width="5.1796875" style="42" customWidth="1"/>
    <col min="11" max="11" width="27" style="42" bestFit="1" customWidth="1"/>
    <col min="12" max="12" width="15" style="42" bestFit="1" customWidth="1"/>
    <col min="13" max="13" width="10.453125" style="42" bestFit="1" customWidth="1"/>
    <col min="14" max="16384" width="8.81640625" style="42"/>
  </cols>
  <sheetData>
    <row r="1" spans="1:10" x14ac:dyDescent="0.35">
      <c r="A1" s="507"/>
      <c r="G1" s="67"/>
      <c r="H1" s="67"/>
      <c r="I1" s="184"/>
      <c r="J1" s="41"/>
    </row>
    <row r="2" spans="1:10" x14ac:dyDescent="0.35">
      <c r="B2" s="758" t="s">
        <v>332</v>
      </c>
      <c r="C2" s="758"/>
      <c r="D2" s="758"/>
      <c r="E2" s="758"/>
      <c r="F2" s="758"/>
      <c r="G2" s="758"/>
      <c r="H2" s="758"/>
      <c r="I2" s="758"/>
      <c r="J2" s="41"/>
    </row>
    <row r="3" spans="1:10" x14ac:dyDescent="0.35">
      <c r="B3" s="758" t="s">
        <v>127</v>
      </c>
      <c r="C3" s="758"/>
      <c r="D3" s="758"/>
      <c r="E3" s="758"/>
      <c r="F3" s="758"/>
      <c r="G3" s="758"/>
      <c r="H3" s="758"/>
      <c r="I3" s="758"/>
      <c r="J3" s="41"/>
    </row>
    <row r="4" spans="1:10" x14ac:dyDescent="0.35">
      <c r="B4" s="758" t="s">
        <v>128</v>
      </c>
      <c r="C4" s="758"/>
      <c r="D4" s="758"/>
      <c r="E4" s="758"/>
      <c r="F4" s="758"/>
      <c r="G4" s="758"/>
      <c r="H4" s="758"/>
      <c r="I4" s="758"/>
      <c r="J4" s="41"/>
    </row>
    <row r="5" spans="1:10" x14ac:dyDescent="0.35">
      <c r="B5" s="761" t="s">
        <v>542</v>
      </c>
      <c r="C5" s="761"/>
      <c r="D5" s="761"/>
      <c r="E5" s="761"/>
      <c r="F5" s="761"/>
      <c r="G5" s="761"/>
      <c r="H5" s="761"/>
      <c r="I5" s="761"/>
      <c r="J5" s="41"/>
    </row>
    <row r="6" spans="1:10" x14ac:dyDescent="0.35">
      <c r="B6" s="760" t="s">
        <v>1</v>
      </c>
      <c r="C6" s="762"/>
      <c r="D6" s="762"/>
      <c r="E6" s="762"/>
      <c r="F6" s="762"/>
      <c r="G6" s="762"/>
      <c r="H6" s="762"/>
      <c r="I6" s="762"/>
      <c r="J6" s="41"/>
    </row>
    <row r="7" spans="1:10" x14ac:dyDescent="0.35">
      <c r="B7" s="41"/>
      <c r="C7" s="41"/>
      <c r="D7" s="41"/>
      <c r="E7" s="41"/>
      <c r="F7" s="41"/>
      <c r="G7" s="41"/>
      <c r="H7" s="41"/>
      <c r="I7" s="53"/>
      <c r="J7" s="41"/>
    </row>
    <row r="8" spans="1:10" x14ac:dyDescent="0.35">
      <c r="A8" s="41" t="s">
        <v>2</v>
      </c>
      <c r="B8" s="534"/>
      <c r="C8" s="534"/>
      <c r="D8" s="534"/>
      <c r="E8" s="41" t="s">
        <v>27</v>
      </c>
      <c r="F8" s="534"/>
      <c r="G8" s="534"/>
      <c r="H8" s="534"/>
      <c r="I8" s="53"/>
      <c r="J8" s="41" t="s">
        <v>2</v>
      </c>
    </row>
    <row r="9" spans="1:10" x14ac:dyDescent="0.35">
      <c r="A9" s="41" t="s">
        <v>6</v>
      </c>
      <c r="B9" s="41"/>
      <c r="C9" s="41"/>
      <c r="D9" s="41"/>
      <c r="E9" s="455" t="s">
        <v>28</v>
      </c>
      <c r="F9" s="41"/>
      <c r="G9" s="456" t="s">
        <v>4</v>
      </c>
      <c r="H9" s="534"/>
      <c r="I9" s="508" t="s">
        <v>5</v>
      </c>
      <c r="J9" s="41" t="s">
        <v>6</v>
      </c>
    </row>
    <row r="10" spans="1:10" x14ac:dyDescent="0.35">
      <c r="B10" s="41"/>
      <c r="C10" s="41"/>
      <c r="D10" s="41"/>
      <c r="E10" s="41"/>
      <c r="F10" s="41"/>
      <c r="G10" s="41"/>
      <c r="H10" s="41"/>
      <c r="I10" s="53"/>
      <c r="J10" s="41"/>
    </row>
    <row r="11" spans="1:10" x14ac:dyDescent="0.35">
      <c r="A11" s="41">
        <v>1</v>
      </c>
      <c r="B11" s="46" t="s">
        <v>129</v>
      </c>
      <c r="I11" s="53"/>
      <c r="J11" s="41">
        <f>A11</f>
        <v>1</v>
      </c>
    </row>
    <row r="12" spans="1:10" x14ac:dyDescent="0.35">
      <c r="A12" s="41">
        <f>A11+1</f>
        <v>2</v>
      </c>
      <c r="B12" s="42" t="s">
        <v>130</v>
      </c>
      <c r="E12" s="41" t="s">
        <v>131</v>
      </c>
      <c r="G12" s="161">
        <v>6053573</v>
      </c>
      <c r="H12" s="534"/>
      <c r="I12" s="164"/>
      <c r="J12" s="41">
        <f>J11+1</f>
        <v>2</v>
      </c>
    </row>
    <row r="13" spans="1:10" x14ac:dyDescent="0.35">
      <c r="A13" s="41">
        <f t="shared" ref="A13:A65" si="0">A12+1</f>
        <v>3</v>
      </c>
      <c r="B13" s="42" t="s">
        <v>132</v>
      </c>
      <c r="E13" s="41" t="s">
        <v>133</v>
      </c>
      <c r="G13" s="162">
        <v>0</v>
      </c>
      <c r="H13" s="534"/>
      <c r="I13" s="164"/>
      <c r="J13" s="41">
        <f t="shared" ref="J13:J65" si="1">J12+1</f>
        <v>3</v>
      </c>
    </row>
    <row r="14" spans="1:10" x14ac:dyDescent="0.35">
      <c r="A14" s="41">
        <f t="shared" si="0"/>
        <v>4</v>
      </c>
      <c r="B14" s="42" t="s">
        <v>134</v>
      </c>
      <c r="E14" s="41" t="s">
        <v>135</v>
      </c>
      <c r="G14" s="162">
        <v>0</v>
      </c>
      <c r="H14" s="534"/>
      <c r="I14" s="164"/>
      <c r="J14" s="41">
        <f t="shared" si="1"/>
        <v>4</v>
      </c>
    </row>
    <row r="15" spans="1:10" x14ac:dyDescent="0.35">
      <c r="A15" s="41">
        <f t="shared" si="0"/>
        <v>5</v>
      </c>
      <c r="B15" s="42" t="s">
        <v>136</v>
      </c>
      <c r="E15" s="41" t="s">
        <v>137</v>
      </c>
      <c r="G15" s="162">
        <v>0</v>
      </c>
      <c r="H15" s="534"/>
      <c r="I15" s="164"/>
      <c r="J15" s="41">
        <f t="shared" si="1"/>
        <v>5</v>
      </c>
    </row>
    <row r="16" spans="1:10" x14ac:dyDescent="0.35">
      <c r="A16" s="41">
        <f t="shared" si="0"/>
        <v>6</v>
      </c>
      <c r="B16" s="42" t="s">
        <v>138</v>
      </c>
      <c r="E16" s="41" t="s">
        <v>139</v>
      </c>
      <c r="G16" s="162">
        <v>-13172.642</v>
      </c>
      <c r="H16" s="534"/>
      <c r="I16" s="164"/>
      <c r="J16" s="41">
        <f t="shared" si="1"/>
        <v>6</v>
      </c>
    </row>
    <row r="17" spans="1:10" x14ac:dyDescent="0.35">
      <c r="A17" s="41">
        <f t="shared" si="0"/>
        <v>7</v>
      </c>
      <c r="B17" s="42" t="s">
        <v>140</v>
      </c>
      <c r="G17" s="163">
        <f>SUM(G12:G16)</f>
        <v>6040400.358</v>
      </c>
      <c r="H17" s="157"/>
      <c r="I17" s="53" t="str">
        <f>"Sum Lines "&amp;A12&amp;" thru "&amp;A16</f>
        <v>Sum Lines 2 thru 6</v>
      </c>
      <c r="J17" s="41">
        <f t="shared" si="1"/>
        <v>7</v>
      </c>
    </row>
    <row r="18" spans="1:10" x14ac:dyDescent="0.35">
      <c r="A18" s="41">
        <f t="shared" si="0"/>
        <v>8</v>
      </c>
      <c r="I18" s="53"/>
      <c r="J18" s="41">
        <f t="shared" si="1"/>
        <v>8</v>
      </c>
    </row>
    <row r="19" spans="1:10" x14ac:dyDescent="0.35">
      <c r="A19" s="41">
        <f t="shared" si="0"/>
        <v>9</v>
      </c>
      <c r="B19" s="46" t="s">
        <v>141</v>
      </c>
      <c r="G19" s="40"/>
      <c r="H19" s="40"/>
      <c r="I19" s="53"/>
      <c r="J19" s="41">
        <f t="shared" si="1"/>
        <v>9</v>
      </c>
    </row>
    <row r="20" spans="1:10" x14ac:dyDescent="0.35">
      <c r="A20" s="41">
        <f t="shared" si="0"/>
        <v>10</v>
      </c>
      <c r="B20" s="42" t="s">
        <v>142</v>
      </c>
      <c r="E20" s="41" t="s">
        <v>143</v>
      </c>
      <c r="G20" s="161">
        <v>233778.584</v>
      </c>
      <c r="H20" s="534"/>
      <c r="I20" s="164"/>
      <c r="J20" s="41">
        <f t="shared" si="1"/>
        <v>10</v>
      </c>
    </row>
    <row r="21" spans="1:10" x14ac:dyDescent="0.35">
      <c r="A21" s="41">
        <f t="shared" si="0"/>
        <v>11</v>
      </c>
      <c r="B21" s="42" t="s">
        <v>144</v>
      </c>
      <c r="E21" s="41" t="s">
        <v>145</v>
      </c>
      <c r="G21" s="162">
        <v>4107.085</v>
      </c>
      <c r="H21" s="534"/>
      <c r="I21" s="164"/>
      <c r="J21" s="41">
        <f t="shared" si="1"/>
        <v>11</v>
      </c>
    </row>
    <row r="22" spans="1:10" x14ac:dyDescent="0.35">
      <c r="A22" s="41">
        <f t="shared" si="0"/>
        <v>12</v>
      </c>
      <c r="B22" s="42" t="s">
        <v>146</v>
      </c>
      <c r="E22" s="41" t="s">
        <v>147</v>
      </c>
      <c r="G22" s="162">
        <v>1449.7840000000001</v>
      </c>
      <c r="H22" s="534"/>
      <c r="I22" s="164"/>
      <c r="J22" s="41">
        <f t="shared" si="1"/>
        <v>12</v>
      </c>
    </row>
    <row r="23" spans="1:10" x14ac:dyDescent="0.35">
      <c r="A23" s="41">
        <f t="shared" si="0"/>
        <v>13</v>
      </c>
      <c r="B23" s="42" t="s">
        <v>148</v>
      </c>
      <c r="E23" s="41" t="s">
        <v>149</v>
      </c>
      <c r="G23" s="162">
        <v>0</v>
      </c>
      <c r="H23" s="534"/>
      <c r="I23" s="164"/>
      <c r="J23" s="41">
        <f t="shared" si="1"/>
        <v>13</v>
      </c>
    </row>
    <row r="24" spans="1:10" x14ac:dyDescent="0.35">
      <c r="A24" s="41">
        <f t="shared" si="0"/>
        <v>14</v>
      </c>
      <c r="B24" s="42" t="s">
        <v>150</v>
      </c>
      <c r="E24" s="41" t="s">
        <v>151</v>
      </c>
      <c r="G24" s="162">
        <v>0</v>
      </c>
      <c r="H24" s="534"/>
      <c r="I24" s="164"/>
      <c r="J24" s="41">
        <f t="shared" si="1"/>
        <v>14</v>
      </c>
    </row>
    <row r="25" spans="1:10" x14ac:dyDescent="0.35">
      <c r="A25" s="41">
        <f t="shared" si="0"/>
        <v>15</v>
      </c>
      <c r="B25" s="42" t="s">
        <v>152</v>
      </c>
      <c r="G25" s="165">
        <f>SUM(G20:G24)</f>
        <v>239335.45300000001</v>
      </c>
      <c r="H25" s="166"/>
      <c r="I25" s="53" t="str">
        <f>"Sum Lines "&amp;A20&amp;" thru "&amp;A24</f>
        <v>Sum Lines 10 thru 14</v>
      </c>
      <c r="J25" s="41">
        <f t="shared" si="1"/>
        <v>15</v>
      </c>
    </row>
    <row r="26" spans="1:10" x14ac:dyDescent="0.35">
      <c r="A26" s="41">
        <f t="shared" si="0"/>
        <v>16</v>
      </c>
      <c r="I26" s="53"/>
      <c r="J26" s="41">
        <f t="shared" si="1"/>
        <v>16</v>
      </c>
    </row>
    <row r="27" spans="1:10" ht="16" thickBot="1" x14ac:dyDescent="0.4">
      <c r="A27" s="41">
        <f t="shared" si="0"/>
        <v>17</v>
      </c>
      <c r="B27" s="46" t="s">
        <v>153</v>
      </c>
      <c r="G27" s="167">
        <f>G25/G17</f>
        <v>3.9622448648295373E-2</v>
      </c>
      <c r="H27" s="168"/>
      <c r="I27" s="53" t="str">
        <f>"Line "&amp;A25&amp;" / Line "&amp;A17</f>
        <v>Line 15 / Line 7</v>
      </c>
      <c r="J27" s="41">
        <f t="shared" si="1"/>
        <v>17</v>
      </c>
    </row>
    <row r="28" spans="1:10" ht="16" thickTop="1" x14ac:dyDescent="0.35">
      <c r="A28" s="41">
        <f t="shared" si="0"/>
        <v>18</v>
      </c>
      <c r="I28" s="53"/>
      <c r="J28" s="41">
        <f t="shared" si="1"/>
        <v>18</v>
      </c>
    </row>
    <row r="29" spans="1:10" x14ac:dyDescent="0.35">
      <c r="A29" s="41">
        <f t="shared" si="0"/>
        <v>19</v>
      </c>
      <c r="B29" s="46" t="s">
        <v>154</v>
      </c>
      <c r="I29" s="53"/>
      <c r="J29" s="41">
        <f t="shared" si="1"/>
        <v>19</v>
      </c>
    </row>
    <row r="30" spans="1:10" x14ac:dyDescent="0.35">
      <c r="A30" s="41">
        <f t="shared" si="0"/>
        <v>20</v>
      </c>
      <c r="B30" s="42" t="s">
        <v>155</v>
      </c>
      <c r="E30" s="41" t="s">
        <v>156</v>
      </c>
      <c r="G30" s="161">
        <v>0</v>
      </c>
      <c r="H30" s="534"/>
      <c r="I30" s="164"/>
      <c r="J30" s="41">
        <f t="shared" si="1"/>
        <v>20</v>
      </c>
    </row>
    <row r="31" spans="1:10" x14ac:dyDescent="0.35">
      <c r="A31" s="41">
        <f t="shared" si="0"/>
        <v>21</v>
      </c>
      <c r="B31" s="42" t="s">
        <v>157</v>
      </c>
      <c r="E31" s="41" t="s">
        <v>158</v>
      </c>
      <c r="G31" s="509">
        <v>0</v>
      </c>
      <c r="H31" s="534"/>
      <c r="I31" s="164"/>
      <c r="J31" s="41">
        <f t="shared" si="1"/>
        <v>21</v>
      </c>
    </row>
    <row r="32" spans="1:10" ht="16" thickBot="1" x14ac:dyDescent="0.4">
      <c r="A32" s="41">
        <f t="shared" si="0"/>
        <v>22</v>
      </c>
      <c r="B32" s="42" t="s">
        <v>159</v>
      </c>
      <c r="G32" s="167">
        <f>IFERROR((G31/G30),0)</f>
        <v>0</v>
      </c>
      <c r="H32" s="168"/>
      <c r="I32" s="53" t="str">
        <f>"Line "&amp;A31&amp;" / Line "&amp;A30</f>
        <v>Line 21 / Line 20</v>
      </c>
      <c r="J32" s="41">
        <f t="shared" si="1"/>
        <v>22</v>
      </c>
    </row>
    <row r="33" spans="1:12" ht="16" thickTop="1" x14ac:dyDescent="0.35">
      <c r="A33" s="41">
        <f t="shared" si="0"/>
        <v>23</v>
      </c>
      <c r="I33" s="53"/>
      <c r="J33" s="41">
        <f t="shared" si="1"/>
        <v>23</v>
      </c>
    </row>
    <row r="34" spans="1:12" x14ac:dyDescent="0.35">
      <c r="A34" s="41">
        <f t="shared" si="0"/>
        <v>24</v>
      </c>
      <c r="B34" s="46" t="s">
        <v>160</v>
      </c>
      <c r="I34" s="53"/>
      <c r="J34" s="41">
        <f t="shared" si="1"/>
        <v>24</v>
      </c>
    </row>
    <row r="35" spans="1:12" x14ac:dyDescent="0.35">
      <c r="A35" s="41">
        <f t="shared" si="0"/>
        <v>25</v>
      </c>
      <c r="B35" s="42" t="s">
        <v>161</v>
      </c>
      <c r="E35" s="41" t="s">
        <v>162</v>
      </c>
      <c r="G35" s="161">
        <v>7729413.6809999999</v>
      </c>
      <c r="H35" s="534"/>
      <c r="I35" s="164"/>
      <c r="J35" s="41">
        <f t="shared" si="1"/>
        <v>25</v>
      </c>
      <c r="K35" s="49"/>
      <c r="L35" s="510"/>
    </row>
    <row r="36" spans="1:12" x14ac:dyDescent="0.35">
      <c r="A36" s="41">
        <f t="shared" si="0"/>
        <v>26</v>
      </c>
      <c r="B36" s="42" t="s">
        <v>163</v>
      </c>
      <c r="E36" s="41" t="s">
        <v>156</v>
      </c>
      <c r="G36" s="169">
        <v>0</v>
      </c>
      <c r="H36" s="169"/>
      <c r="I36" s="53" t="str">
        <f>"Negative of Line "&amp;A30&amp;" Above"</f>
        <v>Negative of Line 20 Above</v>
      </c>
      <c r="J36" s="41">
        <f t="shared" si="1"/>
        <v>26</v>
      </c>
    </row>
    <row r="37" spans="1:12" x14ac:dyDescent="0.35">
      <c r="A37" s="41">
        <f t="shared" si="0"/>
        <v>27</v>
      </c>
      <c r="B37" s="42" t="s">
        <v>164</v>
      </c>
      <c r="E37" s="41" t="s">
        <v>165</v>
      </c>
      <c r="G37" s="162">
        <v>0</v>
      </c>
      <c r="H37" s="534"/>
      <c r="I37" s="164"/>
      <c r="J37" s="41">
        <f t="shared" si="1"/>
        <v>27</v>
      </c>
    </row>
    <row r="38" spans="1:12" x14ac:dyDescent="0.35">
      <c r="A38" s="41">
        <f t="shared" si="0"/>
        <v>28</v>
      </c>
      <c r="B38" s="42" t="s">
        <v>166</v>
      </c>
      <c r="E38" s="41" t="s">
        <v>167</v>
      </c>
      <c r="G38" s="162">
        <v>10034.102000000001</v>
      </c>
      <c r="H38" s="534"/>
      <c r="I38" s="164"/>
      <c r="J38" s="41">
        <f t="shared" si="1"/>
        <v>28</v>
      </c>
    </row>
    <row r="39" spans="1:12" ht="16" thickBot="1" x14ac:dyDescent="0.4">
      <c r="A39" s="41">
        <f t="shared" si="0"/>
        <v>29</v>
      </c>
      <c r="B39" s="42" t="s">
        <v>168</v>
      </c>
      <c r="G39" s="170">
        <f>SUM(G35:G38)</f>
        <v>7739447.7829999998</v>
      </c>
      <c r="H39" s="171"/>
      <c r="I39" s="53" t="str">
        <f>"Sum Lines "&amp;A35&amp;" thru "&amp;A38</f>
        <v>Sum Lines 25 thru 28</v>
      </c>
      <c r="J39" s="41">
        <f t="shared" si="1"/>
        <v>29</v>
      </c>
    </row>
    <row r="40" spans="1:12" ht="16.5" thickTop="1" thickBot="1" x14ac:dyDescent="0.4">
      <c r="A40" s="172">
        <f t="shared" si="0"/>
        <v>30</v>
      </c>
      <c r="B40" s="86"/>
      <c r="C40" s="86"/>
      <c r="D40" s="86"/>
      <c r="E40" s="86"/>
      <c r="F40" s="86"/>
      <c r="G40" s="86"/>
      <c r="H40" s="86"/>
      <c r="I40" s="173"/>
      <c r="J40" s="172">
        <f t="shared" si="1"/>
        <v>30</v>
      </c>
    </row>
    <row r="41" spans="1:12" x14ac:dyDescent="0.35">
      <c r="A41" s="41">
        <f>A40+1</f>
        <v>31</v>
      </c>
      <c r="I41" s="53"/>
      <c r="J41" s="41">
        <f>J40+1</f>
        <v>31</v>
      </c>
    </row>
    <row r="42" spans="1:12" ht="19" thickBot="1" x14ac:dyDescent="0.4">
      <c r="A42" s="41">
        <f>A41+1</f>
        <v>32</v>
      </c>
      <c r="B42" s="46" t="s">
        <v>343</v>
      </c>
      <c r="G42" s="174">
        <v>0.106</v>
      </c>
      <c r="H42" s="534"/>
      <c r="I42" s="41" t="s">
        <v>169</v>
      </c>
      <c r="J42" s="41">
        <f>J41+1</f>
        <v>32</v>
      </c>
    </row>
    <row r="43" spans="1:12" ht="16" thickTop="1" x14ac:dyDescent="0.35">
      <c r="A43" s="41">
        <f t="shared" si="0"/>
        <v>33</v>
      </c>
      <c r="C43" s="72" t="s">
        <v>10</v>
      </c>
      <c r="D43" s="72" t="s">
        <v>56</v>
      </c>
      <c r="E43" s="72" t="s">
        <v>170</v>
      </c>
      <c r="F43" s="72"/>
      <c r="G43" s="72" t="s">
        <v>171</v>
      </c>
      <c r="H43" s="72"/>
      <c r="I43" s="53"/>
      <c r="J43" s="41">
        <f t="shared" si="1"/>
        <v>33</v>
      </c>
    </row>
    <row r="44" spans="1:12" x14ac:dyDescent="0.35">
      <c r="A44" s="41">
        <f t="shared" si="0"/>
        <v>34</v>
      </c>
      <c r="D44" s="41" t="s">
        <v>172</v>
      </c>
      <c r="E44" s="41" t="s">
        <v>173</v>
      </c>
      <c r="F44" s="41"/>
      <c r="G44" s="41" t="s">
        <v>174</v>
      </c>
      <c r="H44" s="41"/>
      <c r="I44" s="53"/>
      <c r="J44" s="41">
        <f t="shared" si="1"/>
        <v>34</v>
      </c>
    </row>
    <row r="45" spans="1:12" ht="18" x14ac:dyDescent="0.35">
      <c r="A45" s="41">
        <f t="shared" si="0"/>
        <v>35</v>
      </c>
      <c r="B45" s="46" t="s">
        <v>175</v>
      </c>
      <c r="C45" s="455" t="s">
        <v>176</v>
      </c>
      <c r="D45" s="455" t="s">
        <v>177</v>
      </c>
      <c r="E45" s="455" t="s">
        <v>178</v>
      </c>
      <c r="F45" s="455"/>
      <c r="G45" s="455" t="s">
        <v>179</v>
      </c>
      <c r="H45" s="41"/>
      <c r="I45" s="53"/>
      <c r="J45" s="41">
        <f t="shared" si="1"/>
        <v>35</v>
      </c>
    </row>
    <row r="46" spans="1:12" x14ac:dyDescent="0.35">
      <c r="A46" s="41">
        <f t="shared" si="0"/>
        <v>36</v>
      </c>
      <c r="I46" s="53"/>
      <c r="J46" s="41">
        <f t="shared" si="1"/>
        <v>36</v>
      </c>
    </row>
    <row r="47" spans="1:12" x14ac:dyDescent="0.35">
      <c r="A47" s="41">
        <f t="shared" si="0"/>
        <v>37</v>
      </c>
      <c r="B47" s="42" t="s">
        <v>180</v>
      </c>
      <c r="C47" s="64">
        <f>G17</f>
        <v>6040400.358</v>
      </c>
      <c r="D47" s="175">
        <f>C47/C$50</f>
        <v>0.43835028486472494</v>
      </c>
      <c r="E47" s="176">
        <f>G27</f>
        <v>3.9622448648295373E-2</v>
      </c>
      <c r="G47" s="177">
        <f>D47*E47</f>
        <v>1.7368511652018213E-2</v>
      </c>
      <c r="H47" s="177"/>
      <c r="I47" s="53" t="str">
        <f>"Col. c = Line "&amp;A27&amp;" Above"</f>
        <v>Col. c = Line 17 Above</v>
      </c>
      <c r="J47" s="41">
        <f t="shared" si="1"/>
        <v>37</v>
      </c>
    </row>
    <row r="48" spans="1:12" x14ac:dyDescent="0.35">
      <c r="A48" s="41">
        <f t="shared" si="0"/>
        <v>38</v>
      </c>
      <c r="B48" s="42" t="s">
        <v>181</v>
      </c>
      <c r="C48" s="178">
        <f>G30</f>
        <v>0</v>
      </c>
      <c r="D48" s="175">
        <f>C48/C$50</f>
        <v>0</v>
      </c>
      <c r="E48" s="176">
        <f>G32</f>
        <v>0</v>
      </c>
      <c r="G48" s="177">
        <f>D48*E48</f>
        <v>0</v>
      </c>
      <c r="H48" s="177"/>
      <c r="I48" s="53" t="str">
        <f>"Col. c = Line "&amp;A32&amp;" Above"</f>
        <v>Col. c = Line 22 Above</v>
      </c>
      <c r="J48" s="41">
        <f t="shared" si="1"/>
        <v>38</v>
      </c>
    </row>
    <row r="49" spans="1:10" x14ac:dyDescent="0.35">
      <c r="A49" s="41">
        <f t="shared" si="0"/>
        <v>39</v>
      </c>
      <c r="B49" s="42" t="s">
        <v>182</v>
      </c>
      <c r="C49" s="178">
        <f>G39</f>
        <v>7739447.7829999998</v>
      </c>
      <c r="D49" s="511">
        <f>C49/C$50</f>
        <v>0.56164971513527517</v>
      </c>
      <c r="E49" s="179">
        <f>G42</f>
        <v>0.106</v>
      </c>
      <c r="G49" s="512">
        <f>D49*E49</f>
        <v>5.9534869804339169E-2</v>
      </c>
      <c r="H49" s="168"/>
      <c r="I49" s="53" t="str">
        <f>"Col. c = Line "&amp;A42&amp;" Above"</f>
        <v>Col. c = Line 32 Above</v>
      </c>
      <c r="J49" s="41">
        <f t="shared" si="1"/>
        <v>39</v>
      </c>
    </row>
    <row r="50" spans="1:10" ht="16" thickBot="1" x14ac:dyDescent="0.4">
      <c r="A50" s="41">
        <f t="shared" si="0"/>
        <v>40</v>
      </c>
      <c r="B50" s="42" t="s">
        <v>183</v>
      </c>
      <c r="C50" s="180">
        <f>SUM(C47:C49)</f>
        <v>13779848.140999999</v>
      </c>
      <c r="D50" s="181">
        <f>SUM(D47:D49)</f>
        <v>1</v>
      </c>
      <c r="G50" s="167">
        <f>SUM(G47:G49)</f>
        <v>7.6903381456357389E-2</v>
      </c>
      <c r="H50" s="168"/>
      <c r="I50" s="53" t="str">
        <f>"Sum Lines "&amp;A47&amp;" thru "&amp;A49</f>
        <v>Sum Lines 37 thru 39</v>
      </c>
      <c r="J50" s="41">
        <f t="shared" si="1"/>
        <v>40</v>
      </c>
    </row>
    <row r="51" spans="1:10" ht="16" thickTop="1" x14ac:dyDescent="0.35">
      <c r="A51" s="41">
        <f t="shared" si="0"/>
        <v>41</v>
      </c>
      <c r="I51" s="53"/>
      <c r="J51" s="41">
        <f t="shared" si="1"/>
        <v>41</v>
      </c>
    </row>
    <row r="52" spans="1:10" ht="16" thickBot="1" x14ac:dyDescent="0.4">
      <c r="A52" s="41">
        <f t="shared" si="0"/>
        <v>42</v>
      </c>
      <c r="B52" s="46" t="s">
        <v>184</v>
      </c>
      <c r="G52" s="167">
        <f>G48+G49</f>
        <v>5.9534869804339169E-2</v>
      </c>
      <c r="H52" s="168"/>
      <c r="I52" s="53" t="str">
        <f>"Line "&amp;A48&amp;" + Line "&amp;A49&amp;"; Col. d"</f>
        <v>Line 38 + Line 39; Col. d</v>
      </c>
      <c r="J52" s="41">
        <f t="shared" si="1"/>
        <v>42</v>
      </c>
    </row>
    <row r="53" spans="1:10" ht="16.5" thickTop="1" thickBot="1" x14ac:dyDescent="0.4">
      <c r="A53" s="172">
        <f t="shared" si="0"/>
        <v>43</v>
      </c>
      <c r="B53" s="185"/>
      <c r="C53" s="86"/>
      <c r="D53" s="86"/>
      <c r="E53" s="86"/>
      <c r="F53" s="86"/>
      <c r="G53" s="513"/>
      <c r="H53" s="513"/>
      <c r="I53" s="173"/>
      <c r="J53" s="172">
        <f t="shared" si="1"/>
        <v>43</v>
      </c>
    </row>
    <row r="54" spans="1:10" x14ac:dyDescent="0.35">
      <c r="A54" s="41">
        <f t="shared" si="0"/>
        <v>44</v>
      </c>
      <c r="B54" s="46"/>
      <c r="G54" s="179"/>
      <c r="H54" s="179"/>
      <c r="I54" s="53"/>
      <c r="J54" s="41">
        <f t="shared" si="1"/>
        <v>44</v>
      </c>
    </row>
    <row r="55" spans="1:10" ht="16" thickBot="1" x14ac:dyDescent="0.4">
      <c r="A55" s="41">
        <f t="shared" si="0"/>
        <v>45</v>
      </c>
      <c r="B55" s="46" t="s">
        <v>333</v>
      </c>
      <c r="G55" s="514">
        <v>0</v>
      </c>
      <c r="H55" s="179"/>
      <c r="I55" s="53" t="s">
        <v>19</v>
      </c>
      <c r="J55" s="41">
        <f t="shared" si="1"/>
        <v>45</v>
      </c>
    </row>
    <row r="56" spans="1:10" ht="16" thickTop="1" x14ac:dyDescent="0.35">
      <c r="A56" s="41">
        <f t="shared" si="0"/>
        <v>46</v>
      </c>
      <c r="C56" s="72" t="s">
        <v>10</v>
      </c>
      <c r="D56" s="72" t="s">
        <v>56</v>
      </c>
      <c r="E56" s="72" t="s">
        <v>170</v>
      </c>
      <c r="F56" s="72"/>
      <c r="G56" s="72" t="s">
        <v>171</v>
      </c>
      <c r="H56" s="179"/>
      <c r="I56" s="53"/>
      <c r="J56" s="41">
        <f t="shared" si="1"/>
        <v>46</v>
      </c>
    </row>
    <row r="57" spans="1:10" x14ac:dyDescent="0.35">
      <c r="A57" s="41">
        <f t="shared" si="0"/>
        <v>47</v>
      </c>
      <c r="D57" s="41" t="s">
        <v>172</v>
      </c>
      <c r="E57" s="41" t="s">
        <v>173</v>
      </c>
      <c r="F57" s="41"/>
      <c r="G57" s="41" t="s">
        <v>174</v>
      </c>
      <c r="H57" s="179"/>
      <c r="I57" s="53"/>
      <c r="J57" s="41">
        <f t="shared" si="1"/>
        <v>47</v>
      </c>
    </row>
    <row r="58" spans="1:10" ht="18" x14ac:dyDescent="0.35">
      <c r="A58" s="41">
        <f t="shared" si="0"/>
        <v>48</v>
      </c>
      <c r="B58" s="46" t="s">
        <v>186</v>
      </c>
      <c r="C58" s="455" t="s">
        <v>176</v>
      </c>
      <c r="D58" s="455" t="s">
        <v>177</v>
      </c>
      <c r="E58" s="455" t="s">
        <v>178</v>
      </c>
      <c r="F58" s="455"/>
      <c r="G58" s="455" t="s">
        <v>179</v>
      </c>
      <c r="H58" s="179"/>
      <c r="I58" s="53"/>
      <c r="J58" s="41">
        <f t="shared" si="1"/>
        <v>48</v>
      </c>
    </row>
    <row r="59" spans="1:10" x14ac:dyDescent="0.35">
      <c r="A59" s="41">
        <f t="shared" si="0"/>
        <v>49</v>
      </c>
      <c r="G59" s="179"/>
      <c r="H59" s="179"/>
      <c r="I59" s="53"/>
      <c r="J59" s="41">
        <f t="shared" si="1"/>
        <v>49</v>
      </c>
    </row>
    <row r="60" spans="1:10" x14ac:dyDescent="0.35">
      <c r="A60" s="41">
        <f t="shared" si="0"/>
        <v>50</v>
      </c>
      <c r="B60" s="42" t="s">
        <v>180</v>
      </c>
      <c r="C60" s="515">
        <v>0</v>
      </c>
      <c r="D60" s="516">
        <v>0</v>
      </c>
      <c r="E60" s="182">
        <v>0</v>
      </c>
      <c r="G60" s="177">
        <f>D60*E60</f>
        <v>0</v>
      </c>
      <c r="H60" s="179"/>
      <c r="I60" s="53" t="s">
        <v>19</v>
      </c>
      <c r="J60" s="41">
        <f t="shared" si="1"/>
        <v>50</v>
      </c>
    </row>
    <row r="61" spans="1:10" x14ac:dyDescent="0.35">
      <c r="A61" s="41">
        <f t="shared" si="0"/>
        <v>51</v>
      </c>
      <c r="B61" s="42" t="s">
        <v>181</v>
      </c>
      <c r="C61" s="517">
        <v>0</v>
      </c>
      <c r="D61" s="516">
        <v>0</v>
      </c>
      <c r="E61" s="182">
        <v>0</v>
      </c>
      <c r="G61" s="177">
        <f>D61*E61</f>
        <v>0</v>
      </c>
      <c r="H61" s="179"/>
      <c r="I61" s="53" t="s">
        <v>19</v>
      </c>
      <c r="J61" s="41">
        <f t="shared" si="1"/>
        <v>51</v>
      </c>
    </row>
    <row r="62" spans="1:10" x14ac:dyDescent="0.35">
      <c r="A62" s="41">
        <f t="shared" si="0"/>
        <v>52</v>
      </c>
      <c r="B62" s="42" t="s">
        <v>182</v>
      </c>
      <c r="C62" s="517">
        <v>0</v>
      </c>
      <c r="D62" s="518">
        <v>0</v>
      </c>
      <c r="E62" s="519">
        <v>0</v>
      </c>
      <c r="G62" s="512">
        <f>D62*E62</f>
        <v>0</v>
      </c>
      <c r="H62" s="179"/>
      <c r="I62" s="53" t="s">
        <v>19</v>
      </c>
      <c r="J62" s="41">
        <f t="shared" si="1"/>
        <v>52</v>
      </c>
    </row>
    <row r="63" spans="1:10" ht="16" thickBot="1" x14ac:dyDescent="0.4">
      <c r="A63" s="41">
        <f t="shared" si="0"/>
        <v>53</v>
      </c>
      <c r="B63" s="42" t="s">
        <v>183</v>
      </c>
      <c r="C63" s="180">
        <f>SUM(C60:C62)</f>
        <v>0</v>
      </c>
      <c r="D63" s="167">
        <f>SUM(D60:D62)</f>
        <v>0</v>
      </c>
      <c r="G63" s="167">
        <f>SUM(G60:G62)</f>
        <v>0</v>
      </c>
      <c r="H63" s="179"/>
      <c r="I63" s="53" t="str">
        <f>"Sum Lines "&amp;A60&amp;" thru "&amp;A62</f>
        <v>Sum Lines 50 thru 52</v>
      </c>
      <c r="J63" s="41">
        <f t="shared" si="1"/>
        <v>53</v>
      </c>
    </row>
    <row r="64" spans="1:10" ht="16" thickTop="1" x14ac:dyDescent="0.35">
      <c r="A64" s="41">
        <f t="shared" si="0"/>
        <v>54</v>
      </c>
      <c r="H64" s="179"/>
      <c r="I64" s="53"/>
      <c r="J64" s="41">
        <f t="shared" si="1"/>
        <v>54</v>
      </c>
    </row>
    <row r="65" spans="1:10" ht="16" thickBot="1" x14ac:dyDescent="0.4">
      <c r="A65" s="41">
        <f t="shared" si="0"/>
        <v>55</v>
      </c>
      <c r="B65" s="46" t="s">
        <v>187</v>
      </c>
      <c r="G65" s="167">
        <f>G61+G62</f>
        <v>0</v>
      </c>
      <c r="H65" s="179"/>
      <c r="I65" s="53" t="str">
        <f>"Line "&amp;A61&amp;" + Line "&amp;A62&amp;"; Col. d"</f>
        <v>Line 51 + Line 52; Col. d</v>
      </c>
      <c r="J65" s="41">
        <f t="shared" si="1"/>
        <v>55</v>
      </c>
    </row>
    <row r="66" spans="1:10" ht="16" thickTop="1" x14ac:dyDescent="0.35">
      <c r="B66" s="46"/>
      <c r="G66" s="179"/>
      <c r="H66" s="179"/>
      <c r="I66" s="53"/>
      <c r="J66" s="41"/>
    </row>
    <row r="67" spans="1:10" x14ac:dyDescent="0.35">
      <c r="B67" s="46"/>
      <c r="G67" s="179"/>
      <c r="H67" s="179"/>
      <c r="I67" s="53"/>
      <c r="J67" s="41"/>
    </row>
    <row r="68" spans="1:10" ht="18" x14ac:dyDescent="0.35">
      <c r="A68" s="71">
        <v>1</v>
      </c>
      <c r="B68" s="20" t="s">
        <v>185</v>
      </c>
      <c r="G68" s="67"/>
      <c r="H68" s="67"/>
      <c r="J68" s="41" t="s">
        <v>11</v>
      </c>
    </row>
    <row r="69" spans="1:10" ht="18" x14ac:dyDescent="0.35">
      <c r="A69" s="186"/>
      <c r="B69" s="429"/>
      <c r="G69" s="67"/>
      <c r="H69" s="67"/>
      <c r="J69" s="41"/>
    </row>
    <row r="70" spans="1:10" ht="18" x14ac:dyDescent="0.35">
      <c r="A70" s="71"/>
      <c r="B70" s="20"/>
      <c r="D70" s="41"/>
      <c r="G70" s="67"/>
      <c r="H70" s="67"/>
      <c r="I70" s="550"/>
      <c r="J70" s="41"/>
    </row>
    <row r="71" spans="1:10" x14ac:dyDescent="0.35">
      <c r="B71" s="758" t="s">
        <v>332</v>
      </c>
      <c r="C71" s="758"/>
      <c r="D71" s="758"/>
      <c r="E71" s="758"/>
      <c r="F71" s="758"/>
      <c r="G71" s="758"/>
      <c r="H71" s="758"/>
      <c r="I71" s="758"/>
      <c r="J71" s="41"/>
    </row>
    <row r="72" spans="1:10" x14ac:dyDescent="0.35">
      <c r="B72" s="758" t="s">
        <v>127</v>
      </c>
      <c r="C72" s="758"/>
      <c r="D72" s="758"/>
      <c r="E72" s="758"/>
      <c r="F72" s="758"/>
      <c r="G72" s="758"/>
      <c r="H72" s="758"/>
      <c r="I72" s="758"/>
      <c r="J72" s="41"/>
    </row>
    <row r="73" spans="1:10" x14ac:dyDescent="0.35">
      <c r="B73" s="758" t="s">
        <v>128</v>
      </c>
      <c r="C73" s="758"/>
      <c r="D73" s="758"/>
      <c r="E73" s="758"/>
      <c r="F73" s="758"/>
      <c r="G73" s="758"/>
      <c r="H73" s="758"/>
      <c r="I73" s="758"/>
      <c r="J73" s="41"/>
    </row>
    <row r="74" spans="1:10" x14ac:dyDescent="0.35">
      <c r="B74" s="761" t="str">
        <f>B5</f>
        <v>Base Period &amp; True-Up Period 12 - Months Ending December 31, 2020</v>
      </c>
      <c r="C74" s="761"/>
      <c r="D74" s="761"/>
      <c r="E74" s="761"/>
      <c r="F74" s="761"/>
      <c r="G74" s="761"/>
      <c r="H74" s="761"/>
      <c r="I74" s="761"/>
      <c r="J74" s="41"/>
    </row>
    <row r="75" spans="1:10" x14ac:dyDescent="0.35">
      <c r="B75" s="760" t="s">
        <v>1</v>
      </c>
      <c r="C75" s="762"/>
      <c r="D75" s="762"/>
      <c r="E75" s="762"/>
      <c r="F75" s="762"/>
      <c r="G75" s="762"/>
      <c r="H75" s="762"/>
      <c r="I75" s="762"/>
      <c r="J75" s="41"/>
    </row>
    <row r="76" spans="1:10" x14ac:dyDescent="0.35">
      <c r="B76" s="41"/>
      <c r="C76" s="41"/>
      <c r="D76" s="41"/>
      <c r="E76" s="41"/>
      <c r="F76" s="41"/>
      <c r="G76" s="41"/>
      <c r="H76" s="41"/>
      <c r="I76" s="53"/>
      <c r="J76" s="41"/>
    </row>
    <row r="77" spans="1:10" x14ac:dyDescent="0.35">
      <c r="A77" s="41" t="s">
        <v>2</v>
      </c>
      <c r="B77" s="534"/>
      <c r="C77" s="534"/>
      <c r="D77" s="534"/>
      <c r="E77" s="534"/>
      <c r="F77" s="534"/>
      <c r="G77" s="534"/>
      <c r="H77" s="534"/>
      <c r="I77" s="53"/>
      <c r="J77" s="41" t="s">
        <v>2</v>
      </c>
    </row>
    <row r="78" spans="1:10" x14ac:dyDescent="0.35">
      <c r="A78" s="41" t="s">
        <v>6</v>
      </c>
      <c r="B78" s="41"/>
      <c r="C78" s="41"/>
      <c r="D78" s="41"/>
      <c r="E78" s="41"/>
      <c r="F78" s="41"/>
      <c r="G78" s="455" t="s">
        <v>4</v>
      </c>
      <c r="H78" s="534"/>
      <c r="I78" s="508" t="s">
        <v>5</v>
      </c>
      <c r="J78" s="41" t="s">
        <v>6</v>
      </c>
    </row>
    <row r="79" spans="1:10" x14ac:dyDescent="0.35">
      <c r="G79" s="41"/>
      <c r="H79" s="41"/>
      <c r="I79" s="53"/>
      <c r="J79" s="41"/>
    </row>
    <row r="80" spans="1:10" ht="17.5" x14ac:dyDescent="0.35">
      <c r="A80" s="41">
        <v>1</v>
      </c>
      <c r="B80" s="46" t="s">
        <v>334</v>
      </c>
      <c r="E80" s="534"/>
      <c r="F80" s="534"/>
      <c r="G80" s="187"/>
      <c r="H80" s="187"/>
      <c r="I80" s="53"/>
      <c r="J80" s="41">
        <v>1</v>
      </c>
    </row>
    <row r="81" spans="1:13" x14ac:dyDescent="0.35">
      <c r="A81" s="41">
        <f>A80+1</f>
        <v>2</v>
      </c>
      <c r="B81" s="188"/>
      <c r="E81" s="534"/>
      <c r="F81" s="534"/>
      <c r="G81" s="187"/>
      <c r="H81" s="187"/>
      <c r="I81" s="53"/>
      <c r="J81" s="41">
        <f>J80+1</f>
        <v>2</v>
      </c>
    </row>
    <row r="82" spans="1:13" x14ac:dyDescent="0.35">
      <c r="A82" s="41">
        <f>A81+1</f>
        <v>3</v>
      </c>
      <c r="B82" s="46" t="s">
        <v>335</v>
      </c>
      <c r="E82" s="534"/>
      <c r="F82" s="534"/>
      <c r="G82" s="187"/>
      <c r="H82" s="187"/>
      <c r="I82" s="53"/>
      <c r="J82" s="41">
        <f>J81+1</f>
        <v>3</v>
      </c>
    </row>
    <row r="83" spans="1:13" x14ac:dyDescent="0.35">
      <c r="A83" s="41">
        <f>A82+1</f>
        <v>4</v>
      </c>
      <c r="B83" s="534"/>
      <c r="C83" s="534"/>
      <c r="D83" s="534"/>
      <c r="E83" s="534"/>
      <c r="F83" s="534"/>
      <c r="G83" s="187"/>
      <c r="H83" s="187"/>
      <c r="I83" s="53"/>
      <c r="J83" s="41">
        <f>J82+1</f>
        <v>4</v>
      </c>
    </row>
    <row r="84" spans="1:13" x14ac:dyDescent="0.35">
      <c r="A84" s="41">
        <f t="shared" ref="A84:A110" si="2">A83+1</f>
        <v>5</v>
      </c>
      <c r="B84" s="48" t="s">
        <v>188</v>
      </c>
      <c r="C84" s="534"/>
      <c r="D84" s="534"/>
      <c r="E84" s="534"/>
      <c r="F84" s="534"/>
      <c r="G84" s="187"/>
      <c r="H84" s="187"/>
      <c r="I84" s="189"/>
      <c r="J84" s="41">
        <f t="shared" ref="J84:J110" si="3">J83+1</f>
        <v>5</v>
      </c>
    </row>
    <row r="85" spans="1:13" x14ac:dyDescent="0.35">
      <c r="A85" s="41">
        <f t="shared" si="2"/>
        <v>6</v>
      </c>
      <c r="B85" s="42" t="s">
        <v>189</v>
      </c>
      <c r="D85" s="534"/>
      <c r="E85" s="534"/>
      <c r="F85" s="534"/>
      <c r="G85" s="190">
        <f>G52</f>
        <v>5.9534869804339169E-2</v>
      </c>
      <c r="H85" s="534"/>
      <c r="I85" s="53" t="str">
        <f>"AV1; Line "&amp;A52</f>
        <v>AV1; Line 42</v>
      </c>
      <c r="J85" s="41">
        <f t="shared" si="3"/>
        <v>6</v>
      </c>
      <c r="L85" s="41"/>
    </row>
    <row r="86" spans="1:13" x14ac:dyDescent="0.35">
      <c r="A86" s="41">
        <f t="shared" si="2"/>
        <v>7</v>
      </c>
      <c r="B86" s="42" t="s">
        <v>190</v>
      </c>
      <c r="D86" s="534"/>
      <c r="E86" s="534"/>
      <c r="F86" s="534"/>
      <c r="G86" s="191">
        <v>264.76299999999998</v>
      </c>
      <c r="H86" s="534"/>
      <c r="I86" s="53" t="s">
        <v>468</v>
      </c>
      <c r="J86" s="41">
        <f t="shared" si="3"/>
        <v>7</v>
      </c>
      <c r="L86" s="41"/>
    </row>
    <row r="87" spans="1:13" ht="18" x14ac:dyDescent="0.35">
      <c r="A87" s="41">
        <f t="shared" si="2"/>
        <v>8</v>
      </c>
      <c r="B87" s="42" t="s">
        <v>336</v>
      </c>
      <c r="D87" s="534"/>
      <c r="E87" s="534"/>
      <c r="F87" s="534"/>
      <c r="G87" s="192">
        <v>8264.7629899999993</v>
      </c>
      <c r="H87" s="534"/>
      <c r="I87" s="184" t="s">
        <v>469</v>
      </c>
      <c r="J87" s="41">
        <f t="shared" si="3"/>
        <v>8</v>
      </c>
      <c r="L87" s="534"/>
    </row>
    <row r="88" spans="1:13" x14ac:dyDescent="0.35">
      <c r="A88" s="41">
        <f t="shared" si="2"/>
        <v>9</v>
      </c>
      <c r="B88" s="42" t="s">
        <v>192</v>
      </c>
      <c r="D88" s="534"/>
      <c r="E88" s="193"/>
      <c r="F88" s="534"/>
      <c r="G88" s="194">
        <f>'Pg12 Rev AV-4'!C36</f>
        <v>4523655.2079793047</v>
      </c>
      <c r="H88" s="27" t="s">
        <v>16</v>
      </c>
      <c r="I88" s="184" t="s">
        <v>625</v>
      </c>
      <c r="J88" s="41">
        <f t="shared" si="3"/>
        <v>9</v>
      </c>
    </row>
    <row r="89" spans="1:13" x14ac:dyDescent="0.35">
      <c r="A89" s="41">
        <f t="shared" si="2"/>
        <v>10</v>
      </c>
      <c r="B89" s="42" t="s">
        <v>193</v>
      </c>
      <c r="D89" s="195"/>
      <c r="E89" s="534"/>
      <c r="F89" s="534"/>
      <c r="G89" s="520">
        <v>0.21</v>
      </c>
      <c r="H89" s="534"/>
      <c r="I89" s="53" t="s">
        <v>194</v>
      </c>
      <c r="J89" s="41">
        <f t="shared" si="3"/>
        <v>10</v>
      </c>
      <c r="M89" s="196"/>
    </row>
    <row r="90" spans="1:13" x14ac:dyDescent="0.35">
      <c r="A90" s="41">
        <f t="shared" si="2"/>
        <v>11</v>
      </c>
      <c r="G90" s="41"/>
      <c r="H90" s="41"/>
      <c r="J90" s="41">
        <f t="shared" si="3"/>
        <v>11</v>
      </c>
    </row>
    <row r="91" spans="1:13" x14ac:dyDescent="0.35">
      <c r="A91" s="41">
        <f t="shared" si="2"/>
        <v>12</v>
      </c>
      <c r="B91" s="42" t="s">
        <v>195</v>
      </c>
      <c r="D91" s="534"/>
      <c r="E91" s="534"/>
      <c r="F91" s="534"/>
      <c r="G91" s="197">
        <f>(((G85)+(G87/G88))*G89-(G86/G88))/(1-G89)</f>
        <v>1.6237298974725371E-2</v>
      </c>
      <c r="H91" s="27"/>
      <c r="I91" s="53" t="s">
        <v>196</v>
      </c>
      <c r="J91" s="41">
        <f t="shared" si="3"/>
        <v>12</v>
      </c>
      <c r="M91" s="198"/>
    </row>
    <row r="92" spans="1:13" x14ac:dyDescent="0.35">
      <c r="A92" s="41">
        <f t="shared" si="2"/>
        <v>13</v>
      </c>
      <c r="B92" s="199" t="s">
        <v>197</v>
      </c>
      <c r="G92" s="41"/>
      <c r="H92" s="41"/>
      <c r="J92" s="41">
        <f t="shared" si="3"/>
        <v>13</v>
      </c>
    </row>
    <row r="93" spans="1:13" x14ac:dyDescent="0.35">
      <c r="A93" s="41">
        <f t="shared" si="2"/>
        <v>14</v>
      </c>
      <c r="G93" s="41"/>
      <c r="H93" s="41"/>
      <c r="J93" s="41">
        <f t="shared" si="3"/>
        <v>14</v>
      </c>
    </row>
    <row r="94" spans="1:13" x14ac:dyDescent="0.35">
      <c r="A94" s="41">
        <f t="shared" si="2"/>
        <v>15</v>
      </c>
      <c r="B94" s="46" t="s">
        <v>198</v>
      </c>
      <c r="C94" s="534"/>
      <c r="D94" s="534"/>
      <c r="E94" s="534"/>
      <c r="F94" s="534"/>
      <c r="G94" s="200"/>
      <c r="H94" s="200"/>
      <c r="I94" s="201"/>
      <c r="J94" s="41">
        <f t="shared" si="3"/>
        <v>15</v>
      </c>
      <c r="L94" s="202"/>
    </row>
    <row r="95" spans="1:13" x14ac:dyDescent="0.35">
      <c r="A95" s="41">
        <f t="shared" si="2"/>
        <v>16</v>
      </c>
      <c r="B95" s="57"/>
      <c r="C95" s="534"/>
      <c r="D95" s="534"/>
      <c r="E95" s="534"/>
      <c r="F95" s="534"/>
      <c r="G95" s="200"/>
      <c r="H95" s="200"/>
      <c r="I95" s="203"/>
      <c r="J95" s="41">
        <f t="shared" si="3"/>
        <v>16</v>
      </c>
      <c r="L95" s="534"/>
    </row>
    <row r="96" spans="1:13" x14ac:dyDescent="0.35">
      <c r="A96" s="41">
        <f t="shared" si="2"/>
        <v>17</v>
      </c>
      <c r="B96" s="48" t="s">
        <v>188</v>
      </c>
      <c r="C96" s="534"/>
      <c r="D96" s="534"/>
      <c r="E96" s="534"/>
      <c r="F96" s="534"/>
      <c r="G96" s="200"/>
      <c r="H96" s="200"/>
      <c r="I96" s="203"/>
      <c r="J96" s="41">
        <f t="shared" si="3"/>
        <v>17</v>
      </c>
      <c r="L96" s="534"/>
    </row>
    <row r="97" spans="1:13" x14ac:dyDescent="0.35">
      <c r="A97" s="41">
        <f t="shared" si="2"/>
        <v>18</v>
      </c>
      <c r="B97" s="42" t="s">
        <v>189</v>
      </c>
      <c r="D97" s="534"/>
      <c r="E97" s="534"/>
      <c r="F97" s="534"/>
      <c r="G97" s="175">
        <f>G85</f>
        <v>5.9534869804339169E-2</v>
      </c>
      <c r="H97" s="175"/>
      <c r="I97" s="53" t="str">
        <f>"Line "&amp;A85&amp;" Above"</f>
        <v>Line 6 Above</v>
      </c>
      <c r="J97" s="41">
        <f t="shared" si="3"/>
        <v>18</v>
      </c>
      <c r="L97" s="41"/>
    </row>
    <row r="98" spans="1:13" x14ac:dyDescent="0.35">
      <c r="A98" s="41">
        <f t="shared" si="2"/>
        <v>19</v>
      </c>
      <c r="B98" s="42" t="s">
        <v>199</v>
      </c>
      <c r="D98" s="534"/>
      <c r="E98" s="534"/>
      <c r="F98" s="534"/>
      <c r="G98" s="204">
        <f>G87</f>
        <v>8264.7629899999993</v>
      </c>
      <c r="H98" s="204"/>
      <c r="I98" s="53" t="str">
        <f>"Line "&amp;A87&amp;" Above"</f>
        <v>Line 8 Above</v>
      </c>
      <c r="J98" s="41">
        <f t="shared" si="3"/>
        <v>19</v>
      </c>
      <c r="L98" s="41"/>
    </row>
    <row r="99" spans="1:13" x14ac:dyDescent="0.35">
      <c r="A99" s="41">
        <f t="shared" si="2"/>
        <v>20</v>
      </c>
      <c r="B99" s="42" t="s">
        <v>200</v>
      </c>
      <c r="D99" s="534"/>
      <c r="E99" s="534"/>
      <c r="F99" s="534"/>
      <c r="G99" s="205">
        <f>G88</f>
        <v>4523655.2079793047</v>
      </c>
      <c r="H99" s="27" t="s">
        <v>16</v>
      </c>
      <c r="I99" s="53" t="str">
        <f>"Line "&amp;A88&amp;" Above"</f>
        <v>Line 9 Above</v>
      </c>
      <c r="J99" s="41">
        <f t="shared" si="3"/>
        <v>20</v>
      </c>
      <c r="L99" s="41"/>
    </row>
    <row r="100" spans="1:13" x14ac:dyDescent="0.35">
      <c r="A100" s="41">
        <f t="shared" si="2"/>
        <v>21</v>
      </c>
      <c r="B100" s="42" t="s">
        <v>201</v>
      </c>
      <c r="D100" s="534"/>
      <c r="E100" s="534"/>
      <c r="F100" s="534"/>
      <c r="G100" s="206">
        <f>G91</f>
        <v>1.6237298974725371E-2</v>
      </c>
      <c r="H100" s="27"/>
      <c r="I100" s="53" t="str">
        <f>"Line "&amp;A91&amp;" Above"</f>
        <v>Line 12 Above</v>
      </c>
      <c r="J100" s="41">
        <f t="shared" si="3"/>
        <v>21</v>
      </c>
    </row>
    <row r="101" spans="1:13" x14ac:dyDescent="0.35">
      <c r="A101" s="41">
        <f t="shared" si="2"/>
        <v>22</v>
      </c>
      <c r="B101" s="42" t="s">
        <v>202</v>
      </c>
      <c r="D101" s="534"/>
      <c r="E101" s="534"/>
      <c r="F101" s="534"/>
      <c r="G101" s="521" t="s">
        <v>203</v>
      </c>
      <c r="H101" s="534"/>
      <c r="I101" s="53" t="s">
        <v>204</v>
      </c>
      <c r="J101" s="41">
        <f t="shared" si="3"/>
        <v>22</v>
      </c>
    </row>
    <row r="102" spans="1:13" x14ac:dyDescent="0.35">
      <c r="A102" s="41">
        <f t="shared" si="2"/>
        <v>23</v>
      </c>
      <c r="B102" s="535"/>
      <c r="D102" s="534"/>
      <c r="E102" s="534"/>
      <c r="F102" s="534"/>
      <c r="G102" s="207"/>
      <c r="H102" s="207"/>
      <c r="I102" s="203"/>
      <c r="J102" s="41">
        <f t="shared" si="3"/>
        <v>23</v>
      </c>
    </row>
    <row r="103" spans="1:13" x14ac:dyDescent="0.35">
      <c r="A103" s="41">
        <f t="shared" si="2"/>
        <v>24</v>
      </c>
      <c r="B103" s="42" t="s">
        <v>205</v>
      </c>
      <c r="C103" s="41"/>
      <c r="D103" s="41"/>
      <c r="E103" s="534"/>
      <c r="F103" s="534"/>
      <c r="G103" s="522">
        <f>((G97)+(G98/G99)+G91)*G101/(1-G101)</f>
        <v>7.5249752062104746E-3</v>
      </c>
      <c r="H103" s="27"/>
      <c r="I103" s="53" t="s">
        <v>206</v>
      </c>
      <c r="J103" s="41">
        <f t="shared" si="3"/>
        <v>24</v>
      </c>
    </row>
    <row r="104" spans="1:13" x14ac:dyDescent="0.35">
      <c r="A104" s="41">
        <f t="shared" si="2"/>
        <v>25</v>
      </c>
      <c r="B104" s="199" t="s">
        <v>207</v>
      </c>
      <c r="G104" s="41"/>
      <c r="H104" s="41"/>
      <c r="I104" s="53"/>
      <c r="J104" s="41">
        <f t="shared" si="3"/>
        <v>25</v>
      </c>
      <c r="L104" s="41"/>
    </row>
    <row r="105" spans="1:13" x14ac:dyDescent="0.35">
      <c r="A105" s="41">
        <f t="shared" si="2"/>
        <v>26</v>
      </c>
      <c r="G105" s="41"/>
      <c r="H105" s="41"/>
      <c r="I105" s="53"/>
      <c r="J105" s="41">
        <f t="shared" si="3"/>
        <v>26</v>
      </c>
      <c r="L105" s="41"/>
    </row>
    <row r="106" spans="1:13" x14ac:dyDescent="0.35">
      <c r="A106" s="41">
        <f t="shared" si="2"/>
        <v>27</v>
      </c>
      <c r="B106" s="46" t="s">
        <v>208</v>
      </c>
      <c r="G106" s="197">
        <f>G103+G91</f>
        <v>2.3762274180935846E-2</v>
      </c>
      <c r="H106" s="27"/>
      <c r="I106" s="53" t="str">
        <f>"Line "&amp;A91&amp;" + Line "&amp;A103</f>
        <v>Line 12 + Line 24</v>
      </c>
      <c r="J106" s="41">
        <f t="shared" si="3"/>
        <v>27</v>
      </c>
      <c r="L106" s="41"/>
    </row>
    <row r="107" spans="1:13" x14ac:dyDescent="0.35">
      <c r="A107" s="41">
        <f t="shared" si="2"/>
        <v>28</v>
      </c>
      <c r="G107" s="41"/>
      <c r="H107" s="41"/>
      <c r="I107" s="53"/>
      <c r="J107" s="41">
        <f t="shared" si="3"/>
        <v>28</v>
      </c>
      <c r="L107" s="41"/>
    </row>
    <row r="108" spans="1:13" x14ac:dyDescent="0.35">
      <c r="A108" s="41">
        <f t="shared" si="2"/>
        <v>29</v>
      </c>
      <c r="B108" s="46" t="s">
        <v>209</v>
      </c>
      <c r="G108" s="523">
        <f>G50</f>
        <v>7.6903381456357389E-2</v>
      </c>
      <c r="H108" s="534"/>
      <c r="I108" s="53" t="str">
        <f>"AV1; Line "&amp;A50</f>
        <v>AV1; Line 40</v>
      </c>
      <c r="J108" s="41">
        <f t="shared" si="3"/>
        <v>29</v>
      </c>
      <c r="L108" s="41"/>
    </row>
    <row r="109" spans="1:13" x14ac:dyDescent="0.35">
      <c r="A109" s="41">
        <f t="shared" si="2"/>
        <v>30</v>
      </c>
      <c r="G109" s="175"/>
      <c r="H109" s="175"/>
      <c r="I109" s="53"/>
      <c r="J109" s="41">
        <f t="shared" si="3"/>
        <v>30</v>
      </c>
      <c r="L109" s="41"/>
    </row>
    <row r="110" spans="1:13" ht="18" thickBot="1" x14ac:dyDescent="0.4">
      <c r="A110" s="41">
        <f t="shared" si="2"/>
        <v>31</v>
      </c>
      <c r="B110" s="46" t="s">
        <v>337</v>
      </c>
      <c r="G110" s="209">
        <f>G106+G108</f>
        <v>0.10066565563729324</v>
      </c>
      <c r="H110" s="27"/>
      <c r="I110" s="53" t="str">
        <f>"Line "&amp;A106&amp;" + Line "&amp;A108</f>
        <v>Line 27 + Line 29</v>
      </c>
      <c r="J110" s="41">
        <f t="shared" si="3"/>
        <v>31</v>
      </c>
      <c r="L110" s="210"/>
      <c r="M110" s="198"/>
    </row>
    <row r="111" spans="1:13" ht="16" thickTop="1" x14ac:dyDescent="0.35">
      <c r="B111" s="46"/>
      <c r="G111" s="208"/>
      <c r="H111" s="208"/>
      <c r="I111" s="53"/>
      <c r="J111" s="41"/>
      <c r="L111" s="210"/>
      <c r="M111" s="198"/>
    </row>
    <row r="112" spans="1:13" x14ac:dyDescent="0.35">
      <c r="B112" s="46"/>
      <c r="G112" s="212"/>
      <c r="H112" s="212"/>
      <c r="I112" s="53"/>
      <c r="J112" s="41"/>
      <c r="L112" s="210"/>
      <c r="M112" s="198"/>
    </row>
    <row r="113" spans="1:13" x14ac:dyDescent="0.35">
      <c r="A113" s="27" t="s">
        <v>16</v>
      </c>
      <c r="B113" s="24" t="str">
        <f>'Pg2 Appendix XII C4 Comparison'!B57</f>
        <v>Items in BOLD have changed due to A&amp;G adj. missed in prior cost adj. and CEMA/WMPMA exclusion corrections compared to the original SX-PQ Appendix XII Cycle 4</v>
      </c>
      <c r="G113" s="212"/>
      <c r="H113" s="212"/>
      <c r="I113" s="53"/>
      <c r="J113" s="41"/>
      <c r="L113" s="210"/>
      <c r="M113" s="198"/>
    </row>
    <row r="114" spans="1:13" x14ac:dyDescent="0.35">
      <c r="A114" s="27"/>
      <c r="B114" s="24" t="str">
        <f>'Pg2 Appendix XII C4 Comparison'!B58</f>
        <v>per ER22-133 and cost adj. incl. in Appendix XII Cycle 5 per ER23-110.</v>
      </c>
      <c r="G114" s="212"/>
      <c r="H114" s="212"/>
      <c r="I114" s="53"/>
      <c r="J114" s="41"/>
      <c r="L114" s="210"/>
      <c r="M114" s="198"/>
    </row>
    <row r="115" spans="1:13" ht="18.5" x14ac:dyDescent="0.35">
      <c r="A115" s="524">
        <v>1</v>
      </c>
      <c r="B115" s="20" t="s">
        <v>338</v>
      </c>
      <c r="G115" s="212"/>
      <c r="H115" s="212"/>
      <c r="I115" s="53"/>
      <c r="J115" s="41"/>
      <c r="L115" s="210"/>
      <c r="M115" s="198"/>
    </row>
    <row r="116" spans="1:13" ht="18.5" x14ac:dyDescent="0.35">
      <c r="A116" s="524"/>
      <c r="B116" s="20"/>
      <c r="G116" s="212"/>
      <c r="H116" s="212"/>
      <c r="I116" s="53"/>
      <c r="J116" s="41"/>
      <c r="L116" s="210"/>
      <c r="M116" s="198"/>
    </row>
    <row r="117" spans="1:13" x14ac:dyDescent="0.35">
      <c r="A117" s="213"/>
      <c r="B117" s="535"/>
      <c r="C117" s="43"/>
      <c r="D117" s="43"/>
      <c r="E117" s="43"/>
      <c r="F117" s="43"/>
      <c r="G117" s="214"/>
      <c r="H117" s="214"/>
      <c r="I117" s="525"/>
      <c r="J117" s="41"/>
    </row>
    <row r="118" spans="1:13" x14ac:dyDescent="0.35">
      <c r="B118" s="758" t="s">
        <v>24</v>
      </c>
      <c r="C118" s="758"/>
      <c r="D118" s="758"/>
      <c r="E118" s="758"/>
      <c r="F118" s="758"/>
      <c r="G118" s="758"/>
      <c r="H118" s="758"/>
      <c r="I118" s="758"/>
    </row>
    <row r="119" spans="1:13" x14ac:dyDescent="0.35">
      <c r="B119" s="758" t="s">
        <v>127</v>
      </c>
      <c r="C119" s="758"/>
      <c r="D119" s="758"/>
      <c r="E119" s="758"/>
      <c r="F119" s="758"/>
      <c r="G119" s="758"/>
      <c r="H119" s="758"/>
      <c r="I119" s="758"/>
    </row>
    <row r="120" spans="1:13" x14ac:dyDescent="0.35">
      <c r="B120" s="758" t="s">
        <v>128</v>
      </c>
      <c r="C120" s="758"/>
      <c r="D120" s="758"/>
      <c r="E120" s="758"/>
      <c r="F120" s="758"/>
      <c r="G120" s="758"/>
      <c r="H120" s="758"/>
      <c r="I120" s="758"/>
    </row>
    <row r="121" spans="1:13" x14ac:dyDescent="0.35">
      <c r="B121" s="761" t="str">
        <f>B5</f>
        <v>Base Period &amp; True-Up Period 12 - Months Ending December 31, 2020</v>
      </c>
      <c r="C121" s="761"/>
      <c r="D121" s="761"/>
      <c r="E121" s="761"/>
      <c r="F121" s="761"/>
      <c r="G121" s="761"/>
      <c r="H121" s="761"/>
      <c r="I121" s="761"/>
    </row>
    <row r="122" spans="1:13" x14ac:dyDescent="0.35">
      <c r="B122" s="760" t="s">
        <v>1</v>
      </c>
      <c r="C122" s="762"/>
      <c r="D122" s="762"/>
      <c r="E122" s="762"/>
      <c r="F122" s="762"/>
      <c r="G122" s="762"/>
      <c r="H122" s="762"/>
      <c r="I122" s="762"/>
    </row>
    <row r="124" spans="1:13" x14ac:dyDescent="0.35">
      <c r="A124" s="41" t="s">
        <v>2</v>
      </c>
      <c r="B124" s="534"/>
      <c r="C124" s="534"/>
      <c r="D124" s="534"/>
      <c r="E124" s="534"/>
      <c r="F124" s="534"/>
      <c r="G124" s="534"/>
      <c r="H124" s="534"/>
      <c r="I124" s="53"/>
      <c r="J124" s="41" t="s">
        <v>2</v>
      </c>
    </row>
    <row r="125" spans="1:13" x14ac:dyDescent="0.35">
      <c r="A125" s="41" t="s">
        <v>6</v>
      </c>
      <c r="B125" s="41"/>
      <c r="C125" s="41"/>
      <c r="D125" s="41"/>
      <c r="E125" s="41"/>
      <c r="F125" s="41"/>
      <c r="G125" s="455" t="s">
        <v>4</v>
      </c>
      <c r="H125" s="534"/>
      <c r="I125" s="508" t="s">
        <v>5</v>
      </c>
      <c r="J125" s="41" t="s">
        <v>6</v>
      </c>
    </row>
    <row r="127" spans="1:13" ht="17.5" x14ac:dyDescent="0.35">
      <c r="A127" s="41">
        <v>1</v>
      </c>
      <c r="B127" s="46" t="s">
        <v>339</v>
      </c>
      <c r="J127" s="41">
        <v>1</v>
      </c>
    </row>
    <row r="128" spans="1:13" x14ac:dyDescent="0.35">
      <c r="A128" s="41">
        <f>A127+1</f>
        <v>2</v>
      </c>
      <c r="B128" s="188"/>
      <c r="J128" s="41">
        <f>J127+1</f>
        <v>2</v>
      </c>
    </row>
    <row r="129" spans="1:10" x14ac:dyDescent="0.35">
      <c r="A129" s="41">
        <f>A128+1</f>
        <v>3</v>
      </c>
      <c r="B129" s="46" t="s">
        <v>335</v>
      </c>
      <c r="J129" s="41">
        <f>J128+1</f>
        <v>3</v>
      </c>
    </row>
    <row r="130" spans="1:10" x14ac:dyDescent="0.35">
      <c r="A130" s="41">
        <f>A129+1</f>
        <v>4</v>
      </c>
      <c r="B130" s="534"/>
      <c r="J130" s="41">
        <f>J129+1</f>
        <v>4</v>
      </c>
    </row>
    <row r="131" spans="1:10" x14ac:dyDescent="0.35">
      <c r="A131" s="41">
        <f t="shared" ref="A131:A157" si="4">A130+1</f>
        <v>5</v>
      </c>
      <c r="B131" s="48" t="s">
        <v>188</v>
      </c>
      <c r="J131" s="41">
        <f t="shared" ref="J131:J157" si="5">J130+1</f>
        <v>5</v>
      </c>
    </row>
    <row r="132" spans="1:10" x14ac:dyDescent="0.35">
      <c r="A132" s="41">
        <f t="shared" si="4"/>
        <v>6</v>
      </c>
      <c r="B132" s="42" t="str">
        <f>B85</f>
        <v xml:space="preserve">     A = Sum of Preferred Stock and Return on Equity Component</v>
      </c>
      <c r="G132" s="190">
        <f>G65</f>
        <v>0</v>
      </c>
      <c r="I132" s="53" t="str">
        <f>"AV1; Line "&amp;A65</f>
        <v>AV1; Line 55</v>
      </c>
      <c r="J132" s="41">
        <f t="shared" si="5"/>
        <v>6</v>
      </c>
    </row>
    <row r="133" spans="1:10" x14ac:dyDescent="0.35">
      <c r="A133" s="41">
        <f t="shared" si="4"/>
        <v>7</v>
      </c>
      <c r="B133" s="42" t="str">
        <f>B86</f>
        <v xml:space="preserve">     B = Transmission Total Federal Tax Adjustments</v>
      </c>
      <c r="G133" s="211">
        <v>0</v>
      </c>
      <c r="I133" s="184" t="s">
        <v>19</v>
      </c>
      <c r="J133" s="41">
        <f t="shared" si="5"/>
        <v>7</v>
      </c>
    </row>
    <row r="134" spans="1:10" x14ac:dyDescent="0.35">
      <c r="A134" s="41">
        <f t="shared" si="4"/>
        <v>8</v>
      </c>
      <c r="B134" s="42" t="s">
        <v>191</v>
      </c>
      <c r="G134" s="526">
        <v>0</v>
      </c>
      <c r="I134" s="184" t="s">
        <v>19</v>
      </c>
      <c r="J134" s="41">
        <f t="shared" si="5"/>
        <v>8</v>
      </c>
    </row>
    <row r="135" spans="1:10" x14ac:dyDescent="0.35">
      <c r="A135" s="41">
        <f t="shared" si="4"/>
        <v>9</v>
      </c>
      <c r="B135" s="42" t="s">
        <v>210</v>
      </c>
      <c r="G135" s="526">
        <v>0</v>
      </c>
      <c r="I135" s="184" t="s">
        <v>19</v>
      </c>
      <c r="J135" s="41">
        <f t="shared" si="5"/>
        <v>9</v>
      </c>
    </row>
    <row r="136" spans="1:10" x14ac:dyDescent="0.35">
      <c r="A136" s="41">
        <f t="shared" si="4"/>
        <v>10</v>
      </c>
      <c r="B136" s="42" t="str">
        <f>B89</f>
        <v xml:space="preserve">     FT = Federal Income Tax Rate for Rate Effective Period</v>
      </c>
      <c r="G136" s="527">
        <f>G89</f>
        <v>0.21</v>
      </c>
      <c r="I136" s="53" t="str">
        <f>"AV2; Line "&amp;A89</f>
        <v>AV2; Line 10</v>
      </c>
      <c r="J136" s="41">
        <f t="shared" si="5"/>
        <v>10</v>
      </c>
    </row>
    <row r="137" spans="1:10" x14ac:dyDescent="0.35">
      <c r="A137" s="41">
        <f t="shared" si="4"/>
        <v>11</v>
      </c>
      <c r="G137" s="41"/>
      <c r="J137" s="41">
        <f t="shared" si="5"/>
        <v>11</v>
      </c>
    </row>
    <row r="138" spans="1:10" x14ac:dyDescent="0.35">
      <c r="A138" s="41">
        <f t="shared" si="4"/>
        <v>12</v>
      </c>
      <c r="B138" s="42" t="s">
        <v>211</v>
      </c>
      <c r="G138" s="197">
        <f>IFERROR((((G132)+(G134/G135))*G136-(G133/G135))/(1-G136),0)</f>
        <v>0</v>
      </c>
      <c r="I138" s="53" t="s">
        <v>212</v>
      </c>
      <c r="J138" s="41">
        <f t="shared" si="5"/>
        <v>12</v>
      </c>
    </row>
    <row r="139" spans="1:10" x14ac:dyDescent="0.35">
      <c r="A139" s="41">
        <f t="shared" si="4"/>
        <v>13</v>
      </c>
      <c r="B139" s="199" t="s">
        <v>197</v>
      </c>
      <c r="G139" s="183"/>
      <c r="J139" s="41">
        <f t="shared" si="5"/>
        <v>13</v>
      </c>
    </row>
    <row r="140" spans="1:10" x14ac:dyDescent="0.35">
      <c r="A140" s="41">
        <f t="shared" si="4"/>
        <v>14</v>
      </c>
      <c r="G140" s="41"/>
      <c r="J140" s="41">
        <f t="shared" si="5"/>
        <v>14</v>
      </c>
    </row>
    <row r="141" spans="1:10" x14ac:dyDescent="0.35">
      <c r="A141" s="41">
        <f t="shared" si="4"/>
        <v>15</v>
      </c>
      <c r="B141" s="46" t="s">
        <v>198</v>
      </c>
      <c r="G141" s="200"/>
      <c r="I141" s="201"/>
      <c r="J141" s="41">
        <f t="shared" si="5"/>
        <v>15</v>
      </c>
    </row>
    <row r="142" spans="1:10" x14ac:dyDescent="0.35">
      <c r="A142" s="41">
        <f t="shared" si="4"/>
        <v>16</v>
      </c>
      <c r="B142" s="57"/>
      <c r="G142" s="200"/>
      <c r="I142" s="189"/>
      <c r="J142" s="41">
        <f t="shared" si="5"/>
        <v>16</v>
      </c>
    </row>
    <row r="143" spans="1:10" x14ac:dyDescent="0.35">
      <c r="A143" s="41">
        <f t="shared" si="4"/>
        <v>17</v>
      </c>
      <c r="B143" s="48" t="s">
        <v>188</v>
      </c>
      <c r="G143" s="200"/>
      <c r="I143" s="189"/>
      <c r="J143" s="41">
        <f t="shared" si="5"/>
        <v>17</v>
      </c>
    </row>
    <row r="144" spans="1:10" x14ac:dyDescent="0.35">
      <c r="A144" s="41">
        <f t="shared" si="4"/>
        <v>18</v>
      </c>
      <c r="B144" s="42" t="str">
        <f>B97</f>
        <v xml:space="preserve">     A = Sum of Preferred Stock and Return on Equity Component</v>
      </c>
      <c r="G144" s="175">
        <f>G132</f>
        <v>0</v>
      </c>
      <c r="I144" s="53" t="str">
        <f>"Line "&amp;A132&amp;" Above"</f>
        <v>Line 6 Above</v>
      </c>
      <c r="J144" s="41">
        <f t="shared" si="5"/>
        <v>18</v>
      </c>
    </row>
    <row r="145" spans="1:10" x14ac:dyDescent="0.35">
      <c r="A145" s="41">
        <f t="shared" si="4"/>
        <v>19</v>
      </c>
      <c r="B145" s="42" t="str">
        <f>B98</f>
        <v xml:space="preserve">     B = Equity AFUDC Component of Transmission Depreciation Expense</v>
      </c>
      <c r="G145" s="204">
        <f>G134</f>
        <v>0</v>
      </c>
      <c r="I145" s="53" t="str">
        <f>"Line "&amp;A134&amp;" Above"</f>
        <v>Line 8 Above</v>
      </c>
      <c r="J145" s="41">
        <f t="shared" si="5"/>
        <v>19</v>
      </c>
    </row>
    <row r="146" spans="1:10" x14ac:dyDescent="0.35">
      <c r="A146" s="41">
        <f t="shared" si="4"/>
        <v>20</v>
      </c>
      <c r="B146" s="42" t="s">
        <v>213</v>
      </c>
      <c r="G146" s="204">
        <f>G135</f>
        <v>0</v>
      </c>
      <c r="I146" s="53" t="str">
        <f>"Line "&amp;A135&amp;" Above"</f>
        <v>Line 9 Above</v>
      </c>
      <c r="J146" s="41">
        <f t="shared" si="5"/>
        <v>20</v>
      </c>
    </row>
    <row r="147" spans="1:10" x14ac:dyDescent="0.35">
      <c r="A147" s="41">
        <f t="shared" si="4"/>
        <v>21</v>
      </c>
      <c r="B147" s="42" t="str">
        <f>B100</f>
        <v xml:space="preserve">     FT = Federal Income Tax Expense</v>
      </c>
      <c r="G147" s="206">
        <f>G138</f>
        <v>0</v>
      </c>
      <c r="I147" s="53" t="str">
        <f>"Line "&amp;A138&amp;" Above"</f>
        <v>Line 12 Above</v>
      </c>
      <c r="J147" s="41">
        <f t="shared" si="5"/>
        <v>21</v>
      </c>
    </row>
    <row r="148" spans="1:10" x14ac:dyDescent="0.35">
      <c r="A148" s="41">
        <f t="shared" si="4"/>
        <v>22</v>
      </c>
      <c r="B148" s="42" t="str">
        <f>B101</f>
        <v xml:space="preserve">     ST = State Income Tax Rate for Rate Effective Period</v>
      </c>
      <c r="G148" s="528" t="str">
        <f>G101</f>
        <v>8.84%</v>
      </c>
      <c r="I148" s="53" t="str">
        <f>"AV2; Line "&amp;A101</f>
        <v>AV2; Line 22</v>
      </c>
      <c r="J148" s="41">
        <f t="shared" si="5"/>
        <v>22</v>
      </c>
    </row>
    <row r="149" spans="1:10" x14ac:dyDescent="0.35">
      <c r="A149" s="41">
        <f t="shared" si="4"/>
        <v>23</v>
      </c>
      <c r="B149" s="535"/>
      <c r="G149" s="207"/>
      <c r="I149" s="203"/>
      <c r="J149" s="41">
        <f t="shared" si="5"/>
        <v>23</v>
      </c>
    </row>
    <row r="150" spans="1:10" x14ac:dyDescent="0.35">
      <c r="A150" s="41">
        <f t="shared" si="4"/>
        <v>24</v>
      </c>
      <c r="B150" s="42" t="s">
        <v>205</v>
      </c>
      <c r="G150" s="522">
        <f>IFERROR(((G144)+(G145/G146)+G138)*G148/(1-G148),0)</f>
        <v>0</v>
      </c>
      <c r="I150" s="53" t="s">
        <v>206</v>
      </c>
      <c r="J150" s="41">
        <f t="shared" si="5"/>
        <v>24</v>
      </c>
    </row>
    <row r="151" spans="1:10" x14ac:dyDescent="0.35">
      <c r="A151" s="41">
        <f t="shared" si="4"/>
        <v>25</v>
      </c>
      <c r="B151" s="199" t="s">
        <v>207</v>
      </c>
      <c r="G151" s="41"/>
      <c r="I151" s="53"/>
      <c r="J151" s="41">
        <f t="shared" si="5"/>
        <v>25</v>
      </c>
    </row>
    <row r="152" spans="1:10" x14ac:dyDescent="0.35">
      <c r="A152" s="41">
        <f t="shared" si="4"/>
        <v>26</v>
      </c>
      <c r="G152" s="41"/>
      <c r="I152" s="53"/>
      <c r="J152" s="41">
        <f t="shared" si="5"/>
        <v>26</v>
      </c>
    </row>
    <row r="153" spans="1:10" x14ac:dyDescent="0.35">
      <c r="A153" s="41">
        <f t="shared" si="4"/>
        <v>27</v>
      </c>
      <c r="B153" s="46" t="s">
        <v>208</v>
      </c>
      <c r="G153" s="197">
        <f>G150+G138</f>
        <v>0</v>
      </c>
      <c r="I153" s="53" t="str">
        <f>"Line "&amp;A138&amp;" + Line "&amp;A150</f>
        <v>Line 12 + Line 24</v>
      </c>
      <c r="J153" s="41">
        <f t="shared" si="5"/>
        <v>27</v>
      </c>
    </row>
    <row r="154" spans="1:10" x14ac:dyDescent="0.35">
      <c r="A154" s="41">
        <f t="shared" si="4"/>
        <v>28</v>
      </c>
      <c r="G154" s="41"/>
      <c r="I154" s="53"/>
      <c r="J154" s="41">
        <f t="shared" si="5"/>
        <v>28</v>
      </c>
    </row>
    <row r="155" spans="1:10" x14ac:dyDescent="0.35">
      <c r="A155" s="41">
        <f t="shared" si="4"/>
        <v>29</v>
      </c>
      <c r="B155" s="46" t="s">
        <v>214</v>
      </c>
      <c r="G155" s="529">
        <f>G63</f>
        <v>0</v>
      </c>
      <c r="I155" s="53" t="str">
        <f>"AV1; Line "&amp;A63</f>
        <v>AV1; Line 53</v>
      </c>
      <c r="J155" s="41">
        <f t="shared" si="5"/>
        <v>29</v>
      </c>
    </row>
    <row r="156" spans="1:10" x14ac:dyDescent="0.35">
      <c r="A156" s="41">
        <f t="shared" si="4"/>
        <v>30</v>
      </c>
      <c r="G156" s="41"/>
      <c r="I156" s="53"/>
      <c r="J156" s="41">
        <f t="shared" si="5"/>
        <v>30</v>
      </c>
    </row>
    <row r="157" spans="1:10" ht="18" thickBot="1" x14ac:dyDescent="0.4">
      <c r="A157" s="41">
        <f t="shared" si="4"/>
        <v>31</v>
      </c>
      <c r="B157" s="46" t="s">
        <v>340</v>
      </c>
      <c r="G157" s="215">
        <f>G153+G155</f>
        <v>0</v>
      </c>
      <c r="I157" s="53" t="str">
        <f>"Line "&amp;A153&amp;" + Line "&amp;A155</f>
        <v>Line 27 + Line 29</v>
      </c>
      <c r="J157" s="41">
        <f t="shared" si="5"/>
        <v>31</v>
      </c>
    </row>
    <row r="158" spans="1:10" ht="16" thickTop="1" x14ac:dyDescent="0.35"/>
    <row r="160" spans="1:10" ht="18" x14ac:dyDescent="0.35">
      <c r="A160" s="71"/>
      <c r="B160" s="20"/>
    </row>
  </sheetData>
  <mergeCells count="15">
    <mergeCell ref="B2:I2"/>
    <mergeCell ref="B3:I3"/>
    <mergeCell ref="B4:I4"/>
    <mergeCell ref="B5:I5"/>
    <mergeCell ref="B6:I6"/>
    <mergeCell ref="B122:I122"/>
    <mergeCell ref="B119:I119"/>
    <mergeCell ref="B120:I120"/>
    <mergeCell ref="B121:I121"/>
    <mergeCell ref="B71:I71"/>
    <mergeCell ref="B72:I72"/>
    <mergeCell ref="B73:I73"/>
    <mergeCell ref="B74:I74"/>
    <mergeCell ref="B118:I118"/>
    <mergeCell ref="B75:I75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Roman,Bold"&amp;7REVISED</oddHeader>
    <oddFooter>&amp;L&amp;F&amp;CPage 10.&amp;P&amp;R&amp;A</oddFooter>
  </headerFooter>
  <rowBreaks count="2" manualBreakCount="2">
    <brk id="69" max="16383" man="1"/>
    <brk id="116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82BD-6AE7-4F45-9C8F-531F7665895A}">
  <dimension ref="A1:M161"/>
  <sheetViews>
    <sheetView zoomScale="80" zoomScaleNormal="80" workbookViewId="0"/>
  </sheetViews>
  <sheetFormatPr defaultColWidth="8.81640625" defaultRowHeight="15.5" x14ac:dyDescent="0.35"/>
  <cols>
    <col min="1" max="1" width="5.1796875" style="41" customWidth="1"/>
    <col min="2" max="2" width="55.453125" style="42" customWidth="1"/>
    <col min="3" max="5" width="15.54296875" style="42" customWidth="1"/>
    <col min="6" max="6" width="1.54296875" style="42" customWidth="1"/>
    <col min="7" max="7" width="16.81640625" style="42" customWidth="1"/>
    <col min="8" max="8" width="1.54296875" style="42" customWidth="1"/>
    <col min="9" max="9" width="38.81640625" style="160" customWidth="1"/>
    <col min="10" max="10" width="5.1796875" style="42" customWidth="1"/>
    <col min="11" max="11" width="27" style="42" bestFit="1" customWidth="1"/>
    <col min="12" max="12" width="15" style="42" bestFit="1" customWidth="1"/>
    <col min="13" max="13" width="10.453125" style="42" bestFit="1" customWidth="1"/>
    <col min="14" max="16384" width="8.81640625" style="42"/>
  </cols>
  <sheetData>
    <row r="1" spans="1:10" x14ac:dyDescent="0.35">
      <c r="A1" s="668" t="s">
        <v>590</v>
      </c>
    </row>
    <row r="2" spans="1:10" x14ac:dyDescent="0.35">
      <c r="A2" s="507"/>
      <c r="G2" s="67"/>
      <c r="H2" s="67"/>
      <c r="I2" s="184"/>
      <c r="J2" s="41"/>
    </row>
    <row r="3" spans="1:10" x14ac:dyDescent="0.35">
      <c r="B3" s="758" t="s">
        <v>332</v>
      </c>
      <c r="C3" s="758"/>
      <c r="D3" s="758"/>
      <c r="E3" s="758"/>
      <c r="F3" s="758"/>
      <c r="G3" s="758"/>
      <c r="H3" s="758"/>
      <c r="I3" s="758"/>
      <c r="J3" s="41"/>
    </row>
    <row r="4" spans="1:10" x14ac:dyDescent="0.35">
      <c r="B4" s="758" t="s">
        <v>127</v>
      </c>
      <c r="C4" s="758"/>
      <c r="D4" s="758"/>
      <c r="E4" s="758"/>
      <c r="F4" s="758"/>
      <c r="G4" s="758"/>
      <c r="H4" s="758"/>
      <c r="I4" s="758"/>
      <c r="J4" s="41"/>
    </row>
    <row r="5" spans="1:10" x14ac:dyDescent="0.35">
      <c r="B5" s="758" t="s">
        <v>128</v>
      </c>
      <c r="C5" s="758"/>
      <c r="D5" s="758"/>
      <c r="E5" s="758"/>
      <c r="F5" s="758"/>
      <c r="G5" s="758"/>
      <c r="H5" s="758"/>
      <c r="I5" s="758"/>
      <c r="J5" s="41"/>
    </row>
    <row r="6" spans="1:10" x14ac:dyDescent="0.35">
      <c r="B6" s="761" t="s">
        <v>542</v>
      </c>
      <c r="C6" s="761"/>
      <c r="D6" s="761"/>
      <c r="E6" s="761"/>
      <c r="F6" s="761"/>
      <c r="G6" s="761"/>
      <c r="H6" s="761"/>
      <c r="I6" s="761"/>
      <c r="J6" s="41"/>
    </row>
    <row r="7" spans="1:10" x14ac:dyDescent="0.35">
      <c r="B7" s="760" t="s">
        <v>1</v>
      </c>
      <c r="C7" s="762"/>
      <c r="D7" s="762"/>
      <c r="E7" s="762"/>
      <c r="F7" s="762"/>
      <c r="G7" s="762"/>
      <c r="H7" s="762"/>
      <c r="I7" s="762"/>
      <c r="J7" s="41"/>
    </row>
    <row r="8" spans="1:10" x14ac:dyDescent="0.35">
      <c r="B8" s="41"/>
      <c r="C8" s="41"/>
      <c r="D8" s="41"/>
      <c r="E8" s="41"/>
      <c r="F8" s="41"/>
      <c r="G8" s="41"/>
      <c r="H8" s="41"/>
      <c r="I8" s="53"/>
      <c r="J8" s="41"/>
    </row>
    <row r="9" spans="1:10" x14ac:dyDescent="0.35">
      <c r="A9" s="41" t="s">
        <v>2</v>
      </c>
      <c r="B9" s="534"/>
      <c r="C9" s="534"/>
      <c r="D9" s="534"/>
      <c r="E9" s="41" t="s">
        <v>27</v>
      </c>
      <c r="F9" s="534"/>
      <c r="G9" s="534"/>
      <c r="H9" s="534"/>
      <c r="I9" s="53"/>
      <c r="J9" s="41" t="s">
        <v>2</v>
      </c>
    </row>
    <row r="10" spans="1:10" x14ac:dyDescent="0.35">
      <c r="A10" s="41" t="s">
        <v>6</v>
      </c>
      <c r="B10" s="41"/>
      <c r="C10" s="41"/>
      <c r="D10" s="41"/>
      <c r="E10" s="455" t="s">
        <v>28</v>
      </c>
      <c r="F10" s="41"/>
      <c r="G10" s="456" t="s">
        <v>4</v>
      </c>
      <c r="H10" s="534"/>
      <c r="I10" s="508" t="s">
        <v>5</v>
      </c>
      <c r="J10" s="41" t="s">
        <v>6</v>
      </c>
    </row>
    <row r="11" spans="1:10" x14ac:dyDescent="0.35">
      <c r="B11" s="41"/>
      <c r="C11" s="41"/>
      <c r="D11" s="41"/>
      <c r="E11" s="41"/>
      <c r="F11" s="41"/>
      <c r="G11" s="41"/>
      <c r="H11" s="41"/>
      <c r="I11" s="53"/>
      <c r="J11" s="41"/>
    </row>
    <row r="12" spans="1:10" x14ac:dyDescent="0.35">
      <c r="A12" s="41">
        <v>1</v>
      </c>
      <c r="B12" s="46" t="s">
        <v>129</v>
      </c>
      <c r="I12" s="53"/>
      <c r="J12" s="41">
        <f>A12</f>
        <v>1</v>
      </c>
    </row>
    <row r="13" spans="1:10" x14ac:dyDescent="0.35">
      <c r="A13" s="41">
        <f>A12+1</f>
        <v>2</v>
      </c>
      <c r="B13" s="42" t="s">
        <v>130</v>
      </c>
      <c r="E13" s="41" t="s">
        <v>131</v>
      </c>
      <c r="G13" s="161">
        <v>6053573</v>
      </c>
      <c r="H13" s="534"/>
      <c r="I13" s="164"/>
      <c r="J13" s="41">
        <f>J12+1</f>
        <v>2</v>
      </c>
    </row>
    <row r="14" spans="1:10" x14ac:dyDescent="0.35">
      <c r="A14" s="41">
        <f t="shared" ref="A14:A66" si="0">A13+1</f>
        <v>3</v>
      </c>
      <c r="B14" s="42" t="s">
        <v>132</v>
      </c>
      <c r="E14" s="41" t="s">
        <v>133</v>
      </c>
      <c r="G14" s="162">
        <v>0</v>
      </c>
      <c r="H14" s="534"/>
      <c r="I14" s="164"/>
      <c r="J14" s="41">
        <f t="shared" ref="J14:J66" si="1">J13+1</f>
        <v>3</v>
      </c>
    </row>
    <row r="15" spans="1:10" x14ac:dyDescent="0.35">
      <c r="A15" s="41">
        <f t="shared" si="0"/>
        <v>4</v>
      </c>
      <c r="B15" s="42" t="s">
        <v>134</v>
      </c>
      <c r="E15" s="41" t="s">
        <v>135</v>
      </c>
      <c r="G15" s="162">
        <v>0</v>
      </c>
      <c r="H15" s="534"/>
      <c r="I15" s="164"/>
      <c r="J15" s="41">
        <f t="shared" si="1"/>
        <v>4</v>
      </c>
    </row>
    <row r="16" spans="1:10" x14ac:dyDescent="0.35">
      <c r="A16" s="41">
        <f t="shared" si="0"/>
        <v>5</v>
      </c>
      <c r="B16" s="42" t="s">
        <v>136</v>
      </c>
      <c r="E16" s="41" t="s">
        <v>137</v>
      </c>
      <c r="G16" s="162">
        <v>0</v>
      </c>
      <c r="H16" s="534"/>
      <c r="I16" s="164"/>
      <c r="J16" s="41">
        <f t="shared" si="1"/>
        <v>5</v>
      </c>
    </row>
    <row r="17" spans="1:10" x14ac:dyDescent="0.35">
      <c r="A17" s="41">
        <f t="shared" si="0"/>
        <v>6</v>
      </c>
      <c r="B17" s="42" t="s">
        <v>138</v>
      </c>
      <c r="E17" s="41" t="s">
        <v>139</v>
      </c>
      <c r="G17" s="162">
        <v>-13172.642</v>
      </c>
      <c r="H17" s="534"/>
      <c r="I17" s="164"/>
      <c r="J17" s="41">
        <f t="shared" si="1"/>
        <v>6</v>
      </c>
    </row>
    <row r="18" spans="1:10" x14ac:dyDescent="0.35">
      <c r="A18" s="41">
        <f t="shared" si="0"/>
        <v>7</v>
      </c>
      <c r="B18" s="42" t="s">
        <v>140</v>
      </c>
      <c r="G18" s="163">
        <f>SUM(G13:G17)</f>
        <v>6040400.358</v>
      </c>
      <c r="H18" s="157"/>
      <c r="I18" s="53" t="str">
        <f>"Sum Lines "&amp;A13&amp;" thru "&amp;A17</f>
        <v>Sum Lines 2 thru 6</v>
      </c>
      <c r="J18" s="41">
        <f t="shared" si="1"/>
        <v>7</v>
      </c>
    </row>
    <row r="19" spans="1:10" x14ac:dyDescent="0.35">
      <c r="A19" s="41">
        <f t="shared" si="0"/>
        <v>8</v>
      </c>
      <c r="I19" s="53"/>
      <c r="J19" s="41">
        <f t="shared" si="1"/>
        <v>8</v>
      </c>
    </row>
    <row r="20" spans="1:10" x14ac:dyDescent="0.35">
      <c r="A20" s="41">
        <f t="shared" si="0"/>
        <v>9</v>
      </c>
      <c r="B20" s="46" t="s">
        <v>141</v>
      </c>
      <c r="G20" s="40"/>
      <c r="H20" s="40"/>
      <c r="I20" s="53"/>
      <c r="J20" s="41">
        <f t="shared" si="1"/>
        <v>9</v>
      </c>
    </row>
    <row r="21" spans="1:10" x14ac:dyDescent="0.35">
      <c r="A21" s="41">
        <f t="shared" si="0"/>
        <v>10</v>
      </c>
      <c r="B21" s="42" t="s">
        <v>142</v>
      </c>
      <c r="E21" s="41" t="s">
        <v>143</v>
      </c>
      <c r="G21" s="161">
        <v>233778.584</v>
      </c>
      <c r="H21" s="534"/>
      <c r="I21" s="164"/>
      <c r="J21" s="41">
        <f t="shared" si="1"/>
        <v>10</v>
      </c>
    </row>
    <row r="22" spans="1:10" x14ac:dyDescent="0.35">
      <c r="A22" s="41">
        <f t="shared" si="0"/>
        <v>11</v>
      </c>
      <c r="B22" s="42" t="s">
        <v>144</v>
      </c>
      <c r="E22" s="41" t="s">
        <v>145</v>
      </c>
      <c r="G22" s="162">
        <v>4107.085</v>
      </c>
      <c r="H22" s="534"/>
      <c r="I22" s="164"/>
      <c r="J22" s="41">
        <f t="shared" si="1"/>
        <v>11</v>
      </c>
    </row>
    <row r="23" spans="1:10" x14ac:dyDescent="0.35">
      <c r="A23" s="41">
        <f t="shared" si="0"/>
        <v>12</v>
      </c>
      <c r="B23" s="42" t="s">
        <v>146</v>
      </c>
      <c r="E23" s="41" t="s">
        <v>147</v>
      </c>
      <c r="G23" s="162">
        <v>1449.7840000000001</v>
      </c>
      <c r="H23" s="534"/>
      <c r="I23" s="164"/>
      <c r="J23" s="41">
        <f t="shared" si="1"/>
        <v>12</v>
      </c>
    </row>
    <row r="24" spans="1:10" x14ac:dyDescent="0.35">
      <c r="A24" s="41">
        <f t="shared" si="0"/>
        <v>13</v>
      </c>
      <c r="B24" s="42" t="s">
        <v>148</v>
      </c>
      <c r="E24" s="41" t="s">
        <v>149</v>
      </c>
      <c r="G24" s="162">
        <v>0</v>
      </c>
      <c r="H24" s="534"/>
      <c r="I24" s="164"/>
      <c r="J24" s="41">
        <f t="shared" si="1"/>
        <v>13</v>
      </c>
    </row>
    <row r="25" spans="1:10" x14ac:dyDescent="0.35">
      <c r="A25" s="41">
        <f t="shared" si="0"/>
        <v>14</v>
      </c>
      <c r="B25" s="42" t="s">
        <v>150</v>
      </c>
      <c r="E25" s="41" t="s">
        <v>151</v>
      </c>
      <c r="G25" s="162">
        <v>0</v>
      </c>
      <c r="H25" s="534"/>
      <c r="I25" s="164"/>
      <c r="J25" s="41">
        <f t="shared" si="1"/>
        <v>14</v>
      </c>
    </row>
    <row r="26" spans="1:10" x14ac:dyDescent="0.35">
      <c r="A26" s="41">
        <f t="shared" si="0"/>
        <v>15</v>
      </c>
      <c r="B26" s="42" t="s">
        <v>152</v>
      </c>
      <c r="G26" s="165">
        <f>SUM(G21:G25)</f>
        <v>239335.45300000001</v>
      </c>
      <c r="H26" s="166"/>
      <c r="I26" s="53" t="str">
        <f>"Sum Lines "&amp;A21&amp;" thru "&amp;A25</f>
        <v>Sum Lines 10 thru 14</v>
      </c>
      <c r="J26" s="41">
        <f t="shared" si="1"/>
        <v>15</v>
      </c>
    </row>
    <row r="27" spans="1:10" x14ac:dyDescent="0.35">
      <c r="A27" s="41">
        <f t="shared" si="0"/>
        <v>16</v>
      </c>
      <c r="I27" s="53"/>
      <c r="J27" s="41">
        <f t="shared" si="1"/>
        <v>16</v>
      </c>
    </row>
    <row r="28" spans="1:10" ht="16" thickBot="1" x14ac:dyDescent="0.4">
      <c r="A28" s="41">
        <f t="shared" si="0"/>
        <v>17</v>
      </c>
      <c r="B28" s="46" t="s">
        <v>153</v>
      </c>
      <c r="G28" s="167">
        <f>G26/G18</f>
        <v>3.9622448648295373E-2</v>
      </c>
      <c r="H28" s="168"/>
      <c r="I28" s="53" t="str">
        <f>"Line "&amp;A26&amp;" / Line "&amp;A18</f>
        <v>Line 15 / Line 7</v>
      </c>
      <c r="J28" s="41">
        <f t="shared" si="1"/>
        <v>17</v>
      </c>
    </row>
    <row r="29" spans="1:10" ht="16" thickTop="1" x14ac:dyDescent="0.35">
      <c r="A29" s="41">
        <f t="shared" si="0"/>
        <v>18</v>
      </c>
      <c r="I29" s="53"/>
      <c r="J29" s="41">
        <f t="shared" si="1"/>
        <v>18</v>
      </c>
    </row>
    <row r="30" spans="1:10" x14ac:dyDescent="0.35">
      <c r="A30" s="41">
        <f t="shared" si="0"/>
        <v>19</v>
      </c>
      <c r="B30" s="46" t="s">
        <v>154</v>
      </c>
      <c r="I30" s="53"/>
      <c r="J30" s="41">
        <f t="shared" si="1"/>
        <v>19</v>
      </c>
    </row>
    <row r="31" spans="1:10" x14ac:dyDescent="0.35">
      <c r="A31" s="41">
        <f t="shared" si="0"/>
        <v>20</v>
      </c>
      <c r="B31" s="42" t="s">
        <v>155</v>
      </c>
      <c r="E31" s="41" t="s">
        <v>156</v>
      </c>
      <c r="G31" s="161">
        <v>0</v>
      </c>
      <c r="H31" s="534"/>
      <c r="I31" s="164"/>
      <c r="J31" s="41">
        <f t="shared" si="1"/>
        <v>20</v>
      </c>
    </row>
    <row r="32" spans="1:10" x14ac:dyDescent="0.35">
      <c r="A32" s="41">
        <f t="shared" si="0"/>
        <v>21</v>
      </c>
      <c r="B32" s="42" t="s">
        <v>157</v>
      </c>
      <c r="E32" s="41" t="s">
        <v>158</v>
      </c>
      <c r="G32" s="509">
        <v>0</v>
      </c>
      <c r="H32" s="534"/>
      <c r="I32" s="164"/>
      <c r="J32" s="41">
        <f t="shared" si="1"/>
        <v>21</v>
      </c>
    </row>
    <row r="33" spans="1:12" ht="16" thickBot="1" x14ac:dyDescent="0.4">
      <c r="A33" s="41">
        <f t="shared" si="0"/>
        <v>22</v>
      </c>
      <c r="B33" s="42" t="s">
        <v>159</v>
      </c>
      <c r="G33" s="167">
        <f>IFERROR((G32/G31),0)</f>
        <v>0</v>
      </c>
      <c r="H33" s="168"/>
      <c r="I33" s="53" t="str">
        <f>"Line "&amp;A32&amp;" / Line "&amp;A31</f>
        <v>Line 21 / Line 20</v>
      </c>
      <c r="J33" s="41">
        <f t="shared" si="1"/>
        <v>22</v>
      </c>
    </row>
    <row r="34" spans="1:12" ht="16" thickTop="1" x14ac:dyDescent="0.35">
      <c r="A34" s="41">
        <f t="shared" si="0"/>
        <v>23</v>
      </c>
      <c r="I34" s="53"/>
      <c r="J34" s="41">
        <f t="shared" si="1"/>
        <v>23</v>
      </c>
    </row>
    <row r="35" spans="1:12" x14ac:dyDescent="0.35">
      <c r="A35" s="41">
        <f t="shared" si="0"/>
        <v>24</v>
      </c>
      <c r="B35" s="46" t="s">
        <v>160</v>
      </c>
      <c r="I35" s="53"/>
      <c r="J35" s="41">
        <f t="shared" si="1"/>
        <v>24</v>
      </c>
    </row>
    <row r="36" spans="1:12" x14ac:dyDescent="0.35">
      <c r="A36" s="41">
        <f t="shared" si="0"/>
        <v>25</v>
      </c>
      <c r="B36" s="42" t="s">
        <v>161</v>
      </c>
      <c r="E36" s="41" t="s">
        <v>162</v>
      </c>
      <c r="G36" s="161">
        <v>7729413.6809999999</v>
      </c>
      <c r="H36" s="534"/>
      <c r="I36" s="164"/>
      <c r="J36" s="41">
        <f t="shared" si="1"/>
        <v>25</v>
      </c>
      <c r="K36" s="49"/>
      <c r="L36" s="510"/>
    </row>
    <row r="37" spans="1:12" x14ac:dyDescent="0.35">
      <c r="A37" s="41">
        <f t="shared" si="0"/>
        <v>26</v>
      </c>
      <c r="B37" s="42" t="s">
        <v>163</v>
      </c>
      <c r="E37" s="41" t="s">
        <v>156</v>
      </c>
      <c r="G37" s="169">
        <v>0</v>
      </c>
      <c r="H37" s="169"/>
      <c r="I37" s="53" t="str">
        <f>"Negative of Line "&amp;A31&amp;" Above"</f>
        <v>Negative of Line 20 Above</v>
      </c>
      <c r="J37" s="41">
        <f t="shared" si="1"/>
        <v>26</v>
      </c>
    </row>
    <row r="38" spans="1:12" x14ac:dyDescent="0.35">
      <c r="A38" s="41">
        <f t="shared" si="0"/>
        <v>27</v>
      </c>
      <c r="B38" s="42" t="s">
        <v>164</v>
      </c>
      <c r="E38" s="41" t="s">
        <v>165</v>
      </c>
      <c r="G38" s="162">
        <v>0</v>
      </c>
      <c r="H38" s="534"/>
      <c r="I38" s="164"/>
      <c r="J38" s="41">
        <f t="shared" si="1"/>
        <v>27</v>
      </c>
    </row>
    <row r="39" spans="1:12" x14ac:dyDescent="0.35">
      <c r="A39" s="41">
        <f t="shared" si="0"/>
        <v>28</v>
      </c>
      <c r="B39" s="42" t="s">
        <v>166</v>
      </c>
      <c r="E39" s="41" t="s">
        <v>167</v>
      </c>
      <c r="G39" s="162">
        <v>10034.102000000001</v>
      </c>
      <c r="H39" s="534"/>
      <c r="I39" s="164"/>
      <c r="J39" s="41">
        <f t="shared" si="1"/>
        <v>28</v>
      </c>
    </row>
    <row r="40" spans="1:12" ht="16" thickBot="1" x14ac:dyDescent="0.4">
      <c r="A40" s="41">
        <f t="shared" si="0"/>
        <v>29</v>
      </c>
      <c r="B40" s="42" t="s">
        <v>168</v>
      </c>
      <c r="G40" s="170">
        <f>SUM(G36:G39)</f>
        <v>7739447.7829999998</v>
      </c>
      <c r="H40" s="171"/>
      <c r="I40" s="53" t="str">
        <f>"Sum Lines "&amp;A36&amp;" thru "&amp;A39</f>
        <v>Sum Lines 25 thru 28</v>
      </c>
      <c r="J40" s="41">
        <f t="shared" si="1"/>
        <v>29</v>
      </c>
    </row>
    <row r="41" spans="1:12" ht="16.5" thickTop="1" thickBot="1" x14ac:dyDescent="0.4">
      <c r="A41" s="172">
        <f t="shared" si="0"/>
        <v>30</v>
      </c>
      <c r="B41" s="86"/>
      <c r="C41" s="86"/>
      <c r="D41" s="86"/>
      <c r="E41" s="86"/>
      <c r="F41" s="86"/>
      <c r="G41" s="86"/>
      <c r="H41" s="86"/>
      <c r="I41" s="173"/>
      <c r="J41" s="172">
        <f t="shared" si="1"/>
        <v>30</v>
      </c>
    </row>
    <row r="42" spans="1:12" x14ac:dyDescent="0.35">
      <c r="A42" s="41">
        <f>A41+1</f>
        <v>31</v>
      </c>
      <c r="I42" s="53"/>
      <c r="J42" s="41">
        <f>J41+1</f>
        <v>31</v>
      </c>
    </row>
    <row r="43" spans="1:12" ht="19" thickBot="1" x14ac:dyDescent="0.4">
      <c r="A43" s="41">
        <f>A42+1</f>
        <v>32</v>
      </c>
      <c r="B43" s="46" t="s">
        <v>343</v>
      </c>
      <c r="G43" s="174">
        <v>0.106</v>
      </c>
      <c r="H43" s="534"/>
      <c r="I43" s="41" t="s">
        <v>169</v>
      </c>
      <c r="J43" s="41">
        <f>J42+1</f>
        <v>32</v>
      </c>
    </row>
    <row r="44" spans="1:12" ht="16" thickTop="1" x14ac:dyDescent="0.35">
      <c r="A44" s="41">
        <f t="shared" si="0"/>
        <v>33</v>
      </c>
      <c r="C44" s="72" t="s">
        <v>10</v>
      </c>
      <c r="D44" s="72" t="s">
        <v>56</v>
      </c>
      <c r="E44" s="72" t="s">
        <v>170</v>
      </c>
      <c r="F44" s="72"/>
      <c r="G44" s="72" t="s">
        <v>171</v>
      </c>
      <c r="H44" s="72"/>
      <c r="I44" s="53"/>
      <c r="J44" s="41">
        <f t="shared" si="1"/>
        <v>33</v>
      </c>
    </row>
    <row r="45" spans="1:12" x14ac:dyDescent="0.35">
      <c r="A45" s="41">
        <f t="shared" si="0"/>
        <v>34</v>
      </c>
      <c r="D45" s="41" t="s">
        <v>172</v>
      </c>
      <c r="E45" s="41" t="s">
        <v>173</v>
      </c>
      <c r="F45" s="41"/>
      <c r="G45" s="41" t="s">
        <v>174</v>
      </c>
      <c r="H45" s="41"/>
      <c r="I45" s="53"/>
      <c r="J45" s="41">
        <f t="shared" si="1"/>
        <v>34</v>
      </c>
    </row>
    <row r="46" spans="1:12" ht="18" x14ac:dyDescent="0.35">
      <c r="A46" s="41">
        <f t="shared" si="0"/>
        <v>35</v>
      </c>
      <c r="B46" s="46" t="s">
        <v>175</v>
      </c>
      <c r="C46" s="455" t="s">
        <v>176</v>
      </c>
      <c r="D46" s="455" t="s">
        <v>177</v>
      </c>
      <c r="E46" s="455" t="s">
        <v>178</v>
      </c>
      <c r="F46" s="455"/>
      <c r="G46" s="455" t="s">
        <v>179</v>
      </c>
      <c r="H46" s="41"/>
      <c r="I46" s="53"/>
      <c r="J46" s="41">
        <f t="shared" si="1"/>
        <v>35</v>
      </c>
    </row>
    <row r="47" spans="1:12" x14ac:dyDescent="0.35">
      <c r="A47" s="41">
        <f t="shared" si="0"/>
        <v>36</v>
      </c>
      <c r="I47" s="53"/>
      <c r="J47" s="41">
        <f t="shared" si="1"/>
        <v>36</v>
      </c>
    </row>
    <row r="48" spans="1:12" x14ac:dyDescent="0.35">
      <c r="A48" s="41">
        <f t="shared" si="0"/>
        <v>37</v>
      </c>
      <c r="B48" s="42" t="s">
        <v>180</v>
      </c>
      <c r="C48" s="64">
        <f>G18</f>
        <v>6040400.358</v>
      </c>
      <c r="D48" s="175">
        <f>C48/C$51</f>
        <v>0.43835028486472494</v>
      </c>
      <c r="E48" s="176">
        <f>G28</f>
        <v>3.9622448648295373E-2</v>
      </c>
      <c r="G48" s="177">
        <f>D48*E48</f>
        <v>1.7368511652018213E-2</v>
      </c>
      <c r="H48" s="177"/>
      <c r="I48" s="53" t="str">
        <f>"Col. c = Line "&amp;A28&amp;" Above"</f>
        <v>Col. c = Line 17 Above</v>
      </c>
      <c r="J48" s="41">
        <f t="shared" si="1"/>
        <v>37</v>
      </c>
    </row>
    <row r="49" spans="1:10" x14ac:dyDescent="0.35">
      <c r="A49" s="41">
        <f t="shared" si="0"/>
        <v>38</v>
      </c>
      <c r="B49" s="42" t="s">
        <v>181</v>
      </c>
      <c r="C49" s="178">
        <f>G31</f>
        <v>0</v>
      </c>
      <c r="D49" s="175">
        <f>C49/C$51</f>
        <v>0</v>
      </c>
      <c r="E49" s="176">
        <f>G33</f>
        <v>0</v>
      </c>
      <c r="G49" s="177">
        <f>D49*E49</f>
        <v>0</v>
      </c>
      <c r="H49" s="177"/>
      <c r="I49" s="53" t="str">
        <f>"Col. c = Line "&amp;A33&amp;" Above"</f>
        <v>Col. c = Line 22 Above</v>
      </c>
      <c r="J49" s="41">
        <f t="shared" si="1"/>
        <v>38</v>
      </c>
    </row>
    <row r="50" spans="1:10" x14ac:dyDescent="0.35">
      <c r="A50" s="41">
        <f t="shared" si="0"/>
        <v>39</v>
      </c>
      <c r="B50" s="42" t="s">
        <v>182</v>
      </c>
      <c r="C50" s="178">
        <f>G40</f>
        <v>7739447.7829999998</v>
      </c>
      <c r="D50" s="511">
        <f>C50/C$51</f>
        <v>0.56164971513527517</v>
      </c>
      <c r="E50" s="179">
        <f>G43</f>
        <v>0.106</v>
      </c>
      <c r="G50" s="512">
        <f>D50*E50</f>
        <v>5.9534869804339169E-2</v>
      </c>
      <c r="H50" s="168"/>
      <c r="I50" s="53" t="str">
        <f>"Col. c = Line "&amp;A43&amp;" Above"</f>
        <v>Col. c = Line 32 Above</v>
      </c>
      <c r="J50" s="41">
        <f t="shared" si="1"/>
        <v>39</v>
      </c>
    </row>
    <row r="51" spans="1:10" ht="16" thickBot="1" x14ac:dyDescent="0.4">
      <c r="A51" s="41">
        <f t="shared" si="0"/>
        <v>40</v>
      </c>
      <c r="B51" s="42" t="s">
        <v>183</v>
      </c>
      <c r="C51" s="180">
        <f>SUM(C48:C50)</f>
        <v>13779848.140999999</v>
      </c>
      <c r="D51" s="181">
        <f>SUM(D48:D50)</f>
        <v>1</v>
      </c>
      <c r="G51" s="167">
        <f>SUM(G48:G50)</f>
        <v>7.6903381456357389E-2</v>
      </c>
      <c r="H51" s="168"/>
      <c r="I51" s="53" t="str">
        <f>"Sum Lines "&amp;A48&amp;" thru "&amp;A50</f>
        <v>Sum Lines 37 thru 39</v>
      </c>
      <c r="J51" s="41">
        <f t="shared" si="1"/>
        <v>40</v>
      </c>
    </row>
    <row r="52" spans="1:10" ht="16" thickTop="1" x14ac:dyDescent="0.35">
      <c r="A52" s="41">
        <f t="shared" si="0"/>
        <v>41</v>
      </c>
      <c r="I52" s="53"/>
      <c r="J52" s="41">
        <f t="shared" si="1"/>
        <v>41</v>
      </c>
    </row>
    <row r="53" spans="1:10" ht="16" thickBot="1" x14ac:dyDescent="0.4">
      <c r="A53" s="41">
        <f t="shared" si="0"/>
        <v>42</v>
      </c>
      <c r="B53" s="46" t="s">
        <v>184</v>
      </c>
      <c r="G53" s="167">
        <f>G49+G50</f>
        <v>5.9534869804339169E-2</v>
      </c>
      <c r="H53" s="168"/>
      <c r="I53" s="53" t="str">
        <f>"Line "&amp;A49&amp;" + Line "&amp;A50&amp;"; Col. d"</f>
        <v>Line 38 + Line 39; Col. d</v>
      </c>
      <c r="J53" s="41">
        <f t="shared" si="1"/>
        <v>42</v>
      </c>
    </row>
    <row r="54" spans="1:10" ht="16.5" thickTop="1" thickBot="1" x14ac:dyDescent="0.4">
      <c r="A54" s="172">
        <f t="shared" si="0"/>
        <v>43</v>
      </c>
      <c r="B54" s="185"/>
      <c r="C54" s="86"/>
      <c r="D54" s="86"/>
      <c r="E54" s="86"/>
      <c r="F54" s="86"/>
      <c r="G54" s="513"/>
      <c r="H54" s="513"/>
      <c r="I54" s="173"/>
      <c r="J54" s="172">
        <f t="shared" si="1"/>
        <v>43</v>
      </c>
    </row>
    <row r="55" spans="1:10" x14ac:dyDescent="0.35">
      <c r="A55" s="41">
        <f t="shared" si="0"/>
        <v>44</v>
      </c>
      <c r="B55" s="46"/>
      <c r="G55" s="179"/>
      <c r="H55" s="179"/>
      <c r="I55" s="53"/>
      <c r="J55" s="41">
        <f t="shared" si="1"/>
        <v>44</v>
      </c>
    </row>
    <row r="56" spans="1:10" ht="16" thickBot="1" x14ac:dyDescent="0.4">
      <c r="A56" s="41">
        <f t="shared" si="0"/>
        <v>45</v>
      </c>
      <c r="B56" s="46" t="s">
        <v>333</v>
      </c>
      <c r="G56" s="514">
        <v>0</v>
      </c>
      <c r="H56" s="179"/>
      <c r="I56" s="53" t="s">
        <v>19</v>
      </c>
      <c r="J56" s="41">
        <f t="shared" si="1"/>
        <v>45</v>
      </c>
    </row>
    <row r="57" spans="1:10" ht="16" thickTop="1" x14ac:dyDescent="0.35">
      <c r="A57" s="41">
        <f t="shared" si="0"/>
        <v>46</v>
      </c>
      <c r="C57" s="72" t="s">
        <v>10</v>
      </c>
      <c r="D57" s="72" t="s">
        <v>56</v>
      </c>
      <c r="E57" s="72" t="s">
        <v>170</v>
      </c>
      <c r="F57" s="72"/>
      <c r="G57" s="72" t="s">
        <v>171</v>
      </c>
      <c r="H57" s="179"/>
      <c r="I57" s="53"/>
      <c r="J57" s="41">
        <f t="shared" si="1"/>
        <v>46</v>
      </c>
    </row>
    <row r="58" spans="1:10" x14ac:dyDescent="0.35">
      <c r="A58" s="41">
        <f t="shared" si="0"/>
        <v>47</v>
      </c>
      <c r="D58" s="41" t="s">
        <v>172</v>
      </c>
      <c r="E58" s="41" t="s">
        <v>173</v>
      </c>
      <c r="F58" s="41"/>
      <c r="G58" s="41" t="s">
        <v>174</v>
      </c>
      <c r="H58" s="179"/>
      <c r="I58" s="53"/>
      <c r="J58" s="41">
        <f t="shared" si="1"/>
        <v>47</v>
      </c>
    </row>
    <row r="59" spans="1:10" ht="18" x14ac:dyDescent="0.35">
      <c r="A59" s="41">
        <f t="shared" si="0"/>
        <v>48</v>
      </c>
      <c r="B59" s="46" t="s">
        <v>186</v>
      </c>
      <c r="C59" s="455" t="s">
        <v>176</v>
      </c>
      <c r="D59" s="455" t="s">
        <v>177</v>
      </c>
      <c r="E59" s="455" t="s">
        <v>178</v>
      </c>
      <c r="F59" s="455"/>
      <c r="G59" s="455" t="s">
        <v>179</v>
      </c>
      <c r="H59" s="179"/>
      <c r="I59" s="53"/>
      <c r="J59" s="41">
        <f t="shared" si="1"/>
        <v>48</v>
      </c>
    </row>
    <row r="60" spans="1:10" x14ac:dyDescent="0.35">
      <c r="A60" s="41">
        <f t="shared" si="0"/>
        <v>49</v>
      </c>
      <c r="G60" s="179"/>
      <c r="H60" s="179"/>
      <c r="I60" s="53"/>
      <c r="J60" s="41">
        <f t="shared" si="1"/>
        <v>49</v>
      </c>
    </row>
    <row r="61" spans="1:10" x14ac:dyDescent="0.35">
      <c r="A61" s="41">
        <f t="shared" si="0"/>
        <v>50</v>
      </c>
      <c r="B61" s="42" t="s">
        <v>180</v>
      </c>
      <c r="C61" s="515">
        <v>0</v>
      </c>
      <c r="D61" s="516">
        <v>0</v>
      </c>
      <c r="E61" s="182">
        <v>0</v>
      </c>
      <c r="G61" s="177">
        <f>D61*E61</f>
        <v>0</v>
      </c>
      <c r="H61" s="179"/>
      <c r="I61" s="53" t="s">
        <v>19</v>
      </c>
      <c r="J61" s="41">
        <f t="shared" si="1"/>
        <v>50</v>
      </c>
    </row>
    <row r="62" spans="1:10" x14ac:dyDescent="0.35">
      <c r="A62" s="41">
        <f t="shared" si="0"/>
        <v>51</v>
      </c>
      <c r="B62" s="42" t="s">
        <v>181</v>
      </c>
      <c r="C62" s="517">
        <v>0</v>
      </c>
      <c r="D62" s="516">
        <v>0</v>
      </c>
      <c r="E62" s="182">
        <v>0</v>
      </c>
      <c r="G62" s="177">
        <f>D62*E62</f>
        <v>0</v>
      </c>
      <c r="H62" s="179"/>
      <c r="I62" s="53" t="s">
        <v>19</v>
      </c>
      <c r="J62" s="41">
        <f t="shared" si="1"/>
        <v>51</v>
      </c>
    </row>
    <row r="63" spans="1:10" x14ac:dyDescent="0.35">
      <c r="A63" s="41">
        <f t="shared" si="0"/>
        <v>52</v>
      </c>
      <c r="B63" s="42" t="s">
        <v>182</v>
      </c>
      <c r="C63" s="517">
        <v>0</v>
      </c>
      <c r="D63" s="518">
        <v>0</v>
      </c>
      <c r="E63" s="519">
        <v>0</v>
      </c>
      <c r="G63" s="512">
        <f>D63*E63</f>
        <v>0</v>
      </c>
      <c r="H63" s="179"/>
      <c r="I63" s="53" t="s">
        <v>19</v>
      </c>
      <c r="J63" s="41">
        <f t="shared" si="1"/>
        <v>52</v>
      </c>
    </row>
    <row r="64" spans="1:10" ht="16" thickBot="1" x14ac:dyDescent="0.4">
      <c r="A64" s="41">
        <f t="shared" si="0"/>
        <v>53</v>
      </c>
      <c r="B64" s="42" t="s">
        <v>183</v>
      </c>
      <c r="C64" s="180">
        <f>SUM(C61:C63)</f>
        <v>0</v>
      </c>
      <c r="D64" s="167">
        <f>SUM(D61:D63)</f>
        <v>0</v>
      </c>
      <c r="G64" s="167">
        <f>SUM(G61:G63)</f>
        <v>0</v>
      </c>
      <c r="H64" s="179"/>
      <c r="I64" s="53" t="str">
        <f>"Sum Lines "&amp;A61&amp;" thru "&amp;A63</f>
        <v>Sum Lines 50 thru 52</v>
      </c>
      <c r="J64" s="41">
        <f t="shared" si="1"/>
        <v>53</v>
      </c>
    </row>
    <row r="65" spans="1:10" ht="16" thickTop="1" x14ac:dyDescent="0.35">
      <c r="A65" s="41">
        <f t="shared" si="0"/>
        <v>54</v>
      </c>
      <c r="H65" s="179"/>
      <c r="I65" s="53"/>
      <c r="J65" s="41">
        <f t="shared" si="1"/>
        <v>54</v>
      </c>
    </row>
    <row r="66" spans="1:10" ht="16" thickBot="1" x14ac:dyDescent="0.4">
      <c r="A66" s="41">
        <f t="shared" si="0"/>
        <v>55</v>
      </c>
      <c r="B66" s="46" t="s">
        <v>187</v>
      </c>
      <c r="G66" s="167">
        <f>G62+G63</f>
        <v>0</v>
      </c>
      <c r="H66" s="179"/>
      <c r="I66" s="53" t="str">
        <f>"Line "&amp;A62&amp;" + Line "&amp;A63&amp;"; Col. d"</f>
        <v>Line 51 + Line 52; Col. d</v>
      </c>
      <c r="J66" s="41">
        <f t="shared" si="1"/>
        <v>55</v>
      </c>
    </row>
    <row r="67" spans="1:10" ht="16" thickTop="1" x14ac:dyDescent="0.35">
      <c r="B67" s="46"/>
      <c r="G67" s="179"/>
      <c r="H67" s="179"/>
      <c r="I67" s="53"/>
      <c r="J67" s="41"/>
    </row>
    <row r="68" spans="1:10" x14ac:dyDescent="0.35">
      <c r="B68" s="46"/>
      <c r="G68" s="179"/>
      <c r="H68" s="179"/>
      <c r="I68" s="53"/>
      <c r="J68" s="41"/>
    </row>
    <row r="69" spans="1:10" ht="18" x14ac:dyDescent="0.35">
      <c r="A69" s="71">
        <v>1</v>
      </c>
      <c r="B69" s="20" t="s">
        <v>185</v>
      </c>
      <c r="G69" s="67"/>
      <c r="H69" s="67"/>
      <c r="J69" s="41" t="s">
        <v>11</v>
      </c>
    </row>
    <row r="70" spans="1:10" ht="18" x14ac:dyDescent="0.35">
      <c r="A70" s="186"/>
      <c r="B70" s="429"/>
      <c r="G70" s="67"/>
      <c r="H70" s="67"/>
      <c r="J70" s="41"/>
    </row>
    <row r="71" spans="1:10" ht="18" x14ac:dyDescent="0.35">
      <c r="A71" s="71"/>
      <c r="B71" s="20"/>
      <c r="D71" s="41"/>
      <c r="G71" s="67"/>
      <c r="H71" s="67"/>
      <c r="I71" s="550"/>
      <c r="J71" s="41"/>
    </row>
    <row r="72" spans="1:10" x14ac:dyDescent="0.35">
      <c r="B72" s="758" t="s">
        <v>332</v>
      </c>
      <c r="C72" s="758"/>
      <c r="D72" s="758"/>
      <c r="E72" s="758"/>
      <c r="F72" s="758"/>
      <c r="G72" s="758"/>
      <c r="H72" s="758"/>
      <c r="I72" s="758"/>
      <c r="J72" s="41"/>
    </row>
    <row r="73" spans="1:10" x14ac:dyDescent="0.35">
      <c r="B73" s="758" t="s">
        <v>127</v>
      </c>
      <c r="C73" s="758"/>
      <c r="D73" s="758"/>
      <c r="E73" s="758"/>
      <c r="F73" s="758"/>
      <c r="G73" s="758"/>
      <c r="H73" s="758"/>
      <c r="I73" s="758"/>
      <c r="J73" s="41"/>
    </row>
    <row r="74" spans="1:10" x14ac:dyDescent="0.35">
      <c r="B74" s="758" t="s">
        <v>128</v>
      </c>
      <c r="C74" s="758"/>
      <c r="D74" s="758"/>
      <c r="E74" s="758"/>
      <c r="F74" s="758"/>
      <c r="G74" s="758"/>
      <c r="H74" s="758"/>
      <c r="I74" s="758"/>
      <c r="J74" s="41"/>
    </row>
    <row r="75" spans="1:10" x14ac:dyDescent="0.35">
      <c r="B75" s="761" t="str">
        <f>B6</f>
        <v>Base Period &amp; True-Up Period 12 - Months Ending December 31, 2020</v>
      </c>
      <c r="C75" s="761"/>
      <c r="D75" s="761"/>
      <c r="E75" s="761"/>
      <c r="F75" s="761"/>
      <c r="G75" s="761"/>
      <c r="H75" s="761"/>
      <c r="I75" s="761"/>
      <c r="J75" s="41"/>
    </row>
    <row r="76" spans="1:10" x14ac:dyDescent="0.35">
      <c r="B76" s="760" t="s">
        <v>1</v>
      </c>
      <c r="C76" s="762"/>
      <c r="D76" s="762"/>
      <c r="E76" s="762"/>
      <c r="F76" s="762"/>
      <c r="G76" s="762"/>
      <c r="H76" s="762"/>
      <c r="I76" s="762"/>
      <c r="J76" s="41"/>
    </row>
    <row r="77" spans="1:10" x14ac:dyDescent="0.35">
      <c r="B77" s="41"/>
      <c r="C77" s="41"/>
      <c r="D77" s="41"/>
      <c r="E77" s="41"/>
      <c r="F77" s="41"/>
      <c r="G77" s="41"/>
      <c r="H77" s="41"/>
      <c r="I77" s="53"/>
      <c r="J77" s="41"/>
    </row>
    <row r="78" spans="1:10" x14ac:dyDescent="0.35">
      <c r="A78" s="41" t="s">
        <v>2</v>
      </c>
      <c r="B78" s="534"/>
      <c r="C78" s="534"/>
      <c r="D78" s="534"/>
      <c r="E78" s="534"/>
      <c r="F78" s="534"/>
      <c r="G78" s="534"/>
      <c r="H78" s="534"/>
      <c r="I78" s="53"/>
      <c r="J78" s="41" t="s">
        <v>2</v>
      </c>
    </row>
    <row r="79" spans="1:10" x14ac:dyDescent="0.35">
      <c r="A79" s="41" t="s">
        <v>6</v>
      </c>
      <c r="B79" s="41"/>
      <c r="C79" s="41"/>
      <c r="D79" s="41"/>
      <c r="E79" s="41"/>
      <c r="F79" s="41"/>
      <c r="G79" s="455" t="s">
        <v>4</v>
      </c>
      <c r="H79" s="534"/>
      <c r="I79" s="508" t="s">
        <v>5</v>
      </c>
      <c r="J79" s="41" t="s">
        <v>6</v>
      </c>
    </row>
    <row r="80" spans="1:10" x14ac:dyDescent="0.35">
      <c r="G80" s="41"/>
      <c r="H80" s="41"/>
      <c r="I80" s="53"/>
      <c r="J80" s="41"/>
    </row>
    <row r="81" spans="1:13" ht="17.5" x14ac:dyDescent="0.35">
      <c r="A81" s="41">
        <v>1</v>
      </c>
      <c r="B81" s="46" t="s">
        <v>334</v>
      </c>
      <c r="E81" s="534"/>
      <c r="F81" s="534"/>
      <c r="G81" s="187"/>
      <c r="H81" s="187"/>
      <c r="I81" s="53"/>
      <c r="J81" s="41">
        <v>1</v>
      </c>
    </row>
    <row r="82" spans="1:13" x14ac:dyDescent="0.35">
      <c r="A82" s="41">
        <f>A81+1</f>
        <v>2</v>
      </c>
      <c r="B82" s="188"/>
      <c r="E82" s="534"/>
      <c r="F82" s="534"/>
      <c r="G82" s="187"/>
      <c r="H82" s="187"/>
      <c r="I82" s="53"/>
      <c r="J82" s="41">
        <f>J81+1</f>
        <v>2</v>
      </c>
    </row>
    <row r="83" spans="1:13" x14ac:dyDescent="0.35">
      <c r="A83" s="41">
        <f>A82+1</f>
        <v>3</v>
      </c>
      <c r="B83" s="46" t="s">
        <v>335</v>
      </c>
      <c r="E83" s="534"/>
      <c r="F83" s="534"/>
      <c r="G83" s="187"/>
      <c r="H83" s="187"/>
      <c r="I83" s="53"/>
      <c r="J83" s="41">
        <f>J82+1</f>
        <v>3</v>
      </c>
    </row>
    <row r="84" spans="1:13" x14ac:dyDescent="0.35">
      <c r="A84" s="41">
        <f>A83+1</f>
        <v>4</v>
      </c>
      <c r="B84" s="534"/>
      <c r="C84" s="534"/>
      <c r="D84" s="534"/>
      <c r="E84" s="534"/>
      <c r="F84" s="534"/>
      <c r="G84" s="187"/>
      <c r="H84" s="187"/>
      <c r="I84" s="53"/>
      <c r="J84" s="41">
        <f>J83+1</f>
        <v>4</v>
      </c>
    </row>
    <row r="85" spans="1:13" x14ac:dyDescent="0.35">
      <c r="A85" s="41">
        <f t="shared" ref="A85:A111" si="2">A84+1</f>
        <v>5</v>
      </c>
      <c r="B85" s="48" t="s">
        <v>188</v>
      </c>
      <c r="C85" s="534"/>
      <c r="D85" s="534"/>
      <c r="E85" s="534"/>
      <c r="F85" s="534"/>
      <c r="G85" s="187"/>
      <c r="H85" s="187"/>
      <c r="I85" s="189"/>
      <c r="J85" s="41">
        <f t="shared" ref="J85:J111" si="3">J84+1</f>
        <v>5</v>
      </c>
    </row>
    <row r="86" spans="1:13" x14ac:dyDescent="0.35">
      <c r="A86" s="41">
        <f t="shared" si="2"/>
        <v>6</v>
      </c>
      <c r="B86" s="42" t="s">
        <v>189</v>
      </c>
      <c r="D86" s="534"/>
      <c r="E86" s="534"/>
      <c r="F86" s="534"/>
      <c r="G86" s="190">
        <f>G53</f>
        <v>5.9534869804339169E-2</v>
      </c>
      <c r="H86" s="534"/>
      <c r="I86" s="53" t="str">
        <f>"AV1; Line "&amp;A53</f>
        <v>AV1; Line 42</v>
      </c>
      <c r="J86" s="41">
        <f t="shared" si="3"/>
        <v>6</v>
      </c>
      <c r="L86" s="41"/>
    </row>
    <row r="87" spans="1:13" x14ac:dyDescent="0.35">
      <c r="A87" s="41">
        <f t="shared" si="2"/>
        <v>7</v>
      </c>
      <c r="B87" s="42" t="s">
        <v>190</v>
      </c>
      <c r="D87" s="534"/>
      <c r="E87" s="534"/>
      <c r="F87" s="534"/>
      <c r="G87" s="191">
        <v>264.76299999999998</v>
      </c>
      <c r="H87" s="534"/>
      <c r="I87" s="53" t="s">
        <v>468</v>
      </c>
      <c r="J87" s="41">
        <f t="shared" si="3"/>
        <v>7</v>
      </c>
      <c r="L87" s="41"/>
    </row>
    <row r="88" spans="1:13" ht="18" x14ac:dyDescent="0.35">
      <c r="A88" s="41">
        <f t="shared" si="2"/>
        <v>8</v>
      </c>
      <c r="B88" s="42" t="s">
        <v>336</v>
      </c>
      <c r="D88" s="534"/>
      <c r="E88" s="534"/>
      <c r="F88" s="534"/>
      <c r="G88" s="192">
        <v>8264.7629899999993</v>
      </c>
      <c r="H88" s="534"/>
      <c r="I88" s="184" t="s">
        <v>469</v>
      </c>
      <c r="J88" s="41">
        <f t="shared" si="3"/>
        <v>8</v>
      </c>
      <c r="L88" s="534"/>
    </row>
    <row r="89" spans="1:13" x14ac:dyDescent="0.35">
      <c r="A89" s="41">
        <f t="shared" si="2"/>
        <v>9</v>
      </c>
      <c r="B89" s="42" t="s">
        <v>192</v>
      </c>
      <c r="D89" s="534"/>
      <c r="E89" s="193"/>
      <c r="F89" s="534"/>
      <c r="G89" s="194">
        <v>4523442.3480143677</v>
      </c>
      <c r="H89" s="27" t="s">
        <v>16</v>
      </c>
      <c r="I89" s="184" t="s">
        <v>470</v>
      </c>
      <c r="J89" s="41">
        <f t="shared" si="3"/>
        <v>9</v>
      </c>
    </row>
    <row r="90" spans="1:13" x14ac:dyDescent="0.35">
      <c r="A90" s="41">
        <f t="shared" si="2"/>
        <v>10</v>
      </c>
      <c r="B90" s="42" t="s">
        <v>193</v>
      </c>
      <c r="D90" s="195"/>
      <c r="E90" s="534"/>
      <c r="F90" s="534"/>
      <c r="G90" s="520">
        <v>0.21</v>
      </c>
      <c r="H90" s="534"/>
      <c r="I90" s="53" t="s">
        <v>194</v>
      </c>
      <c r="J90" s="41">
        <f t="shared" si="3"/>
        <v>10</v>
      </c>
      <c r="M90" s="196"/>
    </row>
    <row r="91" spans="1:13" x14ac:dyDescent="0.35">
      <c r="A91" s="41">
        <f t="shared" si="2"/>
        <v>11</v>
      </c>
      <c r="G91" s="41"/>
      <c r="H91" s="41"/>
      <c r="J91" s="41">
        <f t="shared" si="3"/>
        <v>11</v>
      </c>
    </row>
    <row r="92" spans="1:13" x14ac:dyDescent="0.35">
      <c r="A92" s="41">
        <f t="shared" si="2"/>
        <v>12</v>
      </c>
      <c r="B92" s="42" t="s">
        <v>195</v>
      </c>
      <c r="D92" s="534"/>
      <c r="E92" s="534"/>
      <c r="F92" s="534"/>
      <c r="G92" s="657">
        <f>(((G86)+(G88/G89))*G90-(G87/G89))/(1-G90)</f>
        <v>1.6237318342198111E-2</v>
      </c>
      <c r="H92" s="27" t="s">
        <v>16</v>
      </c>
      <c r="I92" s="53" t="s">
        <v>196</v>
      </c>
      <c r="J92" s="41">
        <f t="shared" si="3"/>
        <v>12</v>
      </c>
      <c r="M92" s="198"/>
    </row>
    <row r="93" spans="1:13" x14ac:dyDescent="0.35">
      <c r="A93" s="41">
        <f t="shared" si="2"/>
        <v>13</v>
      </c>
      <c r="B93" s="199" t="s">
        <v>197</v>
      </c>
      <c r="G93" s="41"/>
      <c r="H93" s="41"/>
      <c r="J93" s="41">
        <f t="shared" si="3"/>
        <v>13</v>
      </c>
    </row>
    <row r="94" spans="1:13" x14ac:dyDescent="0.35">
      <c r="A94" s="41">
        <f t="shared" si="2"/>
        <v>14</v>
      </c>
      <c r="G94" s="41"/>
      <c r="H94" s="41"/>
      <c r="J94" s="41">
        <f t="shared" si="3"/>
        <v>14</v>
      </c>
    </row>
    <row r="95" spans="1:13" x14ac:dyDescent="0.35">
      <c r="A95" s="41">
        <f t="shared" si="2"/>
        <v>15</v>
      </c>
      <c r="B95" s="46" t="s">
        <v>198</v>
      </c>
      <c r="C95" s="534"/>
      <c r="D95" s="534"/>
      <c r="E95" s="534"/>
      <c r="F95" s="534"/>
      <c r="G95" s="200"/>
      <c r="H95" s="200"/>
      <c r="I95" s="201"/>
      <c r="J95" s="41">
        <f t="shared" si="3"/>
        <v>15</v>
      </c>
      <c r="L95" s="202"/>
    </row>
    <row r="96" spans="1:13" x14ac:dyDescent="0.35">
      <c r="A96" s="41">
        <f t="shared" si="2"/>
        <v>16</v>
      </c>
      <c r="B96" s="57"/>
      <c r="C96" s="534"/>
      <c r="D96" s="534"/>
      <c r="E96" s="534"/>
      <c r="F96" s="534"/>
      <c r="G96" s="200"/>
      <c r="H96" s="200"/>
      <c r="I96" s="203"/>
      <c r="J96" s="41">
        <f t="shared" si="3"/>
        <v>16</v>
      </c>
      <c r="L96" s="534"/>
    </row>
    <row r="97" spans="1:13" x14ac:dyDescent="0.35">
      <c r="A97" s="41">
        <f t="shared" si="2"/>
        <v>17</v>
      </c>
      <c r="B97" s="48" t="s">
        <v>188</v>
      </c>
      <c r="C97" s="534"/>
      <c r="D97" s="534"/>
      <c r="E97" s="534"/>
      <c r="F97" s="534"/>
      <c r="G97" s="200"/>
      <c r="H97" s="200"/>
      <c r="I97" s="203"/>
      <c r="J97" s="41">
        <f t="shared" si="3"/>
        <v>17</v>
      </c>
      <c r="L97" s="534"/>
    </row>
    <row r="98" spans="1:13" x14ac:dyDescent="0.35">
      <c r="A98" s="41">
        <f t="shared" si="2"/>
        <v>18</v>
      </c>
      <c r="B98" s="42" t="s">
        <v>189</v>
      </c>
      <c r="D98" s="534"/>
      <c r="E98" s="534"/>
      <c r="F98" s="534"/>
      <c r="G98" s="175">
        <f>G86</f>
        <v>5.9534869804339169E-2</v>
      </c>
      <c r="H98" s="175"/>
      <c r="I98" s="53" t="str">
        <f>"Line "&amp;A86&amp;" Above"</f>
        <v>Line 6 Above</v>
      </c>
      <c r="J98" s="41">
        <f t="shared" si="3"/>
        <v>18</v>
      </c>
      <c r="L98" s="41"/>
    </row>
    <row r="99" spans="1:13" x14ac:dyDescent="0.35">
      <c r="A99" s="41">
        <f t="shared" si="2"/>
        <v>19</v>
      </c>
      <c r="B99" s="42" t="s">
        <v>199</v>
      </c>
      <c r="D99" s="534"/>
      <c r="E99" s="534"/>
      <c r="F99" s="534"/>
      <c r="G99" s="204">
        <f>G88</f>
        <v>8264.7629899999993</v>
      </c>
      <c r="H99" s="204"/>
      <c r="I99" s="53" t="str">
        <f>"Line "&amp;A88&amp;" Above"</f>
        <v>Line 8 Above</v>
      </c>
      <c r="J99" s="41">
        <f t="shared" si="3"/>
        <v>19</v>
      </c>
      <c r="L99" s="41"/>
    </row>
    <row r="100" spans="1:13" x14ac:dyDescent="0.35">
      <c r="A100" s="41">
        <f t="shared" si="2"/>
        <v>20</v>
      </c>
      <c r="B100" s="42" t="s">
        <v>200</v>
      </c>
      <c r="D100" s="534"/>
      <c r="E100" s="534"/>
      <c r="F100" s="534"/>
      <c r="G100" s="205">
        <f>G89</f>
        <v>4523442.3480143677</v>
      </c>
      <c r="H100" s="27" t="s">
        <v>16</v>
      </c>
      <c r="I100" s="53" t="str">
        <f>"Line "&amp;A89&amp;" Above"</f>
        <v>Line 9 Above</v>
      </c>
      <c r="J100" s="41">
        <f t="shared" si="3"/>
        <v>20</v>
      </c>
      <c r="L100" s="41"/>
    </row>
    <row r="101" spans="1:13" x14ac:dyDescent="0.35">
      <c r="A101" s="41">
        <f t="shared" si="2"/>
        <v>21</v>
      </c>
      <c r="B101" s="42" t="s">
        <v>201</v>
      </c>
      <c r="D101" s="534"/>
      <c r="E101" s="534"/>
      <c r="F101" s="534"/>
      <c r="G101" s="658">
        <f>G92</f>
        <v>1.6237318342198111E-2</v>
      </c>
      <c r="H101" s="27" t="s">
        <v>16</v>
      </c>
      <c r="I101" s="53" t="str">
        <f>"Line "&amp;A92&amp;" Above"</f>
        <v>Line 12 Above</v>
      </c>
      <c r="J101" s="41">
        <f t="shared" si="3"/>
        <v>21</v>
      </c>
    </row>
    <row r="102" spans="1:13" x14ac:dyDescent="0.35">
      <c r="A102" s="41">
        <f t="shared" si="2"/>
        <v>22</v>
      </c>
      <c r="B102" s="42" t="s">
        <v>202</v>
      </c>
      <c r="D102" s="534"/>
      <c r="E102" s="534"/>
      <c r="F102" s="534"/>
      <c r="G102" s="521" t="s">
        <v>203</v>
      </c>
      <c r="H102" s="534"/>
      <c r="I102" s="53" t="s">
        <v>204</v>
      </c>
      <c r="J102" s="41">
        <f t="shared" si="3"/>
        <v>22</v>
      </c>
    </row>
    <row r="103" spans="1:13" x14ac:dyDescent="0.35">
      <c r="A103" s="41">
        <f t="shared" si="2"/>
        <v>23</v>
      </c>
      <c r="B103" s="535"/>
      <c r="D103" s="534"/>
      <c r="E103" s="534"/>
      <c r="F103" s="534"/>
      <c r="G103" s="207"/>
      <c r="H103" s="207"/>
      <c r="I103" s="203"/>
      <c r="J103" s="41">
        <f t="shared" si="3"/>
        <v>23</v>
      </c>
    </row>
    <row r="104" spans="1:13" x14ac:dyDescent="0.35">
      <c r="A104" s="41">
        <f t="shared" si="2"/>
        <v>24</v>
      </c>
      <c r="B104" s="42" t="s">
        <v>205</v>
      </c>
      <c r="C104" s="41"/>
      <c r="D104" s="41"/>
      <c r="E104" s="534"/>
      <c r="F104" s="534"/>
      <c r="G104" s="659">
        <f>((G98)+(G99/G100)+G92)*G102/(1-G102)</f>
        <v>7.5249854213963793E-3</v>
      </c>
      <c r="H104" s="27" t="s">
        <v>16</v>
      </c>
      <c r="I104" s="53" t="s">
        <v>206</v>
      </c>
      <c r="J104" s="41">
        <f t="shared" si="3"/>
        <v>24</v>
      </c>
    </row>
    <row r="105" spans="1:13" x14ac:dyDescent="0.35">
      <c r="A105" s="41">
        <f t="shared" si="2"/>
        <v>25</v>
      </c>
      <c r="B105" s="199" t="s">
        <v>207</v>
      </c>
      <c r="G105" s="41"/>
      <c r="H105" s="41"/>
      <c r="I105" s="53"/>
      <c r="J105" s="41">
        <f t="shared" si="3"/>
        <v>25</v>
      </c>
      <c r="L105" s="41"/>
    </row>
    <row r="106" spans="1:13" x14ac:dyDescent="0.35">
      <c r="A106" s="41">
        <f t="shared" si="2"/>
        <v>26</v>
      </c>
      <c r="G106" s="41"/>
      <c r="H106" s="41"/>
      <c r="I106" s="53"/>
      <c r="J106" s="41">
        <f t="shared" si="3"/>
        <v>26</v>
      </c>
      <c r="L106" s="41"/>
    </row>
    <row r="107" spans="1:13" x14ac:dyDescent="0.35">
      <c r="A107" s="41">
        <f t="shared" si="2"/>
        <v>27</v>
      </c>
      <c r="B107" s="46" t="s">
        <v>208</v>
      </c>
      <c r="G107" s="657">
        <f>G104+G92</f>
        <v>2.3762303763594492E-2</v>
      </c>
      <c r="H107" s="27" t="s">
        <v>16</v>
      </c>
      <c r="I107" s="53" t="str">
        <f>"Line "&amp;A92&amp;" + Line "&amp;A104</f>
        <v>Line 12 + Line 24</v>
      </c>
      <c r="J107" s="41">
        <f t="shared" si="3"/>
        <v>27</v>
      </c>
      <c r="L107" s="41"/>
    </row>
    <row r="108" spans="1:13" x14ac:dyDescent="0.35">
      <c r="A108" s="41">
        <f t="shared" si="2"/>
        <v>28</v>
      </c>
      <c r="G108" s="41"/>
      <c r="H108" s="41"/>
      <c r="I108" s="53"/>
      <c r="J108" s="41">
        <f t="shared" si="3"/>
        <v>28</v>
      </c>
      <c r="L108" s="41"/>
    </row>
    <row r="109" spans="1:13" x14ac:dyDescent="0.35">
      <c r="A109" s="41">
        <f t="shared" si="2"/>
        <v>29</v>
      </c>
      <c r="B109" s="46" t="s">
        <v>209</v>
      </c>
      <c r="G109" s="523">
        <f>G51</f>
        <v>7.6903381456357389E-2</v>
      </c>
      <c r="H109" s="534"/>
      <c r="I109" s="53" t="str">
        <f>"AV1; Line "&amp;A51</f>
        <v>AV1; Line 40</v>
      </c>
      <c r="J109" s="41">
        <f t="shared" si="3"/>
        <v>29</v>
      </c>
      <c r="L109" s="41"/>
    </row>
    <row r="110" spans="1:13" x14ac:dyDescent="0.35">
      <c r="A110" s="41">
        <f t="shared" si="2"/>
        <v>30</v>
      </c>
      <c r="G110" s="175"/>
      <c r="H110" s="175"/>
      <c r="I110" s="53"/>
      <c r="J110" s="41">
        <f t="shared" si="3"/>
        <v>30</v>
      </c>
      <c r="L110" s="41"/>
    </row>
    <row r="111" spans="1:13" ht="18" thickBot="1" x14ac:dyDescent="0.4">
      <c r="A111" s="41">
        <f t="shared" si="2"/>
        <v>31</v>
      </c>
      <c r="B111" s="46" t="s">
        <v>337</v>
      </c>
      <c r="G111" s="660">
        <f>G107+G109</f>
        <v>0.10066568521995188</v>
      </c>
      <c r="H111" s="27" t="s">
        <v>16</v>
      </c>
      <c r="I111" s="53" t="str">
        <f>"Line "&amp;A107&amp;" + Line "&amp;A109</f>
        <v>Line 27 + Line 29</v>
      </c>
      <c r="J111" s="41">
        <f t="shared" si="3"/>
        <v>31</v>
      </c>
      <c r="L111" s="210"/>
      <c r="M111" s="198"/>
    </row>
    <row r="112" spans="1:13" ht="16" thickTop="1" x14ac:dyDescent="0.35">
      <c r="B112" s="46"/>
      <c r="G112" s="208"/>
      <c r="H112" s="208"/>
      <c r="I112" s="53"/>
      <c r="J112" s="41"/>
      <c r="L112" s="210"/>
      <c r="M112" s="198"/>
    </row>
    <row r="113" spans="1:13" x14ac:dyDescent="0.35">
      <c r="B113" s="46"/>
      <c r="G113" s="212"/>
      <c r="H113" s="212"/>
      <c r="I113" s="53"/>
      <c r="J113" s="41"/>
      <c r="L113" s="210"/>
      <c r="M113" s="198"/>
    </row>
    <row r="114" spans="1:13" x14ac:dyDescent="0.35">
      <c r="A114" s="27" t="s">
        <v>16</v>
      </c>
      <c r="B114" s="24" t="s">
        <v>611</v>
      </c>
      <c r="G114" s="212"/>
      <c r="H114" s="212"/>
      <c r="I114" s="53"/>
      <c r="J114" s="41"/>
      <c r="L114" s="210"/>
      <c r="M114" s="198"/>
    </row>
    <row r="115" spans="1:13" x14ac:dyDescent="0.35">
      <c r="A115" s="27"/>
      <c r="B115" s="24" t="s">
        <v>559</v>
      </c>
      <c r="G115" s="212"/>
      <c r="H115" s="212"/>
      <c r="I115" s="53"/>
      <c r="J115" s="41"/>
      <c r="L115" s="210"/>
      <c r="M115" s="198"/>
    </row>
    <row r="116" spans="1:13" ht="18.5" x14ac:dyDescent="0.35">
      <c r="A116" s="524">
        <v>1</v>
      </c>
      <c r="B116" s="20" t="s">
        <v>338</v>
      </c>
      <c r="G116" s="212"/>
      <c r="H116" s="212"/>
      <c r="I116" s="53"/>
      <c r="J116" s="41"/>
      <c r="L116" s="210"/>
      <c r="M116" s="198"/>
    </row>
    <row r="117" spans="1:13" ht="18.5" x14ac:dyDescent="0.35">
      <c r="A117" s="524"/>
      <c r="B117" s="20"/>
      <c r="G117" s="212"/>
      <c r="H117" s="212"/>
      <c r="I117" s="53"/>
      <c r="J117" s="41"/>
      <c r="L117" s="210"/>
      <c r="M117" s="198"/>
    </row>
    <row r="118" spans="1:13" x14ac:dyDescent="0.35">
      <c r="A118" s="213"/>
      <c r="B118" s="535"/>
      <c r="C118" s="43"/>
      <c r="D118" s="43"/>
      <c r="E118" s="43"/>
      <c r="F118" s="43"/>
      <c r="G118" s="214"/>
      <c r="H118" s="214"/>
      <c r="I118" s="525"/>
      <c r="J118" s="41"/>
    </row>
    <row r="119" spans="1:13" x14ac:dyDescent="0.35">
      <c r="B119" s="758" t="s">
        <v>24</v>
      </c>
      <c r="C119" s="758"/>
      <c r="D119" s="758"/>
      <c r="E119" s="758"/>
      <c r="F119" s="758"/>
      <c r="G119" s="758"/>
      <c r="H119" s="758"/>
      <c r="I119" s="758"/>
    </row>
    <row r="120" spans="1:13" x14ac:dyDescent="0.35">
      <c r="B120" s="758" t="s">
        <v>127</v>
      </c>
      <c r="C120" s="758"/>
      <c r="D120" s="758"/>
      <c r="E120" s="758"/>
      <c r="F120" s="758"/>
      <c r="G120" s="758"/>
      <c r="H120" s="758"/>
      <c r="I120" s="758"/>
    </row>
    <row r="121" spans="1:13" x14ac:dyDescent="0.35">
      <c r="B121" s="758" t="s">
        <v>128</v>
      </c>
      <c r="C121" s="758"/>
      <c r="D121" s="758"/>
      <c r="E121" s="758"/>
      <c r="F121" s="758"/>
      <c r="G121" s="758"/>
      <c r="H121" s="758"/>
      <c r="I121" s="758"/>
    </row>
    <row r="122" spans="1:13" x14ac:dyDescent="0.35">
      <c r="B122" s="761" t="str">
        <f>B6</f>
        <v>Base Period &amp; True-Up Period 12 - Months Ending December 31, 2020</v>
      </c>
      <c r="C122" s="761"/>
      <c r="D122" s="761"/>
      <c r="E122" s="761"/>
      <c r="F122" s="761"/>
      <c r="G122" s="761"/>
      <c r="H122" s="761"/>
      <c r="I122" s="761"/>
    </row>
    <row r="123" spans="1:13" x14ac:dyDescent="0.35">
      <c r="B123" s="760" t="s">
        <v>1</v>
      </c>
      <c r="C123" s="762"/>
      <c r="D123" s="762"/>
      <c r="E123" s="762"/>
      <c r="F123" s="762"/>
      <c r="G123" s="762"/>
      <c r="H123" s="762"/>
      <c r="I123" s="762"/>
    </row>
    <row r="125" spans="1:13" x14ac:dyDescent="0.35">
      <c r="A125" s="41" t="s">
        <v>2</v>
      </c>
      <c r="B125" s="534"/>
      <c r="C125" s="534"/>
      <c r="D125" s="534"/>
      <c r="E125" s="534"/>
      <c r="F125" s="534"/>
      <c r="G125" s="534"/>
      <c r="H125" s="534"/>
      <c r="I125" s="53"/>
      <c r="J125" s="41" t="s">
        <v>2</v>
      </c>
    </row>
    <row r="126" spans="1:13" x14ac:dyDescent="0.35">
      <c r="A126" s="41" t="s">
        <v>6</v>
      </c>
      <c r="B126" s="41"/>
      <c r="C126" s="41"/>
      <c r="D126" s="41"/>
      <c r="E126" s="41"/>
      <c r="F126" s="41"/>
      <c r="G126" s="455" t="s">
        <v>4</v>
      </c>
      <c r="H126" s="534"/>
      <c r="I126" s="508" t="s">
        <v>5</v>
      </c>
      <c r="J126" s="41" t="s">
        <v>6</v>
      </c>
    </row>
    <row r="128" spans="1:13" ht="17.5" x14ac:dyDescent="0.35">
      <c r="A128" s="41">
        <v>1</v>
      </c>
      <c r="B128" s="46" t="s">
        <v>339</v>
      </c>
      <c r="J128" s="41">
        <v>1</v>
      </c>
    </row>
    <row r="129" spans="1:10" x14ac:dyDescent="0.35">
      <c r="A129" s="41">
        <f>A128+1</f>
        <v>2</v>
      </c>
      <c r="B129" s="188"/>
      <c r="J129" s="41">
        <f>J128+1</f>
        <v>2</v>
      </c>
    </row>
    <row r="130" spans="1:10" x14ac:dyDescent="0.35">
      <c r="A130" s="41">
        <f>A129+1</f>
        <v>3</v>
      </c>
      <c r="B130" s="46" t="s">
        <v>335</v>
      </c>
      <c r="J130" s="41">
        <f>J129+1</f>
        <v>3</v>
      </c>
    </row>
    <row r="131" spans="1:10" x14ac:dyDescent="0.35">
      <c r="A131" s="41">
        <f>A130+1</f>
        <v>4</v>
      </c>
      <c r="B131" s="534"/>
      <c r="J131" s="41">
        <f>J130+1</f>
        <v>4</v>
      </c>
    </row>
    <row r="132" spans="1:10" x14ac:dyDescent="0.35">
      <c r="A132" s="41">
        <f t="shared" ref="A132:A158" si="4">A131+1</f>
        <v>5</v>
      </c>
      <c r="B132" s="48" t="s">
        <v>188</v>
      </c>
      <c r="J132" s="41">
        <f t="shared" ref="J132:J158" si="5">J131+1</f>
        <v>5</v>
      </c>
    </row>
    <row r="133" spans="1:10" x14ac:dyDescent="0.35">
      <c r="A133" s="41">
        <f t="shared" si="4"/>
        <v>6</v>
      </c>
      <c r="B133" s="42" t="str">
        <f>B86</f>
        <v xml:space="preserve">     A = Sum of Preferred Stock and Return on Equity Component</v>
      </c>
      <c r="G133" s="190">
        <f>G66</f>
        <v>0</v>
      </c>
      <c r="I133" s="53" t="str">
        <f>"AV1; Line "&amp;A66</f>
        <v>AV1; Line 55</v>
      </c>
      <c r="J133" s="41">
        <f t="shared" si="5"/>
        <v>6</v>
      </c>
    </row>
    <row r="134" spans="1:10" x14ac:dyDescent="0.35">
      <c r="A134" s="41">
        <f t="shared" si="4"/>
        <v>7</v>
      </c>
      <c r="B134" s="42" t="str">
        <f>B87</f>
        <v xml:space="preserve">     B = Transmission Total Federal Tax Adjustments</v>
      </c>
      <c r="G134" s="211">
        <v>0</v>
      </c>
      <c r="I134" s="184" t="s">
        <v>19</v>
      </c>
      <c r="J134" s="41">
        <f t="shared" si="5"/>
        <v>7</v>
      </c>
    </row>
    <row r="135" spans="1:10" x14ac:dyDescent="0.35">
      <c r="A135" s="41">
        <f t="shared" si="4"/>
        <v>8</v>
      </c>
      <c r="B135" s="42" t="s">
        <v>191</v>
      </c>
      <c r="G135" s="526">
        <v>0</v>
      </c>
      <c r="I135" s="184" t="s">
        <v>19</v>
      </c>
      <c r="J135" s="41">
        <f t="shared" si="5"/>
        <v>8</v>
      </c>
    </row>
    <row r="136" spans="1:10" x14ac:dyDescent="0.35">
      <c r="A136" s="41">
        <f t="shared" si="4"/>
        <v>9</v>
      </c>
      <c r="B136" s="42" t="s">
        <v>210</v>
      </c>
      <c r="G136" s="526">
        <v>0</v>
      </c>
      <c r="I136" s="184" t="s">
        <v>19</v>
      </c>
      <c r="J136" s="41">
        <f t="shared" si="5"/>
        <v>9</v>
      </c>
    </row>
    <row r="137" spans="1:10" x14ac:dyDescent="0.35">
      <c r="A137" s="41">
        <f t="shared" si="4"/>
        <v>10</v>
      </c>
      <c r="B137" s="42" t="str">
        <f>B90</f>
        <v xml:space="preserve">     FT = Federal Income Tax Rate for Rate Effective Period</v>
      </c>
      <c r="G137" s="527">
        <f>G90</f>
        <v>0.21</v>
      </c>
      <c r="I137" s="53" t="str">
        <f>"AV2; Line "&amp;A90</f>
        <v>AV2; Line 10</v>
      </c>
      <c r="J137" s="41">
        <f t="shared" si="5"/>
        <v>10</v>
      </c>
    </row>
    <row r="138" spans="1:10" x14ac:dyDescent="0.35">
      <c r="A138" s="41">
        <f t="shared" si="4"/>
        <v>11</v>
      </c>
      <c r="G138" s="41"/>
      <c r="J138" s="41">
        <f t="shared" si="5"/>
        <v>11</v>
      </c>
    </row>
    <row r="139" spans="1:10" x14ac:dyDescent="0.35">
      <c r="A139" s="41">
        <f t="shared" si="4"/>
        <v>12</v>
      </c>
      <c r="B139" s="42" t="s">
        <v>211</v>
      </c>
      <c r="G139" s="197">
        <f>IFERROR((((G133)+(G135/G136))*G137-(G134/G136))/(1-G137),0)</f>
        <v>0</v>
      </c>
      <c r="I139" s="53" t="s">
        <v>212</v>
      </c>
      <c r="J139" s="41">
        <f t="shared" si="5"/>
        <v>12</v>
      </c>
    </row>
    <row r="140" spans="1:10" x14ac:dyDescent="0.35">
      <c r="A140" s="41">
        <f t="shared" si="4"/>
        <v>13</v>
      </c>
      <c r="B140" s="199" t="s">
        <v>197</v>
      </c>
      <c r="G140" s="183"/>
      <c r="J140" s="41">
        <f t="shared" si="5"/>
        <v>13</v>
      </c>
    </row>
    <row r="141" spans="1:10" x14ac:dyDescent="0.35">
      <c r="A141" s="41">
        <f t="shared" si="4"/>
        <v>14</v>
      </c>
      <c r="G141" s="41"/>
      <c r="J141" s="41">
        <f t="shared" si="5"/>
        <v>14</v>
      </c>
    </row>
    <row r="142" spans="1:10" x14ac:dyDescent="0.35">
      <c r="A142" s="41">
        <f t="shared" si="4"/>
        <v>15</v>
      </c>
      <c r="B142" s="46" t="s">
        <v>198</v>
      </c>
      <c r="G142" s="200"/>
      <c r="I142" s="201"/>
      <c r="J142" s="41">
        <f t="shared" si="5"/>
        <v>15</v>
      </c>
    </row>
    <row r="143" spans="1:10" x14ac:dyDescent="0.35">
      <c r="A143" s="41">
        <f t="shared" si="4"/>
        <v>16</v>
      </c>
      <c r="B143" s="57"/>
      <c r="G143" s="200"/>
      <c r="I143" s="189"/>
      <c r="J143" s="41">
        <f t="shared" si="5"/>
        <v>16</v>
      </c>
    </row>
    <row r="144" spans="1:10" x14ac:dyDescent="0.35">
      <c r="A144" s="41">
        <f t="shared" si="4"/>
        <v>17</v>
      </c>
      <c r="B144" s="48" t="s">
        <v>188</v>
      </c>
      <c r="G144" s="200"/>
      <c r="I144" s="189"/>
      <c r="J144" s="41">
        <f t="shared" si="5"/>
        <v>17</v>
      </c>
    </row>
    <row r="145" spans="1:10" x14ac:dyDescent="0.35">
      <c r="A145" s="41">
        <f t="shared" si="4"/>
        <v>18</v>
      </c>
      <c r="B145" s="42" t="str">
        <f>B98</f>
        <v xml:space="preserve">     A = Sum of Preferred Stock and Return on Equity Component</v>
      </c>
      <c r="G145" s="175">
        <f>G133</f>
        <v>0</v>
      </c>
      <c r="I145" s="53" t="str">
        <f>"Line "&amp;A133&amp;" Above"</f>
        <v>Line 6 Above</v>
      </c>
      <c r="J145" s="41">
        <f t="shared" si="5"/>
        <v>18</v>
      </c>
    </row>
    <row r="146" spans="1:10" x14ac:dyDescent="0.35">
      <c r="A146" s="41">
        <f t="shared" si="4"/>
        <v>19</v>
      </c>
      <c r="B146" s="42" t="str">
        <f>B99</f>
        <v xml:space="preserve">     B = Equity AFUDC Component of Transmission Depreciation Expense</v>
      </c>
      <c r="G146" s="204">
        <f>G135</f>
        <v>0</v>
      </c>
      <c r="I146" s="53" t="str">
        <f>"Line "&amp;A135&amp;" Above"</f>
        <v>Line 8 Above</v>
      </c>
      <c r="J146" s="41">
        <f t="shared" si="5"/>
        <v>19</v>
      </c>
    </row>
    <row r="147" spans="1:10" x14ac:dyDescent="0.35">
      <c r="A147" s="41">
        <f t="shared" si="4"/>
        <v>20</v>
      </c>
      <c r="B147" s="42" t="s">
        <v>213</v>
      </c>
      <c r="G147" s="204">
        <f>G136</f>
        <v>0</v>
      </c>
      <c r="I147" s="53" t="str">
        <f>"Line "&amp;A136&amp;" Above"</f>
        <v>Line 9 Above</v>
      </c>
      <c r="J147" s="41">
        <f t="shared" si="5"/>
        <v>20</v>
      </c>
    </row>
    <row r="148" spans="1:10" x14ac:dyDescent="0.35">
      <c r="A148" s="41">
        <f t="shared" si="4"/>
        <v>21</v>
      </c>
      <c r="B148" s="42" t="str">
        <f>B101</f>
        <v xml:space="preserve">     FT = Federal Income Tax Expense</v>
      </c>
      <c r="G148" s="206">
        <f>G139</f>
        <v>0</v>
      </c>
      <c r="I148" s="53" t="str">
        <f>"Line "&amp;A139&amp;" Above"</f>
        <v>Line 12 Above</v>
      </c>
      <c r="J148" s="41">
        <f t="shared" si="5"/>
        <v>21</v>
      </c>
    </row>
    <row r="149" spans="1:10" x14ac:dyDescent="0.35">
      <c r="A149" s="41">
        <f t="shared" si="4"/>
        <v>22</v>
      </c>
      <c r="B149" s="42" t="str">
        <f>B102</f>
        <v xml:space="preserve">     ST = State Income Tax Rate for Rate Effective Period</v>
      </c>
      <c r="G149" s="528" t="str">
        <f>G102</f>
        <v>8.84%</v>
      </c>
      <c r="I149" s="53" t="str">
        <f>"AV2; Line "&amp;A102</f>
        <v>AV2; Line 22</v>
      </c>
      <c r="J149" s="41">
        <f t="shared" si="5"/>
        <v>22</v>
      </c>
    </row>
    <row r="150" spans="1:10" x14ac:dyDescent="0.35">
      <c r="A150" s="41">
        <f t="shared" si="4"/>
        <v>23</v>
      </c>
      <c r="B150" s="535"/>
      <c r="G150" s="207"/>
      <c r="I150" s="203"/>
      <c r="J150" s="41">
        <f t="shared" si="5"/>
        <v>23</v>
      </c>
    </row>
    <row r="151" spans="1:10" x14ac:dyDescent="0.35">
      <c r="A151" s="41">
        <f t="shared" si="4"/>
        <v>24</v>
      </c>
      <c r="B151" s="42" t="s">
        <v>205</v>
      </c>
      <c r="G151" s="522">
        <f>IFERROR(((G145)+(G146/G147)+G139)*G149/(1-G149),0)</f>
        <v>0</v>
      </c>
      <c r="I151" s="53" t="s">
        <v>206</v>
      </c>
      <c r="J151" s="41">
        <f t="shared" si="5"/>
        <v>24</v>
      </c>
    </row>
    <row r="152" spans="1:10" x14ac:dyDescent="0.35">
      <c r="A152" s="41">
        <f t="shared" si="4"/>
        <v>25</v>
      </c>
      <c r="B152" s="199" t="s">
        <v>207</v>
      </c>
      <c r="G152" s="41"/>
      <c r="I152" s="53"/>
      <c r="J152" s="41">
        <f t="shared" si="5"/>
        <v>25</v>
      </c>
    </row>
    <row r="153" spans="1:10" x14ac:dyDescent="0.35">
      <c r="A153" s="41">
        <f t="shared" si="4"/>
        <v>26</v>
      </c>
      <c r="G153" s="41"/>
      <c r="I153" s="53"/>
      <c r="J153" s="41">
        <f t="shared" si="5"/>
        <v>26</v>
      </c>
    </row>
    <row r="154" spans="1:10" x14ac:dyDescent="0.35">
      <c r="A154" s="41">
        <f t="shared" si="4"/>
        <v>27</v>
      </c>
      <c r="B154" s="46" t="s">
        <v>208</v>
      </c>
      <c r="G154" s="197">
        <f>G151+G139</f>
        <v>0</v>
      </c>
      <c r="I154" s="53" t="str">
        <f>"Line "&amp;A139&amp;" + Line "&amp;A151</f>
        <v>Line 12 + Line 24</v>
      </c>
      <c r="J154" s="41">
        <f t="shared" si="5"/>
        <v>27</v>
      </c>
    </row>
    <row r="155" spans="1:10" x14ac:dyDescent="0.35">
      <c r="A155" s="41">
        <f t="shared" si="4"/>
        <v>28</v>
      </c>
      <c r="G155" s="41"/>
      <c r="I155" s="53"/>
      <c r="J155" s="41">
        <f t="shared" si="5"/>
        <v>28</v>
      </c>
    </row>
    <row r="156" spans="1:10" x14ac:dyDescent="0.35">
      <c r="A156" s="41">
        <f t="shared" si="4"/>
        <v>29</v>
      </c>
      <c r="B156" s="46" t="s">
        <v>214</v>
      </c>
      <c r="G156" s="529">
        <f>G64</f>
        <v>0</v>
      </c>
      <c r="I156" s="53" t="str">
        <f>"AV1; Line "&amp;A64</f>
        <v>AV1; Line 53</v>
      </c>
      <c r="J156" s="41">
        <f t="shared" si="5"/>
        <v>29</v>
      </c>
    </row>
    <row r="157" spans="1:10" x14ac:dyDescent="0.35">
      <c r="A157" s="41">
        <f t="shared" si="4"/>
        <v>30</v>
      </c>
      <c r="G157" s="41"/>
      <c r="I157" s="53"/>
      <c r="J157" s="41">
        <f t="shared" si="5"/>
        <v>30</v>
      </c>
    </row>
    <row r="158" spans="1:10" ht="18" thickBot="1" x14ac:dyDescent="0.4">
      <c r="A158" s="41">
        <f t="shared" si="4"/>
        <v>31</v>
      </c>
      <c r="B158" s="46" t="s">
        <v>340</v>
      </c>
      <c r="G158" s="215">
        <f>G154+G156</f>
        <v>0</v>
      </c>
      <c r="I158" s="53" t="str">
        <f>"Line "&amp;A154&amp;" + Line "&amp;A156</f>
        <v>Line 27 + Line 29</v>
      </c>
      <c r="J158" s="41">
        <f t="shared" si="5"/>
        <v>31</v>
      </c>
    </row>
    <row r="159" spans="1:10" ht="16" thickTop="1" x14ac:dyDescent="0.35"/>
    <row r="161" spans="1:2" ht="18" x14ac:dyDescent="0.35">
      <c r="A161" s="71"/>
      <c r="B161" s="20"/>
    </row>
  </sheetData>
  <mergeCells count="15">
    <mergeCell ref="B3:I3"/>
    <mergeCell ref="B72:I72"/>
    <mergeCell ref="B123:I123"/>
    <mergeCell ref="B120:I120"/>
    <mergeCell ref="B121:I121"/>
    <mergeCell ref="B122:I122"/>
    <mergeCell ref="B74:I74"/>
    <mergeCell ref="B75:I75"/>
    <mergeCell ref="B76:I76"/>
    <mergeCell ref="B119:I119"/>
    <mergeCell ref="B73:I7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9" fitToWidth="3" fitToHeight="3" orientation="portrait" r:id="rId1"/>
  <headerFooter scaleWithDoc="0" alignWithMargins="0">
    <oddHeader>&amp;C&amp;"Times New Roman,Bold"&amp;7AS FILED STMT AV WITH COST ADJ. INCL. IN APPENDIX XII CYCLE 5 (ER23-110)</oddHeader>
    <oddFooter>&amp;L&amp;F&amp;CPage 11.&amp;P&amp;R&amp;A</oddFooter>
  </headerFooter>
  <rowBreaks count="2" manualBreakCount="2">
    <brk id="70" max="9" man="1"/>
    <brk id="117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52ED-41FC-4DCB-BE64-590F0CFFF747}">
  <dimension ref="A1:H89"/>
  <sheetViews>
    <sheetView zoomScale="80" zoomScaleNormal="80" workbookViewId="0"/>
  </sheetViews>
  <sheetFormatPr defaultColWidth="8.81640625" defaultRowHeight="15.5" x14ac:dyDescent="0.35"/>
  <cols>
    <col min="1" max="1" width="5.1796875" style="605" customWidth="1"/>
    <col min="2" max="2" width="85.453125" style="552" customWidth="1"/>
    <col min="3" max="3" width="19.54296875" style="552" customWidth="1"/>
    <col min="4" max="4" width="1.54296875" style="552" customWidth="1"/>
    <col min="5" max="5" width="46.26953125" style="552" customWidth="1"/>
    <col min="6" max="6" width="5.1796875" style="605" customWidth="1"/>
    <col min="7" max="16384" width="8.81640625" style="552"/>
  </cols>
  <sheetData>
    <row r="1" spans="1:6" x14ac:dyDescent="0.35">
      <c r="A1" s="537"/>
      <c r="B1" s="225"/>
      <c r="C1" s="551"/>
      <c r="D1" s="551"/>
      <c r="E1" s="532"/>
      <c r="F1" s="537"/>
    </row>
    <row r="2" spans="1:6" x14ac:dyDescent="0.35">
      <c r="A2" s="537"/>
      <c r="B2" s="751" t="s">
        <v>24</v>
      </c>
      <c r="C2" s="769"/>
      <c r="D2" s="769"/>
      <c r="E2" s="769"/>
      <c r="F2" s="537"/>
    </row>
    <row r="3" spans="1:6" x14ac:dyDescent="0.35">
      <c r="A3" s="537" t="s">
        <v>11</v>
      </c>
      <c r="B3" s="751" t="s">
        <v>344</v>
      </c>
      <c r="C3" s="769"/>
      <c r="D3" s="769"/>
      <c r="E3" s="769"/>
      <c r="F3" s="537" t="s">
        <v>11</v>
      </c>
    </row>
    <row r="4" spans="1:6" x14ac:dyDescent="0.35">
      <c r="A4" s="537"/>
      <c r="B4" s="770" t="s">
        <v>542</v>
      </c>
      <c r="C4" s="771"/>
      <c r="D4" s="771"/>
      <c r="E4" s="771"/>
      <c r="F4" s="537"/>
    </row>
    <row r="5" spans="1:6" x14ac:dyDescent="0.35">
      <c r="A5" s="537"/>
      <c r="B5" s="772" t="s">
        <v>1</v>
      </c>
      <c r="C5" s="769"/>
      <c r="D5" s="769"/>
      <c r="E5" s="769"/>
      <c r="F5" s="537"/>
    </row>
    <row r="6" spans="1:6" x14ac:dyDescent="0.35">
      <c r="A6" s="537"/>
      <c r="B6" s="553"/>
      <c r="C6" s="225"/>
      <c r="D6" s="225"/>
      <c r="E6" s="225"/>
      <c r="F6" s="537"/>
    </row>
    <row r="7" spans="1:6" x14ac:dyDescent="0.35">
      <c r="A7" s="537" t="s">
        <v>2</v>
      </c>
      <c r="B7" s="225"/>
      <c r="C7" s="554"/>
      <c r="D7" s="554"/>
      <c r="E7" s="224"/>
      <c r="F7" s="537" t="s">
        <v>2</v>
      </c>
    </row>
    <row r="8" spans="1:6" x14ac:dyDescent="0.35">
      <c r="A8" s="537" t="s">
        <v>6</v>
      </c>
      <c r="B8" s="225" t="s">
        <v>11</v>
      </c>
      <c r="C8" s="555" t="s">
        <v>4</v>
      </c>
      <c r="D8" s="554"/>
      <c r="E8" s="556" t="s">
        <v>5</v>
      </c>
      <c r="F8" s="537" t="s">
        <v>6</v>
      </c>
    </row>
    <row r="9" spans="1:6" x14ac:dyDescent="0.35">
      <c r="A9" s="537"/>
      <c r="B9" s="458" t="s">
        <v>345</v>
      </c>
      <c r="C9" s="557"/>
      <c r="D9" s="554"/>
      <c r="E9" s="224"/>
      <c r="F9" s="537"/>
    </row>
    <row r="10" spans="1:6" x14ac:dyDescent="0.35">
      <c r="A10" s="537"/>
      <c r="B10" s="558"/>
      <c r="C10" s="557"/>
      <c r="D10" s="554"/>
      <c r="E10" s="224"/>
      <c r="F10" s="537"/>
    </row>
    <row r="11" spans="1:6" x14ac:dyDescent="0.35">
      <c r="A11" s="537">
        <v>1</v>
      </c>
      <c r="B11" s="458" t="s">
        <v>346</v>
      </c>
      <c r="C11" s="557"/>
      <c r="D11" s="557"/>
      <c r="E11" s="224"/>
      <c r="F11" s="537">
        <f>A11</f>
        <v>1</v>
      </c>
    </row>
    <row r="12" spans="1:6" x14ac:dyDescent="0.35">
      <c r="A12" s="537">
        <f>A11+1</f>
        <v>2</v>
      </c>
      <c r="B12" s="246" t="s">
        <v>347</v>
      </c>
      <c r="C12" s="559">
        <f>C79</f>
        <v>5272366.49687846</v>
      </c>
      <c r="D12" s="560"/>
      <c r="E12" s="273" t="s">
        <v>479</v>
      </c>
      <c r="F12" s="537">
        <f>F11+1</f>
        <v>2</v>
      </c>
    </row>
    <row r="13" spans="1:6" x14ac:dyDescent="0.35">
      <c r="A13" s="537">
        <f t="shared" ref="A13:A48" si="0">A12+1</f>
        <v>3</v>
      </c>
      <c r="B13" s="246" t="s">
        <v>20</v>
      </c>
      <c r="C13" s="561">
        <f>C80</f>
        <v>3383.5254047790368</v>
      </c>
      <c r="D13" s="562"/>
      <c r="E13" s="273" t="s">
        <v>480</v>
      </c>
      <c r="F13" s="537">
        <f t="shared" ref="F13:F48" si="1">F12+1</f>
        <v>3</v>
      </c>
    </row>
    <row r="14" spans="1:6" x14ac:dyDescent="0.35">
      <c r="A14" s="537">
        <f t="shared" si="0"/>
        <v>4</v>
      </c>
      <c r="B14" s="246" t="s">
        <v>21</v>
      </c>
      <c r="C14" s="561">
        <f>C81</f>
        <v>28018.267765879718</v>
      </c>
      <c r="D14" s="562"/>
      <c r="E14" s="273" t="s">
        <v>481</v>
      </c>
      <c r="F14" s="537">
        <f t="shared" si="1"/>
        <v>4</v>
      </c>
    </row>
    <row r="15" spans="1:6" x14ac:dyDescent="0.35">
      <c r="A15" s="537">
        <f t="shared" si="0"/>
        <v>5</v>
      </c>
      <c r="B15" s="246" t="s">
        <v>348</v>
      </c>
      <c r="C15" s="563">
        <f>C82</f>
        <v>58941.050956189742</v>
      </c>
      <c r="D15" s="562"/>
      <c r="E15" s="273" t="s">
        <v>482</v>
      </c>
      <c r="F15" s="537">
        <f t="shared" si="1"/>
        <v>5</v>
      </c>
    </row>
    <row r="16" spans="1:6" x14ac:dyDescent="0.35">
      <c r="A16" s="537">
        <f t="shared" si="0"/>
        <v>6</v>
      </c>
      <c r="B16" s="246" t="s">
        <v>349</v>
      </c>
      <c r="C16" s="564">
        <f>SUM(C12:C15)</f>
        <v>5362709.3410053086</v>
      </c>
      <c r="D16" s="565"/>
      <c r="E16" s="273" t="s">
        <v>473</v>
      </c>
      <c r="F16" s="537">
        <f t="shared" si="1"/>
        <v>6</v>
      </c>
    </row>
    <row r="17" spans="1:6" x14ac:dyDescent="0.35">
      <c r="A17" s="537">
        <f t="shared" si="0"/>
        <v>7</v>
      </c>
      <c r="B17" s="340"/>
      <c r="C17" s="566"/>
      <c r="D17" s="567"/>
      <c r="E17" s="224"/>
      <c r="F17" s="537">
        <f t="shared" si="1"/>
        <v>7</v>
      </c>
    </row>
    <row r="18" spans="1:6" x14ac:dyDescent="0.35">
      <c r="A18" s="537">
        <f t="shared" si="0"/>
        <v>8</v>
      </c>
      <c r="B18" s="458" t="s">
        <v>350</v>
      </c>
      <c r="C18" s="566"/>
      <c r="D18" s="567"/>
      <c r="E18" s="224"/>
      <c r="F18" s="537">
        <f t="shared" si="1"/>
        <v>8</v>
      </c>
    </row>
    <row r="19" spans="1:6" x14ac:dyDescent="0.35">
      <c r="A19" s="537">
        <f t="shared" si="0"/>
        <v>9</v>
      </c>
      <c r="B19" s="246" t="s">
        <v>351</v>
      </c>
      <c r="C19" s="568">
        <v>0</v>
      </c>
      <c r="D19" s="554"/>
      <c r="E19" s="273" t="s">
        <v>483</v>
      </c>
      <c r="F19" s="537">
        <f t="shared" si="1"/>
        <v>9</v>
      </c>
    </row>
    <row r="20" spans="1:6" x14ac:dyDescent="0.35">
      <c r="A20" s="537">
        <f t="shared" si="0"/>
        <v>10</v>
      </c>
      <c r="B20" s="246" t="s">
        <v>352</v>
      </c>
      <c r="C20" s="569">
        <v>0</v>
      </c>
      <c r="D20" s="554"/>
      <c r="E20" s="273" t="s">
        <v>484</v>
      </c>
      <c r="F20" s="537">
        <f t="shared" si="1"/>
        <v>10</v>
      </c>
    </row>
    <row r="21" spans="1:6" x14ac:dyDescent="0.35">
      <c r="A21" s="537">
        <f t="shared" si="0"/>
        <v>11</v>
      </c>
      <c r="B21" s="246" t="s">
        <v>353</v>
      </c>
      <c r="C21" s="570">
        <f>C19+C20</f>
        <v>0</v>
      </c>
      <c r="D21" s="571"/>
      <c r="E21" s="273" t="s">
        <v>485</v>
      </c>
      <c r="F21" s="537">
        <f t="shared" si="1"/>
        <v>11</v>
      </c>
    </row>
    <row r="22" spans="1:6" x14ac:dyDescent="0.35">
      <c r="A22" s="537">
        <f t="shared" si="0"/>
        <v>12</v>
      </c>
      <c r="B22" s="246"/>
      <c r="C22" s="572"/>
      <c r="D22" s="551"/>
      <c r="E22" s="224"/>
      <c r="F22" s="537">
        <f t="shared" si="1"/>
        <v>12</v>
      </c>
    </row>
    <row r="23" spans="1:6" x14ac:dyDescent="0.35">
      <c r="A23" s="537">
        <f t="shared" si="0"/>
        <v>13</v>
      </c>
      <c r="B23" s="458" t="s">
        <v>354</v>
      </c>
      <c r="C23" s="566"/>
      <c r="D23" s="567"/>
      <c r="E23" s="224"/>
      <c r="F23" s="537">
        <f t="shared" si="1"/>
        <v>13</v>
      </c>
    </row>
    <row r="24" spans="1:6" x14ac:dyDescent="0.35">
      <c r="A24" s="537">
        <f t="shared" si="0"/>
        <v>14</v>
      </c>
      <c r="B24" s="340" t="s">
        <v>355</v>
      </c>
      <c r="C24" s="573">
        <v>-937258.99740447651</v>
      </c>
      <c r="D24" s="27"/>
      <c r="E24" s="273" t="s">
        <v>486</v>
      </c>
      <c r="F24" s="537">
        <f t="shared" si="1"/>
        <v>14</v>
      </c>
    </row>
    <row r="25" spans="1:6" x14ac:dyDescent="0.35">
      <c r="A25" s="537">
        <f t="shared" si="0"/>
        <v>15</v>
      </c>
      <c r="B25" s="340" t="s">
        <v>356</v>
      </c>
      <c r="C25" s="574">
        <v>0</v>
      </c>
      <c r="D25" s="554"/>
      <c r="E25" s="273" t="s">
        <v>487</v>
      </c>
      <c r="F25" s="537">
        <f t="shared" si="1"/>
        <v>15</v>
      </c>
    </row>
    <row r="26" spans="1:6" x14ac:dyDescent="0.35">
      <c r="A26" s="537">
        <f t="shared" si="0"/>
        <v>16</v>
      </c>
      <c r="B26" s="246" t="s">
        <v>357</v>
      </c>
      <c r="C26" s="564">
        <f>SUM(C24:C25)</f>
        <v>-937258.99740447651</v>
      </c>
      <c r="D26" s="27"/>
      <c r="E26" s="273" t="s">
        <v>488</v>
      </c>
      <c r="F26" s="537">
        <f t="shared" si="1"/>
        <v>16</v>
      </c>
    </row>
    <row r="27" spans="1:6" x14ac:dyDescent="0.35">
      <c r="A27" s="537">
        <f t="shared" si="0"/>
        <v>17</v>
      </c>
      <c r="B27" s="225"/>
      <c r="C27" s="575"/>
      <c r="D27" s="576"/>
      <c r="E27" s="224"/>
      <c r="F27" s="537">
        <f t="shared" si="1"/>
        <v>17</v>
      </c>
    </row>
    <row r="28" spans="1:6" x14ac:dyDescent="0.35">
      <c r="A28" s="537">
        <f t="shared" si="0"/>
        <v>18</v>
      </c>
      <c r="B28" s="458" t="s">
        <v>358</v>
      </c>
      <c r="C28" s="575"/>
      <c r="D28" s="576"/>
      <c r="E28" s="224"/>
      <c r="F28" s="537">
        <f t="shared" si="1"/>
        <v>18</v>
      </c>
    </row>
    <row r="29" spans="1:6" x14ac:dyDescent="0.35">
      <c r="A29" s="537">
        <f t="shared" si="0"/>
        <v>19</v>
      </c>
      <c r="B29" s="246" t="s">
        <v>359</v>
      </c>
      <c r="C29" s="559">
        <f>'Pg9 Rev Stmt AL'!G15</f>
        <v>50955.986223078966</v>
      </c>
      <c r="D29" s="554"/>
      <c r="E29" s="273" t="s">
        <v>421</v>
      </c>
      <c r="F29" s="537">
        <f t="shared" si="1"/>
        <v>19</v>
      </c>
    </row>
    <row r="30" spans="1:6" x14ac:dyDescent="0.35">
      <c r="A30" s="537">
        <f t="shared" si="0"/>
        <v>20</v>
      </c>
      <c r="B30" s="246" t="s">
        <v>360</v>
      </c>
      <c r="C30" s="561">
        <f>'Pg9 Rev Stmt AL'!G19</f>
        <v>37080.695383757316</v>
      </c>
      <c r="D30" s="554"/>
      <c r="E30" s="273" t="s">
        <v>422</v>
      </c>
      <c r="F30" s="537">
        <f t="shared" si="1"/>
        <v>20</v>
      </c>
    </row>
    <row r="31" spans="1:6" x14ac:dyDescent="0.35">
      <c r="A31" s="537">
        <f t="shared" si="0"/>
        <v>21</v>
      </c>
      <c r="B31" s="246" t="s">
        <v>361</v>
      </c>
      <c r="C31" s="577">
        <f>'Pg9 Rev Stmt AL'!E29</f>
        <v>10168.18277163614</v>
      </c>
      <c r="D31" s="27" t="s">
        <v>16</v>
      </c>
      <c r="E31" s="273" t="s">
        <v>624</v>
      </c>
      <c r="F31" s="537">
        <f t="shared" si="1"/>
        <v>21</v>
      </c>
    </row>
    <row r="32" spans="1:6" x14ac:dyDescent="0.35">
      <c r="A32" s="537">
        <f t="shared" si="0"/>
        <v>22</v>
      </c>
      <c r="B32" s="246" t="s">
        <v>362</v>
      </c>
      <c r="C32" s="578">
        <f>SUM(C29:C31)</f>
        <v>98204.864378472426</v>
      </c>
      <c r="D32" s="27" t="s">
        <v>16</v>
      </c>
      <c r="E32" s="273" t="s">
        <v>489</v>
      </c>
      <c r="F32" s="537">
        <f t="shared" si="1"/>
        <v>22</v>
      </c>
    </row>
    <row r="33" spans="1:6" x14ac:dyDescent="0.35">
      <c r="A33" s="537">
        <f t="shared" si="0"/>
        <v>23</v>
      </c>
      <c r="B33" s="249"/>
      <c r="C33" s="579"/>
      <c r="D33" s="580"/>
      <c r="E33" s="224"/>
      <c r="F33" s="537">
        <f t="shared" si="1"/>
        <v>23</v>
      </c>
    </row>
    <row r="34" spans="1:6" x14ac:dyDescent="0.35">
      <c r="A34" s="537">
        <f t="shared" si="0"/>
        <v>24</v>
      </c>
      <c r="B34" s="246" t="s">
        <v>363</v>
      </c>
      <c r="C34" s="581">
        <v>0</v>
      </c>
      <c r="D34" s="554"/>
      <c r="E34" s="273" t="s">
        <v>490</v>
      </c>
      <c r="F34" s="537">
        <f t="shared" si="1"/>
        <v>24</v>
      </c>
    </row>
    <row r="35" spans="1:6" x14ac:dyDescent="0.35">
      <c r="A35" s="537">
        <f t="shared" si="0"/>
        <v>25</v>
      </c>
      <c r="B35" s="246"/>
      <c r="C35" s="579"/>
      <c r="D35" s="580"/>
      <c r="E35" s="224"/>
      <c r="F35" s="537">
        <f t="shared" si="1"/>
        <v>25</v>
      </c>
    </row>
    <row r="36" spans="1:6" ht="16" thickBot="1" x14ac:dyDescent="0.4">
      <c r="A36" s="537">
        <f t="shared" si="0"/>
        <v>26</v>
      </c>
      <c r="B36" s="246" t="s">
        <v>364</v>
      </c>
      <c r="C36" s="582">
        <f>C16+C21+C26+C32+C34</f>
        <v>4523655.2079793047</v>
      </c>
      <c r="D36" s="27" t="s">
        <v>16</v>
      </c>
      <c r="E36" s="273" t="s">
        <v>491</v>
      </c>
      <c r="F36" s="537">
        <f t="shared" si="1"/>
        <v>26</v>
      </c>
    </row>
    <row r="37" spans="1:6" ht="16" thickTop="1" x14ac:dyDescent="0.35">
      <c r="A37" s="537">
        <f t="shared" si="0"/>
        <v>27</v>
      </c>
      <c r="B37" s="249"/>
      <c r="C37" s="583"/>
      <c r="D37" s="565"/>
      <c r="E37" s="224"/>
      <c r="F37" s="537">
        <f t="shared" si="1"/>
        <v>27</v>
      </c>
    </row>
    <row r="38" spans="1:6" x14ac:dyDescent="0.35">
      <c r="A38" s="537">
        <f t="shared" si="0"/>
        <v>28</v>
      </c>
      <c r="B38" s="458" t="s">
        <v>365</v>
      </c>
      <c r="C38" s="583"/>
      <c r="D38" s="565"/>
      <c r="E38" s="224"/>
      <c r="F38" s="537">
        <f t="shared" si="1"/>
        <v>28</v>
      </c>
    </row>
    <row r="39" spans="1:6" x14ac:dyDescent="0.35">
      <c r="A39" s="537">
        <f t="shared" si="0"/>
        <v>29</v>
      </c>
      <c r="B39" s="246" t="s">
        <v>366</v>
      </c>
      <c r="C39" s="584">
        <v>0</v>
      </c>
      <c r="D39" s="585"/>
      <c r="E39" s="273" t="s">
        <v>19</v>
      </c>
      <c r="F39" s="537">
        <f t="shared" si="1"/>
        <v>29</v>
      </c>
    </row>
    <row r="40" spans="1:6" x14ac:dyDescent="0.35">
      <c r="A40" s="537">
        <f t="shared" si="0"/>
        <v>30</v>
      </c>
      <c r="B40" s="246" t="s">
        <v>367</v>
      </c>
      <c r="C40" s="586">
        <v>0</v>
      </c>
      <c r="D40" s="554"/>
      <c r="E40" s="273" t="s">
        <v>19</v>
      </c>
      <c r="F40" s="537">
        <f t="shared" si="1"/>
        <v>30</v>
      </c>
    </row>
    <row r="41" spans="1:6" x14ac:dyDescent="0.35">
      <c r="A41" s="537">
        <f t="shared" si="0"/>
        <v>31</v>
      </c>
      <c r="B41" s="340" t="s">
        <v>368</v>
      </c>
      <c r="C41" s="578">
        <f>C39+C40</f>
        <v>0</v>
      </c>
      <c r="D41" s="565"/>
      <c r="E41" s="273" t="s">
        <v>492</v>
      </c>
      <c r="F41" s="537">
        <f t="shared" si="1"/>
        <v>31</v>
      </c>
    </row>
    <row r="42" spans="1:6" x14ac:dyDescent="0.35">
      <c r="A42" s="537">
        <f t="shared" si="0"/>
        <v>32</v>
      </c>
      <c r="B42" s="249"/>
      <c r="C42" s="583"/>
      <c r="D42" s="565"/>
      <c r="E42" s="224"/>
      <c r="F42" s="537">
        <f t="shared" si="1"/>
        <v>32</v>
      </c>
    </row>
    <row r="43" spans="1:6" x14ac:dyDescent="0.35">
      <c r="A43" s="537">
        <f t="shared" si="0"/>
        <v>33</v>
      </c>
      <c r="B43" s="458" t="s">
        <v>369</v>
      </c>
      <c r="C43" s="583"/>
      <c r="D43" s="565"/>
      <c r="E43" s="224"/>
      <c r="F43" s="537">
        <f t="shared" si="1"/>
        <v>33</v>
      </c>
    </row>
    <row r="44" spans="1:6" x14ac:dyDescent="0.35">
      <c r="A44" s="537">
        <f t="shared" si="0"/>
        <v>34</v>
      </c>
      <c r="B44" s="246" t="s">
        <v>370</v>
      </c>
      <c r="C44" s="584">
        <v>0</v>
      </c>
      <c r="D44" s="554"/>
      <c r="E44" s="273" t="s">
        <v>19</v>
      </c>
      <c r="F44" s="537">
        <f t="shared" si="1"/>
        <v>34</v>
      </c>
    </row>
    <row r="45" spans="1:6" x14ac:dyDescent="0.35">
      <c r="A45" s="537">
        <f t="shared" si="0"/>
        <v>35</v>
      </c>
      <c r="B45" s="340" t="s">
        <v>371</v>
      </c>
      <c r="C45" s="587">
        <v>0</v>
      </c>
      <c r="D45" s="554"/>
      <c r="E45" s="273" t="s">
        <v>19</v>
      </c>
      <c r="F45" s="537">
        <f t="shared" si="1"/>
        <v>35</v>
      </c>
    </row>
    <row r="46" spans="1:6" x14ac:dyDescent="0.35">
      <c r="A46" s="537">
        <f t="shared" si="0"/>
        <v>36</v>
      </c>
      <c r="B46" s="340" t="s">
        <v>372</v>
      </c>
      <c r="C46" s="578">
        <f>C44+C45</f>
        <v>0</v>
      </c>
      <c r="D46" s="565"/>
      <c r="E46" s="273" t="s">
        <v>493</v>
      </c>
      <c r="F46" s="537">
        <f t="shared" si="1"/>
        <v>36</v>
      </c>
    </row>
    <row r="47" spans="1:6" x14ac:dyDescent="0.35">
      <c r="A47" s="537">
        <f t="shared" si="0"/>
        <v>37</v>
      </c>
      <c r="B47" s="249"/>
      <c r="C47" s="583"/>
      <c r="D47" s="565"/>
      <c r="E47" s="224"/>
      <c r="F47" s="537">
        <f t="shared" si="1"/>
        <v>37</v>
      </c>
    </row>
    <row r="48" spans="1:6" ht="16" thickBot="1" x14ac:dyDescent="0.4">
      <c r="A48" s="537">
        <f t="shared" si="0"/>
        <v>38</v>
      </c>
      <c r="B48" s="458" t="s">
        <v>373</v>
      </c>
      <c r="C48" s="588">
        <v>0</v>
      </c>
      <c r="D48" s="554"/>
      <c r="E48" s="273" t="s">
        <v>19</v>
      </c>
      <c r="F48" s="537">
        <f t="shared" si="1"/>
        <v>38</v>
      </c>
    </row>
    <row r="49" spans="1:6" ht="16" thickTop="1" x14ac:dyDescent="0.35">
      <c r="A49" s="537"/>
      <c r="B49" s="249"/>
      <c r="C49" s="583"/>
      <c r="D49" s="565"/>
      <c r="E49" s="224"/>
      <c r="F49" s="537"/>
    </row>
    <row r="50" spans="1:6" x14ac:dyDescent="0.35">
      <c r="A50" s="537"/>
      <c r="B50" s="249"/>
      <c r="C50" s="583"/>
      <c r="D50" s="565"/>
      <c r="E50" s="224"/>
      <c r="F50" s="537"/>
    </row>
    <row r="51" spans="1:6" x14ac:dyDescent="0.35">
      <c r="A51" s="27" t="s">
        <v>16</v>
      </c>
      <c r="B51" s="24" t="str">
        <f>'Pg10 Rev Stmt AV'!B113</f>
        <v>Items in BOLD have changed due to A&amp;G adj. missed in prior cost adj. and CEMA/WMPMA exclusion corrections compared to the original SX-PQ Appendix XII Cycle 4</v>
      </c>
      <c r="C51" s="225"/>
      <c r="D51" s="225"/>
      <c r="E51" s="225"/>
      <c r="F51" s="537"/>
    </row>
    <row r="52" spans="1:6" x14ac:dyDescent="0.35">
      <c r="A52" s="27"/>
      <c r="B52" s="24" t="str">
        <f>'Pg10 Rev Stmt AV'!B114</f>
        <v>per ER22-133 and cost adj. incl. in Appendix XII Cycle 5 per ER23-110.</v>
      </c>
      <c r="C52" s="225"/>
      <c r="D52" s="225"/>
      <c r="E52" s="225"/>
      <c r="F52" s="537"/>
    </row>
    <row r="53" spans="1:6" x14ac:dyDescent="0.35">
      <c r="A53" s="27"/>
      <c r="B53" s="24"/>
      <c r="C53" s="225"/>
      <c r="D53" s="225"/>
      <c r="E53" s="225"/>
      <c r="F53" s="537"/>
    </row>
    <row r="54" spans="1:6" x14ac:dyDescent="0.35">
      <c r="A54" s="27"/>
      <c r="B54" s="24"/>
      <c r="C54" s="225"/>
      <c r="D54" s="225"/>
      <c r="E54" s="225"/>
      <c r="F54" s="537"/>
    </row>
    <row r="55" spans="1:6" x14ac:dyDescent="0.35">
      <c r="A55" s="537"/>
      <c r="B55" s="751" t="str">
        <f>B2</f>
        <v>SAN DIEGO GAS &amp; ELECTRIC COMPANY</v>
      </c>
      <c r="C55" s="769"/>
      <c r="D55" s="769"/>
      <c r="E55" s="769"/>
      <c r="F55" s="537"/>
    </row>
    <row r="56" spans="1:6" x14ac:dyDescent="0.35">
      <c r="A56" s="537"/>
      <c r="B56" s="751" t="str">
        <f>B3</f>
        <v xml:space="preserve">Derivation of End Use Transmission Rate Base </v>
      </c>
      <c r="C56" s="769"/>
      <c r="D56" s="769"/>
      <c r="E56" s="769"/>
      <c r="F56" s="537"/>
    </row>
    <row r="57" spans="1:6" x14ac:dyDescent="0.35">
      <c r="A57" s="537"/>
      <c r="B57" s="770" t="str">
        <f>B4</f>
        <v>Base Period &amp; True-Up Period 12 - Months Ending December 31, 2020</v>
      </c>
      <c r="C57" s="771"/>
      <c r="D57" s="771"/>
      <c r="E57" s="771"/>
      <c r="F57" s="537"/>
    </row>
    <row r="58" spans="1:6" x14ac:dyDescent="0.35">
      <c r="A58" s="537"/>
      <c r="B58" s="772" t="s">
        <v>1</v>
      </c>
      <c r="C58" s="769"/>
      <c r="D58" s="769"/>
      <c r="E58" s="769"/>
      <c r="F58" s="537"/>
    </row>
    <row r="59" spans="1:6" x14ac:dyDescent="0.35">
      <c r="A59" s="537"/>
      <c r="B59" s="553"/>
      <c r="C59" s="225"/>
      <c r="D59" s="225"/>
      <c r="E59" s="225"/>
      <c r="F59" s="537"/>
    </row>
    <row r="60" spans="1:6" x14ac:dyDescent="0.35">
      <c r="A60" s="537" t="s">
        <v>2</v>
      </c>
      <c r="B60" s="553"/>
      <c r="C60" s="225"/>
      <c r="D60" s="225"/>
      <c r="E60" s="225"/>
      <c r="F60" s="537"/>
    </row>
    <row r="61" spans="1:6" x14ac:dyDescent="0.35">
      <c r="A61" s="537" t="s">
        <v>6</v>
      </c>
      <c r="B61" s="553"/>
      <c r="C61" s="225"/>
      <c r="D61" s="225"/>
      <c r="E61" s="225"/>
      <c r="F61" s="537"/>
    </row>
    <row r="62" spans="1:6" x14ac:dyDescent="0.35">
      <c r="A62" s="537"/>
      <c r="B62" s="458" t="s">
        <v>374</v>
      </c>
      <c r="C62" s="225"/>
      <c r="D62" s="225"/>
      <c r="E62" s="225"/>
      <c r="F62" s="537"/>
    </row>
    <row r="63" spans="1:6" x14ac:dyDescent="0.35">
      <c r="A63" s="537"/>
      <c r="B63" s="558"/>
      <c r="C63" s="554"/>
      <c r="D63" s="554"/>
      <c r="E63" s="224"/>
      <c r="F63" s="537"/>
    </row>
    <row r="64" spans="1:6" x14ac:dyDescent="0.35">
      <c r="A64" s="537">
        <v>1</v>
      </c>
      <c r="B64" s="458" t="s">
        <v>375</v>
      </c>
      <c r="C64" s="554"/>
      <c r="D64" s="554"/>
      <c r="E64" s="224"/>
      <c r="F64" s="537">
        <f t="shared" ref="F64:F88" si="2">A64</f>
        <v>1</v>
      </c>
    </row>
    <row r="65" spans="1:8" x14ac:dyDescent="0.35">
      <c r="A65" s="537">
        <v>2</v>
      </c>
      <c r="B65" s="246" t="s">
        <v>347</v>
      </c>
      <c r="C65" s="589">
        <v>6659410.4084030753</v>
      </c>
      <c r="D65" s="554"/>
      <c r="E65" s="273" t="s">
        <v>471</v>
      </c>
      <c r="F65" s="537">
        <f t="shared" si="2"/>
        <v>2</v>
      </c>
      <c r="G65" s="590"/>
      <c r="H65" s="591"/>
    </row>
    <row r="66" spans="1:8" x14ac:dyDescent="0.35">
      <c r="A66" s="537">
        <v>3</v>
      </c>
      <c r="B66" s="246" t="s">
        <v>376</v>
      </c>
      <c r="C66" s="592">
        <v>18941.773089617513</v>
      </c>
      <c r="D66" s="554"/>
      <c r="E66" s="273" t="s">
        <v>472</v>
      </c>
      <c r="F66" s="537">
        <f t="shared" si="2"/>
        <v>3</v>
      </c>
      <c r="G66" s="590"/>
      <c r="H66" s="591"/>
    </row>
    <row r="67" spans="1:8" x14ac:dyDescent="0.35">
      <c r="A67" s="537">
        <v>4</v>
      </c>
      <c r="B67" s="246" t="s">
        <v>21</v>
      </c>
      <c r="C67" s="592">
        <v>47368.546650440985</v>
      </c>
      <c r="D67" s="554"/>
      <c r="E67" s="273" t="s">
        <v>450</v>
      </c>
      <c r="F67" s="537">
        <f t="shared" si="2"/>
        <v>4</v>
      </c>
      <c r="G67" s="590"/>
      <c r="H67" s="593"/>
    </row>
    <row r="68" spans="1:8" x14ac:dyDescent="0.35">
      <c r="A68" s="537">
        <v>5</v>
      </c>
      <c r="B68" s="246" t="s">
        <v>348</v>
      </c>
      <c r="C68" s="594">
        <v>117205.19981479381</v>
      </c>
      <c r="D68" s="554"/>
      <c r="E68" s="273" t="s">
        <v>451</v>
      </c>
      <c r="F68" s="537">
        <f t="shared" si="2"/>
        <v>5</v>
      </c>
      <c r="G68" s="591"/>
      <c r="H68" s="591"/>
    </row>
    <row r="69" spans="1:8" x14ac:dyDescent="0.35">
      <c r="A69" s="537">
        <v>6</v>
      </c>
      <c r="B69" s="246" t="s">
        <v>377</v>
      </c>
      <c r="C69" s="564">
        <f>SUM(C65:C68)</f>
        <v>6842925.9279579278</v>
      </c>
      <c r="D69" s="565"/>
      <c r="E69" s="273" t="s">
        <v>473</v>
      </c>
      <c r="F69" s="537">
        <f t="shared" si="2"/>
        <v>6</v>
      </c>
      <c r="G69" s="590"/>
      <c r="H69" s="591"/>
    </row>
    <row r="70" spans="1:8" x14ac:dyDescent="0.35">
      <c r="A70" s="537">
        <v>7</v>
      </c>
      <c r="B70" s="340"/>
      <c r="C70" s="595"/>
      <c r="D70" s="554"/>
      <c r="E70" s="224"/>
      <c r="F70" s="537">
        <f t="shared" si="2"/>
        <v>7</v>
      </c>
      <c r="G70" s="591"/>
      <c r="H70" s="591"/>
    </row>
    <row r="71" spans="1:8" x14ac:dyDescent="0.35">
      <c r="A71" s="537">
        <v>8</v>
      </c>
      <c r="B71" s="457" t="s">
        <v>378</v>
      </c>
      <c r="C71" s="595"/>
      <c r="D71" s="554"/>
      <c r="E71" s="224"/>
      <c r="F71" s="537">
        <f t="shared" si="2"/>
        <v>8</v>
      </c>
      <c r="G71" s="591"/>
      <c r="H71" s="591"/>
    </row>
    <row r="72" spans="1:8" x14ac:dyDescent="0.35">
      <c r="A72" s="537">
        <v>9</v>
      </c>
      <c r="B72" s="340" t="s">
        <v>379</v>
      </c>
      <c r="C72" s="589">
        <v>1387043.9115246153</v>
      </c>
      <c r="D72" s="554"/>
      <c r="E72" s="273" t="s">
        <v>474</v>
      </c>
      <c r="F72" s="537">
        <f t="shared" si="2"/>
        <v>9</v>
      </c>
      <c r="G72" s="591"/>
      <c r="H72" s="591"/>
    </row>
    <row r="73" spans="1:8" x14ac:dyDescent="0.35">
      <c r="A73" s="537">
        <v>10</v>
      </c>
      <c r="B73" s="340" t="s">
        <v>380</v>
      </c>
      <c r="C73" s="592">
        <v>15558.247684838476</v>
      </c>
      <c r="D73" s="554"/>
      <c r="E73" s="273" t="s">
        <v>475</v>
      </c>
      <c r="F73" s="537">
        <f t="shared" si="2"/>
        <v>10</v>
      </c>
      <c r="G73" s="591"/>
      <c r="H73" s="591"/>
    </row>
    <row r="74" spans="1:8" x14ac:dyDescent="0.35">
      <c r="A74" s="537">
        <v>11</v>
      </c>
      <c r="B74" s="340" t="s">
        <v>381</v>
      </c>
      <c r="C74" s="592">
        <v>19350.278884561267</v>
      </c>
      <c r="D74" s="554"/>
      <c r="E74" s="273" t="s">
        <v>476</v>
      </c>
      <c r="F74" s="537">
        <f t="shared" si="2"/>
        <v>11</v>
      </c>
      <c r="G74" s="591"/>
      <c r="H74" s="591"/>
    </row>
    <row r="75" spans="1:8" x14ac:dyDescent="0.35">
      <c r="A75" s="537">
        <v>12</v>
      </c>
      <c r="B75" s="340" t="s">
        <v>382</v>
      </c>
      <c r="C75" s="594">
        <v>58264.148858604072</v>
      </c>
      <c r="D75" s="554"/>
      <c r="E75" s="273" t="s">
        <v>477</v>
      </c>
      <c r="F75" s="537">
        <f t="shared" si="2"/>
        <v>12</v>
      </c>
      <c r="G75" s="591"/>
      <c r="H75" s="591"/>
    </row>
    <row r="76" spans="1:8" x14ac:dyDescent="0.35">
      <c r="A76" s="537">
        <v>13</v>
      </c>
      <c r="B76" s="596" t="s">
        <v>383</v>
      </c>
      <c r="C76" s="564">
        <f>SUM(C72:C75)</f>
        <v>1480216.586952619</v>
      </c>
      <c r="D76" s="565"/>
      <c r="E76" s="273" t="s">
        <v>478</v>
      </c>
      <c r="F76" s="537">
        <f t="shared" si="2"/>
        <v>13</v>
      </c>
      <c r="G76" s="591"/>
      <c r="H76" s="591"/>
    </row>
    <row r="77" spans="1:8" x14ac:dyDescent="0.35">
      <c r="A77" s="537">
        <v>14</v>
      </c>
      <c r="B77" s="596"/>
      <c r="C77" s="575"/>
      <c r="D77" s="576"/>
      <c r="E77" s="224"/>
      <c r="F77" s="537">
        <f t="shared" si="2"/>
        <v>14</v>
      </c>
      <c r="G77" s="591"/>
      <c r="H77" s="591"/>
    </row>
    <row r="78" spans="1:8" x14ac:dyDescent="0.35">
      <c r="A78" s="537">
        <v>15</v>
      </c>
      <c r="B78" s="458" t="s">
        <v>346</v>
      </c>
      <c r="C78" s="575"/>
      <c r="D78" s="576"/>
      <c r="E78" s="224"/>
      <c r="F78" s="537">
        <f t="shared" si="2"/>
        <v>15</v>
      </c>
      <c r="G78" s="591"/>
      <c r="H78" s="591"/>
    </row>
    <row r="79" spans="1:8" x14ac:dyDescent="0.35">
      <c r="A79" s="537">
        <v>16</v>
      </c>
      <c r="B79" s="246" t="s">
        <v>347</v>
      </c>
      <c r="C79" s="597">
        <f>C65-C72</f>
        <v>5272366.49687846</v>
      </c>
      <c r="D79" s="598"/>
      <c r="E79" s="273" t="str">
        <f>"Line "&amp;A65&amp;" Minus Line "&amp;A72</f>
        <v>Line 2 Minus Line 9</v>
      </c>
      <c r="F79" s="537">
        <f t="shared" si="2"/>
        <v>16</v>
      </c>
      <c r="G79" s="591"/>
      <c r="H79" s="591"/>
    </row>
    <row r="80" spans="1:8" x14ac:dyDescent="0.35">
      <c r="A80" s="537">
        <v>17</v>
      </c>
      <c r="B80" s="246" t="s">
        <v>20</v>
      </c>
      <c r="C80" s="599">
        <f>C66-C73</f>
        <v>3383.5254047790368</v>
      </c>
      <c r="D80" s="600"/>
      <c r="E80" s="273" t="str">
        <f>"Line "&amp;A66&amp;" Minus Line "&amp;A73</f>
        <v>Line 3 Minus Line 10</v>
      </c>
      <c r="F80" s="537">
        <f t="shared" si="2"/>
        <v>17</v>
      </c>
      <c r="G80" s="591"/>
      <c r="H80" s="591"/>
    </row>
    <row r="81" spans="1:6" x14ac:dyDescent="0.35">
      <c r="A81" s="537">
        <v>18</v>
      </c>
      <c r="B81" s="246" t="s">
        <v>21</v>
      </c>
      <c r="C81" s="599">
        <f>C67-C74</f>
        <v>28018.267765879718</v>
      </c>
      <c r="D81" s="600"/>
      <c r="E81" s="273" t="str">
        <f>"Line "&amp;A67&amp;" Minus Line "&amp;A74</f>
        <v>Line 4 Minus Line 11</v>
      </c>
      <c r="F81" s="537">
        <f t="shared" si="2"/>
        <v>18</v>
      </c>
    </row>
    <row r="82" spans="1:6" x14ac:dyDescent="0.35">
      <c r="A82" s="537">
        <v>19</v>
      </c>
      <c r="B82" s="246" t="s">
        <v>348</v>
      </c>
      <c r="C82" s="601">
        <f>C68-C75</f>
        <v>58941.050956189742</v>
      </c>
      <c r="D82" s="602"/>
      <c r="E82" s="273" t="str">
        <f>"Line "&amp;A68&amp;" Minus Line "&amp;A75</f>
        <v>Line 5 Minus Line 12</v>
      </c>
      <c r="F82" s="537">
        <f t="shared" si="2"/>
        <v>19</v>
      </c>
    </row>
    <row r="83" spans="1:6" ht="16" thickBot="1" x14ac:dyDescent="0.4">
      <c r="A83" s="537">
        <v>20</v>
      </c>
      <c r="B83" s="340" t="s">
        <v>349</v>
      </c>
      <c r="C83" s="603">
        <f>SUM(C79:C82)</f>
        <v>5362709.3410053086</v>
      </c>
      <c r="D83" s="565"/>
      <c r="E83" s="273" t="str">
        <f>"Sum Lines "&amp;A79&amp;" thru "&amp;A82</f>
        <v>Sum Lines 16 thru 19</v>
      </c>
      <c r="F83" s="537">
        <f t="shared" si="2"/>
        <v>20</v>
      </c>
    </row>
    <row r="84" spans="1:6" ht="16" thickTop="1" x14ac:dyDescent="0.35">
      <c r="A84" s="537">
        <v>21</v>
      </c>
      <c r="B84" s="249"/>
      <c r="C84" s="565"/>
      <c r="D84" s="565"/>
      <c r="E84" s="224"/>
      <c r="F84" s="537">
        <f t="shared" si="2"/>
        <v>21</v>
      </c>
    </row>
    <row r="85" spans="1:6" x14ac:dyDescent="0.35">
      <c r="A85" s="537">
        <v>22</v>
      </c>
      <c r="B85" s="458" t="s">
        <v>384</v>
      </c>
      <c r="C85" s="565"/>
      <c r="D85" s="565"/>
      <c r="E85" s="224"/>
      <c r="F85" s="537">
        <f t="shared" si="2"/>
        <v>22</v>
      </c>
    </row>
    <row r="86" spans="1:6" x14ac:dyDescent="0.35">
      <c r="A86" s="537">
        <v>23</v>
      </c>
      <c r="B86" s="246" t="s">
        <v>385</v>
      </c>
      <c r="C86" s="584">
        <v>0</v>
      </c>
      <c r="D86" s="565"/>
      <c r="E86" s="273" t="s">
        <v>19</v>
      </c>
      <c r="F86" s="537">
        <f t="shared" si="2"/>
        <v>23</v>
      </c>
    </row>
    <row r="87" spans="1:6" x14ac:dyDescent="0.35">
      <c r="A87" s="537">
        <v>24</v>
      </c>
      <c r="B87" s="340" t="s">
        <v>386</v>
      </c>
      <c r="C87" s="587">
        <v>0</v>
      </c>
      <c r="D87" s="565"/>
      <c r="E87" s="273" t="s">
        <v>19</v>
      </c>
      <c r="F87" s="537">
        <f t="shared" si="2"/>
        <v>24</v>
      </c>
    </row>
    <row r="88" spans="1:6" ht="16" thickBot="1" x14ac:dyDescent="0.4">
      <c r="A88" s="537">
        <v>25</v>
      </c>
      <c r="B88" s="246" t="s">
        <v>387</v>
      </c>
      <c r="C88" s="604">
        <f>C86-C87</f>
        <v>0</v>
      </c>
      <c r="D88" s="565"/>
      <c r="E88" s="273" t="str">
        <f>"Line "&amp;A86&amp;" Minus Line "&amp;A87</f>
        <v>Line 23 Minus Line 24</v>
      </c>
      <c r="F88" s="537">
        <f t="shared" si="2"/>
        <v>25</v>
      </c>
    </row>
    <row r="89" spans="1:6" ht="16" thickTop="1" x14ac:dyDescent="0.35">
      <c r="A89" s="537"/>
    </row>
  </sheetData>
  <mergeCells count="8">
    <mergeCell ref="B56:E56"/>
    <mergeCell ref="B57:E57"/>
    <mergeCell ref="B58:E58"/>
    <mergeCell ref="B2:E2"/>
    <mergeCell ref="B3:E3"/>
    <mergeCell ref="B4:E4"/>
    <mergeCell ref="B5:E5"/>
    <mergeCell ref="B55:E5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&amp;L&amp;F&amp;CPg 12.&amp;P&amp;R&amp;A</oddFooter>
  </headerFooter>
  <rowBreaks count="1" manualBreakCount="1">
    <brk id="5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ABD80-90D6-485D-BAC1-2B2EFB2EF934}">
  <dimension ref="A1:H89"/>
  <sheetViews>
    <sheetView zoomScale="80" zoomScaleNormal="80" workbookViewId="0"/>
  </sheetViews>
  <sheetFormatPr defaultColWidth="8.81640625" defaultRowHeight="15.5" x14ac:dyDescent="0.35"/>
  <cols>
    <col min="1" max="1" width="5.1796875" style="605" customWidth="1"/>
    <col min="2" max="2" width="85.453125" style="552" customWidth="1"/>
    <col min="3" max="3" width="16.81640625" style="552" customWidth="1"/>
    <col min="4" max="4" width="1.54296875" style="552" customWidth="1"/>
    <col min="5" max="5" width="42.1796875" style="552" customWidth="1"/>
    <col min="6" max="6" width="5.1796875" style="605" customWidth="1"/>
    <col min="7" max="16384" width="8.81640625" style="552"/>
  </cols>
  <sheetData>
    <row r="1" spans="1:6" x14ac:dyDescent="0.35">
      <c r="A1" s="668" t="s">
        <v>609</v>
      </c>
    </row>
    <row r="2" spans="1:6" x14ac:dyDescent="0.35">
      <c r="A2" s="537"/>
      <c r="B2" s="225"/>
      <c r="C2" s="551"/>
      <c r="D2" s="551"/>
      <c r="E2" s="532"/>
      <c r="F2" s="537"/>
    </row>
    <row r="3" spans="1:6" x14ac:dyDescent="0.35">
      <c r="A3" s="537"/>
      <c r="B3" s="751" t="s">
        <v>24</v>
      </c>
      <c r="C3" s="769"/>
      <c r="D3" s="769"/>
      <c r="E3" s="769"/>
      <c r="F3" s="537"/>
    </row>
    <row r="4" spans="1:6" x14ac:dyDescent="0.35">
      <c r="A4" s="537" t="s">
        <v>11</v>
      </c>
      <c r="B4" s="751" t="s">
        <v>344</v>
      </c>
      <c r="C4" s="769"/>
      <c r="D4" s="769"/>
      <c r="E4" s="769"/>
      <c r="F4" s="537" t="s">
        <v>11</v>
      </c>
    </row>
    <row r="5" spans="1:6" x14ac:dyDescent="0.35">
      <c r="A5" s="537"/>
      <c r="B5" s="770" t="s">
        <v>542</v>
      </c>
      <c r="C5" s="771"/>
      <c r="D5" s="771"/>
      <c r="E5" s="771"/>
      <c r="F5" s="537"/>
    </row>
    <row r="6" spans="1:6" x14ac:dyDescent="0.35">
      <c r="A6" s="537"/>
      <c r="B6" s="772" t="s">
        <v>1</v>
      </c>
      <c r="C6" s="769"/>
      <c r="D6" s="769"/>
      <c r="E6" s="769"/>
      <c r="F6" s="537"/>
    </row>
    <row r="7" spans="1:6" x14ac:dyDescent="0.35">
      <c r="A7" s="537"/>
      <c r="B7" s="553"/>
      <c r="C7" s="225"/>
      <c r="D7" s="225"/>
      <c r="E7" s="225"/>
      <c r="F7" s="537"/>
    </row>
    <row r="8" spans="1:6" x14ac:dyDescent="0.35">
      <c r="A8" s="537" t="s">
        <v>2</v>
      </c>
      <c r="B8" s="225"/>
      <c r="C8" s="554"/>
      <c r="D8" s="554"/>
      <c r="E8" s="224"/>
      <c r="F8" s="537" t="s">
        <v>2</v>
      </c>
    </row>
    <row r="9" spans="1:6" x14ac:dyDescent="0.35">
      <c r="A9" s="537" t="s">
        <v>6</v>
      </c>
      <c r="B9" s="225" t="s">
        <v>11</v>
      </c>
      <c r="C9" s="555" t="s">
        <v>4</v>
      </c>
      <c r="D9" s="554"/>
      <c r="E9" s="556" t="s">
        <v>5</v>
      </c>
      <c r="F9" s="537" t="s">
        <v>6</v>
      </c>
    </row>
    <row r="10" spans="1:6" x14ac:dyDescent="0.35">
      <c r="A10" s="537"/>
      <c r="B10" s="458" t="s">
        <v>345</v>
      </c>
      <c r="C10" s="557"/>
      <c r="D10" s="554"/>
      <c r="E10" s="224"/>
      <c r="F10" s="537"/>
    </row>
    <row r="11" spans="1:6" x14ac:dyDescent="0.35">
      <c r="A11" s="537"/>
      <c r="B11" s="558"/>
      <c r="C11" s="557"/>
      <c r="D11" s="554"/>
      <c r="E11" s="224"/>
      <c r="F11" s="537"/>
    </row>
    <row r="12" spans="1:6" x14ac:dyDescent="0.35">
      <c r="A12" s="537">
        <v>1</v>
      </c>
      <c r="B12" s="458" t="s">
        <v>346</v>
      </c>
      <c r="C12" s="557"/>
      <c r="D12" s="557"/>
      <c r="E12" s="224"/>
      <c r="F12" s="537">
        <f>A12</f>
        <v>1</v>
      </c>
    </row>
    <row r="13" spans="1:6" x14ac:dyDescent="0.35">
      <c r="A13" s="537">
        <f>A12+1</f>
        <v>2</v>
      </c>
      <c r="B13" s="246" t="s">
        <v>347</v>
      </c>
      <c r="C13" s="559">
        <f>C79</f>
        <v>5272366.49687846</v>
      </c>
      <c r="D13" s="560"/>
      <c r="E13" s="273" t="s">
        <v>479</v>
      </c>
      <c r="F13" s="537">
        <f>F12+1</f>
        <v>2</v>
      </c>
    </row>
    <row r="14" spans="1:6" x14ac:dyDescent="0.35">
      <c r="A14" s="537">
        <f t="shared" ref="A14:A49" si="0">A13+1</f>
        <v>3</v>
      </c>
      <c r="B14" s="246" t="s">
        <v>20</v>
      </c>
      <c r="C14" s="561">
        <f>C80</f>
        <v>3383.5254047790368</v>
      </c>
      <c r="D14" s="562"/>
      <c r="E14" s="273" t="s">
        <v>480</v>
      </c>
      <c r="F14" s="537">
        <f t="shared" ref="F14:F49" si="1">F13+1</f>
        <v>3</v>
      </c>
    </row>
    <row r="15" spans="1:6" x14ac:dyDescent="0.35">
      <c r="A15" s="537">
        <f t="shared" si="0"/>
        <v>4</v>
      </c>
      <c r="B15" s="246" t="s">
        <v>21</v>
      </c>
      <c r="C15" s="561">
        <f>C81</f>
        <v>28018.267765879718</v>
      </c>
      <c r="D15" s="562"/>
      <c r="E15" s="273" t="s">
        <v>481</v>
      </c>
      <c r="F15" s="537">
        <f t="shared" si="1"/>
        <v>4</v>
      </c>
    </row>
    <row r="16" spans="1:6" x14ac:dyDescent="0.35">
      <c r="A16" s="537">
        <f t="shared" si="0"/>
        <v>5</v>
      </c>
      <c r="B16" s="246" t="s">
        <v>348</v>
      </c>
      <c r="C16" s="563">
        <f>C82</f>
        <v>58941.050956189742</v>
      </c>
      <c r="D16" s="562"/>
      <c r="E16" s="273" t="s">
        <v>482</v>
      </c>
      <c r="F16" s="537">
        <f t="shared" si="1"/>
        <v>5</v>
      </c>
    </row>
    <row r="17" spans="1:6" x14ac:dyDescent="0.35">
      <c r="A17" s="537">
        <f t="shared" si="0"/>
        <v>6</v>
      </c>
      <c r="B17" s="246" t="s">
        <v>349</v>
      </c>
      <c r="C17" s="564">
        <f>SUM(C13:C16)</f>
        <v>5362709.3410053086</v>
      </c>
      <c r="D17" s="565"/>
      <c r="E17" s="273" t="s">
        <v>473</v>
      </c>
      <c r="F17" s="537">
        <f t="shared" si="1"/>
        <v>6</v>
      </c>
    </row>
    <row r="18" spans="1:6" x14ac:dyDescent="0.35">
      <c r="A18" s="537">
        <f t="shared" si="0"/>
        <v>7</v>
      </c>
      <c r="B18" s="340"/>
      <c r="C18" s="566"/>
      <c r="D18" s="567"/>
      <c r="E18" s="224"/>
      <c r="F18" s="537">
        <f t="shared" si="1"/>
        <v>7</v>
      </c>
    </row>
    <row r="19" spans="1:6" x14ac:dyDescent="0.35">
      <c r="A19" s="537">
        <f t="shared" si="0"/>
        <v>8</v>
      </c>
      <c r="B19" s="458" t="s">
        <v>350</v>
      </c>
      <c r="C19" s="566"/>
      <c r="D19" s="567"/>
      <c r="E19" s="224"/>
      <c r="F19" s="537">
        <f t="shared" si="1"/>
        <v>8</v>
      </c>
    </row>
    <row r="20" spans="1:6" x14ac:dyDescent="0.35">
      <c r="A20" s="537">
        <f t="shared" si="0"/>
        <v>9</v>
      </c>
      <c r="B20" s="246" t="s">
        <v>351</v>
      </c>
      <c r="C20" s="568">
        <v>0</v>
      </c>
      <c r="D20" s="554"/>
      <c r="E20" s="273" t="s">
        <v>483</v>
      </c>
      <c r="F20" s="537">
        <f t="shared" si="1"/>
        <v>9</v>
      </c>
    </row>
    <row r="21" spans="1:6" x14ac:dyDescent="0.35">
      <c r="A21" s="537">
        <f t="shared" si="0"/>
        <v>10</v>
      </c>
      <c r="B21" s="246" t="s">
        <v>352</v>
      </c>
      <c r="C21" s="569">
        <v>0</v>
      </c>
      <c r="D21" s="554"/>
      <c r="E21" s="273" t="s">
        <v>484</v>
      </c>
      <c r="F21" s="537">
        <f t="shared" si="1"/>
        <v>10</v>
      </c>
    </row>
    <row r="22" spans="1:6" x14ac:dyDescent="0.35">
      <c r="A22" s="537">
        <f t="shared" si="0"/>
        <v>11</v>
      </c>
      <c r="B22" s="246" t="s">
        <v>353</v>
      </c>
      <c r="C22" s="570">
        <f>C20+C21</f>
        <v>0</v>
      </c>
      <c r="D22" s="571"/>
      <c r="E22" s="273" t="s">
        <v>485</v>
      </c>
      <c r="F22" s="537">
        <f t="shared" si="1"/>
        <v>11</v>
      </c>
    </row>
    <row r="23" spans="1:6" x14ac:dyDescent="0.35">
      <c r="A23" s="537">
        <f t="shared" si="0"/>
        <v>12</v>
      </c>
      <c r="B23" s="246"/>
      <c r="C23" s="572"/>
      <c r="D23" s="551"/>
      <c r="E23" s="224"/>
      <c r="F23" s="537">
        <f t="shared" si="1"/>
        <v>12</v>
      </c>
    </row>
    <row r="24" spans="1:6" x14ac:dyDescent="0.35">
      <c r="A24" s="537">
        <f t="shared" si="0"/>
        <v>13</v>
      </c>
      <c r="B24" s="458" t="s">
        <v>354</v>
      </c>
      <c r="C24" s="566"/>
      <c r="D24" s="567"/>
      <c r="E24" s="224"/>
      <c r="F24" s="537">
        <f t="shared" si="1"/>
        <v>13</v>
      </c>
    </row>
    <row r="25" spans="1:6" x14ac:dyDescent="0.35">
      <c r="A25" s="537">
        <f t="shared" si="0"/>
        <v>14</v>
      </c>
      <c r="B25" s="340" t="s">
        <v>355</v>
      </c>
      <c r="C25" s="656">
        <v>-937258.99740447651</v>
      </c>
      <c r="D25" s="27" t="s">
        <v>16</v>
      </c>
      <c r="E25" s="273" t="s">
        <v>486</v>
      </c>
      <c r="F25" s="537">
        <f t="shared" si="1"/>
        <v>14</v>
      </c>
    </row>
    <row r="26" spans="1:6" x14ac:dyDescent="0.35">
      <c r="A26" s="537">
        <f t="shared" si="0"/>
        <v>15</v>
      </c>
      <c r="B26" s="340" t="s">
        <v>356</v>
      </c>
      <c r="C26" s="574">
        <v>0</v>
      </c>
      <c r="D26" s="554"/>
      <c r="E26" s="273" t="s">
        <v>487</v>
      </c>
      <c r="F26" s="537">
        <f t="shared" si="1"/>
        <v>15</v>
      </c>
    </row>
    <row r="27" spans="1:6" x14ac:dyDescent="0.35">
      <c r="A27" s="537">
        <f t="shared" si="0"/>
        <v>16</v>
      </c>
      <c r="B27" s="246" t="s">
        <v>357</v>
      </c>
      <c r="C27" s="578">
        <f>SUM(C25:C26)</f>
        <v>-937258.99740447651</v>
      </c>
      <c r="D27" s="27" t="s">
        <v>16</v>
      </c>
      <c r="E27" s="273" t="s">
        <v>488</v>
      </c>
      <c r="F27" s="537">
        <f t="shared" si="1"/>
        <v>16</v>
      </c>
    </row>
    <row r="28" spans="1:6" x14ac:dyDescent="0.35">
      <c r="A28" s="537">
        <f t="shared" si="0"/>
        <v>17</v>
      </c>
      <c r="B28" s="225"/>
      <c r="C28" s="575"/>
      <c r="D28" s="576"/>
      <c r="E28" s="224"/>
      <c r="F28" s="537">
        <f t="shared" si="1"/>
        <v>17</v>
      </c>
    </row>
    <row r="29" spans="1:6" x14ac:dyDescent="0.35">
      <c r="A29" s="537">
        <f t="shared" si="0"/>
        <v>18</v>
      </c>
      <c r="B29" s="458" t="s">
        <v>358</v>
      </c>
      <c r="C29" s="575"/>
      <c r="D29" s="576"/>
      <c r="E29" s="224"/>
      <c r="F29" s="537">
        <f t="shared" si="1"/>
        <v>18</v>
      </c>
    </row>
    <row r="30" spans="1:6" x14ac:dyDescent="0.35">
      <c r="A30" s="537">
        <f t="shared" si="0"/>
        <v>19</v>
      </c>
      <c r="B30" s="246" t="s">
        <v>359</v>
      </c>
      <c r="C30" s="559">
        <v>50955.986223078966</v>
      </c>
      <c r="D30" s="554"/>
      <c r="E30" s="273" t="s">
        <v>421</v>
      </c>
      <c r="F30" s="537">
        <f t="shared" si="1"/>
        <v>19</v>
      </c>
    </row>
    <row r="31" spans="1:6" x14ac:dyDescent="0.35">
      <c r="A31" s="537">
        <f t="shared" si="0"/>
        <v>20</v>
      </c>
      <c r="B31" s="246" t="s">
        <v>360</v>
      </c>
      <c r="C31" s="561">
        <v>37080.695383757316</v>
      </c>
      <c r="D31" s="554"/>
      <c r="E31" s="273" t="s">
        <v>422</v>
      </c>
      <c r="F31" s="537">
        <f t="shared" si="1"/>
        <v>20</v>
      </c>
    </row>
    <row r="32" spans="1:6" x14ac:dyDescent="0.35">
      <c r="A32" s="537">
        <f t="shared" si="0"/>
        <v>21</v>
      </c>
      <c r="B32" s="246" t="s">
        <v>361</v>
      </c>
      <c r="C32" s="577">
        <v>9955.3228066998345</v>
      </c>
      <c r="D32" s="27" t="s">
        <v>16</v>
      </c>
      <c r="E32" s="273" t="s">
        <v>423</v>
      </c>
      <c r="F32" s="537">
        <f t="shared" si="1"/>
        <v>21</v>
      </c>
    </row>
    <row r="33" spans="1:6" x14ac:dyDescent="0.35">
      <c r="A33" s="537">
        <f t="shared" si="0"/>
        <v>22</v>
      </c>
      <c r="B33" s="246" t="s">
        <v>362</v>
      </c>
      <c r="C33" s="578">
        <f>SUM(C30:C32)</f>
        <v>97992.004413536109</v>
      </c>
      <c r="D33" s="27" t="s">
        <v>16</v>
      </c>
      <c r="E33" s="273" t="s">
        <v>489</v>
      </c>
      <c r="F33" s="537">
        <f t="shared" si="1"/>
        <v>22</v>
      </c>
    </row>
    <row r="34" spans="1:6" x14ac:dyDescent="0.35">
      <c r="A34" s="537">
        <f t="shared" si="0"/>
        <v>23</v>
      </c>
      <c r="B34" s="249"/>
      <c r="C34" s="579"/>
      <c r="D34" s="580"/>
      <c r="E34" s="224"/>
      <c r="F34" s="537">
        <f t="shared" si="1"/>
        <v>23</v>
      </c>
    </row>
    <row r="35" spans="1:6" x14ac:dyDescent="0.35">
      <c r="A35" s="537">
        <f t="shared" si="0"/>
        <v>24</v>
      </c>
      <c r="B35" s="246" t="s">
        <v>363</v>
      </c>
      <c r="C35" s="581">
        <v>0</v>
      </c>
      <c r="D35" s="554"/>
      <c r="E35" s="273" t="s">
        <v>490</v>
      </c>
      <c r="F35" s="537">
        <f t="shared" si="1"/>
        <v>24</v>
      </c>
    </row>
    <row r="36" spans="1:6" x14ac:dyDescent="0.35">
      <c r="A36" s="537">
        <f t="shared" si="0"/>
        <v>25</v>
      </c>
      <c r="B36" s="246"/>
      <c r="C36" s="579"/>
      <c r="D36" s="580"/>
      <c r="E36" s="224"/>
      <c r="F36" s="537">
        <f t="shared" si="1"/>
        <v>25</v>
      </c>
    </row>
    <row r="37" spans="1:6" ht="16" thickBot="1" x14ac:dyDescent="0.4">
      <c r="A37" s="537">
        <f t="shared" si="0"/>
        <v>26</v>
      </c>
      <c r="B37" s="246" t="s">
        <v>364</v>
      </c>
      <c r="C37" s="582">
        <f>C17+C22+C27+C33+C35</f>
        <v>4523442.3480143677</v>
      </c>
      <c r="D37" s="27" t="s">
        <v>16</v>
      </c>
      <c r="E37" s="273" t="s">
        <v>491</v>
      </c>
      <c r="F37" s="537">
        <f t="shared" si="1"/>
        <v>26</v>
      </c>
    </row>
    <row r="38" spans="1:6" ht="16" thickTop="1" x14ac:dyDescent="0.35">
      <c r="A38" s="537">
        <f t="shared" si="0"/>
        <v>27</v>
      </c>
      <c r="B38" s="249"/>
      <c r="C38" s="583"/>
      <c r="D38" s="565"/>
      <c r="E38" s="224"/>
      <c r="F38" s="537">
        <f t="shared" si="1"/>
        <v>27</v>
      </c>
    </row>
    <row r="39" spans="1:6" x14ac:dyDescent="0.35">
      <c r="A39" s="537">
        <f t="shared" si="0"/>
        <v>28</v>
      </c>
      <c r="B39" s="458" t="s">
        <v>365</v>
      </c>
      <c r="C39" s="583"/>
      <c r="D39" s="565"/>
      <c r="E39" s="224"/>
      <c r="F39" s="537">
        <f t="shared" si="1"/>
        <v>28</v>
      </c>
    </row>
    <row r="40" spans="1:6" x14ac:dyDescent="0.35">
      <c r="A40" s="537">
        <f t="shared" si="0"/>
        <v>29</v>
      </c>
      <c r="B40" s="246" t="s">
        <v>366</v>
      </c>
      <c r="C40" s="584">
        <v>0</v>
      </c>
      <c r="D40" s="585"/>
      <c r="E40" s="273" t="s">
        <v>19</v>
      </c>
      <c r="F40" s="537">
        <f t="shared" si="1"/>
        <v>29</v>
      </c>
    </row>
    <row r="41" spans="1:6" x14ac:dyDescent="0.35">
      <c r="A41" s="537">
        <f t="shared" si="0"/>
        <v>30</v>
      </c>
      <c r="B41" s="246" t="s">
        <v>367</v>
      </c>
      <c r="C41" s="586">
        <v>0</v>
      </c>
      <c r="D41" s="554"/>
      <c r="E41" s="273" t="s">
        <v>19</v>
      </c>
      <c r="F41" s="537">
        <f t="shared" si="1"/>
        <v>30</v>
      </c>
    </row>
    <row r="42" spans="1:6" x14ac:dyDescent="0.35">
      <c r="A42" s="537">
        <f t="shared" si="0"/>
        <v>31</v>
      </c>
      <c r="B42" s="340" t="s">
        <v>368</v>
      </c>
      <c r="C42" s="578">
        <f>C40+C41</f>
        <v>0</v>
      </c>
      <c r="D42" s="565"/>
      <c r="E42" s="273" t="s">
        <v>492</v>
      </c>
      <c r="F42" s="537">
        <f t="shared" si="1"/>
        <v>31</v>
      </c>
    </row>
    <row r="43" spans="1:6" x14ac:dyDescent="0.35">
      <c r="A43" s="537">
        <f t="shared" si="0"/>
        <v>32</v>
      </c>
      <c r="B43" s="249"/>
      <c r="C43" s="583"/>
      <c r="D43" s="565"/>
      <c r="E43" s="224"/>
      <c r="F43" s="537">
        <f t="shared" si="1"/>
        <v>32</v>
      </c>
    </row>
    <row r="44" spans="1:6" x14ac:dyDescent="0.35">
      <c r="A44" s="537">
        <f t="shared" si="0"/>
        <v>33</v>
      </c>
      <c r="B44" s="458" t="s">
        <v>369</v>
      </c>
      <c r="C44" s="583"/>
      <c r="D44" s="565"/>
      <c r="E44" s="224"/>
      <c r="F44" s="537">
        <f t="shared" si="1"/>
        <v>33</v>
      </c>
    </row>
    <row r="45" spans="1:6" x14ac:dyDescent="0.35">
      <c r="A45" s="537">
        <f t="shared" si="0"/>
        <v>34</v>
      </c>
      <c r="B45" s="246" t="s">
        <v>370</v>
      </c>
      <c r="C45" s="584">
        <v>0</v>
      </c>
      <c r="D45" s="554"/>
      <c r="E45" s="273" t="s">
        <v>19</v>
      </c>
      <c r="F45" s="537">
        <f t="shared" si="1"/>
        <v>34</v>
      </c>
    </row>
    <row r="46" spans="1:6" x14ac:dyDescent="0.35">
      <c r="A46" s="537">
        <f t="shared" si="0"/>
        <v>35</v>
      </c>
      <c r="B46" s="340" t="s">
        <v>371</v>
      </c>
      <c r="C46" s="587">
        <v>0</v>
      </c>
      <c r="D46" s="554"/>
      <c r="E46" s="273" t="s">
        <v>19</v>
      </c>
      <c r="F46" s="537">
        <f t="shared" si="1"/>
        <v>35</v>
      </c>
    </row>
    <row r="47" spans="1:6" x14ac:dyDescent="0.35">
      <c r="A47" s="537">
        <f t="shared" si="0"/>
        <v>36</v>
      </c>
      <c r="B47" s="340" t="s">
        <v>372</v>
      </c>
      <c r="C47" s="578">
        <f>C45+C46</f>
        <v>0</v>
      </c>
      <c r="D47" s="565"/>
      <c r="E47" s="273" t="s">
        <v>493</v>
      </c>
      <c r="F47" s="537">
        <f t="shared" si="1"/>
        <v>36</v>
      </c>
    </row>
    <row r="48" spans="1:6" x14ac:dyDescent="0.35">
      <c r="A48" s="537">
        <f t="shared" si="0"/>
        <v>37</v>
      </c>
      <c r="B48" s="249"/>
      <c r="C48" s="583"/>
      <c r="D48" s="565"/>
      <c r="E48" s="224"/>
      <c r="F48" s="537">
        <f t="shared" si="1"/>
        <v>37</v>
      </c>
    </row>
    <row r="49" spans="1:6" ht="16" thickBot="1" x14ac:dyDescent="0.4">
      <c r="A49" s="537">
        <f t="shared" si="0"/>
        <v>38</v>
      </c>
      <c r="B49" s="458" t="s">
        <v>373</v>
      </c>
      <c r="C49" s="588">
        <v>0</v>
      </c>
      <c r="D49" s="554"/>
      <c r="E49" s="273" t="s">
        <v>19</v>
      </c>
      <c r="F49" s="537">
        <f t="shared" si="1"/>
        <v>38</v>
      </c>
    </row>
    <row r="50" spans="1:6" ht="16" thickTop="1" x14ac:dyDescent="0.35">
      <c r="A50" s="537"/>
      <c r="B50" s="249"/>
      <c r="C50" s="583"/>
      <c r="D50" s="565"/>
      <c r="E50" s="224"/>
      <c r="F50" s="537"/>
    </row>
    <row r="51" spans="1:6" x14ac:dyDescent="0.35">
      <c r="A51" s="27" t="s">
        <v>16</v>
      </c>
      <c r="B51" s="24" t="s">
        <v>611</v>
      </c>
      <c r="C51" s="225"/>
      <c r="D51" s="225"/>
      <c r="E51" s="225"/>
      <c r="F51" s="537"/>
    </row>
    <row r="52" spans="1:6" x14ac:dyDescent="0.35">
      <c r="A52" s="27"/>
      <c r="B52" s="24" t="s">
        <v>559</v>
      </c>
      <c r="C52" s="225"/>
      <c r="D52" s="225"/>
      <c r="E52" s="225"/>
      <c r="F52" s="537"/>
    </row>
    <row r="53" spans="1:6" x14ac:dyDescent="0.35">
      <c r="A53" s="27"/>
      <c r="B53" s="24"/>
      <c r="C53" s="225"/>
      <c r="D53" s="225"/>
      <c r="E53" s="225"/>
      <c r="F53" s="537"/>
    </row>
    <row r="54" spans="1:6" x14ac:dyDescent="0.35">
      <c r="A54" s="27"/>
      <c r="B54" s="24"/>
      <c r="C54" s="225"/>
      <c r="D54" s="225"/>
      <c r="E54" s="225"/>
      <c r="F54" s="537"/>
    </row>
    <row r="55" spans="1:6" x14ac:dyDescent="0.35">
      <c r="A55" s="537"/>
      <c r="B55" s="751" t="str">
        <f>B3</f>
        <v>SAN DIEGO GAS &amp; ELECTRIC COMPANY</v>
      </c>
      <c r="C55" s="769"/>
      <c r="D55" s="769"/>
      <c r="E55" s="769"/>
      <c r="F55" s="537"/>
    </row>
    <row r="56" spans="1:6" x14ac:dyDescent="0.35">
      <c r="A56" s="537"/>
      <c r="B56" s="751" t="str">
        <f>B4</f>
        <v xml:space="preserve">Derivation of End Use Transmission Rate Base </v>
      </c>
      <c r="C56" s="769"/>
      <c r="D56" s="769"/>
      <c r="E56" s="769"/>
      <c r="F56" s="537"/>
    </row>
    <row r="57" spans="1:6" x14ac:dyDescent="0.35">
      <c r="A57" s="537"/>
      <c r="B57" s="770" t="str">
        <f>B5</f>
        <v>Base Period &amp; True-Up Period 12 - Months Ending December 31, 2020</v>
      </c>
      <c r="C57" s="771"/>
      <c r="D57" s="771"/>
      <c r="E57" s="771"/>
      <c r="F57" s="537"/>
    </row>
    <row r="58" spans="1:6" x14ac:dyDescent="0.35">
      <c r="A58" s="537"/>
      <c r="B58" s="772" t="s">
        <v>1</v>
      </c>
      <c r="C58" s="769"/>
      <c r="D58" s="769"/>
      <c r="E58" s="769"/>
      <c r="F58" s="537"/>
    </row>
    <row r="59" spans="1:6" x14ac:dyDescent="0.35">
      <c r="A59" s="537"/>
      <c r="B59" s="553"/>
      <c r="C59" s="225"/>
      <c r="D59" s="225"/>
      <c r="E59" s="225"/>
      <c r="F59" s="537"/>
    </row>
    <row r="60" spans="1:6" x14ac:dyDescent="0.35">
      <c r="A60" s="537" t="s">
        <v>2</v>
      </c>
      <c r="B60" s="553"/>
      <c r="C60" s="225"/>
      <c r="D60" s="225"/>
      <c r="E60" s="225"/>
      <c r="F60" s="537"/>
    </row>
    <row r="61" spans="1:6" x14ac:dyDescent="0.35">
      <c r="A61" s="537" t="s">
        <v>6</v>
      </c>
      <c r="B61" s="553"/>
      <c r="C61" s="225"/>
      <c r="D61" s="225"/>
      <c r="E61" s="225"/>
      <c r="F61" s="537"/>
    </row>
    <row r="62" spans="1:6" x14ac:dyDescent="0.35">
      <c r="A62" s="537"/>
      <c r="B62" s="458" t="s">
        <v>374</v>
      </c>
      <c r="C62" s="225"/>
      <c r="D62" s="225"/>
      <c r="E62" s="225"/>
      <c r="F62" s="537"/>
    </row>
    <row r="63" spans="1:6" x14ac:dyDescent="0.35">
      <c r="A63" s="537"/>
      <c r="B63" s="558"/>
      <c r="C63" s="554"/>
      <c r="D63" s="554"/>
      <c r="E63" s="224"/>
      <c r="F63" s="537"/>
    </row>
    <row r="64" spans="1:6" x14ac:dyDescent="0.35">
      <c r="A64" s="537">
        <v>1</v>
      </c>
      <c r="B64" s="458" t="s">
        <v>375</v>
      </c>
      <c r="C64" s="554"/>
      <c r="D64" s="554"/>
      <c r="E64" s="224"/>
      <c r="F64" s="537">
        <f t="shared" ref="F64:F88" si="2">A64</f>
        <v>1</v>
      </c>
    </row>
    <row r="65" spans="1:8" x14ac:dyDescent="0.35">
      <c r="A65" s="537">
        <v>2</v>
      </c>
      <c r="B65" s="246" t="s">
        <v>347</v>
      </c>
      <c r="C65" s="589">
        <v>6659410.4084030753</v>
      </c>
      <c r="D65" s="554"/>
      <c r="E65" s="273" t="s">
        <v>471</v>
      </c>
      <c r="F65" s="537">
        <f t="shared" si="2"/>
        <v>2</v>
      </c>
      <c r="G65" s="590"/>
      <c r="H65" s="591"/>
    </row>
    <row r="66" spans="1:8" x14ac:dyDescent="0.35">
      <c r="A66" s="537">
        <v>3</v>
      </c>
      <c r="B66" s="246" t="s">
        <v>376</v>
      </c>
      <c r="C66" s="592">
        <v>18941.773089617513</v>
      </c>
      <c r="D66" s="554"/>
      <c r="E66" s="273" t="s">
        <v>472</v>
      </c>
      <c r="F66" s="537">
        <f t="shared" si="2"/>
        <v>3</v>
      </c>
      <c r="G66" s="590"/>
      <c r="H66" s="591"/>
    </row>
    <row r="67" spans="1:8" x14ac:dyDescent="0.35">
      <c r="A67" s="537">
        <v>4</v>
      </c>
      <c r="B67" s="246" t="s">
        <v>21</v>
      </c>
      <c r="C67" s="592">
        <v>47368.546650440985</v>
      </c>
      <c r="D67" s="554"/>
      <c r="E67" s="273" t="s">
        <v>450</v>
      </c>
      <c r="F67" s="537">
        <f t="shared" si="2"/>
        <v>4</v>
      </c>
      <c r="G67" s="590"/>
      <c r="H67" s="593"/>
    </row>
    <row r="68" spans="1:8" x14ac:dyDescent="0.35">
      <c r="A68" s="537">
        <v>5</v>
      </c>
      <c r="B68" s="246" t="s">
        <v>348</v>
      </c>
      <c r="C68" s="594">
        <v>117205.19981479381</v>
      </c>
      <c r="D68" s="554"/>
      <c r="E68" s="273" t="s">
        <v>451</v>
      </c>
      <c r="F68" s="537">
        <f t="shared" si="2"/>
        <v>5</v>
      </c>
      <c r="G68" s="591"/>
      <c r="H68" s="591"/>
    </row>
    <row r="69" spans="1:8" x14ac:dyDescent="0.35">
      <c r="A69" s="537">
        <v>6</v>
      </c>
      <c r="B69" s="246" t="s">
        <v>377</v>
      </c>
      <c r="C69" s="564">
        <f>SUM(C65:C68)</f>
        <v>6842925.9279579278</v>
      </c>
      <c r="D69" s="565"/>
      <c r="E69" s="273" t="s">
        <v>473</v>
      </c>
      <c r="F69" s="537">
        <f t="shared" si="2"/>
        <v>6</v>
      </c>
      <c r="G69" s="590"/>
      <c r="H69" s="591"/>
    </row>
    <row r="70" spans="1:8" x14ac:dyDescent="0.35">
      <c r="A70" s="537">
        <v>7</v>
      </c>
      <c r="B70" s="340"/>
      <c r="C70" s="595"/>
      <c r="D70" s="554"/>
      <c r="E70" s="224"/>
      <c r="F70" s="537">
        <f t="shared" si="2"/>
        <v>7</v>
      </c>
      <c r="G70" s="591"/>
      <c r="H70" s="591"/>
    </row>
    <row r="71" spans="1:8" x14ac:dyDescent="0.35">
      <c r="A71" s="537">
        <v>8</v>
      </c>
      <c r="B71" s="457" t="s">
        <v>378</v>
      </c>
      <c r="C71" s="595"/>
      <c r="D71" s="554"/>
      <c r="E71" s="224"/>
      <c r="F71" s="537">
        <f t="shared" si="2"/>
        <v>8</v>
      </c>
      <c r="G71" s="591"/>
      <c r="H71" s="591"/>
    </row>
    <row r="72" spans="1:8" x14ac:dyDescent="0.35">
      <c r="A72" s="537">
        <v>9</v>
      </c>
      <c r="B72" s="340" t="s">
        <v>379</v>
      </c>
      <c r="C72" s="589">
        <v>1387043.9115246153</v>
      </c>
      <c r="D72" s="554"/>
      <c r="E72" s="273" t="s">
        <v>474</v>
      </c>
      <c r="F72" s="537">
        <f t="shared" si="2"/>
        <v>9</v>
      </c>
      <c r="G72" s="591"/>
      <c r="H72" s="591"/>
    </row>
    <row r="73" spans="1:8" x14ac:dyDescent="0.35">
      <c r="A73" s="537">
        <v>10</v>
      </c>
      <c r="B73" s="340" t="s">
        <v>380</v>
      </c>
      <c r="C73" s="592">
        <v>15558.247684838476</v>
      </c>
      <c r="D73" s="554"/>
      <c r="E73" s="273" t="s">
        <v>475</v>
      </c>
      <c r="F73" s="537">
        <f t="shared" si="2"/>
        <v>10</v>
      </c>
      <c r="G73" s="591"/>
      <c r="H73" s="591"/>
    </row>
    <row r="74" spans="1:8" x14ac:dyDescent="0.35">
      <c r="A74" s="537">
        <v>11</v>
      </c>
      <c r="B74" s="340" t="s">
        <v>381</v>
      </c>
      <c r="C74" s="592">
        <v>19350.278884561267</v>
      </c>
      <c r="D74" s="554"/>
      <c r="E74" s="273" t="s">
        <v>476</v>
      </c>
      <c r="F74" s="537">
        <f t="shared" si="2"/>
        <v>11</v>
      </c>
      <c r="G74" s="591"/>
      <c r="H74" s="591"/>
    </row>
    <row r="75" spans="1:8" x14ac:dyDescent="0.35">
      <c r="A75" s="537">
        <v>12</v>
      </c>
      <c r="B75" s="340" t="s">
        <v>382</v>
      </c>
      <c r="C75" s="594">
        <v>58264.148858604072</v>
      </c>
      <c r="D75" s="554"/>
      <c r="E75" s="273" t="s">
        <v>477</v>
      </c>
      <c r="F75" s="537">
        <f t="shared" si="2"/>
        <v>12</v>
      </c>
      <c r="G75" s="591"/>
      <c r="H75" s="591"/>
    </row>
    <row r="76" spans="1:8" x14ac:dyDescent="0.35">
      <c r="A76" s="537">
        <v>13</v>
      </c>
      <c r="B76" s="596" t="s">
        <v>383</v>
      </c>
      <c r="C76" s="564">
        <f>SUM(C72:C75)</f>
        <v>1480216.586952619</v>
      </c>
      <c r="D76" s="565"/>
      <c r="E76" s="273" t="s">
        <v>478</v>
      </c>
      <c r="F76" s="537">
        <f t="shared" si="2"/>
        <v>13</v>
      </c>
      <c r="G76" s="591"/>
      <c r="H76" s="591"/>
    </row>
    <row r="77" spans="1:8" x14ac:dyDescent="0.35">
      <c r="A77" s="537">
        <v>14</v>
      </c>
      <c r="B77" s="596"/>
      <c r="C77" s="575"/>
      <c r="D77" s="576"/>
      <c r="E77" s="224"/>
      <c r="F77" s="537">
        <f t="shared" si="2"/>
        <v>14</v>
      </c>
      <c r="G77" s="591"/>
      <c r="H77" s="591"/>
    </row>
    <row r="78" spans="1:8" x14ac:dyDescent="0.35">
      <c r="A78" s="537">
        <v>15</v>
      </c>
      <c r="B78" s="458" t="s">
        <v>346</v>
      </c>
      <c r="C78" s="575"/>
      <c r="D78" s="576"/>
      <c r="E78" s="224"/>
      <c r="F78" s="537">
        <f t="shared" si="2"/>
        <v>15</v>
      </c>
      <c r="G78" s="591"/>
      <c r="H78" s="591"/>
    </row>
    <row r="79" spans="1:8" x14ac:dyDescent="0.35">
      <c r="A79" s="537">
        <v>16</v>
      </c>
      <c r="B79" s="246" t="s">
        <v>347</v>
      </c>
      <c r="C79" s="597">
        <f>C65-C72</f>
        <v>5272366.49687846</v>
      </c>
      <c r="D79" s="598"/>
      <c r="E79" s="273" t="str">
        <f>"Line "&amp;A65&amp;" Minus Line "&amp;A72</f>
        <v>Line 2 Minus Line 9</v>
      </c>
      <c r="F79" s="537">
        <f t="shared" si="2"/>
        <v>16</v>
      </c>
      <c r="G79" s="591"/>
      <c r="H79" s="591"/>
    </row>
    <row r="80" spans="1:8" x14ac:dyDescent="0.35">
      <c r="A80" s="537">
        <v>17</v>
      </c>
      <c r="B80" s="246" t="s">
        <v>20</v>
      </c>
      <c r="C80" s="599">
        <f>C66-C73</f>
        <v>3383.5254047790368</v>
      </c>
      <c r="D80" s="600"/>
      <c r="E80" s="273" t="str">
        <f>"Line "&amp;A66&amp;" Minus Line "&amp;A73</f>
        <v>Line 3 Minus Line 10</v>
      </c>
      <c r="F80" s="537">
        <f t="shared" si="2"/>
        <v>17</v>
      </c>
      <c r="G80" s="591"/>
      <c r="H80" s="591"/>
    </row>
    <row r="81" spans="1:6" x14ac:dyDescent="0.35">
      <c r="A81" s="537">
        <v>18</v>
      </c>
      <c r="B81" s="246" t="s">
        <v>21</v>
      </c>
      <c r="C81" s="599">
        <f>C67-C74</f>
        <v>28018.267765879718</v>
      </c>
      <c r="D81" s="600"/>
      <c r="E81" s="273" t="str">
        <f>"Line "&amp;A67&amp;" Minus Line "&amp;A74</f>
        <v>Line 4 Minus Line 11</v>
      </c>
      <c r="F81" s="537">
        <f t="shared" si="2"/>
        <v>18</v>
      </c>
    </row>
    <row r="82" spans="1:6" x14ac:dyDescent="0.35">
      <c r="A82" s="537">
        <v>19</v>
      </c>
      <c r="B82" s="246" t="s">
        <v>348</v>
      </c>
      <c r="C82" s="601">
        <f>C68-C75</f>
        <v>58941.050956189742</v>
      </c>
      <c r="D82" s="602"/>
      <c r="E82" s="273" t="str">
        <f>"Line "&amp;A68&amp;" Minus Line "&amp;A75</f>
        <v>Line 5 Minus Line 12</v>
      </c>
      <c r="F82" s="537">
        <f t="shared" si="2"/>
        <v>19</v>
      </c>
    </row>
    <row r="83" spans="1:6" ht="16" thickBot="1" x14ac:dyDescent="0.4">
      <c r="A83" s="537">
        <v>20</v>
      </c>
      <c r="B83" s="340" t="s">
        <v>349</v>
      </c>
      <c r="C83" s="603">
        <f>SUM(C79:C82)</f>
        <v>5362709.3410053086</v>
      </c>
      <c r="D83" s="565"/>
      <c r="E83" s="273" t="str">
        <f>"Sum Lines "&amp;A79&amp;" thru "&amp;A82</f>
        <v>Sum Lines 16 thru 19</v>
      </c>
      <c r="F83" s="537">
        <f t="shared" si="2"/>
        <v>20</v>
      </c>
    </row>
    <row r="84" spans="1:6" ht="16" thickTop="1" x14ac:dyDescent="0.35">
      <c r="A84" s="537">
        <v>21</v>
      </c>
      <c r="B84" s="249"/>
      <c r="C84" s="565"/>
      <c r="D84" s="565"/>
      <c r="E84" s="224"/>
      <c r="F84" s="537">
        <f t="shared" si="2"/>
        <v>21</v>
      </c>
    </row>
    <row r="85" spans="1:6" x14ac:dyDescent="0.35">
      <c r="A85" s="537">
        <v>22</v>
      </c>
      <c r="B85" s="458" t="s">
        <v>384</v>
      </c>
      <c r="C85" s="565"/>
      <c r="D85" s="565"/>
      <c r="E85" s="224"/>
      <c r="F85" s="537">
        <f t="shared" si="2"/>
        <v>22</v>
      </c>
    </row>
    <row r="86" spans="1:6" x14ac:dyDescent="0.35">
      <c r="A86" s="537">
        <v>23</v>
      </c>
      <c r="B86" s="246" t="s">
        <v>385</v>
      </c>
      <c r="C86" s="584">
        <v>0</v>
      </c>
      <c r="D86" s="565"/>
      <c r="E86" s="273" t="s">
        <v>19</v>
      </c>
      <c r="F86" s="537">
        <f t="shared" si="2"/>
        <v>23</v>
      </c>
    </row>
    <row r="87" spans="1:6" x14ac:dyDescent="0.35">
      <c r="A87" s="537">
        <v>24</v>
      </c>
      <c r="B87" s="340" t="s">
        <v>386</v>
      </c>
      <c r="C87" s="587">
        <v>0</v>
      </c>
      <c r="D87" s="565"/>
      <c r="E87" s="273" t="s">
        <v>19</v>
      </c>
      <c r="F87" s="537">
        <f t="shared" si="2"/>
        <v>24</v>
      </c>
    </row>
    <row r="88" spans="1:6" ht="16" thickBot="1" x14ac:dyDescent="0.4">
      <c r="A88" s="537">
        <v>25</v>
      </c>
      <c r="B88" s="246" t="s">
        <v>387</v>
      </c>
      <c r="C88" s="604">
        <f>C86-C87</f>
        <v>0</v>
      </c>
      <c r="D88" s="565"/>
      <c r="E88" s="273" t="str">
        <f>"Line "&amp;A86&amp;" Minus Line "&amp;A87</f>
        <v>Line 23 Minus Line 24</v>
      </c>
      <c r="F88" s="537">
        <f t="shared" si="2"/>
        <v>25</v>
      </c>
    </row>
    <row r="89" spans="1:6" ht="16" thickTop="1" x14ac:dyDescent="0.35">
      <c r="A89" s="537"/>
    </row>
  </sheetData>
  <mergeCells count="8">
    <mergeCell ref="B3:E3"/>
    <mergeCell ref="B57:E57"/>
    <mergeCell ref="B58:E58"/>
    <mergeCell ref="B55:E55"/>
    <mergeCell ref="B56:E56"/>
    <mergeCell ref="B4:E4"/>
    <mergeCell ref="B5:E5"/>
    <mergeCell ref="B6:E6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 AV-4 WITH COST ADJ. INCL. IN APPENDIX XII CYCLE 5 (ER23-110)</oddHeader>
    <oddFooter>&amp;L&amp;F&amp;CPage 13.&amp;P&amp;R&amp;A</oddFooter>
  </headerFooter>
  <rowBreaks count="1" manualBreakCount="1">
    <brk id="5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1:M58"/>
  <sheetViews>
    <sheetView zoomScale="80" zoomScaleNormal="80" workbookViewId="0"/>
  </sheetViews>
  <sheetFormatPr defaultColWidth="8.81640625" defaultRowHeight="15.5" x14ac:dyDescent="0.35"/>
  <cols>
    <col min="1" max="1" width="5.1796875" style="41" customWidth="1"/>
    <col min="2" max="2" width="70.54296875" style="20" customWidth="1"/>
    <col min="3" max="3" width="15.1796875" style="20" customWidth="1"/>
    <col min="4" max="4" width="1.54296875" style="20" customWidth="1"/>
    <col min="5" max="5" width="18.1796875" style="20" customWidth="1"/>
    <col min="6" max="6" width="1.54296875" style="20" customWidth="1"/>
    <col min="7" max="7" width="12.54296875" style="20" customWidth="1"/>
    <col min="8" max="8" width="40.54296875" style="20" customWidth="1"/>
    <col min="9" max="9" width="5.1796875" style="41" customWidth="1"/>
    <col min="10" max="16384" width="8.81640625" style="20"/>
  </cols>
  <sheetData>
    <row r="1" spans="1:11" x14ac:dyDescent="0.35">
      <c r="A1" s="223"/>
      <c r="B1" s="224"/>
      <c r="C1" s="224"/>
      <c r="D1" s="224"/>
      <c r="E1" s="224"/>
      <c r="F1" s="224"/>
      <c r="G1" s="224"/>
      <c r="H1" s="224"/>
      <c r="I1" s="223"/>
    </row>
    <row r="2" spans="1:11" x14ac:dyDescent="0.35">
      <c r="A2" s="223"/>
      <c r="B2" s="751" t="s">
        <v>24</v>
      </c>
      <c r="C2" s="751"/>
      <c r="D2" s="751"/>
      <c r="E2" s="751"/>
      <c r="F2" s="751"/>
      <c r="G2" s="751"/>
      <c r="H2" s="751"/>
      <c r="I2" s="224"/>
    </row>
    <row r="3" spans="1:11" x14ac:dyDescent="0.35">
      <c r="B3" s="751" t="s">
        <v>216</v>
      </c>
      <c r="C3" s="751"/>
      <c r="D3" s="751"/>
      <c r="E3" s="751"/>
      <c r="F3" s="751"/>
      <c r="G3" s="751"/>
      <c r="H3" s="751"/>
      <c r="I3" s="221"/>
    </row>
    <row r="4" spans="1:11" x14ac:dyDescent="0.35">
      <c r="B4" s="751" t="s">
        <v>591</v>
      </c>
      <c r="C4" s="751"/>
      <c r="D4" s="751"/>
      <c r="E4" s="751"/>
      <c r="F4" s="751"/>
      <c r="G4" s="751"/>
      <c r="H4" s="751"/>
      <c r="I4" s="221"/>
    </row>
    <row r="5" spans="1:11" x14ac:dyDescent="0.35">
      <c r="B5" s="751" t="s">
        <v>508</v>
      </c>
      <c r="C5" s="751"/>
      <c r="D5" s="751"/>
      <c r="E5" s="751"/>
      <c r="F5" s="751"/>
      <c r="G5" s="751"/>
      <c r="H5" s="751"/>
      <c r="I5" s="221"/>
    </row>
    <row r="6" spans="1:11" x14ac:dyDescent="0.35">
      <c r="B6" s="752" t="s">
        <v>1</v>
      </c>
      <c r="C6" s="751"/>
      <c r="D6" s="751"/>
      <c r="E6" s="751"/>
      <c r="F6" s="751"/>
      <c r="G6" s="751"/>
      <c r="H6" s="751"/>
      <c r="I6" s="221"/>
    </row>
    <row r="7" spans="1:11" x14ac:dyDescent="0.35">
      <c r="A7" s="223"/>
      <c r="B7" s="224"/>
      <c r="C7" s="225"/>
      <c r="D7" s="225"/>
      <c r="E7" s="225"/>
      <c r="F7" s="225"/>
      <c r="G7" s="225"/>
      <c r="H7" s="225"/>
      <c r="I7" s="223"/>
    </row>
    <row r="8" spans="1:11" ht="16" thickBot="1" x14ac:dyDescent="0.4">
      <c r="A8" s="223"/>
      <c r="B8" s="224"/>
      <c r="C8" s="337" t="s">
        <v>12</v>
      </c>
      <c r="D8" s="336"/>
      <c r="E8" s="337" t="s">
        <v>7</v>
      </c>
      <c r="F8" s="336"/>
      <c r="G8" s="337" t="s">
        <v>13</v>
      </c>
      <c r="H8" s="225"/>
      <c r="I8" s="223"/>
    </row>
    <row r="9" spans="1:11" ht="60" x14ac:dyDescent="0.35">
      <c r="A9" s="611" t="s">
        <v>2</v>
      </c>
      <c r="B9" s="338"/>
      <c r="C9" s="342" t="s">
        <v>510</v>
      </c>
      <c r="D9" s="224"/>
      <c r="E9" s="327" t="s">
        <v>610</v>
      </c>
      <c r="F9" s="23"/>
      <c r="G9" s="25" t="s">
        <v>14</v>
      </c>
      <c r="H9" s="230"/>
      <c r="I9" s="610" t="s">
        <v>2</v>
      </c>
    </row>
    <row r="10" spans="1:11" x14ac:dyDescent="0.35">
      <c r="A10" s="227" t="s">
        <v>6</v>
      </c>
      <c r="B10" s="233" t="s">
        <v>218</v>
      </c>
      <c r="C10" s="233" t="s">
        <v>4</v>
      </c>
      <c r="D10" s="233"/>
      <c r="E10" s="233" t="s">
        <v>4</v>
      </c>
      <c r="F10" s="233"/>
      <c r="G10" s="609" t="s">
        <v>15</v>
      </c>
      <c r="H10" s="233" t="s">
        <v>5</v>
      </c>
      <c r="I10" s="231" t="s">
        <v>6</v>
      </c>
    </row>
    <row r="11" spans="1:11" x14ac:dyDescent="0.35">
      <c r="A11" s="227"/>
      <c r="B11" s="339"/>
      <c r="C11" s="237"/>
      <c r="D11" s="236"/>
      <c r="E11" s="236"/>
      <c r="F11" s="236"/>
      <c r="G11" s="236"/>
      <c r="H11" s="237"/>
      <c r="I11" s="231"/>
    </row>
    <row r="12" spans="1:11" x14ac:dyDescent="0.35">
      <c r="A12" s="227">
        <v>1</v>
      </c>
      <c r="B12" s="246" t="s">
        <v>219</v>
      </c>
      <c r="C12" s="330">
        <f>'Pg3 Rev App XII C4'!C11</f>
        <v>0</v>
      </c>
      <c r="D12" s="240"/>
      <c r="E12" s="330">
        <f>'Pg4 App.XII C4-Cost Adj'!C12</f>
        <v>0</v>
      </c>
      <c r="F12" s="240"/>
      <c r="G12" s="240">
        <f>C12-E12</f>
        <v>0</v>
      </c>
      <c r="H12" s="8" t="s">
        <v>495</v>
      </c>
      <c r="I12" s="231">
        <f>A12</f>
        <v>1</v>
      </c>
      <c r="K12" s="22"/>
    </row>
    <row r="13" spans="1:11" x14ac:dyDescent="0.35">
      <c r="A13" s="227">
        <f>A12+1</f>
        <v>2</v>
      </c>
      <c r="B13" s="340"/>
      <c r="C13" s="244"/>
      <c r="D13" s="244"/>
      <c r="E13" s="244"/>
      <c r="F13" s="244"/>
      <c r="G13" s="244"/>
      <c r="H13" s="224"/>
      <c r="I13" s="231">
        <f>I12+1</f>
        <v>2</v>
      </c>
    </row>
    <row r="14" spans="1:11" x14ac:dyDescent="0.35">
      <c r="A14" s="227">
        <f t="shared" ref="A14:A29" si="0">A13+1</f>
        <v>3</v>
      </c>
      <c r="B14" s="246" t="s">
        <v>220</v>
      </c>
      <c r="C14" s="715">
        <f>'Pg3 Rev App XII C4'!C13</f>
        <v>868.66143901678129</v>
      </c>
      <c r="D14" s="27" t="s">
        <v>16</v>
      </c>
      <c r="E14" s="331">
        <f>'Pg4 App.XII C4-Cost Adj'!C14</f>
        <v>859.89077595309413</v>
      </c>
      <c r="F14" s="220"/>
      <c r="G14" s="716">
        <f>C14-E14</f>
        <v>8.7706630636871523</v>
      </c>
      <c r="H14" s="8" t="s">
        <v>496</v>
      </c>
      <c r="I14" s="231">
        <f t="shared" ref="I14:I29" si="1">I13+1</f>
        <v>3</v>
      </c>
      <c r="K14" s="30"/>
    </row>
    <row r="15" spans="1:11" x14ac:dyDescent="0.35">
      <c r="A15" s="227">
        <f t="shared" si="0"/>
        <v>4</v>
      </c>
      <c r="B15" s="340"/>
      <c r="C15" s="244"/>
      <c r="D15" s="244"/>
      <c r="E15" s="244"/>
      <c r="F15" s="244"/>
      <c r="G15" s="244"/>
      <c r="H15" s="245"/>
      <c r="I15" s="231">
        <f t="shared" si="1"/>
        <v>4</v>
      </c>
    </row>
    <row r="16" spans="1:11" x14ac:dyDescent="0.35">
      <c r="A16" s="227">
        <f t="shared" si="0"/>
        <v>5</v>
      </c>
      <c r="B16" s="246" t="s">
        <v>221</v>
      </c>
      <c r="C16" s="34">
        <f>'Pg3 Rev App XII C4'!C15</f>
        <v>-76.86620554291548</v>
      </c>
      <c r="D16" s="248"/>
      <c r="E16" s="34">
        <f>'Pg4 App.XII C4-Cost Adj'!C16</f>
        <v>-76.86620554291548</v>
      </c>
      <c r="F16" s="248"/>
      <c r="G16" s="328">
        <f>C16-E16</f>
        <v>0</v>
      </c>
      <c r="H16" s="8" t="s">
        <v>497</v>
      </c>
      <c r="I16" s="231">
        <f t="shared" si="1"/>
        <v>5</v>
      </c>
      <c r="K16" s="30"/>
    </row>
    <row r="17" spans="1:13" x14ac:dyDescent="0.35">
      <c r="A17" s="227">
        <f t="shared" si="0"/>
        <v>6</v>
      </c>
      <c r="B17" s="249"/>
      <c r="C17" s="248"/>
      <c r="D17" s="248"/>
      <c r="E17" s="248"/>
      <c r="F17" s="248"/>
      <c r="G17" s="248"/>
      <c r="H17" s="241"/>
      <c r="I17" s="231">
        <f t="shared" si="1"/>
        <v>6</v>
      </c>
      <c r="K17" s="30"/>
    </row>
    <row r="18" spans="1:13" x14ac:dyDescent="0.35">
      <c r="A18" s="227">
        <f t="shared" si="0"/>
        <v>7</v>
      </c>
      <c r="B18" s="341" t="s">
        <v>390</v>
      </c>
      <c r="C18" s="717">
        <f>C12+C14+C16</f>
        <v>791.79523347386578</v>
      </c>
      <c r="D18" s="27" t="s">
        <v>16</v>
      </c>
      <c r="E18" s="329">
        <f>E12+E14+E16</f>
        <v>783.02457041017863</v>
      </c>
      <c r="F18" s="220"/>
      <c r="G18" s="717">
        <f>G12+G14+G16</f>
        <v>8.7706630636871523</v>
      </c>
      <c r="H18" s="251" t="str">
        <f>"Sum Lines "&amp;A12&amp;", "&amp;A14&amp;", "&amp;A16</f>
        <v>Sum Lines 1, 3, 5</v>
      </c>
      <c r="I18" s="231">
        <f t="shared" si="1"/>
        <v>7</v>
      </c>
      <c r="K18" s="30"/>
    </row>
    <row r="19" spans="1:13" x14ac:dyDescent="0.35">
      <c r="A19" s="227">
        <f t="shared" si="0"/>
        <v>8</v>
      </c>
      <c r="B19" s="249"/>
      <c r="C19" s="244"/>
      <c r="D19" s="244"/>
      <c r="E19" s="244"/>
      <c r="F19" s="244"/>
      <c r="G19" s="244"/>
      <c r="H19" s="253"/>
      <c r="I19" s="231">
        <f t="shared" si="1"/>
        <v>8</v>
      </c>
    </row>
    <row r="20" spans="1:13" x14ac:dyDescent="0.35">
      <c r="A20" s="227">
        <f t="shared" si="0"/>
        <v>9</v>
      </c>
      <c r="B20" s="246" t="s">
        <v>222</v>
      </c>
      <c r="C20" s="715">
        <f>'Pg3 Rev App XII C4'!C19</f>
        <v>-120.28598682597209</v>
      </c>
      <c r="D20" s="27" t="s">
        <v>16</v>
      </c>
      <c r="E20" s="332">
        <f>'Pg4 App.XII C4-Cost Adj'!C20</f>
        <v>-129.22160845861544</v>
      </c>
      <c r="F20" s="220"/>
      <c r="G20" s="716">
        <f>C20-E20</f>
        <v>8.9356216326433469</v>
      </c>
      <c r="H20" s="8" t="s">
        <v>498</v>
      </c>
      <c r="I20" s="231">
        <f t="shared" si="1"/>
        <v>9</v>
      </c>
    </row>
    <row r="21" spans="1:13" x14ac:dyDescent="0.35">
      <c r="A21" s="227">
        <f t="shared" si="0"/>
        <v>10</v>
      </c>
      <c r="B21" s="246"/>
      <c r="C21" s="244"/>
      <c r="D21" s="244"/>
      <c r="E21" s="244"/>
      <c r="F21" s="244"/>
      <c r="G21" s="244"/>
      <c r="H21" s="254"/>
      <c r="I21" s="231">
        <f t="shared" si="1"/>
        <v>10</v>
      </c>
    </row>
    <row r="22" spans="1:13" x14ac:dyDescent="0.35">
      <c r="A22" s="227">
        <f t="shared" si="0"/>
        <v>11</v>
      </c>
      <c r="B22" s="246" t="s">
        <v>223</v>
      </c>
      <c r="C22" s="34">
        <f>'Pg3 Rev App XII C4'!C21</f>
        <v>-2.6155405682218507</v>
      </c>
      <c r="D22" s="248"/>
      <c r="E22" s="34">
        <f>'Pg4 App.XII C4-Cost Adj'!C22</f>
        <v>-2.6155405682218507</v>
      </c>
      <c r="F22" s="248"/>
      <c r="G22" s="328">
        <f>C22-E22</f>
        <v>0</v>
      </c>
      <c r="H22" s="8" t="s">
        <v>499</v>
      </c>
      <c r="I22" s="231">
        <f t="shared" si="1"/>
        <v>11</v>
      </c>
    </row>
    <row r="23" spans="1:13" x14ac:dyDescent="0.35">
      <c r="A23" s="227">
        <f t="shared" si="0"/>
        <v>12</v>
      </c>
      <c r="B23" s="249"/>
      <c r="C23" s="256"/>
      <c r="D23" s="256"/>
      <c r="E23" s="256"/>
      <c r="F23" s="256"/>
      <c r="G23" s="256"/>
      <c r="H23" s="251"/>
      <c r="I23" s="231">
        <f t="shared" si="1"/>
        <v>12</v>
      </c>
    </row>
    <row r="24" spans="1:13" x14ac:dyDescent="0.35">
      <c r="A24" s="227">
        <f t="shared" si="0"/>
        <v>13</v>
      </c>
      <c r="B24" s="249" t="s">
        <v>224</v>
      </c>
      <c r="C24" s="80">
        <f>C18+C20+C22</f>
        <v>668.8937060796718</v>
      </c>
      <c r="D24" s="27" t="s">
        <v>16</v>
      </c>
      <c r="E24" s="39">
        <f>E18+E20+E22</f>
        <v>651.18742138334142</v>
      </c>
      <c r="F24" s="220"/>
      <c r="G24" s="80">
        <f>G18+G20+G22</f>
        <v>17.706284696330499</v>
      </c>
      <c r="H24" s="251" t="str">
        <f>"Sum Lines "&amp;A18&amp;", "&amp;A20&amp;", "&amp;A22</f>
        <v>Sum Lines 7, 9, 11</v>
      </c>
      <c r="I24" s="231">
        <f t="shared" si="1"/>
        <v>13</v>
      </c>
      <c r="K24" s="30"/>
    </row>
    <row r="25" spans="1:13" x14ac:dyDescent="0.35">
      <c r="A25" s="227">
        <f t="shared" si="0"/>
        <v>14</v>
      </c>
      <c r="B25" s="257"/>
      <c r="C25" s="78"/>
      <c r="D25" s="78"/>
      <c r="E25" s="78"/>
      <c r="F25" s="78"/>
      <c r="G25" s="78"/>
      <c r="H25" s="251"/>
      <c r="I25" s="231">
        <f t="shared" si="1"/>
        <v>14</v>
      </c>
      <c r="K25" s="30"/>
    </row>
    <row r="26" spans="1:13" x14ac:dyDescent="0.35">
      <c r="A26" s="227">
        <f t="shared" si="0"/>
        <v>15</v>
      </c>
      <c r="B26" s="246" t="s">
        <v>225</v>
      </c>
      <c r="C26" s="608">
        <f>'Pg3 Rev App XII C4'!C25</f>
        <v>-26.403206586286924</v>
      </c>
      <c r="D26" s="78"/>
      <c r="E26" s="333">
        <f>'Pg4 App.XII C4-Cost Adj'!C26</f>
        <v>-26.403206586286924</v>
      </c>
      <c r="F26" s="78"/>
      <c r="G26" s="87"/>
      <c r="H26" s="8" t="s">
        <v>500</v>
      </c>
      <c r="I26" s="231">
        <f t="shared" si="1"/>
        <v>15</v>
      </c>
      <c r="K26" s="30"/>
    </row>
    <row r="27" spans="1:13" x14ac:dyDescent="0.35">
      <c r="A27" s="227">
        <f t="shared" si="0"/>
        <v>16</v>
      </c>
      <c r="B27" s="225"/>
      <c r="C27" s="260"/>
      <c r="D27" s="260"/>
      <c r="E27" s="260"/>
      <c r="F27" s="260"/>
      <c r="G27" s="641"/>
      <c r="H27" s="251"/>
      <c r="I27" s="231">
        <f t="shared" si="1"/>
        <v>16</v>
      </c>
    </row>
    <row r="28" spans="1:13" ht="16" thickBot="1" x14ac:dyDescent="0.4">
      <c r="A28" s="227">
        <f t="shared" si="0"/>
        <v>17</v>
      </c>
      <c r="B28" s="341" t="s">
        <v>226</v>
      </c>
      <c r="C28" s="719">
        <f>C24+C26</f>
        <v>642.49049949338485</v>
      </c>
      <c r="D28" s="27" t="s">
        <v>16</v>
      </c>
      <c r="E28" s="335">
        <f>E24+E26</f>
        <v>624.78421479705446</v>
      </c>
      <c r="F28" s="220"/>
      <c r="G28" s="718">
        <f>C28-E28</f>
        <v>17.706284696330385</v>
      </c>
      <c r="H28" s="251" t="str">
        <f>"Line "&amp;A24&amp;" + Line "&amp;A26</f>
        <v>Line 13 + Line 15</v>
      </c>
      <c r="I28" s="231">
        <f t="shared" si="1"/>
        <v>17</v>
      </c>
      <c r="L28" s="22"/>
      <c r="M28" s="262"/>
    </row>
    <row r="29" spans="1:13" ht="16.5" thickTop="1" thickBot="1" x14ac:dyDescent="0.4">
      <c r="A29" s="227">
        <f t="shared" si="0"/>
        <v>18</v>
      </c>
      <c r="B29" s="226"/>
      <c r="C29" s="343"/>
      <c r="D29" s="226"/>
      <c r="E29" s="226"/>
      <c r="F29" s="226"/>
      <c r="G29" s="226"/>
      <c r="H29" s="226"/>
      <c r="I29" s="231">
        <f t="shared" si="1"/>
        <v>18</v>
      </c>
    </row>
    <row r="31" spans="1:13" ht="16" thickBot="1" x14ac:dyDescent="0.4">
      <c r="A31" s="223"/>
      <c r="B31" s="265"/>
      <c r="C31" s="266"/>
      <c r="D31" s="266"/>
      <c r="E31" s="266"/>
      <c r="F31" s="266"/>
      <c r="G31" s="266"/>
      <c r="H31" s="266"/>
      <c r="I31" s="223"/>
    </row>
    <row r="32" spans="1:13" ht="60.5" x14ac:dyDescent="0.35">
      <c r="A32" s="611" t="s">
        <v>2</v>
      </c>
      <c r="B32" s="224"/>
      <c r="C32" s="345" t="str">
        <f>C9</f>
        <v>Revised - Appendix XII Cycle 4</v>
      </c>
      <c r="D32" s="224"/>
      <c r="E32" s="344" t="str">
        <f>E9</f>
        <v>As Filed - Appendix XII Cycle 4 ER22-133 and ER23-110</v>
      </c>
      <c r="F32" s="224"/>
      <c r="G32" s="224" t="str">
        <f>G9</f>
        <v>Difference</v>
      </c>
      <c r="H32" s="224"/>
      <c r="I32" s="610" t="s">
        <v>2</v>
      </c>
    </row>
    <row r="33" spans="1:10" x14ac:dyDescent="0.35">
      <c r="A33" s="227" t="s">
        <v>6</v>
      </c>
      <c r="B33" s="233" t="s">
        <v>227</v>
      </c>
      <c r="C33" s="233" t="str">
        <f>C10</f>
        <v>Amounts</v>
      </c>
      <c r="D33" s="233"/>
      <c r="E33" s="233" t="str">
        <f>E10</f>
        <v>Amounts</v>
      </c>
      <c r="F33" s="233"/>
      <c r="G33" s="233" t="str">
        <f>G10</f>
        <v>Incr (Decr)</v>
      </c>
      <c r="H33" s="233" t="str">
        <f>H10</f>
        <v>Reference</v>
      </c>
      <c r="I33" s="231" t="s">
        <v>6</v>
      </c>
    </row>
    <row r="34" spans="1:10" x14ac:dyDescent="0.35">
      <c r="A34" s="227">
        <f>A29+1</f>
        <v>19</v>
      </c>
      <c r="B34" s="225"/>
      <c r="C34" s="237"/>
      <c r="D34" s="236"/>
      <c r="E34" s="236"/>
      <c r="F34" s="236"/>
      <c r="G34" s="236"/>
      <c r="H34" s="237"/>
      <c r="I34" s="231">
        <f>I29+1</f>
        <v>19</v>
      </c>
    </row>
    <row r="35" spans="1:10" x14ac:dyDescent="0.35">
      <c r="A35" s="227">
        <f>A34+1</f>
        <v>20</v>
      </c>
      <c r="B35" s="246" t="str">
        <f>B12</f>
        <v>Section 1 - Direct Maintenance Expense Cost Component</v>
      </c>
      <c r="C35" s="270">
        <f>'Pg3 Rev App XII C4'!C34</f>
        <v>0</v>
      </c>
      <c r="D35" s="270"/>
      <c r="E35" s="270">
        <f>'Pg4 App.XII C4-Cost Adj'!C35</f>
        <v>0</v>
      </c>
      <c r="F35" s="270"/>
      <c r="G35" s="270">
        <f>C35-E35</f>
        <v>0</v>
      </c>
      <c r="H35" s="8" t="s">
        <v>501</v>
      </c>
      <c r="I35" s="231">
        <f>I34+1</f>
        <v>20</v>
      </c>
    </row>
    <row r="36" spans="1:10" x14ac:dyDescent="0.35">
      <c r="A36" s="227">
        <f t="shared" ref="A36:A54" si="2">A35+1</f>
        <v>21</v>
      </c>
      <c r="B36" s="340"/>
      <c r="C36" s="272"/>
      <c r="D36" s="272"/>
      <c r="E36" s="272"/>
      <c r="F36" s="272"/>
      <c r="G36" s="272"/>
      <c r="H36" s="273"/>
      <c r="I36" s="231">
        <f t="shared" ref="I36:I54" si="3">I35+1</f>
        <v>21</v>
      </c>
    </row>
    <row r="37" spans="1:10" x14ac:dyDescent="0.35">
      <c r="A37" s="227">
        <f t="shared" si="2"/>
        <v>22</v>
      </c>
      <c r="B37" s="246" t="str">
        <f>B14</f>
        <v>Section 2 - Non-Direct Expense Cost Component</v>
      </c>
      <c r="C37" s="346">
        <f>'Pg3 Rev App XII C4'!C36</f>
        <v>72.388453251398445</v>
      </c>
      <c r="D37" s="27" t="s">
        <v>16</v>
      </c>
      <c r="E37" s="351">
        <f>'Pg4 App.XII C4-Cost Adj'!C37</f>
        <v>71.657564662757849</v>
      </c>
      <c r="F37" s="220"/>
      <c r="G37" s="642">
        <f>C37-E37</f>
        <v>0.73088858864059603</v>
      </c>
      <c r="H37" s="8" t="s">
        <v>502</v>
      </c>
      <c r="I37" s="231">
        <f t="shared" si="3"/>
        <v>22</v>
      </c>
    </row>
    <row r="38" spans="1:10" x14ac:dyDescent="0.35">
      <c r="A38" s="227">
        <f t="shared" si="2"/>
        <v>23</v>
      </c>
      <c r="B38" s="340"/>
      <c r="C38" s="347"/>
      <c r="D38" s="276"/>
      <c r="E38" s="276"/>
      <c r="F38" s="276"/>
      <c r="G38" s="276"/>
      <c r="H38" s="277"/>
      <c r="I38" s="231">
        <f t="shared" si="3"/>
        <v>23</v>
      </c>
    </row>
    <row r="39" spans="1:10" x14ac:dyDescent="0.35">
      <c r="A39" s="227">
        <f t="shared" si="2"/>
        <v>24</v>
      </c>
      <c r="B39" s="246" t="str">
        <f>B16</f>
        <v>Section 3 - Cost Component Containing Other Specific Expenses</v>
      </c>
      <c r="C39" s="352">
        <f>'Pg3 Rev App XII C4'!C38</f>
        <v>-6.4055171285762897</v>
      </c>
      <c r="D39" s="27"/>
      <c r="E39" s="352">
        <f>'Pg4 App.XII C4-Cost Adj'!C39</f>
        <v>-6.4055171285762897</v>
      </c>
      <c r="F39" s="279"/>
      <c r="G39" s="742">
        <f>C39-E39</f>
        <v>0</v>
      </c>
      <c r="H39" s="8" t="s">
        <v>503</v>
      </c>
      <c r="I39" s="231">
        <f t="shared" si="3"/>
        <v>24</v>
      </c>
    </row>
    <row r="40" spans="1:10" x14ac:dyDescent="0.35">
      <c r="A40" s="227">
        <f t="shared" si="2"/>
        <v>25</v>
      </c>
      <c r="B40" s="249"/>
      <c r="C40" s="276"/>
      <c r="D40" s="276"/>
      <c r="E40" s="276"/>
      <c r="F40" s="276"/>
      <c r="G40" s="276"/>
      <c r="H40" s="241"/>
      <c r="I40" s="231">
        <f t="shared" si="3"/>
        <v>25</v>
      </c>
    </row>
    <row r="41" spans="1:10" x14ac:dyDescent="0.35">
      <c r="A41" s="227">
        <f t="shared" si="2"/>
        <v>26</v>
      </c>
      <c r="B41" s="341" t="s">
        <v>391</v>
      </c>
      <c r="C41" s="348">
        <f>C35+C37+C39</f>
        <v>65.982936122822153</v>
      </c>
      <c r="D41" s="27" t="s">
        <v>16</v>
      </c>
      <c r="E41" s="355">
        <f>E35+E37+E39</f>
        <v>65.252047534181557</v>
      </c>
      <c r="F41" s="220"/>
      <c r="G41" s="643">
        <f>C41-E41</f>
        <v>0.73088858864059603</v>
      </c>
      <c r="H41" s="251" t="str">
        <f>"Sum Lines "&amp;A35&amp;", "&amp;A37&amp;", "&amp;A39</f>
        <v>Sum Lines 20, 22, 24</v>
      </c>
      <c r="I41" s="231">
        <f t="shared" si="3"/>
        <v>26</v>
      </c>
    </row>
    <row r="42" spans="1:10" x14ac:dyDescent="0.35">
      <c r="A42" s="227">
        <f t="shared" si="2"/>
        <v>27</v>
      </c>
      <c r="B42" s="225"/>
      <c r="C42" s="347"/>
      <c r="D42" s="276"/>
      <c r="E42" s="276"/>
      <c r="F42" s="276"/>
      <c r="G42" s="276"/>
      <c r="H42" s="245"/>
      <c r="I42" s="231">
        <f t="shared" si="3"/>
        <v>27</v>
      </c>
    </row>
    <row r="43" spans="1:10" x14ac:dyDescent="0.35">
      <c r="A43" s="227">
        <f t="shared" si="2"/>
        <v>28</v>
      </c>
      <c r="B43" s="246" t="str">
        <f>LEFT(B20,45)</f>
        <v>Section 4 - True-Up Adjustment Cost Component</v>
      </c>
      <c r="C43" s="346">
        <f>'Pg3 Rev App XII C4'!C42</f>
        <v>-10.023832235497673</v>
      </c>
      <c r="D43" s="27" t="s">
        <v>16</v>
      </c>
      <c r="E43" s="353">
        <f>'Pg4 App.XII C4-Cost Adj'!C43</f>
        <v>-10.768467371551287</v>
      </c>
      <c r="F43" s="220"/>
      <c r="G43" s="642">
        <f>C43-E43</f>
        <v>0.74463513605361342</v>
      </c>
      <c r="H43" s="8" t="s">
        <v>504</v>
      </c>
      <c r="I43" s="231">
        <f t="shared" si="3"/>
        <v>28</v>
      </c>
      <c r="J43" s="743"/>
    </row>
    <row r="44" spans="1:10" x14ac:dyDescent="0.35">
      <c r="A44" s="227">
        <f t="shared" si="2"/>
        <v>29</v>
      </c>
      <c r="B44" s="246"/>
      <c r="C44" s="347"/>
      <c r="D44" s="276"/>
      <c r="E44" s="276"/>
      <c r="F44" s="276"/>
      <c r="G44" s="276"/>
      <c r="H44" s="282"/>
      <c r="I44" s="231">
        <f t="shared" si="3"/>
        <v>29</v>
      </c>
    </row>
    <row r="45" spans="1:10" x14ac:dyDescent="0.35">
      <c r="A45" s="227">
        <f t="shared" si="2"/>
        <v>30</v>
      </c>
      <c r="B45" s="246" t="str">
        <f>B22</f>
        <v>Section 5 - Interest True-Up Adjustment Cost Component</v>
      </c>
      <c r="C45" s="279">
        <f>'Pg3 Rev App XII C4'!C44</f>
        <v>-0.21796171401848755</v>
      </c>
      <c r="D45" s="279"/>
      <c r="E45" s="279">
        <f>'Pg4 App.XII C4-Cost Adj'!C45</f>
        <v>-0.21796171401848755</v>
      </c>
      <c r="F45" s="279"/>
      <c r="G45" s="279">
        <f>C45-E45</f>
        <v>0</v>
      </c>
      <c r="H45" s="8" t="s">
        <v>505</v>
      </c>
      <c r="I45" s="231">
        <f t="shared" si="3"/>
        <v>30</v>
      </c>
    </row>
    <row r="46" spans="1:10" x14ac:dyDescent="0.35">
      <c r="A46" s="227">
        <f t="shared" si="2"/>
        <v>31</v>
      </c>
      <c r="B46" s="249"/>
      <c r="C46" s="32"/>
      <c r="D46" s="31"/>
      <c r="E46" s="31"/>
      <c r="F46" s="31"/>
      <c r="G46" s="31"/>
      <c r="H46" s="285"/>
      <c r="I46" s="231">
        <f t="shared" si="3"/>
        <v>31</v>
      </c>
    </row>
    <row r="47" spans="1:10" x14ac:dyDescent="0.35">
      <c r="A47" s="227">
        <f t="shared" si="2"/>
        <v>32</v>
      </c>
      <c r="B47" s="246" t="str">
        <f>B26</f>
        <v>Other Adjustments</v>
      </c>
      <c r="C47" s="352">
        <f>'Pg3 Rev App XII C4'!C46</f>
        <v>-2.2002672155239105</v>
      </c>
      <c r="D47" s="279"/>
      <c r="E47" s="352">
        <f>'Pg4 App.XII C4-Cost Adj'!C47</f>
        <v>-2.2002672155239105</v>
      </c>
      <c r="F47" s="279"/>
      <c r="G47" s="352">
        <f>C47-E47</f>
        <v>0</v>
      </c>
      <c r="H47" s="8" t="s">
        <v>506</v>
      </c>
      <c r="I47" s="231">
        <f t="shared" si="3"/>
        <v>32</v>
      </c>
    </row>
    <row r="48" spans="1:10" x14ac:dyDescent="0.35">
      <c r="A48" s="227">
        <f t="shared" si="2"/>
        <v>33</v>
      </c>
      <c r="B48" s="249"/>
      <c r="C48" s="32"/>
      <c r="D48" s="31"/>
      <c r="E48" s="31"/>
      <c r="F48" s="31"/>
      <c r="G48" s="31"/>
      <c r="H48" s="285"/>
      <c r="I48" s="231">
        <f t="shared" si="3"/>
        <v>33</v>
      </c>
    </row>
    <row r="49" spans="1:9" x14ac:dyDescent="0.35">
      <c r="A49" s="227">
        <f t="shared" si="2"/>
        <v>34</v>
      </c>
      <c r="B49" s="249" t="s">
        <v>228</v>
      </c>
      <c r="C49" s="349">
        <f>C41+C43+C45+C47</f>
        <v>53.540874957782087</v>
      </c>
      <c r="D49" s="27" t="s">
        <v>16</v>
      </c>
      <c r="E49" s="354">
        <f>E41+E43+E45+E47</f>
        <v>52.065351233087874</v>
      </c>
      <c r="F49" s="220"/>
      <c r="G49" s="349">
        <f>G41+G43+G45+G47</f>
        <v>1.4755237246942094</v>
      </c>
      <c r="H49" s="251" t="str">
        <f>"Sum Lines "&amp;A41&amp;", "&amp;A43&amp;", "&amp;A45&amp;", "&amp;A47</f>
        <v>Sum Lines 26, 28, 30, 32</v>
      </c>
      <c r="I49" s="231">
        <f t="shared" si="3"/>
        <v>34</v>
      </c>
    </row>
    <row r="50" spans="1:9" x14ac:dyDescent="0.35">
      <c r="A50" s="227">
        <f t="shared" si="2"/>
        <v>35</v>
      </c>
      <c r="B50" s="225"/>
      <c r="C50" s="350"/>
      <c r="D50" s="288"/>
      <c r="E50" s="288"/>
      <c r="F50" s="288"/>
      <c r="G50" s="288"/>
      <c r="H50" s="289"/>
      <c r="I50" s="231">
        <f t="shared" si="3"/>
        <v>35</v>
      </c>
    </row>
    <row r="51" spans="1:9" x14ac:dyDescent="0.35">
      <c r="A51" s="227">
        <f t="shared" si="2"/>
        <v>36</v>
      </c>
      <c r="B51" s="340" t="s">
        <v>229</v>
      </c>
      <c r="C51" s="358">
        <f>'Pg3 Rev App XII C4'!C50</f>
        <v>12</v>
      </c>
      <c r="D51" s="291"/>
      <c r="E51" s="358">
        <f>'Pg4 App.XII C4-Cost Adj'!C51</f>
        <v>12</v>
      </c>
      <c r="F51" s="291"/>
      <c r="G51" s="359">
        <f>C51-E51</f>
        <v>0</v>
      </c>
      <c r="H51" s="289"/>
      <c r="I51" s="231">
        <f t="shared" si="3"/>
        <v>36</v>
      </c>
    </row>
    <row r="52" spans="1:9" x14ac:dyDescent="0.35">
      <c r="A52" s="227">
        <f t="shared" si="2"/>
        <v>37</v>
      </c>
      <c r="B52" s="225"/>
      <c r="C52" s="350"/>
      <c r="D52" s="288"/>
      <c r="E52" s="288"/>
      <c r="F52" s="288"/>
      <c r="G52" s="288"/>
      <c r="H52" s="292"/>
      <c r="I52" s="231">
        <f t="shared" si="3"/>
        <v>37</v>
      </c>
    </row>
    <row r="53" spans="1:9" ht="16" thickBot="1" x14ac:dyDescent="0.4">
      <c r="A53" s="227">
        <f t="shared" si="2"/>
        <v>38</v>
      </c>
      <c r="B53" s="341" t="str">
        <f>B28</f>
        <v>Total Annual Costs</v>
      </c>
      <c r="C53" s="357">
        <f>C49*C51</f>
        <v>642.49049949338507</v>
      </c>
      <c r="D53" s="27" t="s">
        <v>16</v>
      </c>
      <c r="E53" s="629">
        <f>E49*E51</f>
        <v>624.78421479705446</v>
      </c>
      <c r="F53" s="220"/>
      <c r="G53" s="718">
        <f>C53-E53</f>
        <v>17.706284696330613</v>
      </c>
      <c r="H53" s="8" t="s">
        <v>507</v>
      </c>
      <c r="I53" s="231">
        <f t="shared" si="3"/>
        <v>38</v>
      </c>
    </row>
    <row r="54" spans="1:9" ht="16.5" thickTop="1" thickBot="1" x14ac:dyDescent="0.4">
      <c r="A54" s="227">
        <f t="shared" si="2"/>
        <v>39</v>
      </c>
      <c r="B54" s="226"/>
      <c r="C54" s="356"/>
      <c r="D54" s="295"/>
      <c r="E54" s="295"/>
      <c r="F54" s="295"/>
      <c r="G54" s="295"/>
      <c r="H54" s="296"/>
      <c r="I54" s="231">
        <f t="shared" si="3"/>
        <v>39</v>
      </c>
    </row>
    <row r="57" spans="1:9" x14ac:dyDescent="0.35">
      <c r="A57" s="27" t="s">
        <v>16</v>
      </c>
      <c r="B57" s="24" t="s">
        <v>647</v>
      </c>
    </row>
    <row r="58" spans="1:9" x14ac:dyDescent="0.35">
      <c r="B58" s="24" t="s">
        <v>645</v>
      </c>
    </row>
  </sheetData>
  <mergeCells count="5">
    <mergeCell ref="B2:H2"/>
    <mergeCell ref="B3:H3"/>
    <mergeCell ref="B4:H4"/>
    <mergeCell ref="B6:H6"/>
    <mergeCell ref="B5:H5"/>
  </mergeCells>
  <printOptions horizontalCentered="1"/>
  <pageMargins left="0.25" right="0.25" top="0.5" bottom="0.5" header="0.25" footer="0.25"/>
  <pageSetup scale="59" orientation="portrait" r:id="rId1"/>
  <headerFooter scaleWithDoc="0" alignWithMargins="0">
    <oddFooter>&amp;L&amp;F&amp;CPage 2&amp;R&amp;A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A807-1DE4-4ADF-941E-CC22067CC8C7}">
  <sheetPr>
    <pageSetUpPr fitToPage="1"/>
  </sheetPr>
  <dimension ref="A1:J73"/>
  <sheetViews>
    <sheetView zoomScale="80" zoomScaleNormal="80" workbookViewId="0"/>
  </sheetViews>
  <sheetFormatPr defaultColWidth="9.1796875" defaultRowHeight="15.5" x14ac:dyDescent="0.35"/>
  <cols>
    <col min="1" max="1" width="5.1796875" style="605" customWidth="1"/>
    <col min="2" max="2" width="12.54296875" style="612" customWidth="1"/>
    <col min="3" max="3" width="20" style="612" customWidth="1"/>
    <col min="4" max="8" width="21.54296875" style="612" customWidth="1"/>
    <col min="9" max="9" width="5.1796875" style="605" customWidth="1"/>
    <col min="10" max="10" width="13.54296875" style="612" customWidth="1"/>
    <col min="11" max="11" width="12.54296875" style="612" customWidth="1"/>
    <col min="12" max="16384" width="9.1796875" style="612"/>
  </cols>
  <sheetData>
    <row r="1" spans="1:9" x14ac:dyDescent="0.35">
      <c r="D1" s="613"/>
    </row>
    <row r="2" spans="1:9" x14ac:dyDescent="0.35">
      <c r="B2" s="773" t="s">
        <v>24</v>
      </c>
      <c r="C2" s="773"/>
      <c r="D2" s="773"/>
      <c r="E2" s="773"/>
      <c r="F2" s="773"/>
      <c r="G2" s="773"/>
      <c r="H2" s="773"/>
      <c r="I2" s="614"/>
    </row>
    <row r="3" spans="1:9" x14ac:dyDescent="0.35">
      <c r="B3" s="773" t="s">
        <v>216</v>
      </c>
      <c r="C3" s="773"/>
      <c r="D3" s="773"/>
      <c r="E3" s="773"/>
      <c r="F3" s="773"/>
      <c r="G3" s="773"/>
      <c r="H3" s="773"/>
      <c r="I3" s="614"/>
    </row>
    <row r="4" spans="1:9" x14ac:dyDescent="0.35">
      <c r="B4" s="774" t="s">
        <v>615</v>
      </c>
      <c r="C4" s="774"/>
      <c r="D4" s="774"/>
      <c r="E4" s="774"/>
      <c r="F4" s="774"/>
      <c r="G4" s="774"/>
      <c r="H4" s="774"/>
      <c r="I4" s="614"/>
    </row>
    <row r="5" spans="1:9" x14ac:dyDescent="0.35">
      <c r="B5" s="774" t="s">
        <v>543</v>
      </c>
      <c r="C5" s="774"/>
      <c r="D5" s="774"/>
      <c r="E5" s="774"/>
      <c r="F5" s="774"/>
      <c r="G5" s="774"/>
      <c r="H5" s="774"/>
      <c r="I5" s="614"/>
    </row>
    <row r="6" spans="1:9" x14ac:dyDescent="0.35">
      <c r="B6" s="775" t="s">
        <v>1</v>
      </c>
      <c r="C6" s="775"/>
      <c r="D6" s="775"/>
      <c r="E6" s="775"/>
      <c r="F6" s="775"/>
      <c r="G6" s="775"/>
      <c r="H6" s="775"/>
      <c r="I6" s="614"/>
    </row>
    <row r="7" spans="1:9" x14ac:dyDescent="0.35">
      <c r="A7" s="614"/>
      <c r="B7" s="614"/>
      <c r="C7" s="614"/>
      <c r="D7" s="614"/>
      <c r="E7" s="614"/>
      <c r="F7" s="614"/>
      <c r="G7" s="614"/>
      <c r="H7" s="614"/>
      <c r="I7" s="614"/>
    </row>
    <row r="8" spans="1:9" x14ac:dyDescent="0.35">
      <c r="A8" s="41" t="s">
        <v>2</v>
      </c>
      <c r="B8" s="57"/>
      <c r="I8" s="41" t="s">
        <v>2</v>
      </c>
    </row>
    <row r="9" spans="1:9" x14ac:dyDescent="0.35">
      <c r="A9" s="455" t="s">
        <v>6</v>
      </c>
      <c r="B9" s="57"/>
      <c r="I9" s="455" t="s">
        <v>6</v>
      </c>
    </row>
    <row r="10" spans="1:9" x14ac:dyDescent="0.35">
      <c r="A10" s="41">
        <v>1</v>
      </c>
      <c r="C10" s="447" t="s">
        <v>271</v>
      </c>
      <c r="D10" s="447" t="s">
        <v>272</v>
      </c>
      <c r="E10" s="447" t="s">
        <v>273</v>
      </c>
      <c r="F10" s="447" t="s">
        <v>274</v>
      </c>
      <c r="G10" s="447" t="s">
        <v>275</v>
      </c>
      <c r="H10" s="447" t="s">
        <v>276</v>
      </c>
      <c r="I10" s="41">
        <v>1</v>
      </c>
    </row>
    <row r="11" spans="1:9" x14ac:dyDescent="0.35">
      <c r="A11" s="41">
        <f t="shared" ref="A11:A62" si="0">A10+1</f>
        <v>2</v>
      </c>
      <c r="B11" s="615" t="s">
        <v>277</v>
      </c>
      <c r="C11" s="41"/>
      <c r="D11" s="72" t="s">
        <v>396</v>
      </c>
      <c r="E11" s="41"/>
      <c r="F11" s="41" t="s">
        <v>397</v>
      </c>
      <c r="G11" s="41" t="s">
        <v>398</v>
      </c>
      <c r="H11" s="72" t="s">
        <v>399</v>
      </c>
      <c r="I11" s="41">
        <f t="shared" ref="I11:I62" si="1">I10+1</f>
        <v>2</v>
      </c>
    </row>
    <row r="12" spans="1:9" x14ac:dyDescent="0.35">
      <c r="A12" s="41">
        <f t="shared" si="0"/>
        <v>3</v>
      </c>
      <c r="B12" s="615"/>
      <c r="C12" s="41"/>
      <c r="D12" s="72"/>
      <c r="E12" s="41"/>
      <c r="F12" s="41"/>
      <c r="G12" s="41"/>
      <c r="H12" s="72"/>
      <c r="I12" s="41">
        <f t="shared" si="1"/>
        <v>3</v>
      </c>
    </row>
    <row r="13" spans="1:9" x14ac:dyDescent="0.35">
      <c r="A13" s="41">
        <f t="shared" si="0"/>
        <v>4</v>
      </c>
      <c r="C13" s="447"/>
      <c r="F13" s="534" t="s">
        <v>278</v>
      </c>
      <c r="H13" s="534" t="s">
        <v>278</v>
      </c>
      <c r="I13" s="41">
        <f t="shared" si="1"/>
        <v>4</v>
      </c>
    </row>
    <row r="14" spans="1:9" x14ac:dyDescent="0.35">
      <c r="A14" s="41">
        <f t="shared" si="0"/>
        <v>5</v>
      </c>
      <c r="C14" s="447"/>
      <c r="D14" s="534" t="s">
        <v>279</v>
      </c>
      <c r="E14" s="534"/>
      <c r="F14" s="534" t="s">
        <v>280</v>
      </c>
      <c r="H14" s="534" t="s">
        <v>280</v>
      </c>
      <c r="I14" s="41">
        <f t="shared" si="1"/>
        <v>5</v>
      </c>
    </row>
    <row r="15" spans="1:9" x14ac:dyDescent="0.35">
      <c r="A15" s="41">
        <f t="shared" si="0"/>
        <v>6</v>
      </c>
      <c r="C15" s="534"/>
      <c r="D15" s="534" t="s">
        <v>280</v>
      </c>
      <c r="E15" s="534" t="s">
        <v>279</v>
      </c>
      <c r="F15" s="534" t="s">
        <v>281</v>
      </c>
      <c r="H15" s="534" t="s">
        <v>281</v>
      </c>
      <c r="I15" s="41">
        <f t="shared" si="1"/>
        <v>6</v>
      </c>
    </row>
    <row r="16" spans="1:9" x14ac:dyDescent="0.35">
      <c r="A16" s="41">
        <f t="shared" si="0"/>
        <v>7</v>
      </c>
      <c r="C16" s="534"/>
      <c r="D16" s="534" t="s">
        <v>281</v>
      </c>
      <c r="E16" s="534" t="s">
        <v>282</v>
      </c>
      <c r="F16" s="534" t="s">
        <v>283</v>
      </c>
      <c r="G16" s="534"/>
      <c r="H16" s="534" t="s">
        <v>283</v>
      </c>
      <c r="I16" s="41">
        <f t="shared" si="1"/>
        <v>7</v>
      </c>
    </row>
    <row r="17" spans="1:10" ht="18" x14ac:dyDescent="0.35">
      <c r="A17" s="41">
        <f t="shared" si="0"/>
        <v>8</v>
      </c>
      <c r="B17" s="616" t="s">
        <v>284</v>
      </c>
      <c r="C17" s="616" t="s">
        <v>285</v>
      </c>
      <c r="D17" s="467" t="s">
        <v>283</v>
      </c>
      <c r="E17" s="467" t="s">
        <v>400</v>
      </c>
      <c r="F17" s="467" t="s">
        <v>286</v>
      </c>
      <c r="G17" s="617" t="s">
        <v>282</v>
      </c>
      <c r="H17" s="467" t="s">
        <v>287</v>
      </c>
      <c r="I17" s="41">
        <f t="shared" si="1"/>
        <v>8</v>
      </c>
    </row>
    <row r="18" spans="1:10" x14ac:dyDescent="0.35">
      <c r="A18" s="41">
        <f t="shared" si="0"/>
        <v>9</v>
      </c>
      <c r="B18" s="158" t="s">
        <v>288</v>
      </c>
      <c r="C18" s="448">
        <v>2020</v>
      </c>
      <c r="D18" s="744">
        <f>'Pg2 Appendix XII C4 Comparison'!G28/12</f>
        <v>1.4755237246941988</v>
      </c>
      <c r="E18" s="619">
        <v>4.1999999999999997E-3</v>
      </c>
      <c r="F18" s="745">
        <f>+D18</f>
        <v>1.4755237246941988</v>
      </c>
      <c r="G18" s="720">
        <f>(D18/2)*E18</f>
        <v>3.0985998218578171E-3</v>
      </c>
      <c r="H18" s="329">
        <f t="shared" ref="H18:H65" si="2">F18+G18</f>
        <v>1.4786223245160566</v>
      </c>
      <c r="I18" s="41">
        <f t="shared" si="1"/>
        <v>9</v>
      </c>
      <c r="J18" s="620"/>
    </row>
    <row r="19" spans="1:10" x14ac:dyDescent="0.35">
      <c r="A19" s="41">
        <f t="shared" si="0"/>
        <v>10</v>
      </c>
      <c r="B19" s="158" t="s">
        <v>289</v>
      </c>
      <c r="C19" s="448">
        <f>C18</f>
        <v>2020</v>
      </c>
      <c r="D19" s="618">
        <f>D18</f>
        <v>1.4755237246941988</v>
      </c>
      <c r="E19" s="619">
        <v>3.8999999999999998E-3</v>
      </c>
      <c r="F19" s="746">
        <f t="shared" ref="F19:F65" si="3">H18+D19</f>
        <v>2.9541460492102551</v>
      </c>
      <c r="G19" s="722">
        <f t="shared" ref="G19:G65" si="4">(H18+F19)/2*E19</f>
        <v>8.6438983287663064E-3</v>
      </c>
      <c r="H19" s="248">
        <f t="shared" si="2"/>
        <v>2.9627899475390214</v>
      </c>
      <c r="I19" s="41">
        <f t="shared" si="1"/>
        <v>10</v>
      </c>
      <c r="J19" s="620"/>
    </row>
    <row r="20" spans="1:10" x14ac:dyDescent="0.35">
      <c r="A20" s="41">
        <f t="shared" si="0"/>
        <v>11</v>
      </c>
      <c r="B20" s="158" t="s">
        <v>290</v>
      </c>
      <c r="C20" s="448">
        <f t="shared" ref="C20:D28" si="5">C19</f>
        <v>2020</v>
      </c>
      <c r="D20" s="618">
        <f t="shared" si="5"/>
        <v>1.4755237246941988</v>
      </c>
      <c r="E20" s="619">
        <v>4.1999999999999997E-3</v>
      </c>
      <c r="F20" s="746">
        <f t="shared" si="3"/>
        <v>4.4383136722332202</v>
      </c>
      <c r="G20" s="722">
        <f t="shared" si="4"/>
        <v>1.5542317601521706E-2</v>
      </c>
      <c r="H20" s="248">
        <f t="shared" si="2"/>
        <v>4.4538559898347421</v>
      </c>
      <c r="I20" s="41">
        <f t="shared" si="1"/>
        <v>11</v>
      </c>
      <c r="J20" s="620"/>
    </row>
    <row r="21" spans="1:10" x14ac:dyDescent="0.35">
      <c r="A21" s="41">
        <f t="shared" si="0"/>
        <v>12</v>
      </c>
      <c r="B21" s="158" t="s">
        <v>291</v>
      </c>
      <c r="C21" s="448">
        <f t="shared" si="5"/>
        <v>2020</v>
      </c>
      <c r="D21" s="618">
        <f t="shared" si="5"/>
        <v>1.4755237246941988</v>
      </c>
      <c r="E21" s="619">
        <v>3.8999999999999998E-3</v>
      </c>
      <c r="F21" s="746">
        <f t="shared" si="3"/>
        <v>5.9293797145289409</v>
      </c>
      <c r="G21" s="722">
        <f t="shared" si="4"/>
        <v>2.024730962350918E-2</v>
      </c>
      <c r="H21" s="248">
        <f t="shared" si="2"/>
        <v>5.9496270241524503</v>
      </c>
      <c r="I21" s="41">
        <f t="shared" si="1"/>
        <v>12</v>
      </c>
      <c r="J21" s="620"/>
    </row>
    <row r="22" spans="1:10" x14ac:dyDescent="0.35">
      <c r="A22" s="41">
        <f t="shared" si="0"/>
        <v>13</v>
      </c>
      <c r="B22" s="158" t="s">
        <v>292</v>
      </c>
      <c r="C22" s="448">
        <f t="shared" si="5"/>
        <v>2020</v>
      </c>
      <c r="D22" s="618">
        <f t="shared" si="5"/>
        <v>1.4755237246941988</v>
      </c>
      <c r="E22" s="619">
        <v>4.0000000000000001E-3</v>
      </c>
      <c r="F22" s="746">
        <f t="shared" si="3"/>
        <v>7.4251507488466491</v>
      </c>
      <c r="G22" s="722">
        <f t="shared" si="4"/>
        <v>2.6749555545998199E-2</v>
      </c>
      <c r="H22" s="248">
        <f t="shared" si="2"/>
        <v>7.4519003043926473</v>
      </c>
      <c r="I22" s="41">
        <f t="shared" si="1"/>
        <v>13</v>
      </c>
      <c r="J22" s="620"/>
    </row>
    <row r="23" spans="1:10" x14ac:dyDescent="0.35">
      <c r="A23" s="41">
        <f t="shared" si="0"/>
        <v>14</v>
      </c>
      <c r="B23" s="158" t="s">
        <v>293</v>
      </c>
      <c r="C23" s="448">
        <f t="shared" si="5"/>
        <v>2020</v>
      </c>
      <c r="D23" s="618">
        <f t="shared" si="5"/>
        <v>1.4755237246941988</v>
      </c>
      <c r="E23" s="619">
        <v>3.8999999999999998E-3</v>
      </c>
      <c r="F23" s="746">
        <f t="shared" si="3"/>
        <v>8.927424029086847</v>
      </c>
      <c r="G23" s="722">
        <f t="shared" si="4"/>
        <v>3.1939682450285015E-2</v>
      </c>
      <c r="H23" s="248">
        <f t="shared" si="2"/>
        <v>8.9593637115371312</v>
      </c>
      <c r="I23" s="41">
        <f t="shared" si="1"/>
        <v>14</v>
      </c>
      <c r="J23" s="620"/>
    </row>
    <row r="24" spans="1:10" x14ac:dyDescent="0.35">
      <c r="A24" s="41">
        <f t="shared" si="0"/>
        <v>15</v>
      </c>
      <c r="B24" s="158" t="s">
        <v>294</v>
      </c>
      <c r="C24" s="448">
        <f t="shared" si="5"/>
        <v>2020</v>
      </c>
      <c r="D24" s="618">
        <f t="shared" si="5"/>
        <v>1.4755237246941988</v>
      </c>
      <c r="E24" s="619">
        <v>2.8999999999999998E-3</v>
      </c>
      <c r="F24" s="746">
        <f t="shared" si="3"/>
        <v>10.43488743623133</v>
      </c>
      <c r="G24" s="722">
        <f t="shared" si="4"/>
        <v>2.8121664164264266E-2</v>
      </c>
      <c r="H24" s="248">
        <f t="shared" si="2"/>
        <v>10.463009100395594</v>
      </c>
      <c r="I24" s="41">
        <f t="shared" si="1"/>
        <v>15</v>
      </c>
      <c r="J24" s="620"/>
    </row>
    <row r="25" spans="1:10" x14ac:dyDescent="0.35">
      <c r="A25" s="41">
        <f t="shared" si="0"/>
        <v>16</v>
      </c>
      <c r="B25" s="158" t="s">
        <v>295</v>
      </c>
      <c r="C25" s="448">
        <f t="shared" si="5"/>
        <v>2020</v>
      </c>
      <c r="D25" s="618">
        <f t="shared" si="5"/>
        <v>1.4755237246941988</v>
      </c>
      <c r="E25" s="619">
        <v>2.8999999999999998E-3</v>
      </c>
      <c r="F25" s="746">
        <f t="shared" si="3"/>
        <v>11.938532825089792</v>
      </c>
      <c r="G25" s="722">
        <f t="shared" si="4"/>
        <v>3.2482235791953806E-2</v>
      </c>
      <c r="H25" s="248">
        <f t="shared" si="2"/>
        <v>11.971015060881745</v>
      </c>
      <c r="I25" s="41">
        <f t="shared" si="1"/>
        <v>16</v>
      </c>
      <c r="J25" s="620"/>
    </row>
    <row r="26" spans="1:10" x14ac:dyDescent="0.35">
      <c r="A26" s="41">
        <f t="shared" si="0"/>
        <v>17</v>
      </c>
      <c r="B26" s="158" t="s">
        <v>296</v>
      </c>
      <c r="C26" s="448">
        <f t="shared" si="5"/>
        <v>2020</v>
      </c>
      <c r="D26" s="618">
        <f t="shared" si="5"/>
        <v>1.4755237246941988</v>
      </c>
      <c r="E26" s="619">
        <v>2.8E-3</v>
      </c>
      <c r="F26" s="746">
        <f t="shared" si="3"/>
        <v>13.446538785575944</v>
      </c>
      <c r="G26" s="722">
        <f t="shared" si="4"/>
        <v>3.5584575385040763E-2</v>
      </c>
      <c r="H26" s="248">
        <f t="shared" si="2"/>
        <v>13.482123360960985</v>
      </c>
      <c r="I26" s="41">
        <f t="shared" si="1"/>
        <v>17</v>
      </c>
      <c r="J26" s="620"/>
    </row>
    <row r="27" spans="1:10" x14ac:dyDescent="0.35">
      <c r="A27" s="41">
        <f t="shared" si="0"/>
        <v>18</v>
      </c>
      <c r="B27" s="158" t="s">
        <v>297</v>
      </c>
      <c r="C27" s="448">
        <f t="shared" si="5"/>
        <v>2020</v>
      </c>
      <c r="D27" s="618">
        <f t="shared" si="5"/>
        <v>1.4755237246941988</v>
      </c>
      <c r="E27" s="619">
        <v>2.8E-3</v>
      </c>
      <c r="F27" s="746">
        <f t="shared" si="3"/>
        <v>14.957647085655184</v>
      </c>
      <c r="G27" s="722">
        <f t="shared" si="4"/>
        <v>3.9815678625262634E-2</v>
      </c>
      <c r="H27" s="248">
        <f t="shared" si="2"/>
        <v>14.997462764280447</v>
      </c>
      <c r="I27" s="41">
        <f t="shared" si="1"/>
        <v>18</v>
      </c>
      <c r="J27" s="620"/>
    </row>
    <row r="28" spans="1:10" x14ac:dyDescent="0.35">
      <c r="A28" s="41">
        <f t="shared" si="0"/>
        <v>19</v>
      </c>
      <c r="B28" s="158" t="s">
        <v>298</v>
      </c>
      <c r="C28" s="448">
        <f t="shared" si="5"/>
        <v>2020</v>
      </c>
      <c r="D28" s="618">
        <f t="shared" si="5"/>
        <v>1.4755237246941988</v>
      </c>
      <c r="E28" s="619">
        <v>2.7000000000000001E-3</v>
      </c>
      <c r="F28" s="746">
        <f t="shared" si="3"/>
        <v>16.472986488974648</v>
      </c>
      <c r="G28" s="722">
        <f t="shared" si="4"/>
        <v>4.2485106491894381E-2</v>
      </c>
      <c r="H28" s="248">
        <f t="shared" si="2"/>
        <v>16.515471595466543</v>
      </c>
      <c r="I28" s="41">
        <f t="shared" si="1"/>
        <v>19</v>
      </c>
      <c r="J28" s="620"/>
    </row>
    <row r="29" spans="1:10" x14ac:dyDescent="0.35">
      <c r="A29" s="41">
        <f t="shared" si="0"/>
        <v>20</v>
      </c>
      <c r="B29" s="449" t="s">
        <v>299</v>
      </c>
      <c r="C29" s="450">
        <f>C28</f>
        <v>2020</v>
      </c>
      <c r="D29" s="621">
        <f t="shared" ref="D29" si="6">D28</f>
        <v>1.4755237246941988</v>
      </c>
      <c r="E29" s="622">
        <v>2.8E-3</v>
      </c>
      <c r="F29" s="747">
        <f t="shared" si="3"/>
        <v>17.990995320160742</v>
      </c>
      <c r="G29" s="721">
        <f t="shared" si="4"/>
        <v>4.8309053681878197E-2</v>
      </c>
      <c r="H29" s="452">
        <f t="shared" si="2"/>
        <v>18.039304373842619</v>
      </c>
      <c r="I29" s="41">
        <f t="shared" si="1"/>
        <v>20</v>
      </c>
      <c r="J29" s="620"/>
    </row>
    <row r="30" spans="1:10" x14ac:dyDescent="0.35">
      <c r="A30" s="41">
        <f t="shared" si="0"/>
        <v>21</v>
      </c>
      <c r="B30" s="158" t="s">
        <v>288</v>
      </c>
      <c r="C30" s="448">
        <f>C29+1</f>
        <v>2021</v>
      </c>
      <c r="D30" s="618"/>
      <c r="E30" s="619">
        <v>2.8E-3</v>
      </c>
      <c r="F30" s="746">
        <f t="shared" si="3"/>
        <v>18.039304373842619</v>
      </c>
      <c r="G30" s="722">
        <f t="shared" si="4"/>
        <v>5.0510052246759335E-2</v>
      </c>
      <c r="H30" s="248">
        <f t="shared" si="2"/>
        <v>18.089814426089379</v>
      </c>
      <c r="I30" s="41">
        <f t="shared" si="1"/>
        <v>21</v>
      </c>
      <c r="J30" s="620"/>
    </row>
    <row r="31" spans="1:10" x14ac:dyDescent="0.35">
      <c r="A31" s="41">
        <f t="shared" si="0"/>
        <v>22</v>
      </c>
      <c r="B31" s="158" t="s">
        <v>289</v>
      </c>
      <c r="C31" s="448">
        <f>C30</f>
        <v>2021</v>
      </c>
      <c r="D31" s="618"/>
      <c r="E31" s="619">
        <v>2.5000000000000001E-3</v>
      </c>
      <c r="F31" s="746">
        <f t="shared" si="3"/>
        <v>18.089814426089379</v>
      </c>
      <c r="G31" s="722">
        <f t="shared" si="4"/>
        <v>4.5224536065223447E-2</v>
      </c>
      <c r="H31" s="248">
        <f t="shared" si="2"/>
        <v>18.135038962154603</v>
      </c>
      <c r="I31" s="41">
        <f t="shared" si="1"/>
        <v>22</v>
      </c>
      <c r="J31" s="620"/>
    </row>
    <row r="32" spans="1:10" x14ac:dyDescent="0.35">
      <c r="A32" s="41">
        <f t="shared" si="0"/>
        <v>23</v>
      </c>
      <c r="B32" s="158" t="s">
        <v>290</v>
      </c>
      <c r="C32" s="448">
        <f t="shared" ref="C32:C40" si="7">C31</f>
        <v>2021</v>
      </c>
      <c r="D32" s="618"/>
      <c r="E32" s="619">
        <v>2.8E-3</v>
      </c>
      <c r="F32" s="746">
        <f t="shared" si="3"/>
        <v>18.135038962154603</v>
      </c>
      <c r="G32" s="722">
        <f t="shared" si="4"/>
        <v>5.0778109094032887E-2</v>
      </c>
      <c r="H32" s="248">
        <f t="shared" si="2"/>
        <v>18.185817071248636</v>
      </c>
      <c r="I32" s="41">
        <f t="shared" si="1"/>
        <v>23</v>
      </c>
      <c r="J32" s="620"/>
    </row>
    <row r="33" spans="1:10" x14ac:dyDescent="0.35">
      <c r="A33" s="41">
        <f t="shared" si="0"/>
        <v>24</v>
      </c>
      <c r="B33" s="158" t="s">
        <v>291</v>
      </c>
      <c r="C33" s="448">
        <f t="shared" si="7"/>
        <v>2021</v>
      </c>
      <c r="D33" s="618"/>
      <c r="E33" s="619">
        <v>2.7000000000000001E-3</v>
      </c>
      <c r="F33" s="746">
        <f t="shared" si="3"/>
        <v>18.185817071248636</v>
      </c>
      <c r="G33" s="722">
        <f t="shared" si="4"/>
        <v>4.9101706092371321E-2</v>
      </c>
      <c r="H33" s="248">
        <f t="shared" si="2"/>
        <v>18.234918777341008</v>
      </c>
      <c r="I33" s="41">
        <f t="shared" si="1"/>
        <v>24</v>
      </c>
      <c r="J33" s="620"/>
    </row>
    <row r="34" spans="1:10" x14ac:dyDescent="0.35">
      <c r="A34" s="41">
        <f t="shared" si="0"/>
        <v>25</v>
      </c>
      <c r="B34" s="158" t="s">
        <v>292</v>
      </c>
      <c r="C34" s="448">
        <f t="shared" si="7"/>
        <v>2021</v>
      </c>
      <c r="D34" s="618"/>
      <c r="E34" s="619">
        <v>2.8E-3</v>
      </c>
      <c r="F34" s="746">
        <f t="shared" si="3"/>
        <v>18.234918777341008</v>
      </c>
      <c r="G34" s="722">
        <f t="shared" si="4"/>
        <v>5.1057772576554819E-2</v>
      </c>
      <c r="H34" s="248">
        <f t="shared" si="2"/>
        <v>18.285976549917564</v>
      </c>
      <c r="I34" s="41">
        <f t="shared" si="1"/>
        <v>25</v>
      </c>
      <c r="J34" s="620"/>
    </row>
    <row r="35" spans="1:10" x14ac:dyDescent="0.35">
      <c r="A35" s="41">
        <f t="shared" si="0"/>
        <v>26</v>
      </c>
      <c r="B35" s="158" t="s">
        <v>293</v>
      </c>
      <c r="C35" s="448">
        <f t="shared" si="7"/>
        <v>2021</v>
      </c>
      <c r="D35" s="618"/>
      <c r="E35" s="619">
        <v>2.7000000000000001E-3</v>
      </c>
      <c r="F35" s="746">
        <f t="shared" si="3"/>
        <v>18.285976549917564</v>
      </c>
      <c r="G35" s="722">
        <f t="shared" si="4"/>
        <v>4.9372136684777426E-2</v>
      </c>
      <c r="H35" s="248">
        <f t="shared" si="2"/>
        <v>18.335348686602341</v>
      </c>
      <c r="I35" s="41">
        <f t="shared" si="1"/>
        <v>26</v>
      </c>
      <c r="J35" s="620"/>
    </row>
    <row r="36" spans="1:10" x14ac:dyDescent="0.35">
      <c r="A36" s="41">
        <f t="shared" si="0"/>
        <v>27</v>
      </c>
      <c r="B36" s="158" t="s">
        <v>294</v>
      </c>
      <c r="C36" s="448">
        <f t="shared" si="7"/>
        <v>2021</v>
      </c>
      <c r="D36" s="618"/>
      <c r="E36" s="619">
        <v>2.8E-3</v>
      </c>
      <c r="F36" s="746">
        <f t="shared" si="3"/>
        <v>18.335348686602341</v>
      </c>
      <c r="G36" s="722">
        <f t="shared" si="4"/>
        <v>5.1338976322486553E-2</v>
      </c>
      <c r="H36" s="248">
        <f t="shared" si="2"/>
        <v>18.386687662924828</v>
      </c>
      <c r="I36" s="41">
        <f t="shared" si="1"/>
        <v>27</v>
      </c>
      <c r="J36" s="620"/>
    </row>
    <row r="37" spans="1:10" x14ac:dyDescent="0.35">
      <c r="A37" s="41">
        <f t="shared" si="0"/>
        <v>28</v>
      </c>
      <c r="B37" s="158" t="s">
        <v>295</v>
      </c>
      <c r="C37" s="448">
        <f t="shared" si="7"/>
        <v>2021</v>
      </c>
      <c r="D37" s="618"/>
      <c r="E37" s="619">
        <v>2.8E-3</v>
      </c>
      <c r="F37" s="746">
        <f t="shared" si="3"/>
        <v>18.386687662924828</v>
      </c>
      <c r="G37" s="722">
        <f t="shared" si="4"/>
        <v>5.1482725456189517E-2</v>
      </c>
      <c r="H37" s="248">
        <f t="shared" si="2"/>
        <v>18.438170388381018</v>
      </c>
      <c r="I37" s="41">
        <f t="shared" si="1"/>
        <v>28</v>
      </c>
      <c r="J37" s="620"/>
    </row>
    <row r="38" spans="1:10" x14ac:dyDescent="0.35">
      <c r="A38" s="41">
        <f t="shared" si="0"/>
        <v>29</v>
      </c>
      <c r="B38" s="158" t="s">
        <v>296</v>
      </c>
      <c r="C38" s="448">
        <f t="shared" si="7"/>
        <v>2021</v>
      </c>
      <c r="D38" s="618"/>
      <c r="E38" s="619">
        <v>2.7000000000000001E-3</v>
      </c>
      <c r="F38" s="746">
        <f t="shared" si="3"/>
        <v>18.438170388381018</v>
      </c>
      <c r="G38" s="722">
        <f t="shared" si="4"/>
        <v>4.9783060048628751E-2</v>
      </c>
      <c r="H38" s="248">
        <f t="shared" si="2"/>
        <v>18.487953448429646</v>
      </c>
      <c r="I38" s="41">
        <f t="shared" si="1"/>
        <v>29</v>
      </c>
      <c r="J38" s="620"/>
    </row>
    <row r="39" spans="1:10" x14ac:dyDescent="0.35">
      <c r="A39" s="41">
        <f t="shared" si="0"/>
        <v>30</v>
      </c>
      <c r="B39" s="158" t="s">
        <v>297</v>
      </c>
      <c r="C39" s="448">
        <f t="shared" si="7"/>
        <v>2021</v>
      </c>
      <c r="D39" s="618"/>
      <c r="E39" s="619">
        <v>2.8E-3</v>
      </c>
      <c r="F39" s="746">
        <f t="shared" si="3"/>
        <v>18.487953448429646</v>
      </c>
      <c r="G39" s="722">
        <f t="shared" si="4"/>
        <v>5.1766269655603006E-2</v>
      </c>
      <c r="H39" s="248">
        <f t="shared" si="2"/>
        <v>18.539719718085248</v>
      </c>
      <c r="I39" s="41">
        <f t="shared" si="1"/>
        <v>30</v>
      </c>
      <c r="J39" s="620"/>
    </row>
    <row r="40" spans="1:10" x14ac:dyDescent="0.35">
      <c r="A40" s="41">
        <f t="shared" si="0"/>
        <v>31</v>
      </c>
      <c r="B40" s="158" t="s">
        <v>298</v>
      </c>
      <c r="C40" s="448">
        <f t="shared" si="7"/>
        <v>2021</v>
      </c>
      <c r="D40" s="618"/>
      <c r="E40" s="619">
        <v>2.7000000000000001E-3</v>
      </c>
      <c r="F40" s="746">
        <f t="shared" si="3"/>
        <v>18.539719718085248</v>
      </c>
      <c r="G40" s="722">
        <f t="shared" si="4"/>
        <v>5.0057243238830172E-2</v>
      </c>
      <c r="H40" s="248">
        <f t="shared" si="2"/>
        <v>18.589776961324077</v>
      </c>
      <c r="I40" s="41">
        <f t="shared" si="1"/>
        <v>31</v>
      </c>
      <c r="J40" s="620"/>
    </row>
    <row r="41" spans="1:10" x14ac:dyDescent="0.35">
      <c r="A41" s="41">
        <f t="shared" si="0"/>
        <v>32</v>
      </c>
      <c r="B41" s="449" t="s">
        <v>299</v>
      </c>
      <c r="C41" s="450">
        <f>C40</f>
        <v>2021</v>
      </c>
      <c r="D41" s="621"/>
      <c r="E41" s="622">
        <v>2.8E-3</v>
      </c>
      <c r="F41" s="747">
        <f t="shared" si="3"/>
        <v>18.589776961324077</v>
      </c>
      <c r="G41" s="721">
        <f t="shared" si="4"/>
        <v>5.2051375491707415E-2</v>
      </c>
      <c r="H41" s="452">
        <f t="shared" si="2"/>
        <v>18.641828336815784</v>
      </c>
      <c r="I41" s="41">
        <f t="shared" si="1"/>
        <v>32</v>
      </c>
      <c r="J41" s="620"/>
    </row>
    <row r="42" spans="1:10" x14ac:dyDescent="0.35">
      <c r="A42" s="41">
        <f t="shared" si="0"/>
        <v>33</v>
      </c>
      <c r="B42" s="158" t="s">
        <v>288</v>
      </c>
      <c r="C42" s="448">
        <v>2022</v>
      </c>
      <c r="D42" s="618"/>
      <c r="E42" s="619">
        <v>2.8E-3</v>
      </c>
      <c r="F42" s="746">
        <f t="shared" si="3"/>
        <v>18.641828336815784</v>
      </c>
      <c r="G42" s="722">
        <f t="shared" si="4"/>
        <v>5.2197119343084193E-2</v>
      </c>
      <c r="H42" s="248">
        <f t="shared" si="2"/>
        <v>18.694025456158869</v>
      </c>
      <c r="I42" s="41">
        <f t="shared" si="1"/>
        <v>33</v>
      </c>
      <c r="J42" s="620"/>
    </row>
    <row r="43" spans="1:10" x14ac:dyDescent="0.35">
      <c r="A43" s="41">
        <f t="shared" si="0"/>
        <v>34</v>
      </c>
      <c r="B43" s="158" t="s">
        <v>289</v>
      </c>
      <c r="C43" s="448">
        <v>2022</v>
      </c>
      <c r="D43" s="618"/>
      <c r="E43" s="619">
        <v>2.5000000000000001E-3</v>
      </c>
      <c r="F43" s="746">
        <f t="shared" si="3"/>
        <v>18.694025456158869</v>
      </c>
      <c r="G43" s="722">
        <f t="shared" si="4"/>
        <v>4.6735063640397173E-2</v>
      </c>
      <c r="H43" s="248">
        <f t="shared" si="2"/>
        <v>18.740760519799267</v>
      </c>
      <c r="I43" s="41">
        <f t="shared" si="1"/>
        <v>34</v>
      </c>
      <c r="J43" s="620"/>
    </row>
    <row r="44" spans="1:10" x14ac:dyDescent="0.35">
      <c r="A44" s="41">
        <f t="shared" si="0"/>
        <v>35</v>
      </c>
      <c r="B44" s="158" t="s">
        <v>290</v>
      </c>
      <c r="C44" s="448">
        <v>2022</v>
      </c>
      <c r="D44" s="618"/>
      <c r="E44" s="619">
        <v>2.8E-3</v>
      </c>
      <c r="F44" s="746">
        <f t="shared" si="3"/>
        <v>18.740760519799267</v>
      </c>
      <c r="G44" s="722">
        <f t="shared" si="4"/>
        <v>5.2474129455437946E-2</v>
      </c>
      <c r="H44" s="248">
        <f t="shared" si="2"/>
        <v>18.793234649254703</v>
      </c>
      <c r="I44" s="41">
        <f t="shared" si="1"/>
        <v>35</v>
      </c>
      <c r="J44" s="620"/>
    </row>
    <row r="45" spans="1:10" x14ac:dyDescent="0.35">
      <c r="A45" s="41">
        <f t="shared" si="0"/>
        <v>36</v>
      </c>
      <c r="B45" s="158" t="s">
        <v>291</v>
      </c>
      <c r="C45" s="448">
        <v>2022</v>
      </c>
      <c r="D45" s="618"/>
      <c r="E45" s="619">
        <v>2.7000000000000001E-3</v>
      </c>
      <c r="F45" s="746">
        <f t="shared" si="3"/>
        <v>18.793234649254703</v>
      </c>
      <c r="G45" s="722">
        <f t="shared" si="4"/>
        <v>5.0741733552987701E-2</v>
      </c>
      <c r="H45" s="248">
        <f t="shared" si="2"/>
        <v>18.843976382807693</v>
      </c>
      <c r="I45" s="41">
        <f t="shared" si="1"/>
        <v>36</v>
      </c>
      <c r="J45" s="620"/>
    </row>
    <row r="46" spans="1:10" x14ac:dyDescent="0.35">
      <c r="A46" s="41">
        <f t="shared" si="0"/>
        <v>37</v>
      </c>
      <c r="B46" s="158" t="s">
        <v>292</v>
      </c>
      <c r="C46" s="448">
        <v>2022</v>
      </c>
      <c r="D46" s="618"/>
      <c r="E46" s="619">
        <v>2.8E-3</v>
      </c>
      <c r="F46" s="746">
        <f t="shared" si="3"/>
        <v>18.843976382807693</v>
      </c>
      <c r="G46" s="722">
        <f t="shared" si="4"/>
        <v>5.2763133871861538E-2</v>
      </c>
      <c r="H46" s="248">
        <f t="shared" si="2"/>
        <v>18.896739516679553</v>
      </c>
      <c r="I46" s="41">
        <f t="shared" si="1"/>
        <v>37</v>
      </c>
      <c r="J46" s="620"/>
    </row>
    <row r="47" spans="1:10" x14ac:dyDescent="0.35">
      <c r="A47" s="41">
        <f t="shared" si="0"/>
        <v>38</v>
      </c>
      <c r="B47" s="158" t="s">
        <v>293</v>
      </c>
      <c r="C47" s="448">
        <v>2022</v>
      </c>
      <c r="D47" s="618"/>
      <c r="E47" s="619">
        <v>2.7000000000000001E-3</v>
      </c>
      <c r="F47" s="746">
        <f t="shared" si="3"/>
        <v>18.896739516679553</v>
      </c>
      <c r="G47" s="722">
        <f t="shared" si="4"/>
        <v>5.1021196695034791E-2</v>
      </c>
      <c r="H47" s="248">
        <f t="shared" si="2"/>
        <v>18.947760713374588</v>
      </c>
      <c r="I47" s="41">
        <f t="shared" si="1"/>
        <v>38</v>
      </c>
      <c r="J47" s="620"/>
    </row>
    <row r="48" spans="1:10" x14ac:dyDescent="0.35">
      <c r="A48" s="41">
        <f t="shared" si="0"/>
        <v>39</v>
      </c>
      <c r="B48" s="158" t="s">
        <v>294</v>
      </c>
      <c r="C48" s="448">
        <v>2022</v>
      </c>
      <c r="D48" s="618"/>
      <c r="E48" s="619">
        <v>3.0999999999999999E-3</v>
      </c>
      <c r="F48" s="746">
        <f t="shared" si="3"/>
        <v>18.947760713374588</v>
      </c>
      <c r="G48" s="722">
        <f t="shared" si="4"/>
        <v>5.8738058211461219E-2</v>
      </c>
      <c r="H48" s="248">
        <f t="shared" si="2"/>
        <v>19.006498771586049</v>
      </c>
      <c r="I48" s="41">
        <f t="shared" si="1"/>
        <v>39</v>
      </c>
      <c r="J48" s="620"/>
    </row>
    <row r="49" spans="1:10" x14ac:dyDescent="0.35">
      <c r="A49" s="41">
        <f t="shared" si="0"/>
        <v>40</v>
      </c>
      <c r="B49" s="158" t="s">
        <v>295</v>
      </c>
      <c r="C49" s="448">
        <v>2022</v>
      </c>
      <c r="D49" s="618"/>
      <c r="E49" s="619">
        <v>3.0999999999999999E-3</v>
      </c>
      <c r="F49" s="746">
        <f t="shared" si="3"/>
        <v>19.006498771586049</v>
      </c>
      <c r="G49" s="722">
        <f t="shared" si="4"/>
        <v>5.8920146191916753E-2</v>
      </c>
      <c r="H49" s="248">
        <f t="shared" si="2"/>
        <v>19.065418917777965</v>
      </c>
      <c r="I49" s="41">
        <f t="shared" si="1"/>
        <v>40</v>
      </c>
      <c r="J49" s="620"/>
    </row>
    <row r="50" spans="1:10" x14ac:dyDescent="0.35">
      <c r="A50" s="41">
        <f t="shared" si="0"/>
        <v>41</v>
      </c>
      <c r="B50" s="158" t="s">
        <v>296</v>
      </c>
      <c r="C50" s="448">
        <v>2022</v>
      </c>
      <c r="D50" s="618"/>
      <c r="E50" s="619">
        <v>3.0000000000000001E-3</v>
      </c>
      <c r="F50" s="746">
        <f t="shared" si="3"/>
        <v>19.065418917777965</v>
      </c>
      <c r="G50" s="722">
        <f t="shared" si="4"/>
        <v>5.7196256753333896E-2</v>
      </c>
      <c r="H50" s="248">
        <f t="shared" si="2"/>
        <v>19.122615174531298</v>
      </c>
      <c r="I50" s="41">
        <f t="shared" si="1"/>
        <v>41</v>
      </c>
      <c r="J50" s="620"/>
    </row>
    <row r="51" spans="1:10" x14ac:dyDescent="0.35">
      <c r="A51" s="41">
        <f t="shared" si="0"/>
        <v>42</v>
      </c>
      <c r="B51" s="158" t="s">
        <v>297</v>
      </c>
      <c r="C51" s="448">
        <v>2022</v>
      </c>
      <c r="D51" s="618"/>
      <c r="E51" s="619">
        <v>4.1999999999999997E-3</v>
      </c>
      <c r="F51" s="746">
        <f t="shared" si="3"/>
        <v>19.122615174531298</v>
      </c>
      <c r="G51" s="722">
        <f t="shared" si="4"/>
        <v>8.0314983733031448E-2</v>
      </c>
      <c r="H51" s="248">
        <f t="shared" si="2"/>
        <v>19.20293015826433</v>
      </c>
      <c r="I51" s="41">
        <f t="shared" si="1"/>
        <v>42</v>
      </c>
      <c r="J51" s="620"/>
    </row>
    <row r="52" spans="1:10" x14ac:dyDescent="0.35">
      <c r="A52" s="41">
        <f t="shared" si="0"/>
        <v>43</v>
      </c>
      <c r="B52" s="158" t="s">
        <v>298</v>
      </c>
      <c r="C52" s="448">
        <v>2022</v>
      </c>
      <c r="D52" s="618"/>
      <c r="E52" s="619">
        <v>4.0000000000000001E-3</v>
      </c>
      <c r="F52" s="746">
        <f t="shared" si="3"/>
        <v>19.20293015826433</v>
      </c>
      <c r="G52" s="722">
        <f t="shared" si="4"/>
        <v>7.6811720633057315E-2</v>
      </c>
      <c r="H52" s="248">
        <f t="shared" si="2"/>
        <v>19.279741878897386</v>
      </c>
      <c r="I52" s="41">
        <f t="shared" si="1"/>
        <v>43</v>
      </c>
      <c r="J52" s="620"/>
    </row>
    <row r="53" spans="1:10" x14ac:dyDescent="0.35">
      <c r="A53" s="41">
        <f t="shared" si="0"/>
        <v>44</v>
      </c>
      <c r="B53" s="449" t="s">
        <v>299</v>
      </c>
      <c r="C53" s="450">
        <v>2022</v>
      </c>
      <c r="D53" s="621"/>
      <c r="E53" s="622">
        <v>4.1999999999999997E-3</v>
      </c>
      <c r="F53" s="747">
        <f t="shared" si="3"/>
        <v>19.279741878897386</v>
      </c>
      <c r="G53" s="721">
        <f t="shared" si="4"/>
        <v>8.0974915891369015E-2</v>
      </c>
      <c r="H53" s="452">
        <f t="shared" si="2"/>
        <v>19.360716794788754</v>
      </c>
      <c r="I53" s="41">
        <f t="shared" si="1"/>
        <v>44</v>
      </c>
      <c r="J53" s="620"/>
    </row>
    <row r="54" spans="1:10" x14ac:dyDescent="0.35">
      <c r="A54" s="41">
        <f t="shared" si="0"/>
        <v>45</v>
      </c>
      <c r="B54" s="158" t="s">
        <v>288</v>
      </c>
      <c r="C54" s="448">
        <v>2023</v>
      </c>
      <c r="D54" s="618"/>
      <c r="E54" s="619">
        <v>5.4000000000000003E-3</v>
      </c>
      <c r="F54" s="746">
        <f t="shared" si="3"/>
        <v>19.360716794788754</v>
      </c>
      <c r="G54" s="722">
        <f t="shared" si="4"/>
        <v>0.10454787069185928</v>
      </c>
      <c r="H54" s="248">
        <f t="shared" si="2"/>
        <v>19.465264665480614</v>
      </c>
      <c r="I54" s="41">
        <f t="shared" si="1"/>
        <v>45</v>
      </c>
      <c r="J54" s="620"/>
    </row>
    <row r="55" spans="1:10" x14ac:dyDescent="0.35">
      <c r="A55" s="41">
        <f t="shared" si="0"/>
        <v>46</v>
      </c>
      <c r="B55" s="158" t="s">
        <v>289</v>
      </c>
      <c r="C55" s="448">
        <v>2023</v>
      </c>
      <c r="D55" s="618"/>
      <c r="E55" s="619">
        <v>4.7999999999999996E-3</v>
      </c>
      <c r="F55" s="746">
        <f t="shared" si="3"/>
        <v>19.465264665480614</v>
      </c>
      <c r="G55" s="722">
        <f t="shared" si="4"/>
        <v>9.3433270394306933E-2</v>
      </c>
      <c r="H55" s="248">
        <f t="shared" si="2"/>
        <v>19.558697935874921</v>
      </c>
      <c r="I55" s="41">
        <f t="shared" si="1"/>
        <v>46</v>
      </c>
      <c r="J55" s="620"/>
    </row>
    <row r="56" spans="1:10" x14ac:dyDescent="0.35">
      <c r="A56" s="41">
        <f t="shared" si="0"/>
        <v>47</v>
      </c>
      <c r="B56" s="158" t="s">
        <v>290</v>
      </c>
      <c r="C56" s="448">
        <v>2023</v>
      </c>
      <c r="D56" s="618"/>
      <c r="E56" s="619">
        <v>5.4000000000000003E-3</v>
      </c>
      <c r="F56" s="746">
        <f t="shared" si="3"/>
        <v>19.558697935874921</v>
      </c>
      <c r="G56" s="722">
        <f t="shared" si="4"/>
        <v>0.10561696885372458</v>
      </c>
      <c r="H56" s="248">
        <f t="shared" si="2"/>
        <v>19.664314904728645</v>
      </c>
      <c r="I56" s="41">
        <f t="shared" si="1"/>
        <v>47</v>
      </c>
      <c r="J56" s="620"/>
    </row>
    <row r="57" spans="1:10" x14ac:dyDescent="0.35">
      <c r="A57" s="41">
        <f t="shared" si="0"/>
        <v>48</v>
      </c>
      <c r="B57" s="158" t="s">
        <v>291</v>
      </c>
      <c r="C57" s="448">
        <v>2023</v>
      </c>
      <c r="D57" s="618"/>
      <c r="E57" s="619">
        <v>6.1999999999999998E-3</v>
      </c>
      <c r="F57" s="746">
        <f t="shared" si="3"/>
        <v>19.664314904728645</v>
      </c>
      <c r="G57" s="722">
        <f t="shared" si="4"/>
        <v>0.1219187524093176</v>
      </c>
      <c r="H57" s="248">
        <f t="shared" si="2"/>
        <v>19.786233657137963</v>
      </c>
      <c r="I57" s="41">
        <f t="shared" si="1"/>
        <v>48</v>
      </c>
      <c r="J57" s="620"/>
    </row>
    <row r="58" spans="1:10" x14ac:dyDescent="0.35">
      <c r="A58" s="41">
        <f t="shared" si="0"/>
        <v>49</v>
      </c>
      <c r="B58" s="158" t="s">
        <v>292</v>
      </c>
      <c r="C58" s="448">
        <v>2023</v>
      </c>
      <c r="D58" s="618"/>
      <c r="E58" s="619">
        <v>6.4000000000000003E-3</v>
      </c>
      <c r="F58" s="746">
        <f t="shared" si="3"/>
        <v>19.786233657137963</v>
      </c>
      <c r="G58" s="722">
        <f t="shared" si="4"/>
        <v>0.12663189540568298</v>
      </c>
      <c r="H58" s="248">
        <f t="shared" si="2"/>
        <v>19.912865552543646</v>
      </c>
      <c r="I58" s="41">
        <f t="shared" si="1"/>
        <v>49</v>
      </c>
      <c r="J58" s="620"/>
    </row>
    <row r="59" spans="1:10" x14ac:dyDescent="0.35">
      <c r="A59" s="41">
        <f t="shared" si="0"/>
        <v>50</v>
      </c>
      <c r="B59" s="158" t="s">
        <v>293</v>
      </c>
      <c r="C59" s="448">
        <v>2023</v>
      </c>
      <c r="D59" s="618"/>
      <c r="E59" s="619">
        <v>6.1999999999999998E-3</v>
      </c>
      <c r="F59" s="746">
        <f t="shared" si="3"/>
        <v>19.912865552543646</v>
      </c>
      <c r="G59" s="722">
        <f t="shared" si="4"/>
        <v>0.1234597664257706</v>
      </c>
      <c r="H59" s="248">
        <f t="shared" si="2"/>
        <v>20.036325318969418</v>
      </c>
      <c r="I59" s="41">
        <f t="shared" si="1"/>
        <v>50</v>
      </c>
      <c r="J59" s="620"/>
    </row>
    <row r="60" spans="1:10" x14ac:dyDescent="0.35">
      <c r="A60" s="41">
        <f t="shared" si="0"/>
        <v>51</v>
      </c>
      <c r="B60" s="158" t="s">
        <v>294</v>
      </c>
      <c r="C60" s="448">
        <v>2023</v>
      </c>
      <c r="D60" s="618"/>
      <c r="E60" s="619">
        <v>6.7999999999999996E-3</v>
      </c>
      <c r="F60" s="746">
        <f t="shared" si="3"/>
        <v>20.036325318969418</v>
      </c>
      <c r="G60" s="722">
        <f t="shared" si="4"/>
        <v>0.13624701216899204</v>
      </c>
      <c r="H60" s="248">
        <f t="shared" si="2"/>
        <v>20.172572331138412</v>
      </c>
      <c r="I60" s="41">
        <f t="shared" si="1"/>
        <v>51</v>
      </c>
      <c r="J60" s="620"/>
    </row>
    <row r="61" spans="1:10" x14ac:dyDescent="0.35">
      <c r="A61" s="41">
        <f t="shared" si="0"/>
        <v>52</v>
      </c>
      <c r="B61" s="158" t="s">
        <v>295</v>
      </c>
      <c r="C61" s="448">
        <v>2023</v>
      </c>
      <c r="D61" s="618"/>
      <c r="E61" s="619">
        <v>6.7999999999999996E-3</v>
      </c>
      <c r="F61" s="746">
        <f t="shared" si="3"/>
        <v>20.172572331138412</v>
      </c>
      <c r="G61" s="722">
        <f t="shared" si="4"/>
        <v>0.13717349185174119</v>
      </c>
      <c r="H61" s="248">
        <f t="shared" si="2"/>
        <v>20.309745822990152</v>
      </c>
      <c r="I61" s="41">
        <f t="shared" si="1"/>
        <v>52</v>
      </c>
      <c r="J61" s="620"/>
    </row>
    <row r="62" spans="1:10" x14ac:dyDescent="0.35">
      <c r="A62" s="41">
        <f t="shared" si="0"/>
        <v>53</v>
      </c>
      <c r="B62" s="158" t="s">
        <v>296</v>
      </c>
      <c r="C62" s="448">
        <v>2023</v>
      </c>
      <c r="D62" s="618"/>
      <c r="E62" s="619">
        <v>6.6E-3</v>
      </c>
      <c r="F62" s="746">
        <f t="shared" si="3"/>
        <v>20.309745822990152</v>
      </c>
      <c r="G62" s="722">
        <f t="shared" si="4"/>
        <v>0.134044322431735</v>
      </c>
      <c r="H62" s="248">
        <f t="shared" si="2"/>
        <v>20.443790145421886</v>
      </c>
      <c r="I62" s="41">
        <f t="shared" si="1"/>
        <v>53</v>
      </c>
      <c r="J62" s="620"/>
    </row>
    <row r="63" spans="1:10" x14ac:dyDescent="0.35">
      <c r="A63" s="41">
        <f t="shared" ref="A63:A66" si="8">A62+1</f>
        <v>54</v>
      </c>
      <c r="B63" s="158" t="s">
        <v>297</v>
      </c>
      <c r="C63" s="448">
        <v>2023</v>
      </c>
      <c r="D63" s="618"/>
      <c r="E63" s="619">
        <v>7.1000000000000004E-3</v>
      </c>
      <c r="F63" s="746">
        <f t="shared" si="3"/>
        <v>20.443790145421886</v>
      </c>
      <c r="G63" s="722">
        <f t="shared" si="4"/>
        <v>0.14515091003249539</v>
      </c>
      <c r="H63" s="248">
        <f t="shared" si="2"/>
        <v>20.588941055454381</v>
      </c>
      <c r="I63" s="41">
        <f t="shared" ref="I63:I66" si="9">I62+1</f>
        <v>54</v>
      </c>
      <c r="J63" s="620"/>
    </row>
    <row r="64" spans="1:10" x14ac:dyDescent="0.35">
      <c r="A64" s="41">
        <f t="shared" si="8"/>
        <v>55</v>
      </c>
      <c r="B64" s="158" t="s">
        <v>298</v>
      </c>
      <c r="C64" s="448">
        <v>2023</v>
      </c>
      <c r="D64" s="618"/>
      <c r="E64" s="619">
        <v>6.8999999999999999E-3</v>
      </c>
      <c r="F64" s="746">
        <f t="shared" si="3"/>
        <v>20.588941055454381</v>
      </c>
      <c r="G64" s="722">
        <f t="shared" si="4"/>
        <v>0.14206369328263521</v>
      </c>
      <c r="H64" s="248">
        <f t="shared" si="2"/>
        <v>20.731004748737018</v>
      </c>
      <c r="I64" s="41">
        <f t="shared" si="9"/>
        <v>55</v>
      </c>
      <c r="J64" s="620"/>
    </row>
    <row r="65" spans="1:10" x14ac:dyDescent="0.35">
      <c r="A65" s="41">
        <f t="shared" si="8"/>
        <v>56</v>
      </c>
      <c r="B65" s="449" t="s">
        <v>299</v>
      </c>
      <c r="C65" s="450">
        <v>2023</v>
      </c>
      <c r="D65" s="621"/>
      <c r="E65" s="622">
        <v>7.1000000000000004E-3</v>
      </c>
      <c r="F65" s="747">
        <f t="shared" si="3"/>
        <v>20.731004748737018</v>
      </c>
      <c r="G65" s="721">
        <f t="shared" si="4"/>
        <v>0.14719013371603284</v>
      </c>
      <c r="H65" s="452">
        <f t="shared" si="2"/>
        <v>20.878194882453052</v>
      </c>
      <c r="I65" s="41">
        <f t="shared" si="9"/>
        <v>56</v>
      </c>
      <c r="J65" s="620"/>
    </row>
    <row r="66" spans="1:10" ht="16" thickBot="1" x14ac:dyDescent="0.4">
      <c r="A66" s="41">
        <f t="shared" si="8"/>
        <v>57</v>
      </c>
      <c r="D66" s="740">
        <f>SUM(D18:D65)</f>
        <v>17.706284696330385</v>
      </c>
      <c r="E66" s="651"/>
      <c r="F66" s="623"/>
      <c r="G66" s="741">
        <f>SUM(G18:G65)</f>
        <v>3.1719101861226635</v>
      </c>
      <c r="H66" s="624"/>
      <c r="I66" s="41">
        <f t="shared" si="9"/>
        <v>57</v>
      </c>
    </row>
    <row r="67" spans="1:10" ht="16" thickTop="1" x14ac:dyDescent="0.35">
      <c r="D67" s="625"/>
      <c r="E67" s="625"/>
      <c r="F67" s="625"/>
      <c r="G67" s="453"/>
      <c r="H67" s="453"/>
    </row>
    <row r="68" spans="1:10" x14ac:dyDescent="0.35">
      <c r="B68" s="626"/>
    </row>
    <row r="69" spans="1:10" ht="18" x14ac:dyDescent="0.35">
      <c r="A69" s="454">
        <v>1</v>
      </c>
      <c r="B69" s="612" t="s">
        <v>300</v>
      </c>
      <c r="C69" s="627"/>
    </row>
    <row r="70" spans="1:10" ht="18" x14ac:dyDescent="0.35">
      <c r="A70" s="454">
        <v>2</v>
      </c>
      <c r="B70" s="612" t="s">
        <v>401</v>
      </c>
    </row>
    <row r="71" spans="1:10" ht="18" x14ac:dyDescent="0.35">
      <c r="A71" s="454">
        <v>3</v>
      </c>
      <c r="B71" s="612" t="s">
        <v>402</v>
      </c>
    </row>
    <row r="72" spans="1:10" x14ac:dyDescent="0.35">
      <c r="B72" s="612" t="s">
        <v>403</v>
      </c>
    </row>
    <row r="73" spans="1:10" x14ac:dyDescent="0.35">
      <c r="A73" s="725"/>
      <c r="B73" s="726" t="s">
        <v>618</v>
      </c>
      <c r="C73" s="726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75" header="0.25" footer="0.25"/>
  <pageSetup scale="61" orientation="portrait" r:id="rId1"/>
  <headerFooter scaleWithDoc="0" alignWithMargins="0">
    <oddFooter>&amp;L&amp;F&amp;CPage 14&amp;R&amp;A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7"/>
  <sheetViews>
    <sheetView zoomScale="80" zoomScaleNormal="80" workbookViewId="0"/>
  </sheetViews>
  <sheetFormatPr defaultColWidth="8.81640625" defaultRowHeight="15.5" x14ac:dyDescent="0.35"/>
  <cols>
    <col min="1" max="1" width="5.1796875" style="41" customWidth="1"/>
    <col min="2" max="2" width="75.453125" style="20" customWidth="1"/>
    <col min="3" max="3" width="20.1796875" style="20" customWidth="1"/>
    <col min="4" max="4" width="1.54296875" style="20" customWidth="1"/>
    <col min="5" max="5" width="57.1796875" style="20" customWidth="1"/>
    <col min="6" max="6" width="5.1796875" style="41" customWidth="1"/>
    <col min="7" max="16384" width="8.81640625" style="20"/>
  </cols>
  <sheetData>
    <row r="1" spans="1:8" x14ac:dyDescent="0.35">
      <c r="A1" s="223"/>
      <c r="B1" s="224"/>
      <c r="C1" s="224"/>
      <c r="D1" s="224"/>
      <c r="E1" s="532"/>
      <c r="F1" s="223"/>
    </row>
    <row r="2" spans="1:8" x14ac:dyDescent="0.35">
      <c r="A2" s="223"/>
      <c r="B2" s="751" t="s">
        <v>24</v>
      </c>
      <c r="C2" s="751"/>
      <c r="D2" s="751"/>
      <c r="E2" s="751"/>
      <c r="F2" s="224"/>
    </row>
    <row r="3" spans="1:8" x14ac:dyDescent="0.35">
      <c r="B3" s="751" t="s">
        <v>216</v>
      </c>
      <c r="C3" s="751"/>
      <c r="D3" s="751"/>
      <c r="E3" s="751"/>
      <c r="F3" s="221"/>
    </row>
    <row r="4" spans="1:8" x14ac:dyDescent="0.35">
      <c r="B4" s="751" t="s">
        <v>217</v>
      </c>
      <c r="C4" s="751"/>
      <c r="D4" s="751"/>
      <c r="E4" s="751"/>
      <c r="F4" s="221"/>
    </row>
    <row r="5" spans="1:8" x14ac:dyDescent="0.35">
      <c r="A5" s="223"/>
      <c r="B5" s="753" t="s">
        <v>630</v>
      </c>
      <c r="C5" s="753"/>
      <c r="D5" s="753"/>
      <c r="E5" s="753"/>
      <c r="F5" s="223"/>
    </row>
    <row r="6" spans="1:8" x14ac:dyDescent="0.35">
      <c r="B6" s="752" t="s">
        <v>1</v>
      </c>
      <c r="C6" s="751"/>
      <c r="D6" s="751"/>
      <c r="E6" s="751"/>
      <c r="F6" s="221"/>
    </row>
    <row r="7" spans="1:8" ht="16" thickBot="1" x14ac:dyDescent="0.4">
      <c r="A7" s="223"/>
      <c r="B7" s="224"/>
      <c r="C7" s="225"/>
      <c r="D7" s="226"/>
      <c r="E7" s="225"/>
      <c r="F7" s="223"/>
    </row>
    <row r="8" spans="1:8" x14ac:dyDescent="0.35">
      <c r="A8" s="227" t="s">
        <v>2</v>
      </c>
      <c r="B8" s="228"/>
      <c r="C8" s="229"/>
      <c r="D8" s="224"/>
      <c r="E8" s="230"/>
      <c r="F8" s="231" t="s">
        <v>2</v>
      </c>
    </row>
    <row r="9" spans="1:8" x14ac:dyDescent="0.35">
      <c r="A9" s="227" t="s">
        <v>6</v>
      </c>
      <c r="B9" s="538" t="s">
        <v>218</v>
      </c>
      <c r="C9" s="539" t="s">
        <v>4</v>
      </c>
      <c r="D9" s="540"/>
      <c r="E9" s="540" t="s">
        <v>5</v>
      </c>
      <c r="F9" s="231" t="s">
        <v>6</v>
      </c>
    </row>
    <row r="10" spans="1:8" x14ac:dyDescent="0.35">
      <c r="A10" s="227"/>
      <c r="B10" s="234"/>
      <c r="C10" s="235"/>
      <c r="D10" s="236"/>
      <c r="E10" s="237"/>
      <c r="F10" s="231"/>
    </row>
    <row r="11" spans="1:8" x14ac:dyDescent="0.35">
      <c r="A11" s="227">
        <v>1</v>
      </c>
      <c r="B11" s="238" t="s">
        <v>219</v>
      </c>
      <c r="C11" s="239">
        <v>0</v>
      </c>
      <c r="D11" s="240"/>
      <c r="E11" s="241" t="s">
        <v>404</v>
      </c>
      <c r="F11" s="231">
        <f>A11</f>
        <v>1</v>
      </c>
      <c r="H11" s="22"/>
    </row>
    <row r="12" spans="1:8" x14ac:dyDescent="0.35">
      <c r="A12" s="227">
        <f>A11+1</f>
        <v>2</v>
      </c>
      <c r="B12" s="242"/>
      <c r="C12" s="243"/>
      <c r="D12" s="244"/>
      <c r="E12" s="224"/>
      <c r="F12" s="231">
        <f>F11+1</f>
        <v>2</v>
      </c>
    </row>
    <row r="13" spans="1:8" x14ac:dyDescent="0.35">
      <c r="A13" s="227">
        <f t="shared" ref="A13:A28" si="0">A12+1</f>
        <v>3</v>
      </c>
      <c r="B13" s="238" t="s">
        <v>220</v>
      </c>
      <c r="C13" s="705">
        <f>'Pg5 Rev Sec.2-Non-Direct Exp'!E35</f>
        <v>868.66143901678129</v>
      </c>
      <c r="D13" s="27" t="s">
        <v>16</v>
      </c>
      <c r="E13" s="241" t="s">
        <v>627</v>
      </c>
      <c r="F13" s="231">
        <f t="shared" ref="F13:F28" si="1">F12+1</f>
        <v>3</v>
      </c>
      <c r="H13" s="30"/>
    </row>
    <row r="14" spans="1:8" x14ac:dyDescent="0.35">
      <c r="A14" s="227">
        <f t="shared" si="0"/>
        <v>4</v>
      </c>
      <c r="B14" s="242"/>
      <c r="C14" s="243"/>
      <c r="D14" s="244"/>
      <c r="E14" s="245"/>
      <c r="F14" s="231">
        <f t="shared" si="1"/>
        <v>4</v>
      </c>
    </row>
    <row r="15" spans="1:8" x14ac:dyDescent="0.35">
      <c r="A15" s="227">
        <f t="shared" si="0"/>
        <v>5</v>
      </c>
      <c r="B15" s="246" t="s">
        <v>221</v>
      </c>
      <c r="C15" s="541">
        <v>-76.86620554291548</v>
      </c>
      <c r="D15" s="248"/>
      <c r="E15" s="241" t="s">
        <v>406</v>
      </c>
      <c r="F15" s="231">
        <f t="shared" si="1"/>
        <v>5</v>
      </c>
      <c r="H15" s="30"/>
    </row>
    <row r="16" spans="1:8" x14ac:dyDescent="0.35">
      <c r="A16" s="227">
        <f t="shared" si="0"/>
        <v>6</v>
      </c>
      <c r="B16" s="249"/>
      <c r="C16" s="117"/>
      <c r="D16" s="248"/>
      <c r="E16" s="241"/>
      <c r="F16" s="231">
        <f t="shared" si="1"/>
        <v>6</v>
      </c>
      <c r="H16" s="30"/>
    </row>
    <row r="17" spans="1:10" x14ac:dyDescent="0.35">
      <c r="A17" s="227">
        <f t="shared" si="0"/>
        <v>7</v>
      </c>
      <c r="B17" s="250" t="s">
        <v>390</v>
      </c>
      <c r="C17" s="706">
        <f>C11+C13+C15</f>
        <v>791.79523347386578</v>
      </c>
      <c r="D17" s="27" t="s">
        <v>16</v>
      </c>
      <c r="E17" s="251" t="s">
        <v>407</v>
      </c>
      <c r="F17" s="231">
        <f t="shared" si="1"/>
        <v>7</v>
      </c>
      <c r="H17" s="30"/>
    </row>
    <row r="18" spans="1:10" x14ac:dyDescent="0.35">
      <c r="A18" s="227">
        <f t="shared" si="0"/>
        <v>8</v>
      </c>
      <c r="B18" s="252"/>
      <c r="C18" s="243"/>
      <c r="D18" s="244"/>
      <c r="E18" s="253"/>
      <c r="F18" s="231">
        <f t="shared" si="1"/>
        <v>8</v>
      </c>
    </row>
    <row r="19" spans="1:10" x14ac:dyDescent="0.35">
      <c r="A19" s="227">
        <f t="shared" si="0"/>
        <v>9</v>
      </c>
      <c r="B19" s="238" t="s">
        <v>222</v>
      </c>
      <c r="C19" s="705">
        <f>'Pg7 Rev Sec.4-TU'!N30</f>
        <v>-120.28598682597209</v>
      </c>
      <c r="D19" s="27" t="s">
        <v>16</v>
      </c>
      <c r="E19" s="241" t="s">
        <v>628</v>
      </c>
      <c r="F19" s="231">
        <f t="shared" si="1"/>
        <v>9</v>
      </c>
    </row>
    <row r="20" spans="1:10" x14ac:dyDescent="0.35">
      <c r="A20" s="227">
        <f t="shared" si="0"/>
        <v>10</v>
      </c>
      <c r="B20" s="238"/>
      <c r="C20" s="243"/>
      <c r="D20" s="244"/>
      <c r="E20" s="254"/>
      <c r="F20" s="231">
        <f t="shared" si="1"/>
        <v>10</v>
      </c>
    </row>
    <row r="21" spans="1:10" x14ac:dyDescent="0.35">
      <c r="A21" s="227">
        <f t="shared" si="0"/>
        <v>11</v>
      </c>
      <c r="B21" s="238" t="s">
        <v>223</v>
      </c>
      <c r="C21" s="541">
        <v>-2.6155405682218507</v>
      </c>
      <c r="D21" s="248"/>
      <c r="E21" s="251" t="s">
        <v>409</v>
      </c>
      <c r="F21" s="231">
        <f t="shared" si="1"/>
        <v>11</v>
      </c>
    </row>
    <row r="22" spans="1:10" x14ac:dyDescent="0.35">
      <c r="A22" s="227">
        <f t="shared" si="0"/>
        <v>12</v>
      </c>
      <c r="B22" s="249"/>
      <c r="C22" s="255"/>
      <c r="D22" s="256"/>
      <c r="E22" s="251"/>
      <c r="F22" s="231">
        <f t="shared" si="1"/>
        <v>12</v>
      </c>
    </row>
    <row r="23" spans="1:10" x14ac:dyDescent="0.35">
      <c r="A23" s="227">
        <f t="shared" si="0"/>
        <v>13</v>
      </c>
      <c r="B23" s="249" t="s">
        <v>224</v>
      </c>
      <c r="C23" s="82">
        <f>C17+C19+C21</f>
        <v>668.8937060796718</v>
      </c>
      <c r="D23" s="27" t="s">
        <v>16</v>
      </c>
      <c r="E23" s="251" t="s">
        <v>410</v>
      </c>
      <c r="F23" s="231">
        <f t="shared" si="1"/>
        <v>13</v>
      </c>
      <c r="H23" s="30"/>
    </row>
    <row r="24" spans="1:10" x14ac:dyDescent="0.35">
      <c r="A24" s="227">
        <f t="shared" si="0"/>
        <v>14</v>
      </c>
      <c r="B24" s="257"/>
      <c r="C24" s="77"/>
      <c r="D24" s="78"/>
      <c r="E24" s="251"/>
      <c r="F24" s="231">
        <f t="shared" si="1"/>
        <v>14</v>
      </c>
      <c r="H24" s="30"/>
    </row>
    <row r="25" spans="1:10" x14ac:dyDescent="0.35">
      <c r="A25" s="227">
        <f t="shared" si="0"/>
        <v>15</v>
      </c>
      <c r="B25" s="246" t="s">
        <v>225</v>
      </c>
      <c r="C25" s="542">
        <v>-26.403206586286924</v>
      </c>
      <c r="D25" s="78"/>
      <c r="E25" s="251" t="s">
        <v>23</v>
      </c>
      <c r="F25" s="231">
        <f t="shared" si="1"/>
        <v>15</v>
      </c>
      <c r="H25" s="30"/>
    </row>
    <row r="26" spans="1:10" x14ac:dyDescent="0.35">
      <c r="A26" s="227">
        <f t="shared" si="0"/>
        <v>16</v>
      </c>
      <c r="B26" s="225"/>
      <c r="C26" s="259"/>
      <c r="D26" s="260"/>
      <c r="E26" s="251"/>
      <c r="F26" s="231">
        <f t="shared" si="1"/>
        <v>16</v>
      </c>
    </row>
    <row r="27" spans="1:10" ht="16" thickBot="1" x14ac:dyDescent="0.4">
      <c r="A27" s="227">
        <f t="shared" si="0"/>
        <v>17</v>
      </c>
      <c r="B27" s="250" t="s">
        <v>226</v>
      </c>
      <c r="C27" s="261">
        <f>C23+C25</f>
        <v>642.49049949338485</v>
      </c>
      <c r="D27" s="27" t="s">
        <v>16</v>
      </c>
      <c r="E27" s="251" t="s">
        <v>411</v>
      </c>
      <c r="F27" s="231">
        <f t="shared" si="1"/>
        <v>17</v>
      </c>
      <c r="I27" s="22"/>
      <c r="J27" s="262"/>
    </row>
    <row r="28" spans="1:10" ht="16.5" thickTop="1" thickBot="1" x14ac:dyDescent="0.4">
      <c r="A28" s="227">
        <f t="shared" si="0"/>
        <v>18</v>
      </c>
      <c r="B28" s="263"/>
      <c r="C28" s="264"/>
      <c r="D28" s="226"/>
      <c r="E28" s="226"/>
      <c r="F28" s="231">
        <f t="shared" si="1"/>
        <v>18</v>
      </c>
    </row>
    <row r="30" spans="1:10" ht="16" thickBot="1" x14ac:dyDescent="0.4">
      <c r="A30" s="223"/>
      <c r="B30" s="265"/>
      <c r="C30" s="266"/>
      <c r="D30" s="266"/>
      <c r="E30" s="266"/>
      <c r="F30" s="223"/>
    </row>
    <row r="31" spans="1:10" x14ac:dyDescent="0.35">
      <c r="A31" s="227" t="s">
        <v>2</v>
      </c>
      <c r="B31" s="267"/>
      <c r="C31" s="229"/>
      <c r="D31" s="224"/>
      <c r="E31" s="224"/>
      <c r="F31" s="231" t="s">
        <v>2</v>
      </c>
    </row>
    <row r="32" spans="1:10" x14ac:dyDescent="0.35">
      <c r="A32" s="227" t="s">
        <v>6</v>
      </c>
      <c r="B32" s="538" t="s">
        <v>227</v>
      </c>
      <c r="C32" s="539" t="str">
        <f>C9</f>
        <v>Amounts</v>
      </c>
      <c r="D32" s="540"/>
      <c r="E32" s="540" t="str">
        <f>E9</f>
        <v>Reference</v>
      </c>
      <c r="F32" s="231" t="s">
        <v>6</v>
      </c>
    </row>
    <row r="33" spans="1:6" x14ac:dyDescent="0.35">
      <c r="A33" s="227">
        <f>A28+1</f>
        <v>19</v>
      </c>
      <c r="B33" s="268"/>
      <c r="C33" s="235"/>
      <c r="D33" s="236"/>
      <c r="E33" s="237"/>
      <c r="F33" s="231">
        <f>F28+1</f>
        <v>19</v>
      </c>
    </row>
    <row r="34" spans="1:6" x14ac:dyDescent="0.35">
      <c r="A34" s="227">
        <f>A33+1</f>
        <v>20</v>
      </c>
      <c r="B34" s="238" t="str">
        <f>B11</f>
        <v>Section 1 - Direct Maintenance Expense Cost Component</v>
      </c>
      <c r="C34" s="269">
        <f>C11/12</f>
        <v>0</v>
      </c>
      <c r="D34" s="270"/>
      <c r="E34" s="241" t="str">
        <f>"Line "&amp;A11&amp;" / "&amp;C50&amp;" Months"</f>
        <v>Line 1 / 12 Months</v>
      </c>
      <c r="F34" s="231">
        <f>F33+1</f>
        <v>20</v>
      </c>
    </row>
    <row r="35" spans="1:6" x14ac:dyDescent="0.35">
      <c r="A35" s="227">
        <f t="shared" ref="A35:A53" si="2">A34+1</f>
        <v>21</v>
      </c>
      <c r="B35" s="242"/>
      <c r="C35" s="271"/>
      <c r="D35" s="272"/>
      <c r="E35" s="273"/>
      <c r="F35" s="231">
        <f t="shared" ref="F35:F53" si="3">F34+1</f>
        <v>21</v>
      </c>
    </row>
    <row r="36" spans="1:6" x14ac:dyDescent="0.35">
      <c r="A36" s="227">
        <f t="shared" si="2"/>
        <v>22</v>
      </c>
      <c r="B36" s="238" t="str">
        <f>B13</f>
        <v>Section 2 - Non-Direct Expense Cost Component</v>
      </c>
      <c r="C36" s="274">
        <f>C13/12</f>
        <v>72.388453251398445</v>
      </c>
      <c r="D36" s="27" t="s">
        <v>16</v>
      </c>
      <c r="E36" s="241" t="str">
        <f>"Line "&amp;A13&amp;" / "&amp;C50&amp;" Months"</f>
        <v>Line 3 / 12 Months</v>
      </c>
      <c r="F36" s="231">
        <f t="shared" si="3"/>
        <v>22</v>
      </c>
    </row>
    <row r="37" spans="1:6" x14ac:dyDescent="0.35">
      <c r="A37" s="227">
        <f t="shared" si="2"/>
        <v>23</v>
      </c>
      <c r="B37" s="242"/>
      <c r="C37" s="275"/>
      <c r="D37" s="276"/>
      <c r="E37" s="277"/>
      <c r="F37" s="231">
        <f t="shared" si="3"/>
        <v>23</v>
      </c>
    </row>
    <row r="38" spans="1:6" x14ac:dyDescent="0.35">
      <c r="A38" s="227">
        <f t="shared" si="2"/>
        <v>24</v>
      </c>
      <c r="B38" s="238" t="str">
        <f>B15</f>
        <v>Section 3 - Cost Component Containing Other Specific Expenses</v>
      </c>
      <c r="C38" s="543">
        <f>C15/12</f>
        <v>-6.4055171285762897</v>
      </c>
      <c r="D38" s="27"/>
      <c r="E38" s="241" t="str">
        <f>"Line "&amp;A15&amp;" / "&amp;C50&amp;" Months"</f>
        <v>Line 5 / 12 Months</v>
      </c>
      <c r="F38" s="231">
        <f t="shared" si="3"/>
        <v>24</v>
      </c>
    </row>
    <row r="39" spans="1:6" x14ac:dyDescent="0.35">
      <c r="A39" s="227">
        <f t="shared" si="2"/>
        <v>25</v>
      </c>
      <c r="B39" s="252"/>
      <c r="C39" s="280"/>
      <c r="D39" s="276"/>
      <c r="E39" s="241"/>
      <c r="F39" s="231">
        <f t="shared" si="3"/>
        <v>25</v>
      </c>
    </row>
    <row r="40" spans="1:6" x14ac:dyDescent="0.35">
      <c r="A40" s="227">
        <f t="shared" si="2"/>
        <v>26</v>
      </c>
      <c r="B40" s="250" t="s">
        <v>391</v>
      </c>
      <c r="C40" s="281">
        <f>C34+C36+C38</f>
        <v>65.982936122822153</v>
      </c>
      <c r="D40" s="27" t="s">
        <v>16</v>
      </c>
      <c r="E40" s="251" t="str">
        <f>"Sum Lines "&amp;A34&amp;", "&amp;A36&amp;", "&amp;A38</f>
        <v>Sum Lines 20, 22, 24</v>
      </c>
      <c r="F40" s="231">
        <f t="shared" si="3"/>
        <v>26</v>
      </c>
    </row>
    <row r="41" spans="1:6" x14ac:dyDescent="0.35">
      <c r="A41" s="227">
        <f t="shared" si="2"/>
        <v>27</v>
      </c>
      <c r="B41" s="268"/>
      <c r="C41" s="275"/>
      <c r="D41" s="276"/>
      <c r="E41" s="245"/>
      <c r="F41" s="231">
        <f t="shared" si="3"/>
        <v>27</v>
      </c>
    </row>
    <row r="42" spans="1:6" x14ac:dyDescent="0.35">
      <c r="A42" s="227">
        <f t="shared" si="2"/>
        <v>28</v>
      </c>
      <c r="B42" s="238" t="str">
        <f>LEFT(B19,45)</f>
        <v>Section 4 - True-Up Adjustment Cost Component</v>
      </c>
      <c r="C42" s="274">
        <f>C19/12</f>
        <v>-10.023832235497673</v>
      </c>
      <c r="D42" s="27" t="s">
        <v>16</v>
      </c>
      <c r="E42" s="241" t="str">
        <f>"Line "&amp;A19&amp;" / "&amp;C50&amp;" Months"</f>
        <v>Line 9 / 12 Months</v>
      </c>
      <c r="F42" s="231">
        <f t="shared" si="3"/>
        <v>28</v>
      </c>
    </row>
    <row r="43" spans="1:6" x14ac:dyDescent="0.35">
      <c r="A43" s="227">
        <f t="shared" si="2"/>
        <v>29</v>
      </c>
      <c r="B43" s="238"/>
      <c r="C43" s="275"/>
      <c r="D43" s="276"/>
      <c r="E43" s="282"/>
      <c r="F43" s="231">
        <f t="shared" si="3"/>
        <v>29</v>
      </c>
    </row>
    <row r="44" spans="1:6" x14ac:dyDescent="0.35">
      <c r="A44" s="227">
        <f t="shared" si="2"/>
        <v>30</v>
      </c>
      <c r="B44" s="238" t="str">
        <f>B21</f>
        <v>Section 5 - Interest True-Up Adjustment Cost Component</v>
      </c>
      <c r="C44" s="283">
        <f>C21/12</f>
        <v>-0.21796171401848755</v>
      </c>
      <c r="D44" s="279"/>
      <c r="E44" s="251" t="str">
        <f>"Line "&amp;A21&amp;" / "&amp;C50&amp;" Months"</f>
        <v>Line 11 / 12 Months</v>
      </c>
      <c r="F44" s="231">
        <f t="shared" si="3"/>
        <v>30</v>
      </c>
    </row>
    <row r="45" spans="1:6" x14ac:dyDescent="0.35">
      <c r="A45" s="227">
        <f t="shared" si="2"/>
        <v>31</v>
      </c>
      <c r="B45" s="252"/>
      <c r="C45" s="284"/>
      <c r="D45" s="31"/>
      <c r="E45" s="285"/>
      <c r="F45" s="231">
        <f t="shared" si="3"/>
        <v>31</v>
      </c>
    </row>
    <row r="46" spans="1:6" x14ac:dyDescent="0.35">
      <c r="A46" s="227">
        <f t="shared" si="2"/>
        <v>32</v>
      </c>
      <c r="B46" s="246" t="str">
        <f>B25</f>
        <v>Other Adjustments</v>
      </c>
      <c r="C46" s="543">
        <f>C25/12</f>
        <v>-2.2002672155239105</v>
      </c>
      <c r="D46" s="279"/>
      <c r="E46" s="251" t="str">
        <f>"Line "&amp;A25&amp;" / "&amp;C50&amp;" Months"</f>
        <v>Line 15 / 12 Months</v>
      </c>
      <c r="F46" s="231">
        <f t="shared" si="3"/>
        <v>32</v>
      </c>
    </row>
    <row r="47" spans="1:6" x14ac:dyDescent="0.35">
      <c r="A47" s="227">
        <f t="shared" si="2"/>
        <v>33</v>
      </c>
      <c r="B47" s="249"/>
      <c r="C47" s="284"/>
      <c r="D47" s="31"/>
      <c r="E47" s="285"/>
      <c r="F47" s="231">
        <f t="shared" si="3"/>
        <v>33</v>
      </c>
    </row>
    <row r="48" spans="1:6" ht="16" thickBot="1" x14ac:dyDescent="0.4">
      <c r="A48" s="227">
        <f t="shared" si="2"/>
        <v>34</v>
      </c>
      <c r="B48" s="249" t="s">
        <v>228</v>
      </c>
      <c r="C48" s="286">
        <f>C40+C42+C44+C46</f>
        <v>53.540874957782087</v>
      </c>
      <c r="D48" s="27" t="s">
        <v>16</v>
      </c>
      <c r="E48" s="251" t="str">
        <f>"Sum Lines "&amp;A40&amp;", "&amp;A42&amp;", "&amp;A44&amp;", "&amp;A46</f>
        <v>Sum Lines 26, 28, 30, 32</v>
      </c>
      <c r="F48" s="231">
        <f t="shared" si="3"/>
        <v>34</v>
      </c>
    </row>
    <row r="49" spans="1:6" ht="16" thickTop="1" x14ac:dyDescent="0.35">
      <c r="A49" s="227">
        <f t="shared" si="2"/>
        <v>35</v>
      </c>
      <c r="B49" s="268"/>
      <c r="C49" s="287"/>
      <c r="D49" s="288"/>
      <c r="E49" s="289"/>
      <c r="F49" s="231">
        <f t="shared" si="3"/>
        <v>35</v>
      </c>
    </row>
    <row r="50" spans="1:6" x14ac:dyDescent="0.35">
      <c r="A50" s="227">
        <f t="shared" si="2"/>
        <v>36</v>
      </c>
      <c r="B50" s="242" t="s">
        <v>229</v>
      </c>
      <c r="C50" s="544">
        <v>12</v>
      </c>
      <c r="D50" s="291"/>
      <c r="E50" s="289"/>
      <c r="F50" s="231">
        <f t="shared" si="3"/>
        <v>36</v>
      </c>
    </row>
    <row r="51" spans="1:6" x14ac:dyDescent="0.35">
      <c r="A51" s="227">
        <f t="shared" si="2"/>
        <v>37</v>
      </c>
      <c r="B51" s="268"/>
      <c r="C51" s="287"/>
      <c r="D51" s="288"/>
      <c r="E51" s="292"/>
      <c r="F51" s="231">
        <f t="shared" si="3"/>
        <v>37</v>
      </c>
    </row>
    <row r="52" spans="1:6" ht="16" thickBot="1" x14ac:dyDescent="0.4">
      <c r="A52" s="227">
        <f t="shared" si="2"/>
        <v>38</v>
      </c>
      <c r="B52" s="250" t="str">
        <f>B27</f>
        <v>Total Annual Costs</v>
      </c>
      <c r="C52" s="293">
        <f>C48*C50</f>
        <v>642.49049949338507</v>
      </c>
      <c r="D52" s="27" t="s">
        <v>16</v>
      </c>
      <c r="E52" s="251" t="str">
        <f>"Line "&amp;A48&amp;" x Line "&amp;A50</f>
        <v>Line 34 x Line 36</v>
      </c>
      <c r="F52" s="231">
        <f t="shared" si="3"/>
        <v>38</v>
      </c>
    </row>
    <row r="53" spans="1:6" ht="16.5" thickTop="1" thickBot="1" x14ac:dyDescent="0.4">
      <c r="A53" s="227">
        <f t="shared" si="2"/>
        <v>39</v>
      </c>
      <c r="B53" s="226"/>
      <c r="C53" s="294"/>
      <c r="D53" s="295"/>
      <c r="E53" s="296"/>
      <c r="F53" s="231">
        <f t="shared" si="3"/>
        <v>39</v>
      </c>
    </row>
    <row r="56" spans="1:6" x14ac:dyDescent="0.35">
      <c r="A56" s="27" t="s">
        <v>16</v>
      </c>
      <c r="B56" s="24" t="s">
        <v>647</v>
      </c>
    </row>
    <row r="57" spans="1:6" x14ac:dyDescent="0.35">
      <c r="B57" s="24" t="s">
        <v>645</v>
      </c>
    </row>
  </sheetData>
  <mergeCells count="5">
    <mergeCell ref="B2:E2"/>
    <mergeCell ref="B3:E3"/>
    <mergeCell ref="B4:E4"/>
    <mergeCell ref="B5:E5"/>
    <mergeCell ref="B6:E6"/>
  </mergeCells>
  <printOptions horizontalCentered="1"/>
  <pageMargins left="0.25" right="0.25" top="0.5" bottom="0.5" header="0.35" footer="0.25"/>
  <pageSetup scale="61" orientation="portrait" r:id="rId1"/>
  <headerFooter scaleWithDoc="0" alignWithMargins="0">
    <oddHeader>&amp;C&amp;"Times New Roman,Bold"&amp;7REVISED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D0F9E-0B8B-44A3-A936-C1D8BEEB241F}">
  <sheetPr>
    <pageSetUpPr fitToPage="1"/>
  </sheetPr>
  <dimension ref="A1:J57"/>
  <sheetViews>
    <sheetView zoomScale="80" zoomScaleNormal="80" workbookViewId="0"/>
  </sheetViews>
  <sheetFormatPr defaultColWidth="8.81640625" defaultRowHeight="15.5" x14ac:dyDescent="0.35"/>
  <cols>
    <col min="1" max="1" width="5.1796875" style="41" customWidth="1"/>
    <col min="2" max="2" width="73.1796875" style="20" bestFit="1" customWidth="1"/>
    <col min="3" max="3" width="15.81640625" style="20" customWidth="1"/>
    <col min="4" max="4" width="1.81640625" style="20" customWidth="1"/>
    <col min="5" max="5" width="52.54296875" style="20" customWidth="1"/>
    <col min="6" max="6" width="5.1796875" style="41" customWidth="1"/>
    <col min="7" max="16384" width="8.81640625" style="20"/>
  </cols>
  <sheetData>
    <row r="1" spans="1:8" x14ac:dyDescent="0.35">
      <c r="A1" s="668" t="s">
        <v>561</v>
      </c>
    </row>
    <row r="2" spans="1:8" x14ac:dyDescent="0.35">
      <c r="A2" s="223"/>
      <c r="B2" s="224"/>
      <c r="C2" s="224"/>
      <c r="D2" s="224"/>
      <c r="E2" s="532"/>
      <c r="F2" s="223"/>
    </row>
    <row r="3" spans="1:8" x14ac:dyDescent="0.35">
      <c r="A3" s="223"/>
      <c r="B3" s="751" t="s">
        <v>24</v>
      </c>
      <c r="C3" s="751"/>
      <c r="D3" s="751"/>
      <c r="E3" s="751"/>
      <c r="F3" s="224"/>
    </row>
    <row r="4" spans="1:8" x14ac:dyDescent="0.35">
      <c r="B4" s="751" t="s">
        <v>216</v>
      </c>
      <c r="C4" s="751"/>
      <c r="D4" s="751"/>
      <c r="E4" s="751"/>
      <c r="F4" s="221"/>
    </row>
    <row r="5" spans="1:8" x14ac:dyDescent="0.35">
      <c r="B5" s="751" t="s">
        <v>217</v>
      </c>
      <c r="C5" s="751"/>
      <c r="D5" s="751"/>
      <c r="E5" s="751"/>
      <c r="F5" s="221"/>
    </row>
    <row r="6" spans="1:8" x14ac:dyDescent="0.35">
      <c r="A6" s="223"/>
      <c r="B6" s="753" t="s">
        <v>630</v>
      </c>
      <c r="C6" s="753"/>
      <c r="D6" s="753"/>
      <c r="E6" s="753"/>
      <c r="F6" s="223"/>
    </row>
    <row r="7" spans="1:8" x14ac:dyDescent="0.35">
      <c r="B7" s="752" t="s">
        <v>1</v>
      </c>
      <c r="C7" s="751"/>
      <c r="D7" s="751"/>
      <c r="E7" s="751"/>
      <c r="F7" s="221"/>
    </row>
    <row r="8" spans="1:8" ht="16" thickBot="1" x14ac:dyDescent="0.4">
      <c r="A8" s="223"/>
      <c r="B8" s="224"/>
      <c r="C8" s="225"/>
      <c r="D8" s="226"/>
      <c r="E8" s="225"/>
      <c r="F8" s="223"/>
    </row>
    <row r="9" spans="1:8" x14ac:dyDescent="0.35">
      <c r="A9" s="227" t="s">
        <v>2</v>
      </c>
      <c r="B9" s="228"/>
      <c r="C9" s="229"/>
      <c r="D9" s="224"/>
      <c r="E9" s="230"/>
      <c r="F9" s="231" t="s">
        <v>2</v>
      </c>
    </row>
    <row r="10" spans="1:8" x14ac:dyDescent="0.35">
      <c r="A10" s="227" t="s">
        <v>6</v>
      </c>
      <c r="B10" s="538" t="s">
        <v>218</v>
      </c>
      <c r="C10" s="539" t="s">
        <v>4</v>
      </c>
      <c r="D10" s="540"/>
      <c r="E10" s="540" t="s">
        <v>5</v>
      </c>
      <c r="F10" s="231" t="s">
        <v>6</v>
      </c>
    </row>
    <row r="11" spans="1:8" x14ac:dyDescent="0.35">
      <c r="A11" s="227"/>
      <c r="B11" s="234"/>
      <c r="C11" s="235"/>
      <c r="D11" s="236"/>
      <c r="E11" s="237"/>
      <c r="F11" s="231"/>
    </row>
    <row r="12" spans="1:8" x14ac:dyDescent="0.35">
      <c r="A12" s="227">
        <v>1</v>
      </c>
      <c r="B12" s="238" t="s">
        <v>219</v>
      </c>
      <c r="C12" s="239">
        <v>0</v>
      </c>
      <c r="D12" s="240"/>
      <c r="E12" s="241" t="s">
        <v>404</v>
      </c>
      <c r="F12" s="231">
        <f>A12</f>
        <v>1</v>
      </c>
      <c r="H12" s="22"/>
    </row>
    <row r="13" spans="1:8" x14ac:dyDescent="0.35">
      <c r="A13" s="227">
        <f>A12+1</f>
        <v>2</v>
      </c>
      <c r="B13" s="242"/>
      <c r="C13" s="243"/>
      <c r="D13" s="244"/>
      <c r="E13" s="224"/>
      <c r="F13" s="231">
        <f>F12+1</f>
        <v>2</v>
      </c>
    </row>
    <row r="14" spans="1:8" x14ac:dyDescent="0.35">
      <c r="A14" s="227">
        <f t="shared" ref="A14:A29" si="0">A13+1</f>
        <v>3</v>
      </c>
      <c r="B14" s="238" t="s">
        <v>220</v>
      </c>
      <c r="C14" s="310">
        <v>859.89077595309413</v>
      </c>
      <c r="D14" s="27"/>
      <c r="E14" s="241" t="s">
        <v>405</v>
      </c>
      <c r="F14" s="231">
        <f t="shared" ref="F14:F29" si="1">F13+1</f>
        <v>3</v>
      </c>
      <c r="H14" s="30"/>
    </row>
    <row r="15" spans="1:8" x14ac:dyDescent="0.35">
      <c r="A15" s="227">
        <f t="shared" si="0"/>
        <v>4</v>
      </c>
      <c r="B15" s="242"/>
      <c r="C15" s="243"/>
      <c r="D15" s="244"/>
      <c r="E15" s="245"/>
      <c r="F15" s="231">
        <f t="shared" si="1"/>
        <v>4</v>
      </c>
    </row>
    <row r="16" spans="1:8" x14ac:dyDescent="0.35">
      <c r="A16" s="227">
        <f t="shared" si="0"/>
        <v>5</v>
      </c>
      <c r="B16" s="246" t="s">
        <v>221</v>
      </c>
      <c r="C16" s="541">
        <v>-76.86620554291548</v>
      </c>
      <c r="D16" s="248"/>
      <c r="E16" s="241" t="s">
        <v>406</v>
      </c>
      <c r="F16" s="231">
        <f t="shared" si="1"/>
        <v>5</v>
      </c>
      <c r="H16" s="30"/>
    </row>
    <row r="17" spans="1:10" x14ac:dyDescent="0.35">
      <c r="A17" s="227">
        <f t="shared" si="0"/>
        <v>6</v>
      </c>
      <c r="B17" s="249"/>
      <c r="C17" s="117"/>
      <c r="D17" s="248"/>
      <c r="E17" s="241"/>
      <c r="F17" s="231">
        <f t="shared" si="1"/>
        <v>6</v>
      </c>
      <c r="H17" s="30"/>
    </row>
    <row r="18" spans="1:10" x14ac:dyDescent="0.35">
      <c r="A18" s="227">
        <f t="shared" si="0"/>
        <v>7</v>
      </c>
      <c r="B18" s="250" t="s">
        <v>390</v>
      </c>
      <c r="C18" s="308">
        <f>C12+C14+C16</f>
        <v>783.02457041017863</v>
      </c>
      <c r="D18" s="27"/>
      <c r="E18" s="251" t="s">
        <v>407</v>
      </c>
      <c r="F18" s="231">
        <f t="shared" si="1"/>
        <v>7</v>
      </c>
      <c r="H18" s="30"/>
    </row>
    <row r="19" spans="1:10" x14ac:dyDescent="0.35">
      <c r="A19" s="227">
        <f t="shared" si="0"/>
        <v>8</v>
      </c>
      <c r="B19" s="252"/>
      <c r="C19" s="243"/>
      <c r="D19" s="244"/>
      <c r="E19" s="253"/>
      <c r="F19" s="231">
        <f t="shared" si="1"/>
        <v>8</v>
      </c>
    </row>
    <row r="20" spans="1:10" x14ac:dyDescent="0.35">
      <c r="A20" s="227">
        <f t="shared" si="0"/>
        <v>9</v>
      </c>
      <c r="B20" s="238" t="s">
        <v>222</v>
      </c>
      <c r="C20" s="310">
        <v>-129.22160845861544</v>
      </c>
      <c r="D20" s="27"/>
      <c r="E20" s="241" t="s">
        <v>408</v>
      </c>
      <c r="F20" s="231">
        <f t="shared" si="1"/>
        <v>9</v>
      </c>
    </row>
    <row r="21" spans="1:10" x14ac:dyDescent="0.35">
      <c r="A21" s="227">
        <f t="shared" si="0"/>
        <v>10</v>
      </c>
      <c r="B21" s="238"/>
      <c r="C21" s="243"/>
      <c r="D21" s="244"/>
      <c r="E21" s="254"/>
      <c r="F21" s="231">
        <f t="shared" si="1"/>
        <v>10</v>
      </c>
    </row>
    <row r="22" spans="1:10" x14ac:dyDescent="0.35">
      <c r="A22" s="227">
        <f t="shared" si="0"/>
        <v>11</v>
      </c>
      <c r="B22" s="238" t="s">
        <v>223</v>
      </c>
      <c r="C22" s="541">
        <v>-2.6155405682218507</v>
      </c>
      <c r="D22" s="248"/>
      <c r="E22" s="251" t="s">
        <v>409</v>
      </c>
      <c r="F22" s="231">
        <f t="shared" si="1"/>
        <v>11</v>
      </c>
    </row>
    <row r="23" spans="1:10" x14ac:dyDescent="0.35">
      <c r="A23" s="227">
        <f t="shared" si="0"/>
        <v>12</v>
      </c>
      <c r="B23" s="249"/>
      <c r="C23" s="255"/>
      <c r="D23" s="256"/>
      <c r="E23" s="251"/>
      <c r="F23" s="231">
        <f t="shared" si="1"/>
        <v>12</v>
      </c>
    </row>
    <row r="24" spans="1:10" x14ac:dyDescent="0.35">
      <c r="A24" s="227">
        <f t="shared" si="0"/>
        <v>13</v>
      </c>
      <c r="B24" s="249" t="s">
        <v>224</v>
      </c>
      <c r="C24" s="76">
        <f>C18+C20+C22</f>
        <v>651.18742138334142</v>
      </c>
      <c r="D24" s="27"/>
      <c r="E24" s="251" t="s">
        <v>410</v>
      </c>
      <c r="F24" s="231">
        <f t="shared" si="1"/>
        <v>13</v>
      </c>
      <c r="H24" s="30"/>
    </row>
    <row r="25" spans="1:10" x14ac:dyDescent="0.35">
      <c r="A25" s="227">
        <f t="shared" si="0"/>
        <v>14</v>
      </c>
      <c r="B25" s="257"/>
      <c r="C25" s="77"/>
      <c r="D25" s="78"/>
      <c r="E25" s="251"/>
      <c r="F25" s="231">
        <f t="shared" si="1"/>
        <v>14</v>
      </c>
      <c r="H25" s="30"/>
    </row>
    <row r="26" spans="1:10" x14ac:dyDescent="0.35">
      <c r="A26" s="227">
        <f t="shared" si="0"/>
        <v>15</v>
      </c>
      <c r="B26" s="246" t="s">
        <v>225</v>
      </c>
      <c r="C26" s="542">
        <v>-26.403206586286924</v>
      </c>
      <c r="D26" s="78"/>
      <c r="E26" s="251" t="s">
        <v>23</v>
      </c>
      <c r="F26" s="231">
        <f t="shared" si="1"/>
        <v>15</v>
      </c>
      <c r="H26" s="30"/>
    </row>
    <row r="27" spans="1:10" x14ac:dyDescent="0.35">
      <c r="A27" s="227">
        <f t="shared" si="0"/>
        <v>16</v>
      </c>
      <c r="B27" s="225"/>
      <c r="C27" s="259"/>
      <c r="D27" s="260"/>
      <c r="E27" s="251"/>
      <c r="F27" s="231">
        <f t="shared" si="1"/>
        <v>16</v>
      </c>
    </row>
    <row r="28" spans="1:10" ht="16" thickBot="1" x14ac:dyDescent="0.4">
      <c r="A28" s="227">
        <f t="shared" si="0"/>
        <v>17</v>
      </c>
      <c r="B28" s="250" t="s">
        <v>226</v>
      </c>
      <c r="C28" s="261">
        <f>C24+C26</f>
        <v>624.78421479705446</v>
      </c>
      <c r="D28" s="27"/>
      <c r="E28" s="251" t="s">
        <v>411</v>
      </c>
      <c r="F28" s="231">
        <f t="shared" si="1"/>
        <v>17</v>
      </c>
      <c r="I28" s="22"/>
      <c r="J28" s="262"/>
    </row>
    <row r="29" spans="1:10" ht="16.5" thickTop="1" thickBot="1" x14ac:dyDescent="0.4">
      <c r="A29" s="227">
        <f t="shared" si="0"/>
        <v>18</v>
      </c>
      <c r="B29" s="263"/>
      <c r="C29" s="264"/>
      <c r="D29" s="226"/>
      <c r="E29" s="226"/>
      <c r="F29" s="231">
        <f t="shared" si="1"/>
        <v>18</v>
      </c>
    </row>
    <row r="31" spans="1:10" ht="16" thickBot="1" x14ac:dyDescent="0.4">
      <c r="A31" s="223"/>
      <c r="B31" s="265"/>
      <c r="C31" s="266"/>
      <c r="D31" s="266"/>
      <c r="E31" s="266"/>
      <c r="F31" s="223"/>
    </row>
    <row r="32" spans="1:10" x14ac:dyDescent="0.35">
      <c r="A32" s="227" t="s">
        <v>2</v>
      </c>
      <c r="B32" s="267"/>
      <c r="C32" s="229"/>
      <c r="D32" s="224"/>
      <c r="E32" s="224"/>
      <c r="F32" s="231" t="s">
        <v>2</v>
      </c>
    </row>
    <row r="33" spans="1:6" x14ac:dyDescent="0.35">
      <c r="A33" s="227" t="s">
        <v>6</v>
      </c>
      <c r="B33" s="538" t="s">
        <v>227</v>
      </c>
      <c r="C33" s="539" t="str">
        <f>C10</f>
        <v>Amounts</v>
      </c>
      <c r="D33" s="540"/>
      <c r="E33" s="540" t="str">
        <f>E10</f>
        <v>Reference</v>
      </c>
      <c r="F33" s="231" t="s">
        <v>6</v>
      </c>
    </row>
    <row r="34" spans="1:6" x14ac:dyDescent="0.35">
      <c r="A34" s="227">
        <f>A29+1</f>
        <v>19</v>
      </c>
      <c r="B34" s="268"/>
      <c r="C34" s="235"/>
      <c r="D34" s="236"/>
      <c r="E34" s="237"/>
      <c r="F34" s="231">
        <f>F29+1</f>
        <v>19</v>
      </c>
    </row>
    <row r="35" spans="1:6" x14ac:dyDescent="0.35">
      <c r="A35" s="227">
        <f>A34+1</f>
        <v>20</v>
      </c>
      <c r="B35" s="238" t="str">
        <f>B12</f>
        <v>Section 1 - Direct Maintenance Expense Cost Component</v>
      </c>
      <c r="C35" s="269">
        <f>C12/12</f>
        <v>0</v>
      </c>
      <c r="D35" s="270"/>
      <c r="E35" s="241" t="str">
        <f>"Line "&amp;A12&amp;" / "&amp;C51&amp;" Months"</f>
        <v>Line 1 / 12 Months</v>
      </c>
      <c r="F35" s="231">
        <f>F34+1</f>
        <v>20</v>
      </c>
    </row>
    <row r="36" spans="1:6" x14ac:dyDescent="0.35">
      <c r="A36" s="227">
        <f t="shared" ref="A36:A54" si="2">A35+1</f>
        <v>21</v>
      </c>
      <c r="B36" s="242"/>
      <c r="C36" s="271"/>
      <c r="D36" s="272"/>
      <c r="E36" s="273"/>
      <c r="F36" s="231">
        <f t="shared" ref="F36:F54" si="3">F35+1</f>
        <v>21</v>
      </c>
    </row>
    <row r="37" spans="1:6" x14ac:dyDescent="0.35">
      <c r="A37" s="227">
        <f t="shared" si="2"/>
        <v>22</v>
      </c>
      <c r="B37" s="238" t="str">
        <f>B14</f>
        <v>Section 2 - Non-Direct Expense Cost Component</v>
      </c>
      <c r="C37" s="274">
        <f>C14/12</f>
        <v>71.657564662757849</v>
      </c>
      <c r="D37" s="27" t="s">
        <v>16</v>
      </c>
      <c r="E37" s="241" t="str">
        <f>"Line "&amp;A14&amp;" / "&amp;C51&amp;" Months"</f>
        <v>Line 3 / 12 Months</v>
      </c>
      <c r="F37" s="231">
        <f t="shared" si="3"/>
        <v>22</v>
      </c>
    </row>
    <row r="38" spans="1:6" x14ac:dyDescent="0.35">
      <c r="A38" s="227">
        <f t="shared" si="2"/>
        <v>23</v>
      </c>
      <c r="B38" s="242"/>
      <c r="C38" s="275"/>
      <c r="D38" s="276"/>
      <c r="E38" s="277"/>
      <c r="F38" s="231">
        <f t="shared" si="3"/>
        <v>23</v>
      </c>
    </row>
    <row r="39" spans="1:6" x14ac:dyDescent="0.35">
      <c r="A39" s="227">
        <f t="shared" si="2"/>
        <v>24</v>
      </c>
      <c r="B39" s="238" t="str">
        <f>B16</f>
        <v>Section 3 - Cost Component Containing Other Specific Expenses</v>
      </c>
      <c r="C39" s="663">
        <f>C16/12</f>
        <v>-6.4055171285762897</v>
      </c>
      <c r="D39" s="27" t="s">
        <v>16</v>
      </c>
      <c r="E39" s="241" t="str">
        <f>"Line "&amp;A16&amp;" / "&amp;C51&amp;" Months"</f>
        <v>Line 5 / 12 Months</v>
      </c>
      <c r="F39" s="231">
        <f t="shared" si="3"/>
        <v>24</v>
      </c>
    </row>
    <row r="40" spans="1:6" x14ac:dyDescent="0.35">
      <c r="A40" s="227">
        <f t="shared" si="2"/>
        <v>25</v>
      </c>
      <c r="B40" s="252"/>
      <c r="C40" s="280"/>
      <c r="D40" s="276"/>
      <c r="E40" s="241"/>
      <c r="F40" s="231">
        <f t="shared" si="3"/>
        <v>25</v>
      </c>
    </row>
    <row r="41" spans="1:6" x14ac:dyDescent="0.35">
      <c r="A41" s="227">
        <f t="shared" si="2"/>
        <v>26</v>
      </c>
      <c r="B41" s="250" t="s">
        <v>391</v>
      </c>
      <c r="C41" s="281">
        <f>C35+C37+C39</f>
        <v>65.252047534181557</v>
      </c>
      <c r="D41" s="27" t="s">
        <v>16</v>
      </c>
      <c r="E41" s="251" t="str">
        <f>"Sum Lines "&amp;A35&amp;", "&amp;A37&amp;", "&amp;A39</f>
        <v>Sum Lines 20, 22, 24</v>
      </c>
      <c r="F41" s="231">
        <f t="shared" si="3"/>
        <v>26</v>
      </c>
    </row>
    <row r="42" spans="1:6" x14ac:dyDescent="0.35">
      <c r="A42" s="227">
        <f t="shared" si="2"/>
        <v>27</v>
      </c>
      <c r="B42" s="268"/>
      <c r="C42" s="275"/>
      <c r="D42" s="276"/>
      <c r="E42" s="245"/>
      <c r="F42" s="231">
        <f t="shared" si="3"/>
        <v>27</v>
      </c>
    </row>
    <row r="43" spans="1:6" x14ac:dyDescent="0.35">
      <c r="A43" s="227">
        <f t="shared" si="2"/>
        <v>28</v>
      </c>
      <c r="B43" s="238" t="str">
        <f>LEFT(B20,45)</f>
        <v>Section 4 - True-Up Adjustment Cost Component</v>
      </c>
      <c r="C43" s="274">
        <f>C20/12</f>
        <v>-10.768467371551287</v>
      </c>
      <c r="D43" s="27" t="s">
        <v>16</v>
      </c>
      <c r="E43" s="241" t="str">
        <f>"Line "&amp;A20&amp;" / "&amp;C51&amp;" Months"</f>
        <v>Line 9 / 12 Months</v>
      </c>
      <c r="F43" s="231">
        <f t="shared" si="3"/>
        <v>28</v>
      </c>
    </row>
    <row r="44" spans="1:6" x14ac:dyDescent="0.35">
      <c r="A44" s="227">
        <f t="shared" si="2"/>
        <v>29</v>
      </c>
      <c r="B44" s="238"/>
      <c r="C44" s="275"/>
      <c r="D44" s="276"/>
      <c r="E44" s="282"/>
      <c r="F44" s="231">
        <f t="shared" si="3"/>
        <v>29</v>
      </c>
    </row>
    <row r="45" spans="1:6" x14ac:dyDescent="0.35">
      <c r="A45" s="227">
        <f t="shared" si="2"/>
        <v>30</v>
      </c>
      <c r="B45" s="238" t="str">
        <f>B22</f>
        <v>Section 5 - Interest True-Up Adjustment Cost Component</v>
      </c>
      <c r="C45" s="283">
        <f>C22/12</f>
        <v>-0.21796171401848755</v>
      </c>
      <c r="D45" s="279"/>
      <c r="E45" s="251" t="str">
        <f>"Line "&amp;A22&amp;" / "&amp;C51&amp;" Months"</f>
        <v>Line 11 / 12 Months</v>
      </c>
      <c r="F45" s="231">
        <f t="shared" si="3"/>
        <v>30</v>
      </c>
    </row>
    <row r="46" spans="1:6" x14ac:dyDescent="0.35">
      <c r="A46" s="227">
        <f t="shared" si="2"/>
        <v>31</v>
      </c>
      <c r="B46" s="252"/>
      <c r="C46" s="284"/>
      <c r="D46" s="31"/>
      <c r="E46" s="285"/>
      <c r="F46" s="231">
        <f t="shared" si="3"/>
        <v>31</v>
      </c>
    </row>
    <row r="47" spans="1:6" x14ac:dyDescent="0.35">
      <c r="A47" s="227">
        <f t="shared" si="2"/>
        <v>32</v>
      </c>
      <c r="B47" s="246" t="str">
        <f>B26</f>
        <v>Other Adjustments</v>
      </c>
      <c r="C47" s="543">
        <f>C26/12</f>
        <v>-2.2002672155239105</v>
      </c>
      <c r="D47" s="279"/>
      <c r="E47" s="251" t="str">
        <f>"Line "&amp;A26&amp;" / "&amp;C51&amp;" Months"</f>
        <v>Line 15 / 12 Months</v>
      </c>
      <c r="F47" s="231">
        <f t="shared" si="3"/>
        <v>32</v>
      </c>
    </row>
    <row r="48" spans="1:6" x14ac:dyDescent="0.35">
      <c r="A48" s="227">
        <f t="shared" si="2"/>
        <v>33</v>
      </c>
      <c r="B48" s="249"/>
      <c r="C48" s="284"/>
      <c r="D48" s="31"/>
      <c r="E48" s="285"/>
      <c r="F48" s="231">
        <f t="shared" si="3"/>
        <v>33</v>
      </c>
    </row>
    <row r="49" spans="1:6" ht="16" thickBot="1" x14ac:dyDescent="0.4">
      <c r="A49" s="227">
        <f t="shared" si="2"/>
        <v>34</v>
      </c>
      <c r="B49" s="249" t="s">
        <v>228</v>
      </c>
      <c r="C49" s="286">
        <f>C41+C43+C45+C47</f>
        <v>52.065351233087874</v>
      </c>
      <c r="D49" s="27" t="s">
        <v>16</v>
      </c>
      <c r="E49" s="251" t="str">
        <f>"Sum Lines "&amp;A41&amp;", "&amp;A43&amp;", "&amp;A45&amp;", "&amp;A47</f>
        <v>Sum Lines 26, 28, 30, 32</v>
      </c>
      <c r="F49" s="231">
        <f t="shared" si="3"/>
        <v>34</v>
      </c>
    </row>
    <row r="50" spans="1:6" ht="16" thickTop="1" x14ac:dyDescent="0.35">
      <c r="A50" s="227">
        <f t="shared" si="2"/>
        <v>35</v>
      </c>
      <c r="B50" s="268"/>
      <c r="C50" s="287"/>
      <c r="D50" s="288"/>
      <c r="E50" s="289"/>
      <c r="F50" s="231">
        <f t="shared" si="3"/>
        <v>35</v>
      </c>
    </row>
    <row r="51" spans="1:6" x14ac:dyDescent="0.35">
      <c r="A51" s="227">
        <f t="shared" si="2"/>
        <v>36</v>
      </c>
      <c r="B51" s="242" t="s">
        <v>229</v>
      </c>
      <c r="C51" s="544">
        <v>12</v>
      </c>
      <c r="D51" s="291"/>
      <c r="E51" s="289"/>
      <c r="F51" s="231">
        <f t="shared" si="3"/>
        <v>36</v>
      </c>
    </row>
    <row r="52" spans="1:6" x14ac:dyDescent="0.35">
      <c r="A52" s="227">
        <f t="shared" si="2"/>
        <v>37</v>
      </c>
      <c r="B52" s="268"/>
      <c r="C52" s="287"/>
      <c r="D52" s="288"/>
      <c r="E52" s="292"/>
      <c r="F52" s="231">
        <f t="shared" si="3"/>
        <v>37</v>
      </c>
    </row>
    <row r="53" spans="1:6" ht="16" thickBot="1" x14ac:dyDescent="0.4">
      <c r="A53" s="227">
        <f t="shared" si="2"/>
        <v>38</v>
      </c>
      <c r="B53" s="250" t="str">
        <f>B28</f>
        <v>Total Annual Costs</v>
      </c>
      <c r="C53" s="293">
        <f>C49*C51</f>
        <v>624.78421479705446</v>
      </c>
      <c r="D53" s="27"/>
      <c r="E53" s="251" t="str">
        <f>"Line "&amp;A49&amp;" x Line "&amp;A51</f>
        <v>Line 34 x Line 36</v>
      </c>
      <c r="F53" s="231">
        <f t="shared" si="3"/>
        <v>38</v>
      </c>
    </row>
    <row r="54" spans="1:6" ht="16.5" thickTop="1" thickBot="1" x14ac:dyDescent="0.4">
      <c r="A54" s="227">
        <f t="shared" si="2"/>
        <v>39</v>
      </c>
      <c r="B54" s="226"/>
      <c r="C54" s="294"/>
      <c r="D54" s="295"/>
      <c r="E54" s="296"/>
      <c r="F54" s="231">
        <f t="shared" si="3"/>
        <v>39</v>
      </c>
    </row>
    <row r="56" spans="1:6" x14ac:dyDescent="0.35">
      <c r="A56" s="27" t="s">
        <v>16</v>
      </c>
      <c r="B56" s="24" t="s">
        <v>611</v>
      </c>
    </row>
    <row r="57" spans="1:6" x14ac:dyDescent="0.35">
      <c r="B57" s="24" t="s">
        <v>559</v>
      </c>
    </row>
  </sheetData>
  <mergeCells count="5">
    <mergeCell ref="B3:E3"/>
    <mergeCell ref="B4:E4"/>
    <mergeCell ref="B5:E5"/>
    <mergeCell ref="B6:E6"/>
    <mergeCell ref="B7:E7"/>
  </mergeCells>
  <printOptions horizontalCentered="1"/>
  <pageMargins left="0.25" right="0.25" top="0.5" bottom="0.5" header="0.35" footer="0.25"/>
  <pageSetup scale="66" orientation="portrait" r:id="rId1"/>
  <headerFooter scaleWithDoc="0" alignWithMargins="0">
    <oddHeader>&amp;C&amp;"Times New Roman,Bold"&amp;8AS FILED SUMMARY WITH COST ADJ. INCL. IN APPENDIX XII CYCLE 5 (ER23-110)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66F-B29C-4CA8-8780-A2635AF8E741}">
  <sheetPr>
    <pageSetUpPr fitToPage="1"/>
  </sheetPr>
  <dimension ref="A1:I54"/>
  <sheetViews>
    <sheetView zoomScale="80" zoomScaleNormal="80" workbookViewId="0"/>
  </sheetViews>
  <sheetFormatPr defaultColWidth="8.81640625" defaultRowHeight="15.5" x14ac:dyDescent="0.35"/>
  <cols>
    <col min="1" max="1" width="5.1796875" style="41" customWidth="1"/>
    <col min="2" max="2" width="70.54296875" style="20" customWidth="1"/>
    <col min="3" max="3" width="16.54296875" style="20" customWidth="1"/>
    <col min="4" max="4" width="51.453125" style="20" bestFit="1" customWidth="1"/>
    <col min="5" max="5" width="5.1796875" style="41" customWidth="1"/>
    <col min="6" max="16384" width="8.81640625" style="20"/>
  </cols>
  <sheetData>
    <row r="1" spans="1:7" x14ac:dyDescent="0.35">
      <c r="A1" s="654" t="s">
        <v>562</v>
      </c>
      <c r="B1" s="224"/>
      <c r="C1" s="224"/>
      <c r="D1" s="532"/>
      <c r="E1" s="223"/>
    </row>
    <row r="2" spans="1:7" x14ac:dyDescent="0.35">
      <c r="A2" s="654"/>
      <c r="B2" s="224"/>
      <c r="C2" s="224"/>
      <c r="D2" s="532"/>
      <c r="E2" s="223"/>
    </row>
    <row r="3" spans="1:7" x14ac:dyDescent="0.35">
      <c r="A3" s="223"/>
      <c r="B3" s="751" t="s">
        <v>24</v>
      </c>
      <c r="C3" s="751"/>
      <c r="D3" s="751"/>
      <c r="E3" s="224"/>
    </row>
    <row r="4" spans="1:7" x14ac:dyDescent="0.35">
      <c r="B4" s="751" t="s">
        <v>216</v>
      </c>
      <c r="C4" s="751"/>
      <c r="D4" s="751"/>
      <c r="E4" s="221"/>
    </row>
    <row r="5" spans="1:7" x14ac:dyDescent="0.35">
      <c r="B5" s="751" t="s">
        <v>217</v>
      </c>
      <c r="C5" s="751"/>
      <c r="D5" s="751"/>
      <c r="E5" s="221"/>
    </row>
    <row r="6" spans="1:7" x14ac:dyDescent="0.35">
      <c r="A6" s="223"/>
      <c r="B6" s="753" t="s">
        <v>511</v>
      </c>
      <c r="C6" s="753"/>
      <c r="D6" s="753"/>
      <c r="E6" s="223"/>
    </row>
    <row r="7" spans="1:7" x14ac:dyDescent="0.35">
      <c r="B7" s="752" t="s">
        <v>1</v>
      </c>
      <c r="C7" s="751"/>
      <c r="D7" s="751"/>
      <c r="E7" s="221"/>
    </row>
    <row r="8" spans="1:7" ht="16" thickBot="1" x14ac:dyDescent="0.4">
      <c r="A8" s="223"/>
      <c r="B8" s="224"/>
      <c r="C8" s="225"/>
      <c r="D8" s="225"/>
      <c r="E8" s="223"/>
    </row>
    <row r="9" spans="1:7" x14ac:dyDescent="0.35">
      <c r="A9" s="227" t="s">
        <v>2</v>
      </c>
      <c r="B9" s="228"/>
      <c r="C9" s="297"/>
      <c r="D9" s="298"/>
      <c r="E9" s="231" t="s">
        <v>2</v>
      </c>
    </row>
    <row r="10" spans="1:7" x14ac:dyDescent="0.35">
      <c r="A10" s="227" t="s">
        <v>6</v>
      </c>
      <c r="B10" s="232" t="s">
        <v>218</v>
      </c>
      <c r="C10" s="232" t="s">
        <v>4</v>
      </c>
      <c r="D10" s="299" t="s">
        <v>5</v>
      </c>
      <c r="E10" s="231" t="s">
        <v>6</v>
      </c>
    </row>
    <row r="11" spans="1:7" x14ac:dyDescent="0.35">
      <c r="A11" s="227"/>
      <c r="B11" s="234"/>
      <c r="C11" s="300"/>
      <c r="D11" s="301"/>
      <c r="E11" s="231"/>
    </row>
    <row r="12" spans="1:7" x14ac:dyDescent="0.35">
      <c r="A12" s="227">
        <v>1</v>
      </c>
      <c r="B12" s="238" t="s">
        <v>219</v>
      </c>
      <c r="C12" s="302">
        <v>0</v>
      </c>
      <c r="D12" s="303" t="s">
        <v>404</v>
      </c>
      <c r="E12" s="231">
        <f>A12</f>
        <v>1</v>
      </c>
      <c r="G12" s="22"/>
    </row>
    <row r="13" spans="1:7" x14ac:dyDescent="0.35">
      <c r="A13" s="227">
        <f>A12+1</f>
        <v>2</v>
      </c>
      <c r="B13" s="242"/>
      <c r="C13" s="304"/>
      <c r="D13" s="305"/>
      <c r="E13" s="231">
        <f>E12+1</f>
        <v>2</v>
      </c>
    </row>
    <row r="14" spans="1:7" x14ac:dyDescent="0.35">
      <c r="A14" s="227">
        <f t="shared" ref="A14:A29" si="0">A13+1</f>
        <v>3</v>
      </c>
      <c r="B14" s="238" t="s">
        <v>220</v>
      </c>
      <c r="C14" s="306">
        <v>859.93602449389209</v>
      </c>
      <c r="D14" s="303" t="s">
        <v>405</v>
      </c>
      <c r="E14" s="231">
        <f t="shared" ref="E14:E29" si="1">E13+1</f>
        <v>3</v>
      </c>
      <c r="G14" s="30"/>
    </row>
    <row r="15" spans="1:7" x14ac:dyDescent="0.35">
      <c r="A15" s="227">
        <f t="shared" si="0"/>
        <v>4</v>
      </c>
      <c r="B15" s="242"/>
      <c r="C15" s="304"/>
      <c r="D15" s="307"/>
      <c r="E15" s="231">
        <f t="shared" si="1"/>
        <v>4</v>
      </c>
    </row>
    <row r="16" spans="1:7" x14ac:dyDescent="0.35">
      <c r="A16" s="227">
        <f t="shared" si="0"/>
        <v>5</v>
      </c>
      <c r="B16" s="246" t="s">
        <v>221</v>
      </c>
      <c r="C16" s="247">
        <v>-76.861081329199209</v>
      </c>
      <c r="D16" s="241" t="s">
        <v>406</v>
      </c>
      <c r="E16" s="231">
        <f t="shared" si="1"/>
        <v>5</v>
      </c>
      <c r="G16" s="30"/>
    </row>
    <row r="17" spans="1:9" x14ac:dyDescent="0.35">
      <c r="A17" s="227">
        <f t="shared" si="0"/>
        <v>6</v>
      </c>
      <c r="B17" s="249"/>
      <c r="C17" s="117"/>
      <c r="D17" s="241"/>
      <c r="E17" s="231">
        <f t="shared" si="1"/>
        <v>6</v>
      </c>
      <c r="G17" s="30"/>
    </row>
    <row r="18" spans="1:9" x14ac:dyDescent="0.35">
      <c r="A18" s="227">
        <f t="shared" si="0"/>
        <v>7</v>
      </c>
      <c r="B18" s="250" t="s">
        <v>390</v>
      </c>
      <c r="C18" s="308">
        <f>C12+C14+C16</f>
        <v>783.07494316469285</v>
      </c>
      <c r="D18" s="251" t="s">
        <v>407</v>
      </c>
      <c r="E18" s="231">
        <f t="shared" si="1"/>
        <v>7</v>
      </c>
      <c r="G18" s="30"/>
    </row>
    <row r="19" spans="1:9" x14ac:dyDescent="0.35">
      <c r="A19" s="227">
        <f t="shared" si="0"/>
        <v>8</v>
      </c>
      <c r="B19" s="252"/>
      <c r="C19" s="304"/>
      <c r="D19" s="309"/>
      <c r="E19" s="231">
        <f t="shared" si="1"/>
        <v>8</v>
      </c>
    </row>
    <row r="20" spans="1:9" x14ac:dyDescent="0.35">
      <c r="A20" s="227">
        <f t="shared" si="0"/>
        <v>9</v>
      </c>
      <c r="B20" s="238" t="s">
        <v>222</v>
      </c>
      <c r="C20" s="310">
        <v>-129.17028829369025</v>
      </c>
      <c r="D20" s="241" t="s">
        <v>408</v>
      </c>
      <c r="E20" s="231">
        <f t="shared" si="1"/>
        <v>9</v>
      </c>
    </row>
    <row r="21" spans="1:9" x14ac:dyDescent="0.35">
      <c r="A21" s="227">
        <f t="shared" si="0"/>
        <v>10</v>
      </c>
      <c r="B21" s="238"/>
      <c r="C21" s="304"/>
      <c r="D21" s="311"/>
      <c r="E21" s="231">
        <f t="shared" si="1"/>
        <v>10</v>
      </c>
    </row>
    <row r="22" spans="1:9" x14ac:dyDescent="0.35">
      <c r="A22" s="227">
        <f t="shared" si="0"/>
        <v>11</v>
      </c>
      <c r="B22" s="238" t="s">
        <v>223</v>
      </c>
      <c r="C22" s="247">
        <v>-2.6155405682218507</v>
      </c>
      <c r="D22" s="251" t="s">
        <v>409</v>
      </c>
      <c r="E22" s="231">
        <f t="shared" si="1"/>
        <v>11</v>
      </c>
    </row>
    <row r="23" spans="1:9" x14ac:dyDescent="0.35">
      <c r="A23" s="227">
        <f t="shared" si="0"/>
        <v>12</v>
      </c>
      <c r="B23" s="249"/>
      <c r="C23" s="255"/>
      <c r="D23" s="312"/>
      <c r="E23" s="231">
        <f t="shared" si="1"/>
        <v>12</v>
      </c>
    </row>
    <row r="24" spans="1:9" x14ac:dyDescent="0.35">
      <c r="A24" s="227">
        <f t="shared" si="0"/>
        <v>13</v>
      </c>
      <c r="B24" s="249" t="s">
        <v>224</v>
      </c>
      <c r="C24" s="76">
        <f>C18+C20+C22</f>
        <v>651.28911430278072</v>
      </c>
      <c r="D24" s="251" t="s">
        <v>410</v>
      </c>
      <c r="E24" s="231">
        <f t="shared" si="1"/>
        <v>13</v>
      </c>
      <c r="G24" s="30"/>
    </row>
    <row r="25" spans="1:9" x14ac:dyDescent="0.35">
      <c r="A25" s="227">
        <f t="shared" si="0"/>
        <v>14</v>
      </c>
      <c r="B25" s="257"/>
      <c r="C25" s="77"/>
      <c r="D25" s="251"/>
      <c r="E25" s="231">
        <f t="shared" si="1"/>
        <v>14</v>
      </c>
      <c r="G25" s="30"/>
    </row>
    <row r="26" spans="1:9" x14ac:dyDescent="0.35">
      <c r="A26" s="227">
        <f t="shared" si="0"/>
        <v>15</v>
      </c>
      <c r="B26" s="246" t="s">
        <v>225</v>
      </c>
      <c r="C26" s="258">
        <v>-26.403206586286924</v>
      </c>
      <c r="D26" s="251" t="s">
        <v>23</v>
      </c>
      <c r="E26" s="231">
        <f t="shared" si="1"/>
        <v>15</v>
      </c>
      <c r="G26" s="30"/>
    </row>
    <row r="27" spans="1:9" x14ac:dyDescent="0.35">
      <c r="A27" s="227">
        <f t="shared" si="0"/>
        <v>16</v>
      </c>
      <c r="B27" s="225"/>
      <c r="C27" s="259"/>
      <c r="D27" s="312"/>
      <c r="E27" s="231">
        <f t="shared" si="1"/>
        <v>16</v>
      </c>
    </row>
    <row r="28" spans="1:9" ht="16" thickBot="1" x14ac:dyDescent="0.4">
      <c r="A28" s="227">
        <f t="shared" si="0"/>
        <v>17</v>
      </c>
      <c r="B28" s="250" t="s">
        <v>226</v>
      </c>
      <c r="C28" s="261">
        <f>C24+C26</f>
        <v>624.88590771649376</v>
      </c>
      <c r="D28" s="312" t="s">
        <v>411</v>
      </c>
      <c r="E28" s="231">
        <f t="shared" si="1"/>
        <v>17</v>
      </c>
      <c r="H28" s="22"/>
      <c r="I28" s="262"/>
    </row>
    <row r="29" spans="1:9" ht="16.5" thickTop="1" thickBot="1" x14ac:dyDescent="0.4">
      <c r="A29" s="227">
        <f t="shared" si="0"/>
        <v>18</v>
      </c>
      <c r="B29" s="263"/>
      <c r="C29" s="263"/>
      <c r="D29" s="313"/>
      <c r="E29" s="231">
        <f t="shared" si="1"/>
        <v>18</v>
      </c>
    </row>
    <row r="31" spans="1:9" ht="16" thickBot="1" x14ac:dyDescent="0.4">
      <c r="A31" s="223"/>
      <c r="B31" s="265"/>
      <c r="C31" s="266"/>
      <c r="D31" s="266"/>
      <c r="E31" s="223"/>
    </row>
    <row r="32" spans="1:9" x14ac:dyDescent="0.35">
      <c r="A32" s="227" t="s">
        <v>2</v>
      </c>
      <c r="B32" s="267"/>
      <c r="C32" s="267"/>
      <c r="D32" s="305"/>
      <c r="E32" s="231" t="s">
        <v>2</v>
      </c>
    </row>
    <row r="33" spans="1:5" x14ac:dyDescent="0.35">
      <c r="A33" s="227" t="s">
        <v>6</v>
      </c>
      <c r="B33" s="232" t="s">
        <v>227</v>
      </c>
      <c r="C33" s="232" t="str">
        <f>C10</f>
        <v>Amounts</v>
      </c>
      <c r="D33" s="299" t="str">
        <f>D10</f>
        <v>Reference</v>
      </c>
      <c r="E33" s="231" t="s">
        <v>6</v>
      </c>
    </row>
    <row r="34" spans="1:5" x14ac:dyDescent="0.35">
      <c r="A34" s="227">
        <f>A29+1</f>
        <v>19</v>
      </c>
      <c r="B34" s="268"/>
      <c r="C34" s="300"/>
      <c r="D34" s="301"/>
      <c r="E34" s="231">
        <f>E29+1</f>
        <v>19</v>
      </c>
    </row>
    <row r="35" spans="1:5" x14ac:dyDescent="0.35">
      <c r="A35" s="227">
        <f>A34+1</f>
        <v>20</v>
      </c>
      <c r="B35" s="238" t="str">
        <f>B12</f>
        <v>Section 1 - Direct Maintenance Expense Cost Component</v>
      </c>
      <c r="C35" s="314">
        <f>C12/12</f>
        <v>0</v>
      </c>
      <c r="D35" s="303" t="str">
        <f>"Line "&amp;A12&amp;" / "&amp;C51&amp;" Months"</f>
        <v>Line 1 / 12 Months</v>
      </c>
      <c r="E35" s="231">
        <f>E34+1</f>
        <v>20</v>
      </c>
    </row>
    <row r="36" spans="1:5" x14ac:dyDescent="0.35">
      <c r="A36" s="227">
        <f t="shared" ref="A36:A54" si="2">A35+1</f>
        <v>21</v>
      </c>
      <c r="B36" s="242"/>
      <c r="C36" s="315"/>
      <c r="D36" s="316"/>
      <c r="E36" s="231">
        <f t="shared" ref="E36:E54" si="3">E35+1</f>
        <v>21</v>
      </c>
    </row>
    <row r="37" spans="1:5" x14ac:dyDescent="0.35">
      <c r="A37" s="227">
        <f t="shared" si="2"/>
        <v>22</v>
      </c>
      <c r="B37" s="238" t="str">
        <f>B14</f>
        <v>Section 2 - Non-Direct Expense Cost Component</v>
      </c>
      <c r="C37" s="317">
        <f>C14/12</f>
        <v>71.661335374491003</v>
      </c>
      <c r="D37" s="303" t="str">
        <f>"Line "&amp;A14&amp;" / "&amp;C51&amp;" Months"</f>
        <v>Line 3 / 12 Months</v>
      </c>
      <c r="E37" s="231">
        <f t="shared" si="3"/>
        <v>22</v>
      </c>
    </row>
    <row r="38" spans="1:5" x14ac:dyDescent="0.35">
      <c r="A38" s="227">
        <f t="shared" si="2"/>
        <v>23</v>
      </c>
      <c r="B38" s="242"/>
      <c r="C38" s="318"/>
      <c r="D38" s="319"/>
      <c r="E38" s="231">
        <f t="shared" si="3"/>
        <v>23</v>
      </c>
    </row>
    <row r="39" spans="1:5" x14ac:dyDescent="0.35">
      <c r="A39" s="227">
        <f t="shared" si="2"/>
        <v>24</v>
      </c>
      <c r="B39" s="238" t="str">
        <f>B16</f>
        <v>Section 3 - Cost Component Containing Other Specific Expenses</v>
      </c>
      <c r="C39" s="278">
        <f>C16/12</f>
        <v>-6.4050901107666007</v>
      </c>
      <c r="D39" s="303" t="str">
        <f>"Line "&amp;A16&amp;" / "&amp;C51&amp;" Months"</f>
        <v>Line 5 / 12 Months</v>
      </c>
      <c r="E39" s="231">
        <f t="shared" si="3"/>
        <v>24</v>
      </c>
    </row>
    <row r="40" spans="1:5" x14ac:dyDescent="0.35">
      <c r="A40" s="227">
        <f t="shared" si="2"/>
        <v>25</v>
      </c>
      <c r="B40" s="252"/>
      <c r="C40" s="320"/>
      <c r="D40" s="303"/>
      <c r="E40" s="231">
        <f t="shared" si="3"/>
        <v>25</v>
      </c>
    </row>
    <row r="41" spans="1:5" x14ac:dyDescent="0.35">
      <c r="A41" s="227">
        <f t="shared" si="2"/>
        <v>26</v>
      </c>
      <c r="B41" s="250" t="s">
        <v>391</v>
      </c>
      <c r="C41" s="321">
        <f>C35+C37+C39</f>
        <v>65.256245263724395</v>
      </c>
      <c r="D41" s="251" t="str">
        <f>"Sum Lines "&amp;A35&amp;", "&amp;A37&amp;", "&amp;A39</f>
        <v>Sum Lines 20, 22, 24</v>
      </c>
      <c r="E41" s="231">
        <f t="shared" si="3"/>
        <v>26</v>
      </c>
    </row>
    <row r="42" spans="1:5" x14ac:dyDescent="0.35">
      <c r="A42" s="227">
        <f t="shared" si="2"/>
        <v>27</v>
      </c>
      <c r="B42" s="268"/>
      <c r="C42" s="318"/>
      <c r="D42" s="307"/>
      <c r="E42" s="231">
        <f t="shared" si="3"/>
        <v>27</v>
      </c>
    </row>
    <row r="43" spans="1:5" x14ac:dyDescent="0.35">
      <c r="A43" s="227">
        <f t="shared" si="2"/>
        <v>28</v>
      </c>
      <c r="B43" s="238" t="str">
        <f>LEFT(B20,45)</f>
        <v>Section 4 - True-Up Adjustment Cost Component</v>
      </c>
      <c r="C43" s="317">
        <f>C20/12</f>
        <v>-10.764190691140854</v>
      </c>
      <c r="D43" s="303" t="str">
        <f>"Line "&amp;A20&amp;" / "&amp;C51&amp;" Months"</f>
        <v>Line 9 / 12 Months</v>
      </c>
      <c r="E43" s="231">
        <f t="shared" si="3"/>
        <v>28</v>
      </c>
    </row>
    <row r="44" spans="1:5" x14ac:dyDescent="0.35">
      <c r="A44" s="227">
        <f t="shared" si="2"/>
        <v>29</v>
      </c>
      <c r="B44" s="238"/>
      <c r="C44" s="318"/>
      <c r="D44" s="322"/>
      <c r="E44" s="231">
        <f t="shared" si="3"/>
        <v>29</v>
      </c>
    </row>
    <row r="45" spans="1:5" x14ac:dyDescent="0.35">
      <c r="A45" s="227">
        <f t="shared" si="2"/>
        <v>30</v>
      </c>
      <c r="B45" s="238" t="str">
        <f>B22</f>
        <v>Section 5 - Interest True-Up Adjustment Cost Component</v>
      </c>
      <c r="C45" s="317">
        <f>C22/12</f>
        <v>-0.21796171401848755</v>
      </c>
      <c r="D45" s="312" t="str">
        <f>"Line "&amp;A22&amp;" / "&amp;C51&amp;" Months"</f>
        <v>Line 11 / 12 Months</v>
      </c>
      <c r="E45" s="231">
        <f t="shared" si="3"/>
        <v>30</v>
      </c>
    </row>
    <row r="46" spans="1:5" x14ac:dyDescent="0.35">
      <c r="A46" s="227">
        <f t="shared" si="2"/>
        <v>31</v>
      </c>
      <c r="B46" s="252"/>
      <c r="C46" s="284"/>
      <c r="D46" s="323"/>
      <c r="E46" s="231">
        <f t="shared" si="3"/>
        <v>31</v>
      </c>
    </row>
    <row r="47" spans="1:5" x14ac:dyDescent="0.35">
      <c r="A47" s="227">
        <f t="shared" si="2"/>
        <v>32</v>
      </c>
      <c r="B47" s="246" t="str">
        <f>B26</f>
        <v>Other Adjustments</v>
      </c>
      <c r="C47" s="278">
        <f>C26/12</f>
        <v>-2.2002672155239105</v>
      </c>
      <c r="D47" s="312" t="str">
        <f>"Line "&amp;A26&amp;" / "&amp;C51&amp;" Months"</f>
        <v>Line 15 / 12 Months</v>
      </c>
      <c r="E47" s="231">
        <f t="shared" si="3"/>
        <v>32</v>
      </c>
    </row>
    <row r="48" spans="1:5" x14ac:dyDescent="0.35">
      <c r="A48" s="227">
        <f t="shared" si="2"/>
        <v>33</v>
      </c>
      <c r="B48" s="249"/>
      <c r="C48" s="284"/>
      <c r="D48" s="285"/>
      <c r="E48" s="231">
        <f t="shared" si="3"/>
        <v>33</v>
      </c>
    </row>
    <row r="49" spans="1:5" ht="16" thickBot="1" x14ac:dyDescent="0.4">
      <c r="A49" s="227">
        <f t="shared" si="2"/>
        <v>34</v>
      </c>
      <c r="B49" s="249" t="s">
        <v>228</v>
      </c>
      <c r="C49" s="286">
        <f>C41+C43+C45+C47</f>
        <v>52.073825643041147</v>
      </c>
      <c r="D49" s="251" t="str">
        <f>"Sum Lines "&amp;A41&amp;", "&amp;A43&amp;", "&amp;A45&amp;", "&amp;A47</f>
        <v>Sum Lines 26, 28, 30, 32</v>
      </c>
      <c r="E49" s="231">
        <f t="shared" si="3"/>
        <v>34</v>
      </c>
    </row>
    <row r="50" spans="1:5" ht="16" thickTop="1" x14ac:dyDescent="0.35">
      <c r="A50" s="227">
        <f t="shared" si="2"/>
        <v>35</v>
      </c>
      <c r="B50" s="268"/>
      <c r="C50" s="287"/>
      <c r="D50" s="324"/>
      <c r="E50" s="231">
        <f t="shared" si="3"/>
        <v>35</v>
      </c>
    </row>
    <row r="51" spans="1:5" x14ac:dyDescent="0.35">
      <c r="A51" s="227">
        <f t="shared" si="2"/>
        <v>36</v>
      </c>
      <c r="B51" s="242" t="s">
        <v>229</v>
      </c>
      <c r="C51" s="290">
        <v>12</v>
      </c>
      <c r="D51" s="324"/>
      <c r="E51" s="231">
        <f t="shared" si="3"/>
        <v>36</v>
      </c>
    </row>
    <row r="52" spans="1:5" x14ac:dyDescent="0.35">
      <c r="A52" s="227">
        <f t="shared" si="2"/>
        <v>37</v>
      </c>
      <c r="B52" s="268"/>
      <c r="C52" s="287"/>
      <c r="D52" s="325"/>
      <c r="E52" s="231">
        <f t="shared" si="3"/>
        <v>37</v>
      </c>
    </row>
    <row r="53" spans="1:5" ht="16" thickBot="1" x14ac:dyDescent="0.4">
      <c r="A53" s="227">
        <f t="shared" si="2"/>
        <v>38</v>
      </c>
      <c r="B53" s="250" t="str">
        <f>B28</f>
        <v>Total Annual Costs</v>
      </c>
      <c r="C53" s="293">
        <f>C49*C51</f>
        <v>624.88590771649376</v>
      </c>
      <c r="D53" s="312" t="str">
        <f>"Line "&amp;A49&amp;" x Line "&amp;A51</f>
        <v>Line 34 x Line 36</v>
      </c>
      <c r="E53" s="231">
        <f t="shared" si="3"/>
        <v>38</v>
      </c>
    </row>
    <row r="54" spans="1:5" ht="16.5" thickTop="1" thickBot="1" x14ac:dyDescent="0.4">
      <c r="A54" s="227">
        <f t="shared" si="2"/>
        <v>39</v>
      </c>
      <c r="B54" s="226"/>
      <c r="C54" s="294"/>
      <c r="D54" s="326"/>
      <c r="E54" s="231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Roman,Bold"&amp;8AS FILED</oddHeader>
    <oddFooter>&amp;L&amp;F&amp;CPage 4.1&amp;R&amp;A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2"/>
  <sheetViews>
    <sheetView zoomScale="80" zoomScaleNormal="80" workbookViewId="0"/>
  </sheetViews>
  <sheetFormatPr defaultColWidth="8.81640625" defaultRowHeight="15.5" x14ac:dyDescent="0.35"/>
  <cols>
    <col min="1" max="1" width="5.1796875" style="42" customWidth="1"/>
    <col min="2" max="2" width="93.1796875" style="20" bestFit="1" customWidth="1"/>
    <col min="3" max="3" width="10.453125" style="20" customWidth="1"/>
    <col min="4" max="4" width="1.54296875" style="20" customWidth="1"/>
    <col min="5" max="5" width="16.81640625" style="20" customWidth="1"/>
    <col min="6" max="6" width="1.54296875" style="20" customWidth="1"/>
    <col min="7" max="7" width="43.453125" style="20" customWidth="1"/>
    <col min="8" max="8" width="5.1796875" style="41" customWidth="1"/>
    <col min="9" max="9" width="8.81640625" style="20"/>
    <col min="10" max="10" width="9.81640625" style="20" bestFit="1" customWidth="1"/>
    <col min="11" max="16384" width="8.81640625" style="20"/>
  </cols>
  <sheetData>
    <row r="1" spans="1:8" x14ac:dyDescent="0.35">
      <c r="A1" s="360"/>
      <c r="B1" s="361"/>
      <c r="C1" s="361"/>
      <c r="D1" s="361"/>
      <c r="E1" s="362"/>
      <c r="F1" s="362"/>
      <c r="G1" s="532"/>
      <c r="H1" s="223"/>
    </row>
    <row r="2" spans="1:8" x14ac:dyDescent="0.35">
      <c r="A2" s="360"/>
      <c r="B2" s="756" t="s">
        <v>24</v>
      </c>
      <c r="C2" s="756"/>
      <c r="D2" s="756"/>
      <c r="E2" s="756"/>
      <c r="F2" s="756"/>
      <c r="G2" s="756"/>
      <c r="H2" s="223"/>
    </row>
    <row r="3" spans="1:8" x14ac:dyDescent="0.35">
      <c r="B3" s="756" t="s">
        <v>216</v>
      </c>
      <c r="C3" s="756"/>
      <c r="D3" s="756"/>
      <c r="E3" s="756"/>
      <c r="F3" s="756"/>
      <c r="G3" s="756"/>
      <c r="H3" s="360"/>
    </row>
    <row r="4" spans="1:8" x14ac:dyDescent="0.35">
      <c r="B4" s="756" t="s">
        <v>231</v>
      </c>
      <c r="C4" s="756"/>
      <c r="D4" s="756"/>
      <c r="E4" s="756"/>
      <c r="F4" s="756"/>
      <c r="G4" s="756"/>
      <c r="H4" s="360"/>
    </row>
    <row r="5" spans="1:8" x14ac:dyDescent="0.35">
      <c r="B5" s="754" t="s">
        <v>542</v>
      </c>
      <c r="C5" s="754"/>
      <c r="D5" s="754"/>
      <c r="E5" s="754"/>
      <c r="F5" s="754"/>
      <c r="G5" s="754"/>
      <c r="H5" s="360"/>
    </row>
    <row r="6" spans="1:8" x14ac:dyDescent="0.35">
      <c r="B6" s="755" t="s">
        <v>1</v>
      </c>
      <c r="C6" s="755"/>
      <c r="D6" s="755"/>
      <c r="E6" s="755"/>
      <c r="F6" s="755"/>
      <c r="G6" s="755"/>
      <c r="H6" s="363"/>
    </row>
    <row r="7" spans="1:8" x14ac:dyDescent="0.35">
      <c r="A7" s="364"/>
      <c r="B7" s="533"/>
      <c r="C7" s="533"/>
      <c r="D7" s="533"/>
      <c r="E7" s="533"/>
      <c r="F7" s="533"/>
      <c r="G7" s="362"/>
      <c r="H7" s="223"/>
    </row>
    <row r="8" spans="1:8" x14ac:dyDescent="0.35">
      <c r="A8" s="365" t="s">
        <v>2</v>
      </c>
      <c r="B8" s="361"/>
      <c r="C8" s="361"/>
      <c r="D8" s="361"/>
      <c r="E8" s="533"/>
      <c r="F8" s="533"/>
      <c r="G8" s="361"/>
      <c r="H8" s="365" t="s">
        <v>2</v>
      </c>
    </row>
    <row r="9" spans="1:8" x14ac:dyDescent="0.35">
      <c r="A9" s="365" t="s">
        <v>6</v>
      </c>
      <c r="B9" s="361"/>
      <c r="C9" s="361"/>
      <c r="D9" s="361"/>
      <c r="E9" s="366" t="s">
        <v>4</v>
      </c>
      <c r="F9" s="367"/>
      <c r="G9" s="366" t="s">
        <v>5</v>
      </c>
      <c r="H9" s="365" t="s">
        <v>6</v>
      </c>
    </row>
    <row r="10" spans="1:8" x14ac:dyDescent="0.35">
      <c r="A10" s="365"/>
      <c r="B10" s="361"/>
      <c r="C10" s="361"/>
      <c r="D10" s="361"/>
      <c r="E10" s="533"/>
      <c r="F10" s="367"/>
      <c r="G10" s="533"/>
      <c r="H10" s="365"/>
    </row>
    <row r="11" spans="1:8" x14ac:dyDescent="0.35">
      <c r="A11" s="365">
        <v>1</v>
      </c>
      <c r="B11" s="368" t="s">
        <v>232</v>
      </c>
      <c r="C11" s="368"/>
      <c r="D11" s="368"/>
      <c r="E11" s="362"/>
      <c r="F11" s="362"/>
      <c r="G11" s="533"/>
      <c r="H11" s="365">
        <f>A11</f>
        <v>1</v>
      </c>
    </row>
    <row r="12" spans="1:8" x14ac:dyDescent="0.35">
      <c r="A12" s="365">
        <f>A11+1</f>
        <v>2</v>
      </c>
      <c r="B12" s="369" t="s">
        <v>233</v>
      </c>
      <c r="C12" s="370"/>
      <c r="D12" s="370"/>
      <c r="E12" s="374">
        <f>E56</f>
        <v>6.2750390372064554E-3</v>
      </c>
      <c r="F12" s="27"/>
      <c r="G12" s="371" t="str">
        <f>"Page 2; Line "&amp;A56</f>
        <v>Page 2; Line 6</v>
      </c>
      <c r="H12" s="365">
        <f>H11+1</f>
        <v>2</v>
      </c>
    </row>
    <row r="13" spans="1:8" x14ac:dyDescent="0.35">
      <c r="A13" s="365">
        <f t="shared" ref="A13:A35" si="0">A12+1</f>
        <v>3</v>
      </c>
      <c r="B13" s="361"/>
      <c r="C13" s="372"/>
      <c r="D13" s="372"/>
      <c r="E13" s="373"/>
      <c r="F13" s="367"/>
      <c r="G13" s="371"/>
      <c r="H13" s="365">
        <f t="shared" ref="H13:H35" si="1">H12+1</f>
        <v>3</v>
      </c>
    </row>
    <row r="14" spans="1:8" x14ac:dyDescent="0.35">
      <c r="A14" s="365">
        <f t="shared" si="0"/>
        <v>4</v>
      </c>
      <c r="B14" s="369" t="s">
        <v>17</v>
      </c>
      <c r="C14" s="370"/>
      <c r="D14" s="370"/>
      <c r="E14" s="738">
        <f>E61</f>
        <v>8.8936857622323052E-3</v>
      </c>
      <c r="F14" s="27" t="s">
        <v>16</v>
      </c>
      <c r="G14" s="371" t="str">
        <f>"Page 2; Line "&amp;A61</f>
        <v>Page 2; Line 11</v>
      </c>
      <c r="H14" s="365">
        <f t="shared" si="1"/>
        <v>4</v>
      </c>
    </row>
    <row r="15" spans="1:8" x14ac:dyDescent="0.35">
      <c r="A15" s="365">
        <f t="shared" si="0"/>
        <v>5</v>
      </c>
      <c r="B15" s="362"/>
      <c r="C15" s="364"/>
      <c r="D15" s="364"/>
      <c r="E15" s="376"/>
      <c r="F15" s="377"/>
      <c r="G15" s="371"/>
      <c r="H15" s="365">
        <f t="shared" si="1"/>
        <v>5</v>
      </c>
    </row>
    <row r="16" spans="1:8" x14ac:dyDescent="0.35">
      <c r="A16" s="365">
        <f t="shared" si="0"/>
        <v>6</v>
      </c>
      <c r="B16" s="362" t="s">
        <v>234</v>
      </c>
      <c r="C16" s="364"/>
      <c r="D16" s="364"/>
      <c r="E16" s="378">
        <f>E66</f>
        <v>1.060685107447207E-2</v>
      </c>
      <c r="F16" s="377"/>
      <c r="G16" s="371" t="str">
        <f>"Page 2; Line "&amp;A66</f>
        <v>Page 2; Line 16</v>
      </c>
      <c r="H16" s="365">
        <f t="shared" si="1"/>
        <v>6</v>
      </c>
    </row>
    <row r="17" spans="1:8" x14ac:dyDescent="0.35">
      <c r="A17" s="365">
        <f t="shared" si="0"/>
        <v>7</v>
      </c>
      <c r="B17" s="362"/>
      <c r="C17" s="364"/>
      <c r="D17" s="364"/>
      <c r="E17" s="376"/>
      <c r="F17" s="377"/>
      <c r="G17" s="371"/>
      <c r="H17" s="365">
        <f t="shared" si="1"/>
        <v>7</v>
      </c>
    </row>
    <row r="18" spans="1:8" x14ac:dyDescent="0.35">
      <c r="A18" s="365">
        <f t="shared" si="0"/>
        <v>8</v>
      </c>
      <c r="B18" s="369" t="s">
        <v>235</v>
      </c>
      <c r="C18" s="370"/>
      <c r="D18" s="370"/>
      <c r="E18" s="374">
        <f>E71</f>
        <v>3.1683253029490246E-4</v>
      </c>
      <c r="F18" s="375"/>
      <c r="G18" s="371" t="str">
        <f>"Page 2; Line "&amp;A71</f>
        <v>Page 2; Line 21</v>
      </c>
      <c r="H18" s="365">
        <f t="shared" si="1"/>
        <v>8</v>
      </c>
    </row>
    <row r="19" spans="1:8" x14ac:dyDescent="0.35">
      <c r="A19" s="365">
        <f t="shared" si="0"/>
        <v>9</v>
      </c>
      <c r="B19" s="361"/>
      <c r="C19" s="372"/>
      <c r="D19" s="372"/>
      <c r="E19" s="373"/>
      <c r="F19" s="367"/>
      <c r="G19" s="371"/>
      <c r="H19" s="365">
        <f t="shared" si="1"/>
        <v>9</v>
      </c>
    </row>
    <row r="20" spans="1:8" x14ac:dyDescent="0.35">
      <c r="A20" s="365">
        <f t="shared" si="0"/>
        <v>10</v>
      </c>
      <c r="B20" s="369" t="s">
        <v>236</v>
      </c>
      <c r="C20" s="372"/>
      <c r="D20" s="372"/>
      <c r="E20" s="374">
        <f>E84</f>
        <v>1.843444503665224E-3</v>
      </c>
      <c r="F20" s="367"/>
      <c r="G20" s="371" t="str">
        <f>"Page 2; Line "&amp;A84</f>
        <v>Page 2; Line 34</v>
      </c>
      <c r="H20" s="365">
        <f t="shared" si="1"/>
        <v>10</v>
      </c>
    </row>
    <row r="21" spans="1:8" x14ac:dyDescent="0.35">
      <c r="A21" s="365">
        <f t="shared" si="0"/>
        <v>11</v>
      </c>
      <c r="B21" s="361"/>
      <c r="C21" s="372"/>
      <c r="D21" s="372"/>
      <c r="E21" s="373"/>
      <c r="F21" s="367"/>
      <c r="G21" s="371"/>
      <c r="H21" s="365">
        <f t="shared" si="1"/>
        <v>11</v>
      </c>
    </row>
    <row r="22" spans="1:8" x14ac:dyDescent="0.35">
      <c r="A22" s="365">
        <f t="shared" si="0"/>
        <v>12</v>
      </c>
      <c r="B22" s="369" t="s">
        <v>237</v>
      </c>
      <c r="C22" s="370"/>
      <c r="D22" s="370"/>
      <c r="E22" s="374">
        <f>E101</f>
        <v>3.9095811467284554E-3</v>
      </c>
      <c r="F22" s="375"/>
      <c r="G22" s="371" t="str">
        <f>"Page 2; Line "&amp;A101</f>
        <v>Page 2; Line 51</v>
      </c>
      <c r="H22" s="365">
        <f t="shared" si="1"/>
        <v>12</v>
      </c>
    </row>
    <row r="23" spans="1:8" x14ac:dyDescent="0.35">
      <c r="A23" s="365">
        <f t="shared" si="0"/>
        <v>13</v>
      </c>
      <c r="B23" s="379"/>
      <c r="C23" s="380"/>
      <c r="D23" s="380"/>
      <c r="E23" s="381"/>
      <c r="F23" s="382"/>
      <c r="G23" s="371"/>
      <c r="H23" s="365">
        <f t="shared" si="1"/>
        <v>13</v>
      </c>
    </row>
    <row r="24" spans="1:8" x14ac:dyDescent="0.35">
      <c r="A24" s="365">
        <f t="shared" si="0"/>
        <v>14</v>
      </c>
      <c r="B24" s="369" t="s">
        <v>238</v>
      </c>
      <c r="C24" s="370"/>
      <c r="D24" s="370"/>
      <c r="E24" s="703">
        <f>SUM(E12:E22)</f>
        <v>3.1845434054599407E-2</v>
      </c>
      <c r="F24" s="27" t="s">
        <v>16</v>
      </c>
      <c r="G24" s="371" t="str">
        <f>"Sum Lines "&amp;A12&amp;" thru "&amp;A22&amp;""</f>
        <v>Sum Lines 2 thru 12</v>
      </c>
      <c r="H24" s="365">
        <f t="shared" si="1"/>
        <v>14</v>
      </c>
    </row>
    <row r="25" spans="1:8" x14ac:dyDescent="0.35">
      <c r="A25" s="365">
        <f t="shared" si="0"/>
        <v>15</v>
      </c>
      <c r="B25" s="361"/>
      <c r="C25" s="372"/>
      <c r="D25" s="372"/>
      <c r="E25" s="383"/>
      <c r="F25" s="384"/>
      <c r="G25" s="371"/>
      <c r="H25" s="365">
        <f t="shared" si="1"/>
        <v>15</v>
      </c>
    </row>
    <row r="26" spans="1:8" x14ac:dyDescent="0.35">
      <c r="A26" s="365">
        <f t="shared" si="0"/>
        <v>16</v>
      </c>
      <c r="B26" s="362" t="s">
        <v>239</v>
      </c>
      <c r="C26" s="385">
        <v>1.0274999999999999E-2</v>
      </c>
      <c r="D26" s="372"/>
      <c r="E26" s="545">
        <f>E24*C26</f>
        <v>3.2721183491100887E-4</v>
      </c>
      <c r="F26" s="386"/>
      <c r="G26" s="371" t="str">
        <f>"Line "&amp;A24&amp;" x Franchise Fee Rate"</f>
        <v>Line 14 x Franchise Fee Rate</v>
      </c>
      <c r="H26" s="365">
        <f t="shared" si="1"/>
        <v>16</v>
      </c>
    </row>
    <row r="27" spans="1:8" x14ac:dyDescent="0.35">
      <c r="A27" s="365">
        <f t="shared" si="0"/>
        <v>17</v>
      </c>
      <c r="B27" s="361"/>
      <c r="C27" s="372"/>
      <c r="D27" s="372"/>
      <c r="E27" s="387"/>
      <c r="F27" s="388"/>
      <c r="G27" s="371"/>
      <c r="H27" s="365">
        <f t="shared" si="1"/>
        <v>17</v>
      </c>
    </row>
    <row r="28" spans="1:8" ht="16" thickBot="1" x14ac:dyDescent="0.4">
      <c r="A28" s="365">
        <f t="shared" si="0"/>
        <v>18</v>
      </c>
      <c r="B28" s="361" t="s">
        <v>240</v>
      </c>
      <c r="C28" s="372"/>
      <c r="D28" s="372"/>
      <c r="E28" s="704">
        <f>E24+E26</f>
        <v>3.2172645889510416E-2</v>
      </c>
      <c r="F28" s="27" t="s">
        <v>16</v>
      </c>
      <c r="G28" s="371" t="str">
        <f>"Line "&amp;A24&amp;" + Line "&amp;A26</f>
        <v>Line 14 + Line 16</v>
      </c>
      <c r="H28" s="365">
        <f t="shared" si="1"/>
        <v>18</v>
      </c>
    </row>
    <row r="29" spans="1:8" ht="16" thickTop="1" x14ac:dyDescent="0.35">
      <c r="A29" s="365">
        <f t="shared" si="0"/>
        <v>19</v>
      </c>
      <c r="B29" s="362"/>
      <c r="C29" s="364"/>
      <c r="D29" s="364"/>
      <c r="E29" s="372"/>
      <c r="F29" s="361"/>
      <c r="G29" s="361"/>
      <c r="H29" s="365">
        <f t="shared" si="1"/>
        <v>19</v>
      </c>
    </row>
    <row r="30" spans="1:8" x14ac:dyDescent="0.35">
      <c r="A30" s="365">
        <f t="shared" si="0"/>
        <v>20</v>
      </c>
      <c r="B30" s="368" t="s">
        <v>241</v>
      </c>
      <c r="C30" s="389"/>
      <c r="D30" s="389"/>
      <c r="E30" s="364"/>
      <c r="F30" s="362"/>
      <c r="G30" s="361"/>
      <c r="H30" s="365">
        <f t="shared" si="1"/>
        <v>20</v>
      </c>
    </row>
    <row r="31" spans="1:8" x14ac:dyDescent="0.35">
      <c r="A31" s="365">
        <f t="shared" si="0"/>
        <v>21</v>
      </c>
      <c r="B31" s="369" t="s">
        <v>392</v>
      </c>
      <c r="C31" s="370"/>
      <c r="D31" s="370"/>
      <c r="E31" s="390">
        <v>27000</v>
      </c>
      <c r="F31" s="367"/>
      <c r="G31" s="371" t="s">
        <v>242</v>
      </c>
      <c r="H31" s="365">
        <f t="shared" si="1"/>
        <v>21</v>
      </c>
    </row>
    <row r="32" spans="1:8" x14ac:dyDescent="0.35">
      <c r="A32" s="365">
        <f t="shared" si="0"/>
        <v>22</v>
      </c>
      <c r="B32" s="369"/>
      <c r="C32" s="370"/>
      <c r="D32" s="370"/>
      <c r="E32" s="370"/>
      <c r="F32" s="369"/>
      <c r="G32" s="371"/>
      <c r="H32" s="365">
        <f t="shared" si="1"/>
        <v>22</v>
      </c>
    </row>
    <row r="33" spans="1:8" x14ac:dyDescent="0.35">
      <c r="A33" s="365">
        <f t="shared" si="0"/>
        <v>23</v>
      </c>
      <c r="B33" s="369" t="s">
        <v>243</v>
      </c>
      <c r="C33" s="370"/>
      <c r="D33" s="370"/>
      <c r="E33" s="703">
        <f>+E28</f>
        <v>3.2172645889510416E-2</v>
      </c>
      <c r="F33" s="27" t="s">
        <v>16</v>
      </c>
      <c r="G33" s="371" t="str">
        <f>"Line "&amp;A28&amp;" Above"</f>
        <v>Line 18 Above</v>
      </c>
      <c r="H33" s="365">
        <f t="shared" si="1"/>
        <v>23</v>
      </c>
    </row>
    <row r="34" spans="1:8" x14ac:dyDescent="0.35">
      <c r="A34" s="365">
        <f t="shared" si="0"/>
        <v>24</v>
      </c>
      <c r="B34" s="361"/>
      <c r="C34" s="372"/>
      <c r="D34" s="372"/>
      <c r="E34" s="391"/>
      <c r="F34" s="392"/>
      <c r="G34" s="371"/>
      <c r="H34" s="365">
        <f t="shared" si="1"/>
        <v>24</v>
      </c>
    </row>
    <row r="35" spans="1:8" ht="16" thickBot="1" x14ac:dyDescent="0.4">
      <c r="A35" s="365">
        <f t="shared" si="0"/>
        <v>25</v>
      </c>
      <c r="B35" s="361" t="s">
        <v>244</v>
      </c>
      <c r="C35" s="370"/>
      <c r="D35" s="370"/>
      <c r="E35" s="669">
        <f>E31*E33</f>
        <v>868.66143901678129</v>
      </c>
      <c r="F35" s="27" t="s">
        <v>16</v>
      </c>
      <c r="G35" s="371" t="str">
        <f>"Line "&amp;A31&amp;" x Line "&amp;A33</f>
        <v>Line 21 x Line 23</v>
      </c>
      <c r="H35" s="365">
        <f t="shared" si="1"/>
        <v>25</v>
      </c>
    </row>
    <row r="36" spans="1:8" ht="16" thickTop="1" x14ac:dyDescent="0.35">
      <c r="A36" s="365"/>
      <c r="B36" s="361"/>
      <c r="C36" s="369"/>
      <c r="D36" s="369"/>
      <c r="E36" s="393"/>
      <c r="F36" s="394"/>
      <c r="G36" s="371"/>
      <c r="H36" s="365"/>
    </row>
    <row r="37" spans="1:8" x14ac:dyDescent="0.35">
      <c r="A37" s="365"/>
      <c r="B37" s="361"/>
      <c r="C37" s="369"/>
      <c r="D37" s="369"/>
      <c r="E37" s="393"/>
      <c r="F37" s="394"/>
      <c r="G37" s="371"/>
      <c r="H37" s="365"/>
    </row>
    <row r="38" spans="1:8" x14ac:dyDescent="0.35">
      <c r="A38" s="27" t="s">
        <v>16</v>
      </c>
      <c r="B38" s="361" t="str">
        <f>'Pg2 Appendix XII C4 Comparison'!B57</f>
        <v>Items in BOLD have changed due to A&amp;G adj. missed in prior cost adj. and CEMA/WMPMA exclusion corrections compared to the original SX-PQ Appendix XII Cycle 4</v>
      </c>
      <c r="C38" s="369"/>
      <c r="D38" s="369"/>
      <c r="E38" s="393"/>
      <c r="F38" s="394"/>
      <c r="G38" s="371"/>
      <c r="H38" s="365"/>
    </row>
    <row r="39" spans="1:8" x14ac:dyDescent="0.35">
      <c r="A39" s="365"/>
      <c r="B39" s="361" t="str">
        <f>'Pg2 Appendix XII C4 Comparison'!B58</f>
        <v>per ER22-133 and cost adj. incl. in Appendix XII Cycle 5 per ER23-110.</v>
      </c>
      <c r="C39" s="369"/>
      <c r="D39" s="369"/>
      <c r="E39" s="393"/>
      <c r="F39" s="394"/>
      <c r="G39" s="371"/>
      <c r="H39" s="365"/>
    </row>
    <row r="40" spans="1:8" x14ac:dyDescent="0.35">
      <c r="A40" s="27"/>
      <c r="B40" s="24"/>
      <c r="C40" s="361"/>
      <c r="D40" s="361"/>
      <c r="E40" s="379"/>
      <c r="F40" s="379"/>
      <c r="G40" s="362"/>
      <c r="H40" s="223"/>
    </row>
    <row r="41" spans="1:8" x14ac:dyDescent="0.35">
      <c r="A41" s="27"/>
      <c r="B41" s="24"/>
      <c r="C41" s="361"/>
      <c r="D41" s="361"/>
      <c r="E41" s="379"/>
      <c r="F41" s="379"/>
      <c r="G41" s="362"/>
      <c r="H41" s="223"/>
    </row>
    <row r="42" spans="1:8" x14ac:dyDescent="0.35">
      <c r="A42" s="364"/>
      <c r="B42" s="757" t="str">
        <f>B2</f>
        <v>SAN DIEGO GAS &amp; ELECTRIC COMPANY</v>
      </c>
      <c r="C42" s="757"/>
      <c r="D42" s="757"/>
      <c r="E42" s="757"/>
      <c r="F42" s="757"/>
      <c r="G42" s="757"/>
      <c r="H42" s="223"/>
    </row>
    <row r="43" spans="1:8" x14ac:dyDescent="0.35">
      <c r="B43" s="757" t="str">
        <f>B3</f>
        <v>CITIZENS' SHARE OF THE SX-PQ UNDERGROUND LINE SEGMENT</v>
      </c>
      <c r="C43" s="757"/>
      <c r="D43" s="757"/>
      <c r="E43" s="757"/>
      <c r="F43" s="757"/>
      <c r="G43" s="757"/>
      <c r="H43" s="380"/>
    </row>
    <row r="44" spans="1:8" x14ac:dyDescent="0.35">
      <c r="B44" s="756" t="str">
        <f>B4</f>
        <v xml:space="preserve">Section 2 - Non-Direct Expense Cost Component </v>
      </c>
      <c r="C44" s="756"/>
      <c r="D44" s="756"/>
      <c r="E44" s="756"/>
      <c r="F44" s="756"/>
      <c r="G44" s="756"/>
      <c r="H44" s="372"/>
    </row>
    <row r="45" spans="1:8" x14ac:dyDescent="0.35">
      <c r="B45" s="754" t="str">
        <f>B5</f>
        <v>Base Period &amp; True-Up Period 12 - Months Ending December 31, 2020</v>
      </c>
      <c r="C45" s="754"/>
      <c r="D45" s="754"/>
      <c r="E45" s="754"/>
      <c r="F45" s="754"/>
      <c r="G45" s="754"/>
      <c r="H45" s="372"/>
    </row>
    <row r="46" spans="1:8" x14ac:dyDescent="0.35">
      <c r="B46" s="755" t="str">
        <f>B6</f>
        <v>($1,000)</v>
      </c>
      <c r="C46" s="751"/>
      <c r="D46" s="751"/>
      <c r="E46" s="751"/>
      <c r="F46" s="751"/>
      <c r="G46" s="751"/>
      <c r="H46" s="150"/>
    </row>
    <row r="47" spans="1:8" x14ac:dyDescent="0.35">
      <c r="A47" s="395"/>
      <c r="B47" s="361"/>
      <c r="C47" s="361"/>
      <c r="D47" s="361"/>
      <c r="E47" s="361"/>
      <c r="F47" s="361"/>
      <c r="G47" s="361"/>
      <c r="H47" s="223"/>
    </row>
    <row r="48" spans="1:8" x14ac:dyDescent="0.35">
      <c r="A48" s="365" t="s">
        <v>2</v>
      </c>
      <c r="B48" s="361"/>
      <c r="C48" s="361"/>
      <c r="D48" s="361"/>
      <c r="E48" s="533"/>
      <c r="F48" s="533"/>
      <c r="G48" s="361"/>
      <c r="H48" s="365" t="s">
        <v>2</v>
      </c>
    </row>
    <row r="49" spans="1:10" x14ac:dyDescent="0.35">
      <c r="A49" s="365" t="s">
        <v>6</v>
      </c>
      <c r="B49" s="361"/>
      <c r="C49" s="361"/>
      <c r="D49" s="361"/>
      <c r="E49" s="366" t="s">
        <v>4</v>
      </c>
      <c r="F49" s="371"/>
      <c r="G49" s="366" t="s">
        <v>5</v>
      </c>
      <c r="H49" s="365" t="s">
        <v>6</v>
      </c>
    </row>
    <row r="50" spans="1:10" x14ac:dyDescent="0.35">
      <c r="A50" s="365"/>
      <c r="B50" s="361"/>
      <c r="C50" s="361"/>
      <c r="D50" s="361"/>
      <c r="E50" s="533"/>
      <c r="F50" s="533"/>
      <c r="G50" s="361"/>
      <c r="H50" s="365"/>
    </row>
    <row r="51" spans="1:10" x14ac:dyDescent="0.35">
      <c r="A51" s="365">
        <v>1</v>
      </c>
      <c r="B51" s="396" t="s">
        <v>22</v>
      </c>
      <c r="C51" s="396"/>
      <c r="D51" s="396"/>
      <c r="E51" s="397">
        <v>5362709.3410053086</v>
      </c>
      <c r="F51" s="533"/>
      <c r="G51" s="371" t="s">
        <v>412</v>
      </c>
      <c r="H51" s="365">
        <f>A51</f>
        <v>1</v>
      </c>
    </row>
    <row r="52" spans="1:10" x14ac:dyDescent="0.35">
      <c r="A52" s="365">
        <f>A51+1</f>
        <v>2</v>
      </c>
      <c r="B52" s="361"/>
      <c r="C52" s="361"/>
      <c r="D52" s="361"/>
      <c r="E52" s="360"/>
      <c r="F52" s="533"/>
      <c r="G52" s="361"/>
      <c r="H52" s="365">
        <f>H51+1</f>
        <v>2</v>
      </c>
    </row>
    <row r="53" spans="1:10" x14ac:dyDescent="0.35">
      <c r="A53" s="365">
        <f t="shared" ref="A53:A101" si="2">A52+1</f>
        <v>3</v>
      </c>
      <c r="B53" s="368" t="s">
        <v>245</v>
      </c>
      <c r="C53" s="368"/>
      <c r="D53" s="368"/>
      <c r="E53" s="398"/>
      <c r="F53" s="399"/>
      <c r="G53" s="361"/>
      <c r="H53" s="365">
        <f t="shared" ref="H53:H101" si="3">H52+1</f>
        <v>3</v>
      </c>
    </row>
    <row r="54" spans="1:10" x14ac:dyDescent="0.35">
      <c r="A54" s="365">
        <f t="shared" si="2"/>
        <v>4</v>
      </c>
      <c r="B54" s="369" t="s">
        <v>246</v>
      </c>
      <c r="C54" s="369"/>
      <c r="D54" s="369"/>
      <c r="E54" s="647">
        <v>33651.210460000017</v>
      </c>
      <c r="F54" s="27"/>
      <c r="G54" s="371" t="s">
        <v>413</v>
      </c>
      <c r="H54" s="365">
        <f t="shared" si="3"/>
        <v>4</v>
      </c>
      <c r="J54" s="400"/>
    </row>
    <row r="55" spans="1:10" x14ac:dyDescent="0.35">
      <c r="A55" s="365">
        <f t="shared" si="2"/>
        <v>5</v>
      </c>
      <c r="B55" s="369"/>
      <c r="C55" s="369"/>
      <c r="D55" s="369"/>
      <c r="E55" s="401"/>
      <c r="F55" s="402"/>
      <c r="G55" s="371"/>
      <c r="H55" s="365">
        <f t="shared" si="3"/>
        <v>5</v>
      </c>
      <c r="J55" s="400"/>
    </row>
    <row r="56" spans="1:10" x14ac:dyDescent="0.35">
      <c r="A56" s="365">
        <f t="shared" si="2"/>
        <v>6</v>
      </c>
      <c r="B56" s="369" t="s">
        <v>247</v>
      </c>
      <c r="C56" s="361"/>
      <c r="D56" s="361"/>
      <c r="E56" s="410">
        <f>E54/E51</f>
        <v>6.2750390372064554E-3</v>
      </c>
      <c r="F56" s="27"/>
      <c r="G56" s="371" t="s">
        <v>414</v>
      </c>
      <c r="H56" s="365">
        <f t="shared" si="3"/>
        <v>6</v>
      </c>
      <c r="J56" s="400"/>
    </row>
    <row r="57" spans="1:10" x14ac:dyDescent="0.35">
      <c r="A57" s="365">
        <f t="shared" si="2"/>
        <v>7</v>
      </c>
      <c r="B57" s="369"/>
      <c r="C57" s="369"/>
      <c r="D57" s="369"/>
      <c r="E57" s="403"/>
      <c r="F57" s="404"/>
      <c r="G57" s="371"/>
      <c r="H57" s="365">
        <f t="shared" si="3"/>
        <v>7</v>
      </c>
    </row>
    <row r="58" spans="1:10" x14ac:dyDescent="0.35">
      <c r="A58" s="365">
        <f t="shared" si="2"/>
        <v>8</v>
      </c>
      <c r="B58" s="368" t="s">
        <v>248</v>
      </c>
      <c r="C58" s="368"/>
      <c r="D58" s="368"/>
      <c r="E58" s="405"/>
      <c r="F58" s="406"/>
      <c r="G58" s="407"/>
      <c r="H58" s="365">
        <f t="shared" si="3"/>
        <v>8</v>
      </c>
    </row>
    <row r="59" spans="1:10" x14ac:dyDescent="0.35">
      <c r="A59" s="365">
        <f t="shared" si="2"/>
        <v>9</v>
      </c>
      <c r="B59" s="369" t="s">
        <v>249</v>
      </c>
      <c r="C59" s="369"/>
      <c r="D59" s="369"/>
      <c r="E59" s="408">
        <f>'Pg8 Rev Stmt AH'!E51</f>
        <v>47694.251713089099</v>
      </c>
      <c r="F59" s="27" t="s">
        <v>16</v>
      </c>
      <c r="G59" s="371" t="s">
        <v>623</v>
      </c>
      <c r="H59" s="365">
        <f t="shared" si="3"/>
        <v>9</v>
      </c>
    </row>
    <row r="60" spans="1:10" x14ac:dyDescent="0.35">
      <c r="A60" s="365">
        <f t="shared" si="2"/>
        <v>10</v>
      </c>
      <c r="B60" s="361"/>
      <c r="C60" s="361"/>
      <c r="D60" s="361"/>
      <c r="E60" s="405"/>
      <c r="F60" s="406"/>
      <c r="G60" s="371"/>
      <c r="H60" s="365">
        <f t="shared" si="3"/>
        <v>10</v>
      </c>
    </row>
    <row r="61" spans="1:10" x14ac:dyDescent="0.35">
      <c r="A61" s="365">
        <f t="shared" si="2"/>
        <v>11</v>
      </c>
      <c r="B61" s="409" t="s">
        <v>250</v>
      </c>
      <c r="C61" s="407"/>
      <c r="D61" s="407"/>
      <c r="E61" s="739">
        <f>E59/E51</f>
        <v>8.8936857622323052E-3</v>
      </c>
      <c r="F61" s="27" t="s">
        <v>16</v>
      </c>
      <c r="G61" s="371" t="s">
        <v>416</v>
      </c>
      <c r="H61" s="365">
        <f t="shared" si="3"/>
        <v>11</v>
      </c>
    </row>
    <row r="62" spans="1:10" x14ac:dyDescent="0.35">
      <c r="A62" s="365">
        <f t="shared" si="2"/>
        <v>12</v>
      </c>
      <c r="B62" s="407"/>
      <c r="C62" s="407"/>
      <c r="D62" s="407"/>
      <c r="E62" s="412"/>
      <c r="F62" s="413"/>
      <c r="G62" s="371"/>
      <c r="H62" s="365">
        <f t="shared" si="3"/>
        <v>12</v>
      </c>
    </row>
    <row r="63" spans="1:10" x14ac:dyDescent="0.35">
      <c r="A63" s="365">
        <f t="shared" si="2"/>
        <v>13</v>
      </c>
      <c r="B63" s="368" t="s">
        <v>251</v>
      </c>
      <c r="C63" s="407"/>
      <c r="D63" s="407"/>
      <c r="E63" s="412"/>
      <c r="F63" s="413"/>
      <c r="G63" s="371"/>
      <c r="H63" s="365">
        <f t="shared" si="3"/>
        <v>13</v>
      </c>
    </row>
    <row r="64" spans="1:10" x14ac:dyDescent="0.35">
      <c r="A64" s="365">
        <f t="shared" si="2"/>
        <v>14</v>
      </c>
      <c r="B64" s="409" t="s">
        <v>234</v>
      </c>
      <c r="C64" s="407"/>
      <c r="D64" s="407"/>
      <c r="E64" s="414">
        <v>56881.459335723564</v>
      </c>
      <c r="F64" s="413"/>
      <c r="G64" s="371" t="s">
        <v>417</v>
      </c>
      <c r="H64" s="365">
        <f t="shared" si="3"/>
        <v>14</v>
      </c>
    </row>
    <row r="65" spans="1:8" x14ac:dyDescent="0.35">
      <c r="A65" s="365">
        <f t="shared" si="2"/>
        <v>15</v>
      </c>
      <c r="B65" s="407"/>
      <c r="C65" s="407"/>
      <c r="D65" s="407"/>
      <c r="E65" s="405"/>
      <c r="F65" s="413"/>
      <c r="G65" s="371"/>
      <c r="H65" s="365">
        <f t="shared" si="3"/>
        <v>15</v>
      </c>
    </row>
    <row r="66" spans="1:8" x14ac:dyDescent="0.35">
      <c r="A66" s="365">
        <f t="shared" si="2"/>
        <v>16</v>
      </c>
      <c r="B66" s="409" t="s">
        <v>252</v>
      </c>
      <c r="C66" s="407"/>
      <c r="D66" s="407"/>
      <c r="E66" s="410">
        <f>E64/E51</f>
        <v>1.060685107447207E-2</v>
      </c>
      <c r="F66" s="413"/>
      <c r="G66" s="371" t="s">
        <v>418</v>
      </c>
      <c r="H66" s="365">
        <f t="shared" si="3"/>
        <v>16</v>
      </c>
    </row>
    <row r="67" spans="1:8" x14ac:dyDescent="0.35">
      <c r="A67" s="365">
        <f t="shared" si="2"/>
        <v>17</v>
      </c>
      <c r="B67" s="407"/>
      <c r="C67" s="407"/>
      <c r="D67" s="407"/>
      <c r="E67" s="412"/>
      <c r="F67" s="413"/>
      <c r="G67" s="371"/>
      <c r="H67" s="365">
        <f t="shared" si="3"/>
        <v>17</v>
      </c>
    </row>
    <row r="68" spans="1:8" x14ac:dyDescent="0.35">
      <c r="A68" s="365">
        <f t="shared" si="2"/>
        <v>18</v>
      </c>
      <c r="B68" s="368" t="s">
        <v>253</v>
      </c>
      <c r="C68" s="368"/>
      <c r="D68" s="368"/>
      <c r="E68" s="412"/>
      <c r="F68" s="413"/>
      <c r="G68" s="371"/>
      <c r="H68" s="365">
        <f t="shared" si="3"/>
        <v>18</v>
      </c>
    </row>
    <row r="69" spans="1:8" x14ac:dyDescent="0.35">
      <c r="A69" s="365">
        <f t="shared" si="2"/>
        <v>19</v>
      </c>
      <c r="B69" s="369" t="s">
        <v>235</v>
      </c>
      <c r="C69" s="369"/>
      <c r="D69" s="369"/>
      <c r="E69" s="414">
        <v>1699.0807697468208</v>
      </c>
      <c r="F69" s="533"/>
      <c r="G69" s="371" t="s">
        <v>419</v>
      </c>
      <c r="H69" s="365">
        <f t="shared" si="3"/>
        <v>19</v>
      </c>
    </row>
    <row r="70" spans="1:8" x14ac:dyDescent="0.35">
      <c r="A70" s="365">
        <f t="shared" si="2"/>
        <v>20</v>
      </c>
      <c r="B70" s="407"/>
      <c r="C70" s="407"/>
      <c r="D70" s="407"/>
      <c r="E70" s="412"/>
      <c r="F70" s="413"/>
      <c r="G70" s="371"/>
      <c r="H70" s="365">
        <f t="shared" si="3"/>
        <v>20</v>
      </c>
    </row>
    <row r="71" spans="1:8" x14ac:dyDescent="0.35">
      <c r="A71" s="365">
        <f t="shared" si="2"/>
        <v>21</v>
      </c>
      <c r="B71" s="409" t="s">
        <v>254</v>
      </c>
      <c r="C71" s="407"/>
      <c r="D71" s="407"/>
      <c r="E71" s="410">
        <f>E69/E51</f>
        <v>3.1683253029490246E-4</v>
      </c>
      <c r="F71" s="411"/>
      <c r="G71" s="371" t="s">
        <v>420</v>
      </c>
      <c r="H71" s="365">
        <f t="shared" si="3"/>
        <v>21</v>
      </c>
    </row>
    <row r="72" spans="1:8" x14ac:dyDescent="0.35">
      <c r="A72" s="365">
        <f t="shared" si="2"/>
        <v>22</v>
      </c>
      <c r="B72" s="407"/>
      <c r="C72" s="407"/>
      <c r="D72" s="407"/>
      <c r="E72" s="412"/>
      <c r="F72" s="413"/>
      <c r="G72" s="371"/>
      <c r="H72" s="365">
        <f t="shared" si="3"/>
        <v>22</v>
      </c>
    </row>
    <row r="73" spans="1:8" x14ac:dyDescent="0.35">
      <c r="A73" s="365">
        <f t="shared" si="2"/>
        <v>23</v>
      </c>
      <c r="B73" s="368" t="s">
        <v>255</v>
      </c>
      <c r="C73" s="368"/>
      <c r="D73" s="368"/>
      <c r="E73" s="415"/>
      <c r="F73" s="416"/>
      <c r="G73" s="371"/>
      <c r="H73" s="365">
        <f t="shared" si="3"/>
        <v>23</v>
      </c>
    </row>
    <row r="74" spans="1:8" x14ac:dyDescent="0.35">
      <c r="A74" s="365">
        <f t="shared" si="2"/>
        <v>24</v>
      </c>
      <c r="B74" s="417" t="s">
        <v>393</v>
      </c>
      <c r="C74" s="361"/>
      <c r="D74" s="361"/>
      <c r="E74" s="415"/>
      <c r="F74" s="416"/>
      <c r="G74" s="371"/>
      <c r="H74" s="365">
        <f t="shared" si="3"/>
        <v>24</v>
      </c>
    </row>
    <row r="75" spans="1:8" x14ac:dyDescent="0.35">
      <c r="A75" s="365">
        <f t="shared" si="2"/>
        <v>25</v>
      </c>
      <c r="B75" s="369" t="s">
        <v>256</v>
      </c>
      <c r="C75" s="369"/>
      <c r="D75" s="369"/>
      <c r="E75" s="418">
        <v>50955.986223078966</v>
      </c>
      <c r="F75" s="533"/>
      <c r="G75" s="371" t="s">
        <v>421</v>
      </c>
      <c r="H75" s="365">
        <f t="shared" si="3"/>
        <v>25</v>
      </c>
    </row>
    <row r="76" spans="1:8" x14ac:dyDescent="0.35">
      <c r="A76" s="365">
        <f t="shared" si="2"/>
        <v>26</v>
      </c>
      <c r="B76" s="369" t="s">
        <v>257</v>
      </c>
      <c r="C76" s="369"/>
      <c r="D76" s="369"/>
      <c r="E76" s="419">
        <v>37080.695383757316</v>
      </c>
      <c r="F76" s="533"/>
      <c r="G76" s="371" t="s">
        <v>422</v>
      </c>
      <c r="H76" s="365">
        <f t="shared" si="3"/>
        <v>26</v>
      </c>
    </row>
    <row r="77" spans="1:8" x14ac:dyDescent="0.35">
      <c r="A77" s="365">
        <f t="shared" si="2"/>
        <v>27</v>
      </c>
      <c r="B77" s="369" t="s">
        <v>258</v>
      </c>
      <c r="C77" s="369"/>
      <c r="D77" s="369"/>
      <c r="E77" s="420">
        <f>'Pg9 Rev Stmt AL'!E29</f>
        <v>10168.18277163614</v>
      </c>
      <c r="F77" s="27" t="s">
        <v>16</v>
      </c>
      <c r="G77" s="371" t="s">
        <v>624</v>
      </c>
      <c r="H77" s="365">
        <f t="shared" si="3"/>
        <v>27</v>
      </c>
    </row>
    <row r="78" spans="1:8" x14ac:dyDescent="0.35">
      <c r="A78" s="365">
        <f t="shared" si="2"/>
        <v>28</v>
      </c>
      <c r="B78" s="369" t="s">
        <v>259</v>
      </c>
      <c r="C78" s="361"/>
      <c r="D78" s="361"/>
      <c r="E78" s="421">
        <f>SUM(E75:E77)</f>
        <v>98204.864378472426</v>
      </c>
      <c r="F78" s="27" t="s">
        <v>16</v>
      </c>
      <c r="G78" s="371" t="s">
        <v>424</v>
      </c>
      <c r="H78" s="365">
        <f t="shared" si="3"/>
        <v>28</v>
      </c>
    </row>
    <row r="79" spans="1:8" x14ac:dyDescent="0.35">
      <c r="A79" s="365">
        <f t="shared" si="2"/>
        <v>29</v>
      </c>
      <c r="B79" s="361"/>
      <c r="C79" s="361"/>
      <c r="D79" s="361"/>
      <c r="E79" s="422"/>
      <c r="F79" s="423"/>
      <c r="G79" s="371"/>
      <c r="H79" s="365">
        <f t="shared" si="3"/>
        <v>29</v>
      </c>
    </row>
    <row r="80" spans="1:8" x14ac:dyDescent="0.35">
      <c r="A80" s="365">
        <f t="shared" si="2"/>
        <v>30</v>
      </c>
      <c r="B80" s="369" t="s">
        <v>260</v>
      </c>
      <c r="C80" s="369"/>
      <c r="D80" s="369"/>
      <c r="E80" s="424">
        <f>'Pg10 Rev Stmt AV'!G110</f>
        <v>0.10066565563729324</v>
      </c>
      <c r="F80" s="27"/>
      <c r="G80" s="371" t="s">
        <v>626</v>
      </c>
      <c r="H80" s="365">
        <f t="shared" si="3"/>
        <v>30</v>
      </c>
    </row>
    <row r="81" spans="1:8" x14ac:dyDescent="0.35">
      <c r="A81" s="365">
        <f t="shared" si="2"/>
        <v>31</v>
      </c>
      <c r="B81" s="361"/>
      <c r="C81" s="361"/>
      <c r="D81" s="361"/>
      <c r="E81" s="422"/>
      <c r="F81" s="423"/>
      <c r="G81" s="371"/>
      <c r="H81" s="365">
        <f t="shared" si="3"/>
        <v>31</v>
      </c>
    </row>
    <row r="82" spans="1:8" x14ac:dyDescent="0.35">
      <c r="A82" s="365">
        <f t="shared" si="2"/>
        <v>32</v>
      </c>
      <c r="B82" s="369" t="s">
        <v>261</v>
      </c>
      <c r="C82" s="361"/>
      <c r="D82" s="361"/>
      <c r="E82" s="724">
        <f>E78*E80</f>
        <v>9885.857059430391</v>
      </c>
      <c r="F82" s="27" t="s">
        <v>16</v>
      </c>
      <c r="G82" s="371" t="s">
        <v>426</v>
      </c>
      <c r="H82" s="365">
        <f t="shared" si="3"/>
        <v>32</v>
      </c>
    </row>
    <row r="83" spans="1:8" x14ac:dyDescent="0.35">
      <c r="A83" s="365">
        <f t="shared" si="2"/>
        <v>33</v>
      </c>
      <c r="B83" s="361"/>
      <c r="C83" s="361"/>
      <c r="D83" s="361"/>
      <c r="E83" s="422"/>
      <c r="F83" s="423"/>
      <c r="G83" s="371"/>
      <c r="H83" s="365">
        <f t="shared" si="3"/>
        <v>33</v>
      </c>
    </row>
    <row r="84" spans="1:8" x14ac:dyDescent="0.35">
      <c r="A84" s="365">
        <f t="shared" si="2"/>
        <v>34</v>
      </c>
      <c r="B84" s="369" t="s">
        <v>262</v>
      </c>
      <c r="C84" s="361"/>
      <c r="D84" s="361"/>
      <c r="E84" s="410">
        <f>E82/E51</f>
        <v>1.843444503665224E-3</v>
      </c>
      <c r="F84" s="411"/>
      <c r="G84" s="371" t="s">
        <v>427</v>
      </c>
      <c r="H84" s="365">
        <f t="shared" si="3"/>
        <v>34</v>
      </c>
    </row>
    <row r="85" spans="1:8" x14ac:dyDescent="0.35">
      <c r="A85" s="365">
        <f t="shared" si="2"/>
        <v>35</v>
      </c>
      <c r="B85" s="369"/>
      <c r="C85" s="361"/>
      <c r="D85" s="361"/>
      <c r="E85" s="425"/>
      <c r="F85" s="411"/>
      <c r="G85" s="371"/>
      <c r="H85" s="365">
        <f t="shared" si="3"/>
        <v>35</v>
      </c>
    </row>
    <row r="86" spans="1:8" x14ac:dyDescent="0.35">
      <c r="A86" s="365">
        <f t="shared" si="2"/>
        <v>36</v>
      </c>
      <c r="B86" s="368" t="s">
        <v>263</v>
      </c>
      <c r="C86" s="426"/>
      <c r="D86" s="426"/>
      <c r="E86" s="427"/>
      <c r="F86" s="427"/>
      <c r="G86" s="427"/>
      <c r="H86" s="365">
        <f t="shared" si="3"/>
        <v>36</v>
      </c>
    </row>
    <row r="87" spans="1:8" x14ac:dyDescent="0.35">
      <c r="A87" s="365">
        <f t="shared" si="2"/>
        <v>37</v>
      </c>
      <c r="B87" s="369" t="s">
        <v>264</v>
      </c>
      <c r="C87" s="426"/>
      <c r="D87" s="426"/>
      <c r="E87" s="191">
        <v>28018.267765879718</v>
      </c>
      <c r="F87" s="427"/>
      <c r="G87" s="371" t="s">
        <v>428</v>
      </c>
      <c r="H87" s="365">
        <f t="shared" si="3"/>
        <v>37</v>
      </c>
    </row>
    <row r="88" spans="1:8" x14ac:dyDescent="0.35">
      <c r="A88" s="365">
        <f t="shared" si="2"/>
        <v>38</v>
      </c>
      <c r="B88" s="368"/>
      <c r="C88" s="426"/>
      <c r="D88" s="426"/>
      <c r="E88" s="427"/>
      <c r="F88" s="427"/>
      <c r="G88" s="427"/>
      <c r="H88" s="365">
        <f t="shared" si="3"/>
        <v>38</v>
      </c>
    </row>
    <row r="89" spans="1:8" x14ac:dyDescent="0.35">
      <c r="A89" s="365">
        <f t="shared" si="2"/>
        <v>39</v>
      </c>
      <c r="B89" s="369" t="s">
        <v>265</v>
      </c>
      <c r="C89" s="426"/>
      <c r="D89" s="426"/>
      <c r="E89" s="428">
        <v>58941.050956189742</v>
      </c>
      <c r="F89" s="427"/>
      <c r="G89" s="371" t="s">
        <v>429</v>
      </c>
      <c r="H89" s="365">
        <f t="shared" si="3"/>
        <v>39</v>
      </c>
    </row>
    <row r="90" spans="1:8" ht="18" x14ac:dyDescent="0.6">
      <c r="A90" s="365">
        <f t="shared" si="2"/>
        <v>40</v>
      </c>
      <c r="B90" s="426"/>
      <c r="C90" s="429"/>
      <c r="D90" s="429"/>
      <c r="E90" s="430"/>
      <c r="F90" s="431"/>
      <c r="G90" s="426"/>
      <c r="H90" s="365">
        <f t="shared" si="3"/>
        <v>40</v>
      </c>
    </row>
    <row r="91" spans="1:8" x14ac:dyDescent="0.35">
      <c r="A91" s="365">
        <f t="shared" si="2"/>
        <v>41</v>
      </c>
      <c r="B91" s="369" t="s">
        <v>266</v>
      </c>
      <c r="C91" s="429"/>
      <c r="D91" s="429"/>
      <c r="E91" s="432">
        <f>E87+E89</f>
        <v>86959.318722069467</v>
      </c>
      <c r="F91" s="433"/>
      <c r="G91" s="371" t="s">
        <v>430</v>
      </c>
      <c r="H91" s="365">
        <f t="shared" si="3"/>
        <v>41</v>
      </c>
    </row>
    <row r="92" spans="1:8" x14ac:dyDescent="0.35">
      <c r="A92" s="365">
        <f t="shared" si="2"/>
        <v>42</v>
      </c>
      <c r="B92" s="434"/>
      <c r="C92" s="429"/>
      <c r="D92" s="429"/>
      <c r="E92" s="435"/>
      <c r="F92" s="433"/>
      <c r="G92" s="436"/>
      <c r="H92" s="365">
        <f t="shared" si="3"/>
        <v>42</v>
      </c>
    </row>
    <row r="93" spans="1:8" x14ac:dyDescent="0.35">
      <c r="A93" s="365">
        <f t="shared" si="2"/>
        <v>43</v>
      </c>
      <c r="B93" s="369" t="s">
        <v>260</v>
      </c>
      <c r="C93" s="429"/>
      <c r="D93" s="429"/>
      <c r="E93" s="437">
        <f>E80</f>
        <v>0.10066565563729324</v>
      </c>
      <c r="F93" s="27"/>
      <c r="G93" s="371" t="s">
        <v>431</v>
      </c>
      <c r="H93" s="365">
        <f t="shared" si="3"/>
        <v>43</v>
      </c>
    </row>
    <row r="94" spans="1:8" x14ac:dyDescent="0.35">
      <c r="A94" s="365">
        <f t="shared" si="2"/>
        <v>44</v>
      </c>
      <c r="B94" s="426"/>
      <c r="C94" s="429"/>
      <c r="D94" s="429"/>
      <c r="E94" s="438"/>
      <c r="F94" s="439"/>
      <c r="G94" s="426"/>
      <c r="H94" s="365">
        <f t="shared" si="3"/>
        <v>44</v>
      </c>
    </row>
    <row r="95" spans="1:8" x14ac:dyDescent="0.35">
      <c r="A95" s="365">
        <f t="shared" si="2"/>
        <v>45</v>
      </c>
      <c r="B95" s="369" t="s">
        <v>267</v>
      </c>
      <c r="C95" s="429"/>
      <c r="D95" s="429"/>
      <c r="E95" s="334">
        <f>E91*E93</f>
        <v>8753.8168329294713</v>
      </c>
      <c r="F95" s="440"/>
      <c r="G95" s="371" t="s">
        <v>432</v>
      </c>
      <c r="H95" s="365">
        <f t="shared" si="3"/>
        <v>45</v>
      </c>
    </row>
    <row r="96" spans="1:8" x14ac:dyDescent="0.35">
      <c r="A96" s="365">
        <f t="shared" si="2"/>
        <v>46</v>
      </c>
      <c r="B96" s="434"/>
      <c r="C96" s="429"/>
      <c r="D96" s="429"/>
      <c r="E96" s="441"/>
      <c r="F96" s="440"/>
      <c r="G96" s="436"/>
      <c r="H96" s="365">
        <f t="shared" si="3"/>
        <v>46</v>
      </c>
    </row>
    <row r="97" spans="1:9" x14ac:dyDescent="0.35">
      <c r="A97" s="365">
        <f t="shared" si="2"/>
        <v>47</v>
      </c>
      <c r="B97" s="369" t="s">
        <v>268</v>
      </c>
      <c r="C97" s="429"/>
      <c r="D97" s="429"/>
      <c r="E97" s="442">
        <v>12212.130502049462</v>
      </c>
      <c r="F97" s="440"/>
      <c r="G97" s="371" t="s">
        <v>433</v>
      </c>
      <c r="H97" s="365">
        <f t="shared" si="3"/>
        <v>47</v>
      </c>
      <c r="I97" s="429"/>
    </row>
    <row r="98" spans="1:9" x14ac:dyDescent="0.35">
      <c r="A98" s="365">
        <f t="shared" si="2"/>
        <v>48</v>
      </c>
      <c r="B98" s="369"/>
      <c r="C98" s="429"/>
      <c r="D98" s="429"/>
      <c r="E98" s="329"/>
      <c r="F98" s="440"/>
      <c r="G98" s="371"/>
      <c r="H98" s="365">
        <f t="shared" si="3"/>
        <v>48</v>
      </c>
    </row>
    <row r="99" spans="1:9" x14ac:dyDescent="0.35">
      <c r="A99" s="365">
        <f t="shared" si="2"/>
        <v>49</v>
      </c>
      <c r="B99" s="369" t="s">
        <v>269</v>
      </c>
      <c r="C99" s="429"/>
      <c r="D99" s="429"/>
      <c r="E99" s="329">
        <f>E95+E97</f>
        <v>20965.947334978933</v>
      </c>
      <c r="F99" s="440"/>
      <c r="G99" s="371" t="s">
        <v>434</v>
      </c>
      <c r="H99" s="365">
        <f t="shared" si="3"/>
        <v>49</v>
      </c>
    </row>
    <row r="100" spans="1:9" x14ac:dyDescent="0.35">
      <c r="A100" s="365">
        <f t="shared" si="2"/>
        <v>50</v>
      </c>
      <c r="B100" s="426"/>
      <c r="C100" s="429"/>
      <c r="D100" s="429"/>
      <c r="E100" s="443"/>
      <c r="F100" s="426"/>
      <c r="G100" s="426"/>
      <c r="H100" s="365">
        <f t="shared" si="3"/>
        <v>50</v>
      </c>
    </row>
    <row r="101" spans="1:9" ht="16" thickBot="1" x14ac:dyDescent="0.4">
      <c r="A101" s="365">
        <f t="shared" si="2"/>
        <v>51</v>
      </c>
      <c r="B101" s="369" t="s">
        <v>270</v>
      </c>
      <c r="C101" s="429"/>
      <c r="D101" s="429"/>
      <c r="E101" s="444">
        <f>E99/E51</f>
        <v>3.9095811467284554E-3</v>
      </c>
      <c r="F101" s="445"/>
      <c r="G101" s="371" t="s">
        <v>435</v>
      </c>
      <c r="H101" s="365">
        <f t="shared" si="3"/>
        <v>51</v>
      </c>
    </row>
    <row r="102" spans="1:9" ht="16" thickTop="1" x14ac:dyDescent="0.35">
      <c r="A102" s="372"/>
    </row>
    <row r="103" spans="1:9" x14ac:dyDescent="0.35">
      <c r="A103" s="372"/>
    </row>
    <row r="104" spans="1:9" x14ac:dyDescent="0.35">
      <c r="A104" s="27" t="s">
        <v>16</v>
      </c>
      <c r="B104" s="24" t="s">
        <v>647</v>
      </c>
    </row>
    <row r="105" spans="1:9" x14ac:dyDescent="0.35">
      <c r="A105" s="372"/>
      <c r="B105" s="24" t="s">
        <v>645</v>
      </c>
    </row>
    <row r="106" spans="1:9" x14ac:dyDescent="0.35">
      <c r="A106" s="372"/>
    </row>
    <row r="107" spans="1:9" x14ac:dyDescent="0.35">
      <c r="A107" s="372"/>
    </row>
    <row r="108" spans="1:9" x14ac:dyDescent="0.35">
      <c r="A108" s="372"/>
    </row>
    <row r="109" spans="1:9" x14ac:dyDescent="0.35">
      <c r="A109" s="372"/>
    </row>
    <row r="110" spans="1:9" x14ac:dyDescent="0.35">
      <c r="A110" s="372"/>
    </row>
    <row r="111" spans="1:9" x14ac:dyDescent="0.35">
      <c r="A111" s="372"/>
    </row>
    <row r="112" spans="1:9" x14ac:dyDescent="0.35">
      <c r="A112" s="372"/>
    </row>
    <row r="113" spans="1:1" x14ac:dyDescent="0.35">
      <c r="A113" s="372"/>
    </row>
    <row r="114" spans="1:1" x14ac:dyDescent="0.35">
      <c r="A114" s="372"/>
    </row>
    <row r="115" spans="1:1" x14ac:dyDescent="0.35">
      <c r="A115" s="372"/>
    </row>
    <row r="116" spans="1:1" x14ac:dyDescent="0.35">
      <c r="A116" s="372"/>
    </row>
    <row r="117" spans="1:1" x14ac:dyDescent="0.35">
      <c r="A117" s="372"/>
    </row>
    <row r="118" spans="1:1" x14ac:dyDescent="0.35">
      <c r="A118" s="372"/>
    </row>
    <row r="119" spans="1:1" x14ac:dyDescent="0.35">
      <c r="A119" s="372"/>
    </row>
    <row r="120" spans="1:1" x14ac:dyDescent="0.35">
      <c r="A120" s="372"/>
    </row>
    <row r="121" spans="1:1" x14ac:dyDescent="0.35">
      <c r="A121" s="372"/>
    </row>
    <row r="122" spans="1:1" x14ac:dyDescent="0.35">
      <c r="A122" s="372"/>
    </row>
    <row r="123" spans="1:1" x14ac:dyDescent="0.35">
      <c r="A123" s="372"/>
    </row>
    <row r="124" spans="1:1" x14ac:dyDescent="0.35">
      <c r="A124" s="372"/>
    </row>
    <row r="125" spans="1:1" x14ac:dyDescent="0.35">
      <c r="A125" s="372"/>
    </row>
    <row r="126" spans="1:1" x14ac:dyDescent="0.35">
      <c r="A126" s="372"/>
    </row>
    <row r="127" spans="1:1" x14ac:dyDescent="0.35">
      <c r="A127" s="372"/>
    </row>
    <row r="128" spans="1:1" x14ac:dyDescent="0.35">
      <c r="A128" s="372"/>
    </row>
    <row r="129" spans="1:1" x14ac:dyDescent="0.35">
      <c r="A129" s="372"/>
    </row>
    <row r="130" spans="1:1" x14ac:dyDescent="0.35">
      <c r="A130" s="372"/>
    </row>
    <row r="131" spans="1:1" x14ac:dyDescent="0.35">
      <c r="A131" s="372"/>
    </row>
    <row r="132" spans="1:1" x14ac:dyDescent="0.35">
      <c r="A132" s="372"/>
    </row>
    <row r="133" spans="1:1" x14ac:dyDescent="0.35">
      <c r="A133" s="372"/>
    </row>
    <row r="134" spans="1:1" x14ac:dyDescent="0.35">
      <c r="A134" s="372"/>
    </row>
    <row r="135" spans="1:1" x14ac:dyDescent="0.35">
      <c r="A135" s="372"/>
    </row>
    <row r="136" spans="1:1" x14ac:dyDescent="0.35">
      <c r="A136" s="372"/>
    </row>
    <row r="137" spans="1:1" x14ac:dyDescent="0.35">
      <c r="A137" s="372"/>
    </row>
    <row r="138" spans="1:1" x14ac:dyDescent="0.35">
      <c r="A138" s="372"/>
    </row>
    <row r="139" spans="1:1" x14ac:dyDescent="0.35">
      <c r="A139" s="372"/>
    </row>
    <row r="140" spans="1:1" x14ac:dyDescent="0.35">
      <c r="A140" s="372"/>
    </row>
    <row r="141" spans="1:1" x14ac:dyDescent="0.35">
      <c r="A141" s="372"/>
    </row>
    <row r="142" spans="1:1" x14ac:dyDescent="0.35">
      <c r="A142" s="372"/>
    </row>
    <row r="143" spans="1:1" x14ac:dyDescent="0.35">
      <c r="A143" s="372"/>
    </row>
    <row r="144" spans="1:1" x14ac:dyDescent="0.35">
      <c r="A144" s="372"/>
    </row>
    <row r="145" spans="1:6" x14ac:dyDescent="0.35">
      <c r="A145" s="372"/>
    </row>
    <row r="146" spans="1:6" x14ac:dyDescent="0.35">
      <c r="A146" s="372"/>
    </row>
    <row r="147" spans="1:6" x14ac:dyDescent="0.35">
      <c r="A147" s="372"/>
    </row>
    <row r="148" spans="1:6" x14ac:dyDescent="0.35">
      <c r="A148" s="372"/>
    </row>
    <row r="149" spans="1:6" x14ac:dyDescent="0.35">
      <c r="A149" s="372"/>
    </row>
    <row r="150" spans="1:6" x14ac:dyDescent="0.35">
      <c r="A150" s="372"/>
    </row>
    <row r="151" spans="1:6" x14ac:dyDescent="0.35">
      <c r="A151" s="372"/>
    </row>
    <row r="152" spans="1:6" x14ac:dyDescent="0.35">
      <c r="A152" s="372"/>
    </row>
    <row r="153" spans="1:6" x14ac:dyDescent="0.35">
      <c r="A153" s="372"/>
    </row>
    <row r="154" spans="1:6" x14ac:dyDescent="0.35">
      <c r="A154" s="372"/>
    </row>
    <row r="155" spans="1:6" x14ac:dyDescent="0.35">
      <c r="A155" s="372"/>
    </row>
    <row r="156" spans="1:6" x14ac:dyDescent="0.35">
      <c r="A156" s="372"/>
      <c r="B156" s="362"/>
      <c r="C156" s="362"/>
      <c r="D156" s="362"/>
      <c r="E156" s="362"/>
      <c r="F156" s="362"/>
    </row>
    <row r="157" spans="1:6" x14ac:dyDescent="0.35">
      <c r="A157" s="372"/>
      <c r="B157" s="362"/>
      <c r="C157" s="362"/>
      <c r="D157" s="362"/>
      <c r="E157" s="362"/>
      <c r="F157" s="362"/>
    </row>
    <row r="162" spans="1:6" x14ac:dyDescent="0.35">
      <c r="A162" s="364"/>
      <c r="B162" s="362"/>
      <c r="C162" s="362"/>
      <c r="D162" s="362"/>
      <c r="E162" s="446"/>
      <c r="F162" s="446"/>
    </row>
  </sheetData>
  <mergeCells count="10">
    <mergeCell ref="B45:G45"/>
    <mergeCell ref="B46:G46"/>
    <mergeCell ref="B2:G2"/>
    <mergeCell ref="B3:G3"/>
    <mergeCell ref="B4:G4"/>
    <mergeCell ref="B5:G5"/>
    <mergeCell ref="B6:G6"/>
    <mergeCell ref="B44:G44"/>
    <mergeCell ref="B42:G42"/>
    <mergeCell ref="B43:G43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87D53-60A5-442E-9B67-5853047727DE}">
  <dimension ref="A1:J159"/>
  <sheetViews>
    <sheetView zoomScale="80" zoomScaleNormal="80" workbookViewId="0"/>
  </sheetViews>
  <sheetFormatPr defaultColWidth="8.81640625" defaultRowHeight="15.5" x14ac:dyDescent="0.35"/>
  <cols>
    <col min="1" max="1" width="5.1796875" style="42" customWidth="1"/>
    <col min="2" max="2" width="93.1796875" style="20" bestFit="1" customWidth="1"/>
    <col min="3" max="3" width="10.453125" style="20" customWidth="1"/>
    <col min="4" max="4" width="1.54296875" style="20" customWidth="1"/>
    <col min="5" max="5" width="16.81640625" style="20" customWidth="1"/>
    <col min="6" max="6" width="1.54296875" style="20" customWidth="1"/>
    <col min="7" max="7" width="43.453125" style="20" customWidth="1"/>
    <col min="8" max="8" width="5.1796875" style="41" customWidth="1"/>
    <col min="9" max="9" width="8.81640625" style="20"/>
    <col min="10" max="10" width="9.81640625" style="20" bestFit="1" customWidth="1"/>
    <col min="11" max="16384" width="8.81640625" style="20"/>
  </cols>
  <sheetData>
    <row r="1" spans="1:8" x14ac:dyDescent="0.35">
      <c r="A1" s="668" t="s">
        <v>563</v>
      </c>
    </row>
    <row r="2" spans="1:8" x14ac:dyDescent="0.35">
      <c r="A2" s="360"/>
      <c r="B2" s="361"/>
      <c r="C2" s="361"/>
      <c r="D2" s="361"/>
      <c r="E2" s="362"/>
      <c r="F2" s="362"/>
      <c r="G2" s="532"/>
      <c r="H2" s="223"/>
    </row>
    <row r="3" spans="1:8" x14ac:dyDescent="0.35">
      <c r="A3" s="360"/>
      <c r="B3" s="756" t="s">
        <v>24</v>
      </c>
      <c r="C3" s="756"/>
      <c r="D3" s="756"/>
      <c r="E3" s="756"/>
      <c r="F3" s="756"/>
      <c r="G3" s="756"/>
      <c r="H3" s="223"/>
    </row>
    <row r="4" spans="1:8" x14ac:dyDescent="0.35">
      <c r="B4" s="756" t="s">
        <v>216</v>
      </c>
      <c r="C4" s="756"/>
      <c r="D4" s="756"/>
      <c r="E4" s="756"/>
      <c r="F4" s="756"/>
      <c r="G4" s="756"/>
      <c r="H4" s="360"/>
    </row>
    <row r="5" spans="1:8" x14ac:dyDescent="0.35">
      <c r="B5" s="756" t="s">
        <v>231</v>
      </c>
      <c r="C5" s="756"/>
      <c r="D5" s="756"/>
      <c r="E5" s="756"/>
      <c r="F5" s="756"/>
      <c r="G5" s="756"/>
      <c r="H5" s="360"/>
    </row>
    <row r="6" spans="1:8" x14ac:dyDescent="0.35">
      <c r="B6" s="754" t="s">
        <v>542</v>
      </c>
      <c r="C6" s="754"/>
      <c r="D6" s="754"/>
      <c r="E6" s="754"/>
      <c r="F6" s="754"/>
      <c r="G6" s="754"/>
      <c r="H6" s="360"/>
    </row>
    <row r="7" spans="1:8" x14ac:dyDescent="0.35">
      <c r="B7" s="755" t="s">
        <v>1</v>
      </c>
      <c r="C7" s="755"/>
      <c r="D7" s="755"/>
      <c r="E7" s="755"/>
      <c r="F7" s="755"/>
      <c r="G7" s="755"/>
      <c r="H7" s="363"/>
    </row>
    <row r="8" spans="1:8" x14ac:dyDescent="0.35">
      <c r="A8" s="364"/>
      <c r="B8" s="533"/>
      <c r="C8" s="533"/>
      <c r="D8" s="533"/>
      <c r="E8" s="533"/>
      <c r="F8" s="533"/>
      <c r="G8" s="362"/>
      <c r="H8" s="223"/>
    </row>
    <row r="9" spans="1:8" x14ac:dyDescent="0.35">
      <c r="A9" s="365" t="s">
        <v>2</v>
      </c>
      <c r="B9" s="361"/>
      <c r="C9" s="361"/>
      <c r="D9" s="361"/>
      <c r="E9" s="533"/>
      <c r="F9" s="533"/>
      <c r="G9" s="361"/>
      <c r="H9" s="365" t="s">
        <v>2</v>
      </c>
    </row>
    <row r="10" spans="1:8" x14ac:dyDescent="0.35">
      <c r="A10" s="365" t="s">
        <v>6</v>
      </c>
      <c r="B10" s="361"/>
      <c r="C10" s="361"/>
      <c r="D10" s="361"/>
      <c r="E10" s="366" t="s">
        <v>4</v>
      </c>
      <c r="F10" s="367"/>
      <c r="G10" s="366" t="s">
        <v>5</v>
      </c>
      <c r="H10" s="365" t="s">
        <v>6</v>
      </c>
    </row>
    <row r="11" spans="1:8" x14ac:dyDescent="0.35">
      <c r="A11" s="365"/>
      <c r="B11" s="361"/>
      <c r="C11" s="361"/>
      <c r="D11" s="361"/>
      <c r="E11" s="533"/>
      <c r="F11" s="367"/>
      <c r="G11" s="533"/>
      <c r="H11" s="365"/>
    </row>
    <row r="12" spans="1:8" x14ac:dyDescent="0.35">
      <c r="A12" s="365">
        <v>1</v>
      </c>
      <c r="B12" s="368" t="s">
        <v>232</v>
      </c>
      <c r="C12" s="368"/>
      <c r="D12" s="368"/>
      <c r="E12" s="362"/>
      <c r="F12" s="362"/>
      <c r="G12" s="533"/>
      <c r="H12" s="365">
        <f>A12</f>
        <v>1</v>
      </c>
    </row>
    <row r="13" spans="1:8" x14ac:dyDescent="0.35">
      <c r="A13" s="365">
        <f>A12+1</f>
        <v>2</v>
      </c>
      <c r="B13" s="369" t="s">
        <v>233</v>
      </c>
      <c r="C13" s="370"/>
      <c r="D13" s="370"/>
      <c r="E13" s="374">
        <f>E53</f>
        <v>6.2750390372064554E-3</v>
      </c>
      <c r="F13" s="27"/>
      <c r="G13" s="371" t="str">
        <f>"Page 2; Line "&amp;A53</f>
        <v>Page 2; Line 6</v>
      </c>
      <c r="H13" s="365">
        <f>H12+1</f>
        <v>2</v>
      </c>
    </row>
    <row r="14" spans="1:8" x14ac:dyDescent="0.35">
      <c r="A14" s="365">
        <f t="shared" ref="A14:A36" si="0">A13+1</f>
        <v>3</v>
      </c>
      <c r="B14" s="361"/>
      <c r="C14" s="372"/>
      <c r="D14" s="372"/>
      <c r="E14" s="373"/>
      <c r="F14" s="367"/>
      <c r="G14" s="371"/>
      <c r="H14" s="365">
        <f t="shared" ref="H14:H36" si="1">H13+1</f>
        <v>3</v>
      </c>
    </row>
    <row r="15" spans="1:8" x14ac:dyDescent="0.35">
      <c r="A15" s="365">
        <f t="shared" si="0"/>
        <v>4</v>
      </c>
      <c r="B15" s="369" t="s">
        <v>17</v>
      </c>
      <c r="C15" s="370"/>
      <c r="D15" s="370"/>
      <c r="E15" s="374">
        <f>E58</f>
        <v>8.576144830735313E-3</v>
      </c>
      <c r="F15" s="375"/>
      <c r="G15" s="371" t="str">
        <f>"Page 2; Line "&amp;A58</f>
        <v>Page 2; Line 11</v>
      </c>
      <c r="H15" s="365">
        <f t="shared" si="1"/>
        <v>4</v>
      </c>
    </row>
    <row r="16" spans="1:8" x14ac:dyDescent="0.35">
      <c r="A16" s="365">
        <f t="shared" si="0"/>
        <v>5</v>
      </c>
      <c r="B16" s="362"/>
      <c r="C16" s="364"/>
      <c r="D16" s="364"/>
      <c r="E16" s="376"/>
      <c r="F16" s="377"/>
      <c r="G16" s="371"/>
      <c r="H16" s="365">
        <f t="shared" si="1"/>
        <v>5</v>
      </c>
    </row>
    <row r="17" spans="1:8" x14ac:dyDescent="0.35">
      <c r="A17" s="365">
        <f t="shared" si="0"/>
        <v>6</v>
      </c>
      <c r="B17" s="362" t="s">
        <v>234</v>
      </c>
      <c r="C17" s="364"/>
      <c r="D17" s="364"/>
      <c r="E17" s="378">
        <f>E63</f>
        <v>1.060685107447207E-2</v>
      </c>
      <c r="F17" s="377"/>
      <c r="G17" s="371" t="str">
        <f>"Page 2; Line "&amp;A63</f>
        <v>Page 2; Line 16</v>
      </c>
      <c r="H17" s="365">
        <f t="shared" si="1"/>
        <v>6</v>
      </c>
    </row>
    <row r="18" spans="1:8" x14ac:dyDescent="0.35">
      <c r="A18" s="365">
        <f t="shared" si="0"/>
        <v>7</v>
      </c>
      <c r="B18" s="362"/>
      <c r="C18" s="364"/>
      <c r="D18" s="364"/>
      <c r="E18" s="376"/>
      <c r="F18" s="377"/>
      <c r="G18" s="371"/>
      <c r="H18" s="365">
        <f t="shared" si="1"/>
        <v>7</v>
      </c>
    </row>
    <row r="19" spans="1:8" x14ac:dyDescent="0.35">
      <c r="A19" s="365">
        <f t="shared" si="0"/>
        <v>8</v>
      </c>
      <c r="B19" s="369" t="s">
        <v>235</v>
      </c>
      <c r="C19" s="370"/>
      <c r="D19" s="370"/>
      <c r="E19" s="374">
        <f>E68</f>
        <v>3.1683253029490246E-4</v>
      </c>
      <c r="F19" s="375"/>
      <c r="G19" s="371" t="str">
        <f>"Page 2; Line "&amp;A68</f>
        <v>Page 2; Line 21</v>
      </c>
      <c r="H19" s="365">
        <f t="shared" si="1"/>
        <v>8</v>
      </c>
    </row>
    <row r="20" spans="1:8" x14ac:dyDescent="0.35">
      <c r="A20" s="365">
        <f t="shared" si="0"/>
        <v>9</v>
      </c>
      <c r="B20" s="361"/>
      <c r="C20" s="372"/>
      <c r="D20" s="372"/>
      <c r="E20" s="373"/>
      <c r="F20" s="367"/>
      <c r="G20" s="371"/>
      <c r="H20" s="365">
        <f t="shared" si="1"/>
        <v>9</v>
      </c>
    </row>
    <row r="21" spans="1:8" x14ac:dyDescent="0.35">
      <c r="A21" s="365">
        <f t="shared" si="0"/>
        <v>10</v>
      </c>
      <c r="B21" s="369" t="s">
        <v>236</v>
      </c>
      <c r="C21" s="372"/>
      <c r="D21" s="372"/>
      <c r="E21" s="374">
        <f>E81</f>
        <v>1.8394493609672209E-3</v>
      </c>
      <c r="F21" s="367"/>
      <c r="G21" s="371" t="str">
        <f>"Page 2; Line "&amp;A81</f>
        <v>Page 2; Line 34</v>
      </c>
      <c r="H21" s="365">
        <f t="shared" si="1"/>
        <v>10</v>
      </c>
    </row>
    <row r="22" spans="1:8" x14ac:dyDescent="0.35">
      <c r="A22" s="365">
        <f t="shared" si="0"/>
        <v>11</v>
      </c>
      <c r="B22" s="361"/>
      <c r="C22" s="372"/>
      <c r="D22" s="372"/>
      <c r="E22" s="373"/>
      <c r="F22" s="367"/>
      <c r="G22" s="371"/>
      <c r="H22" s="365">
        <f t="shared" si="1"/>
        <v>11</v>
      </c>
    </row>
    <row r="23" spans="1:8" x14ac:dyDescent="0.35">
      <c r="A23" s="365">
        <f t="shared" si="0"/>
        <v>12</v>
      </c>
      <c r="B23" s="369" t="s">
        <v>237</v>
      </c>
      <c r="C23" s="370"/>
      <c r="D23" s="370"/>
      <c r="E23" s="374">
        <f>E98</f>
        <v>3.9095816264277418E-3</v>
      </c>
      <c r="F23" s="375"/>
      <c r="G23" s="371" t="str">
        <f>"Page 2; Line "&amp;A98</f>
        <v>Page 2; Line 51</v>
      </c>
      <c r="H23" s="365">
        <f t="shared" si="1"/>
        <v>12</v>
      </c>
    </row>
    <row r="24" spans="1:8" x14ac:dyDescent="0.35">
      <c r="A24" s="365">
        <f t="shared" si="0"/>
        <v>13</v>
      </c>
      <c r="B24" s="379"/>
      <c r="C24" s="380"/>
      <c r="D24" s="380"/>
      <c r="E24" s="381"/>
      <c r="F24" s="382"/>
      <c r="G24" s="371"/>
      <c r="H24" s="365">
        <f t="shared" si="1"/>
        <v>13</v>
      </c>
    </row>
    <row r="25" spans="1:8" x14ac:dyDescent="0.35">
      <c r="A25" s="365">
        <f t="shared" si="0"/>
        <v>14</v>
      </c>
      <c r="B25" s="369" t="s">
        <v>238</v>
      </c>
      <c r="C25" s="370"/>
      <c r="D25" s="370"/>
      <c r="E25" s="644">
        <f>SUM(E13:E23)</f>
        <v>3.15238984601037E-2</v>
      </c>
      <c r="F25" s="27"/>
      <c r="G25" s="371" t="str">
        <f>"Sum Lines "&amp;A13&amp;" thru "&amp;A23&amp;""</f>
        <v>Sum Lines 2 thru 12</v>
      </c>
      <c r="H25" s="365">
        <f t="shared" si="1"/>
        <v>14</v>
      </c>
    </row>
    <row r="26" spans="1:8" x14ac:dyDescent="0.35">
      <c r="A26" s="365">
        <f t="shared" si="0"/>
        <v>15</v>
      </c>
      <c r="B26" s="361"/>
      <c r="C26" s="372"/>
      <c r="D26" s="372"/>
      <c r="E26" s="383"/>
      <c r="F26" s="384"/>
      <c r="G26" s="371"/>
      <c r="H26" s="365">
        <f t="shared" si="1"/>
        <v>15</v>
      </c>
    </row>
    <row r="27" spans="1:8" x14ac:dyDescent="0.35">
      <c r="A27" s="365">
        <f t="shared" si="0"/>
        <v>16</v>
      </c>
      <c r="B27" s="362" t="s">
        <v>239</v>
      </c>
      <c r="C27" s="385">
        <v>1.0274999999999999E-2</v>
      </c>
      <c r="D27" s="372"/>
      <c r="E27" s="545">
        <f>E25*C27</f>
        <v>3.239080566775655E-4</v>
      </c>
      <c r="F27" s="386"/>
      <c r="G27" s="371" t="str">
        <f>"Line "&amp;A25&amp;" x Franchise Fee Rate"</f>
        <v>Line 14 x Franchise Fee Rate</v>
      </c>
      <c r="H27" s="365">
        <f t="shared" si="1"/>
        <v>16</v>
      </c>
    </row>
    <row r="28" spans="1:8" x14ac:dyDescent="0.35">
      <c r="A28" s="365">
        <f t="shared" si="0"/>
        <v>17</v>
      </c>
      <c r="B28" s="361"/>
      <c r="C28" s="372"/>
      <c r="D28" s="372"/>
      <c r="E28" s="387"/>
      <c r="F28" s="388"/>
      <c r="G28" s="371"/>
      <c r="H28" s="365">
        <f t="shared" si="1"/>
        <v>17</v>
      </c>
    </row>
    <row r="29" spans="1:8" ht="16" thickBot="1" x14ac:dyDescent="0.4">
      <c r="A29" s="365">
        <f t="shared" si="0"/>
        <v>18</v>
      </c>
      <c r="B29" s="361" t="s">
        <v>240</v>
      </c>
      <c r="C29" s="372"/>
      <c r="D29" s="372"/>
      <c r="E29" s="645">
        <f>E25+E27</f>
        <v>3.1847806516781263E-2</v>
      </c>
      <c r="F29" s="27"/>
      <c r="G29" s="371" t="str">
        <f>"Line "&amp;A25&amp;" + Line "&amp;A27</f>
        <v>Line 14 + Line 16</v>
      </c>
      <c r="H29" s="365">
        <f t="shared" si="1"/>
        <v>18</v>
      </c>
    </row>
    <row r="30" spans="1:8" ht="16" thickTop="1" x14ac:dyDescent="0.35">
      <c r="A30" s="365">
        <f t="shared" si="0"/>
        <v>19</v>
      </c>
      <c r="B30" s="362"/>
      <c r="C30" s="364"/>
      <c r="D30" s="364"/>
      <c r="E30" s="372"/>
      <c r="F30" s="361"/>
      <c r="G30" s="361"/>
      <c r="H30" s="365">
        <f t="shared" si="1"/>
        <v>19</v>
      </c>
    </row>
    <row r="31" spans="1:8" x14ac:dyDescent="0.35">
      <c r="A31" s="365">
        <f t="shared" si="0"/>
        <v>20</v>
      </c>
      <c r="B31" s="368" t="s">
        <v>241</v>
      </c>
      <c r="C31" s="389"/>
      <c r="D31" s="389"/>
      <c r="E31" s="364"/>
      <c r="F31" s="362"/>
      <c r="G31" s="361"/>
      <c r="H31" s="365">
        <f t="shared" si="1"/>
        <v>20</v>
      </c>
    </row>
    <row r="32" spans="1:8" x14ac:dyDescent="0.35">
      <c r="A32" s="365">
        <f t="shared" si="0"/>
        <v>21</v>
      </c>
      <c r="B32" s="369" t="s">
        <v>392</v>
      </c>
      <c r="C32" s="370"/>
      <c r="D32" s="370"/>
      <c r="E32" s="390">
        <v>27000</v>
      </c>
      <c r="F32" s="367"/>
      <c r="G32" s="371" t="s">
        <v>242</v>
      </c>
      <c r="H32" s="365">
        <f t="shared" si="1"/>
        <v>21</v>
      </c>
    </row>
    <row r="33" spans="1:8" x14ac:dyDescent="0.35">
      <c r="A33" s="365">
        <f t="shared" si="0"/>
        <v>22</v>
      </c>
      <c r="B33" s="369"/>
      <c r="C33" s="370"/>
      <c r="D33" s="370"/>
      <c r="E33" s="370"/>
      <c r="F33" s="369"/>
      <c r="G33" s="371"/>
      <c r="H33" s="365">
        <f t="shared" si="1"/>
        <v>22</v>
      </c>
    </row>
    <row r="34" spans="1:8" x14ac:dyDescent="0.35">
      <c r="A34" s="365">
        <f t="shared" si="0"/>
        <v>23</v>
      </c>
      <c r="B34" s="369" t="s">
        <v>243</v>
      </c>
      <c r="C34" s="370"/>
      <c r="D34" s="370"/>
      <c r="E34" s="644">
        <f>+E29</f>
        <v>3.1847806516781263E-2</v>
      </c>
      <c r="F34" s="27"/>
      <c r="G34" s="371" t="str">
        <f>"Line "&amp;A29&amp;" Above"</f>
        <v>Line 18 Above</v>
      </c>
      <c r="H34" s="365">
        <f t="shared" si="1"/>
        <v>23</v>
      </c>
    </row>
    <row r="35" spans="1:8" x14ac:dyDescent="0.35">
      <c r="A35" s="365">
        <f t="shared" si="0"/>
        <v>24</v>
      </c>
      <c r="B35" s="361"/>
      <c r="C35" s="372"/>
      <c r="D35" s="372"/>
      <c r="E35" s="391"/>
      <c r="F35" s="392"/>
      <c r="G35" s="371"/>
      <c r="H35" s="365">
        <f t="shared" si="1"/>
        <v>24</v>
      </c>
    </row>
    <row r="36" spans="1:8" ht="16" thickBot="1" x14ac:dyDescent="0.4">
      <c r="A36" s="365">
        <f t="shared" si="0"/>
        <v>25</v>
      </c>
      <c r="B36" s="361" t="s">
        <v>244</v>
      </c>
      <c r="C36" s="370"/>
      <c r="D36" s="370"/>
      <c r="E36" s="646">
        <f>E32*E34</f>
        <v>859.89077595309413</v>
      </c>
      <c r="F36" s="27"/>
      <c r="G36" s="371" t="str">
        <f>"Line "&amp;A32&amp;" x Line "&amp;A34</f>
        <v>Line 21 x Line 23</v>
      </c>
      <c r="H36" s="365">
        <f t="shared" si="1"/>
        <v>25</v>
      </c>
    </row>
    <row r="37" spans="1:8" ht="16" thickTop="1" x14ac:dyDescent="0.35">
      <c r="A37" s="365"/>
      <c r="B37" s="361"/>
      <c r="C37" s="369"/>
      <c r="D37" s="369"/>
      <c r="E37" s="393"/>
      <c r="F37" s="394"/>
      <c r="G37" s="371"/>
      <c r="H37" s="365"/>
    </row>
    <row r="38" spans="1:8" x14ac:dyDescent="0.35">
      <c r="A38" s="27"/>
      <c r="B38" s="24"/>
      <c r="C38" s="361"/>
      <c r="D38" s="361"/>
      <c r="E38" s="379"/>
      <c r="F38" s="379"/>
      <c r="G38" s="362"/>
      <c r="H38" s="223"/>
    </row>
    <row r="39" spans="1:8" x14ac:dyDescent="0.35">
      <c r="A39" s="364"/>
      <c r="B39" s="757" t="str">
        <f>B3</f>
        <v>SAN DIEGO GAS &amp; ELECTRIC COMPANY</v>
      </c>
      <c r="C39" s="757"/>
      <c r="D39" s="757"/>
      <c r="E39" s="757"/>
      <c r="F39" s="757"/>
      <c r="G39" s="757"/>
      <c r="H39" s="223"/>
    </row>
    <row r="40" spans="1:8" x14ac:dyDescent="0.35">
      <c r="B40" s="757" t="str">
        <f>B4</f>
        <v>CITIZENS' SHARE OF THE SX-PQ UNDERGROUND LINE SEGMENT</v>
      </c>
      <c r="C40" s="757"/>
      <c r="D40" s="757"/>
      <c r="E40" s="757"/>
      <c r="F40" s="757"/>
      <c r="G40" s="757"/>
      <c r="H40" s="380"/>
    </row>
    <row r="41" spans="1:8" x14ac:dyDescent="0.35">
      <c r="B41" s="756" t="str">
        <f>B5</f>
        <v xml:space="preserve">Section 2 - Non-Direct Expense Cost Component </v>
      </c>
      <c r="C41" s="756"/>
      <c r="D41" s="756"/>
      <c r="E41" s="756"/>
      <c r="F41" s="756"/>
      <c r="G41" s="756"/>
      <c r="H41" s="372"/>
    </row>
    <row r="42" spans="1:8" x14ac:dyDescent="0.35">
      <c r="B42" s="754" t="str">
        <f>B6</f>
        <v>Base Period &amp; True-Up Period 12 - Months Ending December 31, 2020</v>
      </c>
      <c r="C42" s="754"/>
      <c r="D42" s="754"/>
      <c r="E42" s="754"/>
      <c r="F42" s="754"/>
      <c r="G42" s="754"/>
      <c r="H42" s="372"/>
    </row>
    <row r="43" spans="1:8" x14ac:dyDescent="0.35">
      <c r="B43" s="755" t="str">
        <f>B7</f>
        <v>($1,000)</v>
      </c>
      <c r="C43" s="751"/>
      <c r="D43" s="751"/>
      <c r="E43" s="751"/>
      <c r="F43" s="751"/>
      <c r="G43" s="751"/>
      <c r="H43" s="150"/>
    </row>
    <row r="44" spans="1:8" x14ac:dyDescent="0.35">
      <c r="A44" s="395"/>
      <c r="B44" s="361"/>
      <c r="C44" s="361"/>
      <c r="D44" s="361"/>
      <c r="E44" s="361"/>
      <c r="F44" s="361"/>
      <c r="G44" s="361"/>
      <c r="H44" s="223"/>
    </row>
    <row r="45" spans="1:8" x14ac:dyDescent="0.35">
      <c r="A45" s="365" t="s">
        <v>2</v>
      </c>
      <c r="B45" s="361"/>
      <c r="C45" s="361"/>
      <c r="D45" s="361"/>
      <c r="E45" s="533"/>
      <c r="F45" s="533"/>
      <c r="G45" s="361"/>
      <c r="H45" s="365" t="s">
        <v>2</v>
      </c>
    </row>
    <row r="46" spans="1:8" x14ac:dyDescent="0.35">
      <c r="A46" s="365" t="s">
        <v>6</v>
      </c>
      <c r="B46" s="361"/>
      <c r="C46" s="361"/>
      <c r="D46" s="361"/>
      <c r="E46" s="366" t="s">
        <v>4</v>
      </c>
      <c r="F46" s="371"/>
      <c r="G46" s="366" t="s">
        <v>5</v>
      </c>
      <c r="H46" s="365" t="s">
        <v>6</v>
      </c>
    </row>
    <row r="47" spans="1:8" x14ac:dyDescent="0.35">
      <c r="A47" s="365"/>
      <c r="B47" s="361"/>
      <c r="C47" s="361"/>
      <c r="D47" s="361"/>
      <c r="E47" s="533"/>
      <c r="F47" s="533"/>
      <c r="G47" s="361"/>
      <c r="H47" s="365"/>
    </row>
    <row r="48" spans="1:8" x14ac:dyDescent="0.35">
      <c r="A48" s="365">
        <v>1</v>
      </c>
      <c r="B48" s="396" t="s">
        <v>22</v>
      </c>
      <c r="C48" s="396"/>
      <c r="D48" s="396"/>
      <c r="E48" s="397">
        <v>5362709.3410053086</v>
      </c>
      <c r="F48" s="533"/>
      <c r="G48" s="371" t="s">
        <v>412</v>
      </c>
      <c r="H48" s="365">
        <f>A48</f>
        <v>1</v>
      </c>
    </row>
    <row r="49" spans="1:10" x14ac:dyDescent="0.35">
      <c r="A49" s="365">
        <f>A48+1</f>
        <v>2</v>
      </c>
      <c r="B49" s="361"/>
      <c r="C49" s="361"/>
      <c r="D49" s="361"/>
      <c r="E49" s="360"/>
      <c r="F49" s="533"/>
      <c r="G49" s="361"/>
      <c r="H49" s="365">
        <f>H48+1</f>
        <v>2</v>
      </c>
    </row>
    <row r="50" spans="1:10" x14ac:dyDescent="0.35">
      <c r="A50" s="365">
        <f t="shared" ref="A50:A98" si="2">A49+1</f>
        <v>3</v>
      </c>
      <c r="B50" s="368" t="s">
        <v>245</v>
      </c>
      <c r="C50" s="368"/>
      <c r="D50" s="368"/>
      <c r="E50" s="398"/>
      <c r="F50" s="399"/>
      <c r="G50" s="361"/>
      <c r="H50" s="365">
        <f t="shared" ref="H50:H98" si="3">H49+1</f>
        <v>3</v>
      </c>
    </row>
    <row r="51" spans="1:10" x14ac:dyDescent="0.35">
      <c r="A51" s="365">
        <f t="shared" si="2"/>
        <v>4</v>
      </c>
      <c r="B51" s="369" t="s">
        <v>246</v>
      </c>
      <c r="C51" s="369"/>
      <c r="D51" s="369"/>
      <c r="E51" s="647">
        <v>33651.210460000017</v>
      </c>
      <c r="F51" s="27"/>
      <c r="G51" s="371" t="s">
        <v>413</v>
      </c>
      <c r="H51" s="365">
        <f t="shared" si="3"/>
        <v>4</v>
      </c>
      <c r="J51" s="400"/>
    </row>
    <row r="52" spans="1:10" x14ac:dyDescent="0.35">
      <c r="A52" s="365">
        <f t="shared" si="2"/>
        <v>5</v>
      </c>
      <c r="B52" s="369"/>
      <c r="C52" s="369"/>
      <c r="D52" s="369"/>
      <c r="E52" s="401"/>
      <c r="F52" s="402"/>
      <c r="G52" s="371"/>
      <c r="H52" s="365">
        <f t="shared" si="3"/>
        <v>5</v>
      </c>
      <c r="J52" s="400"/>
    </row>
    <row r="53" spans="1:10" x14ac:dyDescent="0.35">
      <c r="A53" s="365">
        <f t="shared" si="2"/>
        <v>6</v>
      </c>
      <c r="B53" s="369" t="s">
        <v>247</v>
      </c>
      <c r="C53" s="361"/>
      <c r="D53" s="361"/>
      <c r="E53" s="410">
        <f>E51/E48</f>
        <v>6.2750390372064554E-3</v>
      </c>
      <c r="F53" s="27"/>
      <c r="G53" s="371" t="s">
        <v>414</v>
      </c>
      <c r="H53" s="365">
        <f t="shared" si="3"/>
        <v>6</v>
      </c>
      <c r="J53" s="400"/>
    </row>
    <row r="54" spans="1:10" x14ac:dyDescent="0.35">
      <c r="A54" s="365">
        <f t="shared" si="2"/>
        <v>7</v>
      </c>
      <c r="B54" s="369"/>
      <c r="C54" s="369"/>
      <c r="D54" s="369"/>
      <c r="E54" s="403"/>
      <c r="F54" s="404"/>
      <c r="G54" s="371"/>
      <c r="H54" s="365">
        <f t="shared" si="3"/>
        <v>7</v>
      </c>
    </row>
    <row r="55" spans="1:10" x14ac:dyDescent="0.35">
      <c r="A55" s="365">
        <f t="shared" si="2"/>
        <v>8</v>
      </c>
      <c r="B55" s="368" t="s">
        <v>248</v>
      </c>
      <c r="C55" s="368"/>
      <c r="D55" s="368"/>
      <c r="E55" s="405"/>
      <c r="F55" s="406"/>
      <c r="G55" s="407"/>
      <c r="H55" s="365">
        <f t="shared" si="3"/>
        <v>8</v>
      </c>
    </row>
    <row r="56" spans="1:10" x14ac:dyDescent="0.35">
      <c r="A56" s="365">
        <f t="shared" si="2"/>
        <v>9</v>
      </c>
      <c r="B56" s="369" t="s">
        <v>249</v>
      </c>
      <c r="C56" s="369"/>
      <c r="D56" s="369"/>
      <c r="E56" s="408">
        <v>45991.371993598652</v>
      </c>
      <c r="F56" s="27" t="s">
        <v>16</v>
      </c>
      <c r="G56" s="371" t="s">
        <v>415</v>
      </c>
      <c r="H56" s="365">
        <f t="shared" si="3"/>
        <v>9</v>
      </c>
    </row>
    <row r="57" spans="1:10" x14ac:dyDescent="0.35">
      <c r="A57" s="365">
        <f t="shared" si="2"/>
        <v>10</v>
      </c>
      <c r="B57" s="361"/>
      <c r="C57" s="361"/>
      <c r="D57" s="361"/>
      <c r="E57" s="405"/>
      <c r="F57" s="406"/>
      <c r="G57" s="371"/>
      <c r="H57" s="365">
        <f t="shared" si="3"/>
        <v>10</v>
      </c>
    </row>
    <row r="58" spans="1:10" x14ac:dyDescent="0.35">
      <c r="A58" s="365">
        <f t="shared" si="2"/>
        <v>11</v>
      </c>
      <c r="B58" s="409" t="s">
        <v>250</v>
      </c>
      <c r="C58" s="407"/>
      <c r="D58" s="407"/>
      <c r="E58" s="410">
        <f>E56/E48</f>
        <v>8.576144830735313E-3</v>
      </c>
      <c r="F58" s="411"/>
      <c r="G58" s="371" t="s">
        <v>416</v>
      </c>
      <c r="H58" s="365">
        <f t="shared" si="3"/>
        <v>11</v>
      </c>
    </row>
    <row r="59" spans="1:10" x14ac:dyDescent="0.35">
      <c r="A59" s="365">
        <f t="shared" si="2"/>
        <v>12</v>
      </c>
      <c r="B59" s="407"/>
      <c r="C59" s="407"/>
      <c r="D59" s="407"/>
      <c r="E59" s="412"/>
      <c r="F59" s="413"/>
      <c r="G59" s="371"/>
      <c r="H59" s="365">
        <f t="shared" si="3"/>
        <v>12</v>
      </c>
    </row>
    <row r="60" spans="1:10" x14ac:dyDescent="0.35">
      <c r="A60" s="365">
        <f t="shared" si="2"/>
        <v>13</v>
      </c>
      <c r="B60" s="368" t="s">
        <v>251</v>
      </c>
      <c r="C60" s="407"/>
      <c r="D60" s="407"/>
      <c r="E60" s="412"/>
      <c r="F60" s="413"/>
      <c r="G60" s="371"/>
      <c r="H60" s="365">
        <f t="shared" si="3"/>
        <v>13</v>
      </c>
    </row>
    <row r="61" spans="1:10" x14ac:dyDescent="0.35">
      <c r="A61" s="365">
        <f t="shared" si="2"/>
        <v>14</v>
      </c>
      <c r="B61" s="409" t="s">
        <v>234</v>
      </c>
      <c r="C61" s="407"/>
      <c r="D61" s="407"/>
      <c r="E61" s="414">
        <v>56881.459335723564</v>
      </c>
      <c r="F61" s="413"/>
      <c r="G61" s="371" t="s">
        <v>417</v>
      </c>
      <c r="H61" s="365">
        <f t="shared" si="3"/>
        <v>14</v>
      </c>
    </row>
    <row r="62" spans="1:10" x14ac:dyDescent="0.35">
      <c r="A62" s="365">
        <f t="shared" si="2"/>
        <v>15</v>
      </c>
      <c r="B62" s="407"/>
      <c r="C62" s="407"/>
      <c r="D62" s="407"/>
      <c r="E62" s="405"/>
      <c r="F62" s="413"/>
      <c r="G62" s="371"/>
      <c r="H62" s="365">
        <f t="shared" si="3"/>
        <v>15</v>
      </c>
    </row>
    <row r="63" spans="1:10" x14ac:dyDescent="0.35">
      <c r="A63" s="365">
        <f t="shared" si="2"/>
        <v>16</v>
      </c>
      <c r="B63" s="409" t="s">
        <v>252</v>
      </c>
      <c r="C63" s="407"/>
      <c r="D63" s="407"/>
      <c r="E63" s="410">
        <f>E61/E48</f>
        <v>1.060685107447207E-2</v>
      </c>
      <c r="F63" s="413"/>
      <c r="G63" s="371" t="s">
        <v>418</v>
      </c>
      <c r="H63" s="365">
        <f t="shared" si="3"/>
        <v>16</v>
      </c>
    </row>
    <row r="64" spans="1:10" x14ac:dyDescent="0.35">
      <c r="A64" s="365">
        <f t="shared" si="2"/>
        <v>17</v>
      </c>
      <c r="B64" s="407"/>
      <c r="C64" s="407"/>
      <c r="D64" s="407"/>
      <c r="E64" s="412"/>
      <c r="F64" s="413"/>
      <c r="G64" s="371"/>
      <c r="H64" s="365">
        <f t="shared" si="3"/>
        <v>17</v>
      </c>
    </row>
    <row r="65" spans="1:8" x14ac:dyDescent="0.35">
      <c r="A65" s="365">
        <f t="shared" si="2"/>
        <v>18</v>
      </c>
      <c r="B65" s="368" t="s">
        <v>253</v>
      </c>
      <c r="C65" s="368"/>
      <c r="D65" s="368"/>
      <c r="E65" s="412"/>
      <c r="F65" s="413"/>
      <c r="G65" s="371"/>
      <c r="H65" s="365">
        <f t="shared" si="3"/>
        <v>18</v>
      </c>
    </row>
    <row r="66" spans="1:8" x14ac:dyDescent="0.35">
      <c r="A66" s="365">
        <f t="shared" si="2"/>
        <v>19</v>
      </c>
      <c r="B66" s="369" t="s">
        <v>235</v>
      </c>
      <c r="C66" s="369"/>
      <c r="D66" s="369"/>
      <c r="E66" s="414">
        <v>1699.0807697468208</v>
      </c>
      <c r="F66" s="533"/>
      <c r="G66" s="371" t="s">
        <v>419</v>
      </c>
      <c r="H66" s="365">
        <f t="shared" si="3"/>
        <v>19</v>
      </c>
    </row>
    <row r="67" spans="1:8" x14ac:dyDescent="0.35">
      <c r="A67" s="365">
        <f t="shared" si="2"/>
        <v>20</v>
      </c>
      <c r="B67" s="407"/>
      <c r="C67" s="407"/>
      <c r="D67" s="407"/>
      <c r="E67" s="412"/>
      <c r="F67" s="413"/>
      <c r="G67" s="371"/>
      <c r="H67" s="365">
        <f t="shared" si="3"/>
        <v>20</v>
      </c>
    </row>
    <row r="68" spans="1:8" x14ac:dyDescent="0.35">
      <c r="A68" s="365">
        <f t="shared" si="2"/>
        <v>21</v>
      </c>
      <c r="B68" s="409" t="s">
        <v>254</v>
      </c>
      <c r="C68" s="407"/>
      <c r="D68" s="407"/>
      <c r="E68" s="410">
        <f>E66/E48</f>
        <v>3.1683253029490246E-4</v>
      </c>
      <c r="F68" s="411"/>
      <c r="G68" s="371" t="s">
        <v>420</v>
      </c>
      <c r="H68" s="365">
        <f t="shared" si="3"/>
        <v>21</v>
      </c>
    </row>
    <row r="69" spans="1:8" x14ac:dyDescent="0.35">
      <c r="A69" s="365">
        <f t="shared" si="2"/>
        <v>22</v>
      </c>
      <c r="B69" s="407"/>
      <c r="C69" s="407"/>
      <c r="D69" s="407"/>
      <c r="E69" s="412"/>
      <c r="F69" s="413"/>
      <c r="G69" s="371"/>
      <c r="H69" s="365">
        <f t="shared" si="3"/>
        <v>22</v>
      </c>
    </row>
    <row r="70" spans="1:8" x14ac:dyDescent="0.35">
      <c r="A70" s="365">
        <f t="shared" si="2"/>
        <v>23</v>
      </c>
      <c r="B70" s="368" t="s">
        <v>255</v>
      </c>
      <c r="C70" s="368"/>
      <c r="D70" s="368"/>
      <c r="E70" s="415"/>
      <c r="F70" s="416"/>
      <c r="G70" s="371"/>
      <c r="H70" s="365">
        <f t="shared" si="3"/>
        <v>23</v>
      </c>
    </row>
    <row r="71" spans="1:8" x14ac:dyDescent="0.35">
      <c r="A71" s="365">
        <f t="shared" si="2"/>
        <v>24</v>
      </c>
      <c r="B71" s="417" t="s">
        <v>393</v>
      </c>
      <c r="C71" s="361"/>
      <c r="D71" s="361"/>
      <c r="E71" s="415"/>
      <c r="F71" s="416"/>
      <c r="G71" s="371"/>
      <c r="H71" s="365">
        <f t="shared" si="3"/>
        <v>24</v>
      </c>
    </row>
    <row r="72" spans="1:8" x14ac:dyDescent="0.35">
      <c r="A72" s="365">
        <f t="shared" si="2"/>
        <v>25</v>
      </c>
      <c r="B72" s="369" t="s">
        <v>256</v>
      </c>
      <c r="C72" s="369"/>
      <c r="D72" s="369"/>
      <c r="E72" s="418">
        <v>50955.986223078966</v>
      </c>
      <c r="F72" s="533"/>
      <c r="G72" s="371" t="s">
        <v>421</v>
      </c>
      <c r="H72" s="365">
        <f t="shared" si="3"/>
        <v>25</v>
      </c>
    </row>
    <row r="73" spans="1:8" x14ac:dyDescent="0.35">
      <c r="A73" s="365">
        <f t="shared" si="2"/>
        <v>26</v>
      </c>
      <c r="B73" s="369" t="s">
        <v>257</v>
      </c>
      <c r="C73" s="369"/>
      <c r="D73" s="369"/>
      <c r="E73" s="419">
        <v>37080.695383757316</v>
      </c>
      <c r="F73" s="533"/>
      <c r="G73" s="371" t="s">
        <v>422</v>
      </c>
      <c r="H73" s="365">
        <f t="shared" si="3"/>
        <v>26</v>
      </c>
    </row>
    <row r="74" spans="1:8" x14ac:dyDescent="0.35">
      <c r="A74" s="365">
        <f t="shared" si="2"/>
        <v>27</v>
      </c>
      <c r="B74" s="369" t="s">
        <v>258</v>
      </c>
      <c r="C74" s="369"/>
      <c r="D74" s="369"/>
      <c r="E74" s="420">
        <v>9955.3228066998345</v>
      </c>
      <c r="F74" s="27" t="s">
        <v>16</v>
      </c>
      <c r="G74" s="371" t="s">
        <v>423</v>
      </c>
      <c r="H74" s="365">
        <f t="shared" si="3"/>
        <v>27</v>
      </c>
    </row>
    <row r="75" spans="1:8" x14ac:dyDescent="0.35">
      <c r="A75" s="365">
        <f t="shared" si="2"/>
        <v>28</v>
      </c>
      <c r="B75" s="369" t="s">
        <v>259</v>
      </c>
      <c r="C75" s="361"/>
      <c r="D75" s="361"/>
      <c r="E75" s="421">
        <f>SUM(E72:E74)</f>
        <v>97992.004413536109</v>
      </c>
      <c r="F75" s="27" t="s">
        <v>16</v>
      </c>
      <c r="G75" s="371" t="s">
        <v>424</v>
      </c>
      <c r="H75" s="365">
        <f t="shared" si="3"/>
        <v>28</v>
      </c>
    </row>
    <row r="76" spans="1:8" x14ac:dyDescent="0.35">
      <c r="A76" s="365">
        <f t="shared" si="2"/>
        <v>29</v>
      </c>
      <c r="B76" s="361"/>
      <c r="C76" s="361"/>
      <c r="D76" s="361"/>
      <c r="E76" s="422"/>
      <c r="F76" s="423"/>
      <c r="G76" s="371"/>
      <c r="H76" s="365">
        <f t="shared" si="3"/>
        <v>29</v>
      </c>
    </row>
    <row r="77" spans="1:8" x14ac:dyDescent="0.35">
      <c r="A77" s="365">
        <f t="shared" si="2"/>
        <v>30</v>
      </c>
      <c r="B77" s="369" t="s">
        <v>260</v>
      </c>
      <c r="C77" s="369"/>
      <c r="D77" s="369"/>
      <c r="E77" s="655">
        <v>0.10066568521995188</v>
      </c>
      <c r="F77" s="27" t="s">
        <v>16</v>
      </c>
      <c r="G77" s="371" t="s">
        <v>425</v>
      </c>
      <c r="H77" s="365">
        <f t="shared" si="3"/>
        <v>30</v>
      </c>
    </row>
    <row r="78" spans="1:8" x14ac:dyDescent="0.35">
      <c r="A78" s="365">
        <f t="shared" si="2"/>
        <v>31</v>
      </c>
      <c r="B78" s="361"/>
      <c r="C78" s="361"/>
      <c r="D78" s="361"/>
      <c r="E78" s="422"/>
      <c r="F78" s="423"/>
      <c r="G78" s="371"/>
      <c r="H78" s="365">
        <f t="shared" si="3"/>
        <v>31</v>
      </c>
    </row>
    <row r="79" spans="1:8" x14ac:dyDescent="0.35">
      <c r="A79" s="365">
        <f t="shared" si="2"/>
        <v>32</v>
      </c>
      <c r="B79" s="369" t="s">
        <v>261</v>
      </c>
      <c r="C79" s="361"/>
      <c r="D79" s="361"/>
      <c r="E79" s="648">
        <f>E75*E77</f>
        <v>9864.4322703651615</v>
      </c>
      <c r="F79" s="27"/>
      <c r="G79" s="371" t="s">
        <v>426</v>
      </c>
      <c r="H79" s="365">
        <f t="shared" si="3"/>
        <v>32</v>
      </c>
    </row>
    <row r="80" spans="1:8" x14ac:dyDescent="0.35">
      <c r="A80" s="365">
        <f t="shared" si="2"/>
        <v>33</v>
      </c>
      <c r="B80" s="361"/>
      <c r="C80" s="361"/>
      <c r="D80" s="361"/>
      <c r="E80" s="422"/>
      <c r="F80" s="423"/>
      <c r="G80" s="371"/>
      <c r="H80" s="365">
        <f t="shared" si="3"/>
        <v>33</v>
      </c>
    </row>
    <row r="81" spans="1:9" x14ac:dyDescent="0.35">
      <c r="A81" s="365">
        <f t="shared" si="2"/>
        <v>34</v>
      </c>
      <c r="B81" s="369" t="s">
        <v>262</v>
      </c>
      <c r="C81" s="361"/>
      <c r="D81" s="361"/>
      <c r="E81" s="410">
        <f>E79/E48</f>
        <v>1.8394493609672209E-3</v>
      </c>
      <c r="F81" s="411"/>
      <c r="G81" s="371" t="s">
        <v>427</v>
      </c>
      <c r="H81" s="365">
        <f t="shared" si="3"/>
        <v>34</v>
      </c>
    </row>
    <row r="82" spans="1:9" x14ac:dyDescent="0.35">
      <c r="A82" s="365">
        <f t="shared" si="2"/>
        <v>35</v>
      </c>
      <c r="B82" s="369"/>
      <c r="C82" s="361"/>
      <c r="D82" s="361"/>
      <c r="E82" s="425"/>
      <c r="F82" s="411"/>
      <c r="G82" s="371"/>
      <c r="H82" s="365">
        <f t="shared" si="3"/>
        <v>35</v>
      </c>
    </row>
    <row r="83" spans="1:9" x14ac:dyDescent="0.35">
      <c r="A83" s="365">
        <f t="shared" si="2"/>
        <v>36</v>
      </c>
      <c r="B83" s="368" t="s">
        <v>263</v>
      </c>
      <c r="C83" s="426"/>
      <c r="D83" s="426"/>
      <c r="E83" s="427"/>
      <c r="F83" s="427"/>
      <c r="G83" s="427"/>
      <c r="H83" s="365">
        <f t="shared" si="3"/>
        <v>36</v>
      </c>
    </row>
    <row r="84" spans="1:9" x14ac:dyDescent="0.35">
      <c r="A84" s="365">
        <f t="shared" si="2"/>
        <v>37</v>
      </c>
      <c r="B84" s="369" t="s">
        <v>264</v>
      </c>
      <c r="C84" s="426"/>
      <c r="D84" s="426"/>
      <c r="E84" s="191">
        <v>28018.267765879718</v>
      </c>
      <c r="F84" s="427"/>
      <c r="G84" s="371" t="s">
        <v>428</v>
      </c>
      <c r="H84" s="365">
        <f t="shared" si="3"/>
        <v>37</v>
      </c>
    </row>
    <row r="85" spans="1:9" x14ac:dyDescent="0.35">
      <c r="A85" s="365">
        <f t="shared" si="2"/>
        <v>38</v>
      </c>
      <c r="B85" s="368"/>
      <c r="C85" s="426"/>
      <c r="D85" s="426"/>
      <c r="E85" s="427"/>
      <c r="F85" s="427"/>
      <c r="G85" s="427"/>
      <c r="H85" s="365">
        <f t="shared" si="3"/>
        <v>38</v>
      </c>
    </row>
    <row r="86" spans="1:9" x14ac:dyDescent="0.35">
      <c r="A86" s="365">
        <f t="shared" si="2"/>
        <v>39</v>
      </c>
      <c r="B86" s="369" t="s">
        <v>265</v>
      </c>
      <c r="C86" s="426"/>
      <c r="D86" s="426"/>
      <c r="E86" s="428">
        <v>58941.050956189742</v>
      </c>
      <c r="F86" s="427"/>
      <c r="G86" s="371" t="s">
        <v>429</v>
      </c>
      <c r="H86" s="365">
        <f t="shared" si="3"/>
        <v>39</v>
      </c>
    </row>
    <row r="87" spans="1:9" ht="18" x14ac:dyDescent="0.6">
      <c r="A87" s="365">
        <f t="shared" si="2"/>
        <v>40</v>
      </c>
      <c r="B87" s="426"/>
      <c r="C87" s="429"/>
      <c r="D87" s="429"/>
      <c r="E87" s="430"/>
      <c r="F87" s="431"/>
      <c r="G87" s="426"/>
      <c r="H87" s="365">
        <f t="shared" si="3"/>
        <v>40</v>
      </c>
    </row>
    <row r="88" spans="1:9" x14ac:dyDescent="0.35">
      <c r="A88" s="365">
        <f t="shared" si="2"/>
        <v>41</v>
      </c>
      <c r="B88" s="369" t="s">
        <v>266</v>
      </c>
      <c r="C88" s="429"/>
      <c r="D88" s="429"/>
      <c r="E88" s="432">
        <f>E84+E86</f>
        <v>86959.318722069467</v>
      </c>
      <c r="F88" s="433"/>
      <c r="G88" s="371" t="s">
        <v>430</v>
      </c>
      <c r="H88" s="365">
        <f t="shared" si="3"/>
        <v>41</v>
      </c>
    </row>
    <row r="89" spans="1:9" x14ac:dyDescent="0.35">
      <c r="A89" s="365">
        <f t="shared" si="2"/>
        <v>42</v>
      </c>
      <c r="B89" s="434"/>
      <c r="C89" s="429"/>
      <c r="D89" s="429"/>
      <c r="E89" s="435"/>
      <c r="F89" s="433"/>
      <c r="G89" s="436"/>
      <c r="H89" s="365">
        <f t="shared" si="3"/>
        <v>42</v>
      </c>
    </row>
    <row r="90" spans="1:9" x14ac:dyDescent="0.35">
      <c r="A90" s="365">
        <f t="shared" si="2"/>
        <v>43</v>
      </c>
      <c r="B90" s="369" t="s">
        <v>260</v>
      </c>
      <c r="C90" s="429"/>
      <c r="D90" s="429"/>
      <c r="E90" s="661">
        <f>E77</f>
        <v>0.10066568521995188</v>
      </c>
      <c r="F90" s="27" t="s">
        <v>16</v>
      </c>
      <c r="G90" s="371" t="s">
        <v>431</v>
      </c>
      <c r="H90" s="365">
        <f t="shared" si="3"/>
        <v>43</v>
      </c>
    </row>
    <row r="91" spans="1:9" x14ac:dyDescent="0.35">
      <c r="A91" s="365">
        <f t="shared" si="2"/>
        <v>44</v>
      </c>
      <c r="B91" s="426"/>
      <c r="C91" s="429"/>
      <c r="D91" s="429"/>
      <c r="E91" s="438"/>
      <c r="F91" s="439"/>
      <c r="G91" s="426"/>
      <c r="H91" s="365">
        <f t="shared" si="3"/>
        <v>44</v>
      </c>
    </row>
    <row r="92" spans="1:9" x14ac:dyDescent="0.35">
      <c r="A92" s="365">
        <f t="shared" si="2"/>
        <v>45</v>
      </c>
      <c r="B92" s="369" t="s">
        <v>267</v>
      </c>
      <c r="C92" s="429"/>
      <c r="D92" s="429"/>
      <c r="E92" s="334">
        <f>E88*E90</f>
        <v>8753.8194054173127</v>
      </c>
      <c r="F92" s="440"/>
      <c r="G92" s="371" t="s">
        <v>432</v>
      </c>
      <c r="H92" s="365">
        <f t="shared" si="3"/>
        <v>45</v>
      </c>
    </row>
    <row r="93" spans="1:9" x14ac:dyDescent="0.35">
      <c r="A93" s="365">
        <f t="shared" si="2"/>
        <v>46</v>
      </c>
      <c r="B93" s="434"/>
      <c r="C93" s="429"/>
      <c r="D93" s="429"/>
      <c r="E93" s="441"/>
      <c r="F93" s="440"/>
      <c r="G93" s="436"/>
      <c r="H93" s="365">
        <f t="shared" si="3"/>
        <v>46</v>
      </c>
    </row>
    <row r="94" spans="1:9" x14ac:dyDescent="0.35">
      <c r="A94" s="365">
        <f t="shared" si="2"/>
        <v>47</v>
      </c>
      <c r="B94" s="369" t="s">
        <v>268</v>
      </c>
      <c r="C94" s="429"/>
      <c r="D94" s="429"/>
      <c r="E94" s="442">
        <v>12212.130502049462</v>
      </c>
      <c r="F94" s="440"/>
      <c r="G94" s="371" t="s">
        <v>433</v>
      </c>
      <c r="H94" s="365">
        <f t="shared" si="3"/>
        <v>47</v>
      </c>
      <c r="I94" s="429"/>
    </row>
    <row r="95" spans="1:9" x14ac:dyDescent="0.35">
      <c r="A95" s="365">
        <f t="shared" si="2"/>
        <v>48</v>
      </c>
      <c r="B95" s="369"/>
      <c r="C95" s="429"/>
      <c r="D95" s="429"/>
      <c r="E95" s="329"/>
      <c r="F95" s="440"/>
      <c r="G95" s="371"/>
      <c r="H95" s="365">
        <f t="shared" si="3"/>
        <v>48</v>
      </c>
    </row>
    <row r="96" spans="1:9" x14ac:dyDescent="0.35">
      <c r="A96" s="365">
        <f t="shared" si="2"/>
        <v>49</v>
      </c>
      <c r="B96" s="369" t="s">
        <v>269</v>
      </c>
      <c r="C96" s="429"/>
      <c r="D96" s="429"/>
      <c r="E96" s="329">
        <f>E92+E94</f>
        <v>20965.949907466776</v>
      </c>
      <c r="F96" s="440"/>
      <c r="G96" s="371" t="s">
        <v>434</v>
      </c>
      <c r="H96" s="365">
        <f t="shared" si="3"/>
        <v>49</v>
      </c>
    </row>
    <row r="97" spans="1:8" x14ac:dyDescent="0.35">
      <c r="A97" s="365">
        <f t="shared" si="2"/>
        <v>50</v>
      </c>
      <c r="B97" s="426"/>
      <c r="C97" s="429"/>
      <c r="D97" s="429"/>
      <c r="E97" s="443"/>
      <c r="F97" s="426"/>
      <c r="G97" s="426"/>
      <c r="H97" s="365">
        <f t="shared" si="3"/>
        <v>50</v>
      </c>
    </row>
    <row r="98" spans="1:8" ht="16" thickBot="1" x14ac:dyDescent="0.4">
      <c r="A98" s="365">
        <f t="shared" si="2"/>
        <v>51</v>
      </c>
      <c r="B98" s="369" t="s">
        <v>270</v>
      </c>
      <c r="C98" s="429"/>
      <c r="D98" s="429"/>
      <c r="E98" s="444">
        <f>E96/E48</f>
        <v>3.9095816264277418E-3</v>
      </c>
      <c r="F98" s="445"/>
      <c r="G98" s="371" t="s">
        <v>435</v>
      </c>
      <c r="H98" s="365">
        <f t="shared" si="3"/>
        <v>51</v>
      </c>
    </row>
    <row r="99" spans="1:8" ht="16" thickTop="1" x14ac:dyDescent="0.35">
      <c r="A99" s="365"/>
      <c r="B99" s="369"/>
      <c r="C99" s="429"/>
      <c r="D99" s="429"/>
      <c r="E99" s="410"/>
      <c r="F99" s="445"/>
      <c r="G99" s="371"/>
      <c r="H99" s="365"/>
    </row>
    <row r="100" spans="1:8" x14ac:dyDescent="0.35">
      <c r="A100" s="372"/>
    </row>
    <row r="101" spans="1:8" x14ac:dyDescent="0.35">
      <c r="A101" s="27" t="s">
        <v>16</v>
      </c>
      <c r="B101" s="24" t="s">
        <v>611</v>
      </c>
    </row>
    <row r="102" spans="1:8" x14ac:dyDescent="0.35">
      <c r="A102" s="372"/>
      <c r="B102" s="24" t="s">
        <v>559</v>
      </c>
    </row>
    <row r="103" spans="1:8" x14ac:dyDescent="0.35">
      <c r="A103" s="372"/>
    </row>
    <row r="104" spans="1:8" x14ac:dyDescent="0.35">
      <c r="A104" s="372"/>
    </row>
    <row r="105" spans="1:8" x14ac:dyDescent="0.35">
      <c r="A105" s="372"/>
    </row>
    <row r="106" spans="1:8" x14ac:dyDescent="0.35">
      <c r="A106" s="372"/>
    </row>
    <row r="107" spans="1:8" x14ac:dyDescent="0.35">
      <c r="A107" s="372"/>
    </row>
    <row r="108" spans="1:8" x14ac:dyDescent="0.35">
      <c r="A108" s="372"/>
    </row>
    <row r="109" spans="1:8" x14ac:dyDescent="0.35">
      <c r="A109" s="372"/>
    </row>
    <row r="110" spans="1:8" x14ac:dyDescent="0.35">
      <c r="A110" s="372"/>
    </row>
    <row r="111" spans="1:8" x14ac:dyDescent="0.35">
      <c r="A111" s="372"/>
    </row>
    <row r="112" spans="1:8" x14ac:dyDescent="0.35">
      <c r="A112" s="372"/>
    </row>
    <row r="113" spans="1:1" x14ac:dyDescent="0.35">
      <c r="A113" s="372"/>
    </row>
    <row r="114" spans="1:1" x14ac:dyDescent="0.35">
      <c r="A114" s="372"/>
    </row>
    <row r="115" spans="1:1" x14ac:dyDescent="0.35">
      <c r="A115" s="372"/>
    </row>
    <row r="116" spans="1:1" x14ac:dyDescent="0.35">
      <c r="A116" s="372"/>
    </row>
    <row r="117" spans="1:1" x14ac:dyDescent="0.35">
      <c r="A117" s="372"/>
    </row>
    <row r="118" spans="1:1" x14ac:dyDescent="0.35">
      <c r="A118" s="372"/>
    </row>
    <row r="119" spans="1:1" x14ac:dyDescent="0.35">
      <c r="A119" s="372"/>
    </row>
    <row r="120" spans="1:1" x14ac:dyDescent="0.35">
      <c r="A120" s="372"/>
    </row>
    <row r="121" spans="1:1" x14ac:dyDescent="0.35">
      <c r="A121" s="372"/>
    </row>
    <row r="122" spans="1:1" x14ac:dyDescent="0.35">
      <c r="A122" s="372"/>
    </row>
    <row r="123" spans="1:1" x14ac:dyDescent="0.35">
      <c r="A123" s="372"/>
    </row>
    <row r="124" spans="1:1" x14ac:dyDescent="0.35">
      <c r="A124" s="372"/>
    </row>
    <row r="125" spans="1:1" x14ac:dyDescent="0.35">
      <c r="A125" s="372"/>
    </row>
    <row r="126" spans="1:1" x14ac:dyDescent="0.35">
      <c r="A126" s="372"/>
    </row>
    <row r="127" spans="1:1" x14ac:dyDescent="0.35">
      <c r="A127" s="372"/>
    </row>
    <row r="128" spans="1:1" x14ac:dyDescent="0.35">
      <c r="A128" s="372"/>
    </row>
    <row r="129" spans="1:1" x14ac:dyDescent="0.35">
      <c r="A129" s="372"/>
    </row>
    <row r="130" spans="1:1" x14ac:dyDescent="0.35">
      <c r="A130" s="372"/>
    </row>
    <row r="131" spans="1:1" x14ac:dyDescent="0.35">
      <c r="A131" s="372"/>
    </row>
    <row r="132" spans="1:1" x14ac:dyDescent="0.35">
      <c r="A132" s="372"/>
    </row>
    <row r="133" spans="1:1" x14ac:dyDescent="0.35">
      <c r="A133" s="372"/>
    </row>
    <row r="134" spans="1:1" x14ac:dyDescent="0.35">
      <c r="A134" s="372"/>
    </row>
    <row r="135" spans="1:1" x14ac:dyDescent="0.35">
      <c r="A135" s="372"/>
    </row>
    <row r="136" spans="1:1" x14ac:dyDescent="0.35">
      <c r="A136" s="372"/>
    </row>
    <row r="137" spans="1:1" x14ac:dyDescent="0.35">
      <c r="A137" s="372"/>
    </row>
    <row r="138" spans="1:1" x14ac:dyDescent="0.35">
      <c r="A138" s="372"/>
    </row>
    <row r="139" spans="1:1" x14ac:dyDescent="0.35">
      <c r="A139" s="372"/>
    </row>
    <row r="140" spans="1:1" x14ac:dyDescent="0.35">
      <c r="A140" s="372"/>
    </row>
    <row r="141" spans="1:1" x14ac:dyDescent="0.35">
      <c r="A141" s="372"/>
    </row>
    <row r="142" spans="1:1" x14ac:dyDescent="0.35">
      <c r="A142" s="372"/>
    </row>
    <row r="143" spans="1:1" x14ac:dyDescent="0.35">
      <c r="A143" s="372"/>
    </row>
    <row r="144" spans="1:1" x14ac:dyDescent="0.35">
      <c r="A144" s="372"/>
    </row>
    <row r="145" spans="1:6" x14ac:dyDescent="0.35">
      <c r="A145" s="372"/>
    </row>
    <row r="146" spans="1:6" x14ac:dyDescent="0.35">
      <c r="A146" s="372"/>
    </row>
    <row r="147" spans="1:6" x14ac:dyDescent="0.35">
      <c r="A147" s="372"/>
    </row>
    <row r="148" spans="1:6" x14ac:dyDescent="0.35">
      <c r="A148" s="372"/>
    </row>
    <row r="149" spans="1:6" x14ac:dyDescent="0.35">
      <c r="A149" s="372"/>
    </row>
    <row r="150" spans="1:6" x14ac:dyDescent="0.35">
      <c r="A150" s="372"/>
    </row>
    <row r="151" spans="1:6" x14ac:dyDescent="0.35">
      <c r="A151" s="372"/>
    </row>
    <row r="152" spans="1:6" x14ac:dyDescent="0.35">
      <c r="A152" s="372"/>
    </row>
    <row r="153" spans="1:6" x14ac:dyDescent="0.35">
      <c r="A153" s="372"/>
      <c r="B153" s="362"/>
      <c r="C153" s="362"/>
      <c r="D153" s="362"/>
      <c r="E153" s="362"/>
      <c r="F153" s="362"/>
    </row>
    <row r="154" spans="1:6" x14ac:dyDescent="0.35">
      <c r="A154" s="372"/>
      <c r="B154" s="362"/>
      <c r="C154" s="362"/>
      <c r="D154" s="362"/>
      <c r="E154" s="362"/>
      <c r="F154" s="362"/>
    </row>
    <row r="159" spans="1:6" x14ac:dyDescent="0.35">
      <c r="A159" s="364"/>
      <c r="B159" s="362"/>
      <c r="C159" s="362"/>
      <c r="D159" s="362"/>
      <c r="E159" s="446"/>
      <c r="F159" s="446"/>
    </row>
  </sheetData>
  <mergeCells count="10">
    <mergeCell ref="B4:G4"/>
    <mergeCell ref="B3:G3"/>
    <mergeCell ref="B41:G41"/>
    <mergeCell ref="B40:G40"/>
    <mergeCell ref="B42:G42"/>
    <mergeCell ref="B43:G43"/>
    <mergeCell ref="B5:G5"/>
    <mergeCell ref="B6:G6"/>
    <mergeCell ref="B7:G7"/>
    <mergeCell ref="B39:G39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 SEC. 2 WITH COST ADJ. INCL. IN APPENDIX XII CYLE 5 (ER23-110)</oddHeader>
    <oddFooter>&amp;L&amp;F&amp;CPage 6.&amp;P&amp;R&amp;A</oddFooter>
  </headerFooter>
  <rowBreaks count="1" manualBreakCount="1">
    <brk id="3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D0DBF-5117-4180-B41D-B14CD9806BBD}">
  <sheetPr>
    <pageSetUpPr fitToPage="1"/>
  </sheetPr>
  <dimension ref="A1:R42"/>
  <sheetViews>
    <sheetView zoomScale="80" zoomScaleNormal="80" workbookViewId="0"/>
  </sheetViews>
  <sheetFormatPr defaultColWidth="9.1796875" defaultRowHeight="15.5" x14ac:dyDescent="0.35"/>
  <cols>
    <col min="1" max="1" width="5.1796875" style="41" customWidth="1"/>
    <col min="2" max="2" width="12.54296875" style="42" customWidth="1"/>
    <col min="3" max="3" width="20" style="42" customWidth="1"/>
    <col min="4" max="7" width="21.54296875" style="42" customWidth="1"/>
    <col min="8" max="8" width="22.81640625" style="42" bestFit="1" customWidth="1"/>
    <col min="9" max="12" width="21.54296875" style="42" customWidth="1"/>
    <col min="13" max="13" width="2" style="42" bestFit="1" customWidth="1"/>
    <col min="14" max="14" width="21.54296875" style="42" customWidth="1"/>
    <col min="15" max="15" width="5.1796875" style="41" customWidth="1"/>
    <col min="16" max="16" width="13.54296875" style="42" customWidth="1"/>
    <col min="17" max="17" width="12.54296875" style="42" customWidth="1"/>
    <col min="18" max="16384" width="9.1796875" style="42"/>
  </cols>
  <sheetData>
    <row r="1" spans="1:15" x14ac:dyDescent="0.35">
      <c r="I1" s="535"/>
    </row>
    <row r="2" spans="1:15" x14ac:dyDescent="0.35">
      <c r="B2" s="758" t="s">
        <v>24</v>
      </c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</row>
    <row r="3" spans="1:15" x14ac:dyDescent="0.3">
      <c r="B3" s="751" t="s">
        <v>216</v>
      </c>
      <c r="C3" s="751"/>
      <c r="D3" s="751"/>
      <c r="E3" s="751"/>
      <c r="F3" s="751"/>
      <c r="G3" s="751"/>
      <c r="H3" s="751"/>
      <c r="I3" s="751"/>
      <c r="J3" s="751"/>
      <c r="K3" s="751"/>
      <c r="L3" s="751"/>
      <c r="M3" s="751"/>
      <c r="N3" s="751"/>
      <c r="O3" s="751"/>
    </row>
    <row r="4" spans="1:15" x14ac:dyDescent="0.3">
      <c r="B4" s="751" t="s">
        <v>564</v>
      </c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</row>
    <row r="5" spans="1:15" x14ac:dyDescent="0.3">
      <c r="B5" s="759" t="s">
        <v>620</v>
      </c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</row>
    <row r="6" spans="1:15" x14ac:dyDescent="0.35">
      <c r="B6" s="760" t="s">
        <v>1</v>
      </c>
      <c r="C6" s="760"/>
      <c r="D6" s="760"/>
      <c r="E6" s="760"/>
      <c r="F6" s="760"/>
      <c r="G6" s="760"/>
      <c r="H6" s="760"/>
      <c r="I6" s="760"/>
      <c r="J6" s="760"/>
      <c r="K6" s="760"/>
      <c r="L6" s="760"/>
      <c r="M6" s="760"/>
      <c r="N6" s="760"/>
      <c r="O6" s="534"/>
    </row>
    <row r="7" spans="1:15" x14ac:dyDescent="0.35">
      <c r="A7" s="534"/>
      <c r="B7" s="534"/>
      <c r="C7" s="534"/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</row>
    <row r="8" spans="1:15" x14ac:dyDescent="0.35">
      <c r="A8" s="41" t="s">
        <v>2</v>
      </c>
      <c r="B8" s="57"/>
      <c r="E8" s="48"/>
      <c r="F8" s="196"/>
      <c r="G8" s="196"/>
      <c r="O8" s="41" t="s">
        <v>2</v>
      </c>
    </row>
    <row r="9" spans="1:15" x14ac:dyDescent="0.35">
      <c r="A9" s="41" t="s">
        <v>6</v>
      </c>
      <c r="B9" s="57"/>
      <c r="E9" s="48"/>
      <c r="F9" s="196"/>
      <c r="G9" s="196"/>
      <c r="O9" s="41" t="s">
        <v>6</v>
      </c>
    </row>
    <row r="10" spans="1:15" x14ac:dyDescent="0.35">
      <c r="A10" s="41">
        <v>1</v>
      </c>
      <c r="E10" s="48"/>
      <c r="I10" s="670"/>
      <c r="J10" s="670"/>
      <c r="O10" s="41">
        <v>1</v>
      </c>
    </row>
    <row r="11" spans="1:15" x14ac:dyDescent="0.35">
      <c r="A11" s="41">
        <f t="shared" ref="A11:A31" si="0">A10+1</f>
        <v>2</v>
      </c>
      <c r="C11" s="447" t="s">
        <v>271</v>
      </c>
      <c r="D11" s="447" t="s">
        <v>272</v>
      </c>
      <c r="E11" s="447" t="s">
        <v>273</v>
      </c>
      <c r="F11" s="447" t="s">
        <v>274</v>
      </c>
      <c r="G11" s="447" t="s">
        <v>275</v>
      </c>
      <c r="H11" s="447" t="s">
        <v>276</v>
      </c>
      <c r="I11" s="447" t="s">
        <v>565</v>
      </c>
      <c r="J11" s="447" t="s">
        <v>566</v>
      </c>
      <c r="K11" s="447" t="s">
        <v>567</v>
      </c>
      <c r="L11" s="447" t="s">
        <v>568</v>
      </c>
      <c r="M11" s="447"/>
      <c r="N11" s="447" t="s">
        <v>569</v>
      </c>
      <c r="O11" s="41">
        <f t="shared" ref="O11:O31" si="1">O10+1</f>
        <v>2</v>
      </c>
    </row>
    <row r="12" spans="1:15" x14ac:dyDescent="0.35">
      <c r="A12" s="41">
        <f t="shared" si="0"/>
        <v>3</v>
      </c>
      <c r="B12" s="48" t="s">
        <v>277</v>
      </c>
      <c r="C12" s="41"/>
      <c r="D12" s="41"/>
      <c r="E12" s="41"/>
      <c r="F12" s="41" t="str">
        <f>"= "&amp;F11&amp;"; Line "&amp;A31&amp;" / 12"</f>
        <v>= Col. 4; Line 22 / 12</v>
      </c>
      <c r="G12" s="41"/>
      <c r="H12" s="72" t="str">
        <f>"= Sum "&amp;E11&amp;" thru "&amp;G11</f>
        <v>= Sum Col. 3 thru Col. 5</v>
      </c>
      <c r="I12" s="72" t="str">
        <f>"= "&amp;D11&amp;" - "&amp;H11</f>
        <v>= Col. 2 - Col. 6</v>
      </c>
      <c r="J12" s="41"/>
      <c r="K12" s="41" t="str">
        <f>"See Footnote "&amp;A41</f>
        <v>See Footnote 6</v>
      </c>
      <c r="L12" s="41" t="str">
        <f>"See Footnote "&amp;A42</f>
        <v>See Footnote 7</v>
      </c>
      <c r="M12" s="41"/>
      <c r="N12" s="72" t="str">
        <f>"= "&amp;K11&amp;" + "&amp;L11</f>
        <v>= Col. 9 + Col. 10</v>
      </c>
      <c r="O12" s="41">
        <f t="shared" si="1"/>
        <v>3</v>
      </c>
    </row>
    <row r="13" spans="1:15" x14ac:dyDescent="0.35">
      <c r="A13" s="41">
        <f t="shared" si="0"/>
        <v>4</v>
      </c>
      <c r="B13" s="48"/>
      <c r="C13" s="41"/>
      <c r="D13" s="41"/>
      <c r="E13" s="41"/>
      <c r="F13" s="41"/>
      <c r="G13" s="41"/>
      <c r="H13" s="72"/>
      <c r="I13" s="72"/>
      <c r="J13" s="41"/>
      <c r="K13" s="41"/>
      <c r="L13" s="41"/>
      <c r="M13" s="41"/>
      <c r="N13" s="72"/>
      <c r="O13" s="41">
        <f t="shared" si="1"/>
        <v>4</v>
      </c>
    </row>
    <row r="14" spans="1:15" x14ac:dyDescent="0.35">
      <c r="A14" s="41">
        <f t="shared" si="0"/>
        <v>5</v>
      </c>
      <c r="C14" s="447"/>
      <c r="H14" s="534"/>
      <c r="K14" s="534" t="s">
        <v>278</v>
      </c>
      <c r="N14" s="534" t="s">
        <v>278</v>
      </c>
      <c r="O14" s="41">
        <f t="shared" si="1"/>
        <v>5</v>
      </c>
    </row>
    <row r="15" spans="1:15" x14ac:dyDescent="0.35">
      <c r="A15" s="41">
        <f t="shared" si="0"/>
        <v>6</v>
      </c>
      <c r="C15" s="447"/>
      <c r="F15" s="534"/>
      <c r="G15" s="534"/>
      <c r="H15" s="534"/>
      <c r="I15" s="534" t="s">
        <v>279</v>
      </c>
      <c r="J15" s="534"/>
      <c r="K15" s="534" t="s">
        <v>280</v>
      </c>
      <c r="N15" s="534" t="s">
        <v>280</v>
      </c>
      <c r="O15" s="41">
        <f t="shared" si="1"/>
        <v>6</v>
      </c>
    </row>
    <row r="16" spans="1:15" x14ac:dyDescent="0.35">
      <c r="A16" s="41">
        <f t="shared" si="0"/>
        <v>7</v>
      </c>
      <c r="C16" s="534"/>
      <c r="D16" s="534" t="s">
        <v>279</v>
      </c>
      <c r="E16" s="534" t="s">
        <v>279</v>
      </c>
      <c r="F16" s="534" t="s">
        <v>570</v>
      </c>
      <c r="G16" s="534"/>
      <c r="H16" s="534" t="s">
        <v>571</v>
      </c>
      <c r="I16" s="534" t="s">
        <v>280</v>
      </c>
      <c r="J16" s="534" t="s">
        <v>279</v>
      </c>
      <c r="K16" s="534" t="s">
        <v>281</v>
      </c>
      <c r="N16" s="534" t="s">
        <v>281</v>
      </c>
      <c r="O16" s="41">
        <f t="shared" si="1"/>
        <v>7</v>
      </c>
    </row>
    <row r="17" spans="1:18" x14ac:dyDescent="0.35">
      <c r="A17" s="41">
        <f t="shared" si="0"/>
        <v>8</v>
      </c>
      <c r="C17" s="534"/>
      <c r="D17" s="534" t="s">
        <v>572</v>
      </c>
      <c r="E17" s="534" t="s">
        <v>572</v>
      </c>
      <c r="F17" s="534" t="s">
        <v>572</v>
      </c>
      <c r="G17" s="534" t="s">
        <v>573</v>
      </c>
      <c r="H17" s="534" t="s">
        <v>572</v>
      </c>
      <c r="I17" s="534" t="s">
        <v>281</v>
      </c>
      <c r="J17" s="534" t="s">
        <v>282</v>
      </c>
      <c r="K17" s="534" t="s">
        <v>283</v>
      </c>
      <c r="L17" s="534"/>
      <c r="M17" s="534"/>
      <c r="N17" s="534" t="s">
        <v>283</v>
      </c>
      <c r="O17" s="41">
        <f t="shared" si="1"/>
        <v>8</v>
      </c>
    </row>
    <row r="18" spans="1:18" ht="18" x14ac:dyDescent="0.35">
      <c r="A18" s="41">
        <f t="shared" si="0"/>
        <v>9</v>
      </c>
      <c r="B18" s="671" t="s">
        <v>284</v>
      </c>
      <c r="C18" s="671" t="s">
        <v>285</v>
      </c>
      <c r="D18" s="196" t="s">
        <v>574</v>
      </c>
      <c r="E18" s="196" t="s">
        <v>575</v>
      </c>
      <c r="F18" s="196" t="s">
        <v>576</v>
      </c>
      <c r="G18" s="196" t="s">
        <v>577</v>
      </c>
      <c r="H18" s="196" t="s">
        <v>578</v>
      </c>
      <c r="I18" s="196" t="s">
        <v>283</v>
      </c>
      <c r="J18" s="196" t="s">
        <v>579</v>
      </c>
      <c r="K18" s="196" t="s">
        <v>608</v>
      </c>
      <c r="L18" s="196" t="s">
        <v>282</v>
      </c>
      <c r="M18" s="196"/>
      <c r="N18" s="196" t="s">
        <v>287</v>
      </c>
      <c r="O18" s="41">
        <f t="shared" si="1"/>
        <v>9</v>
      </c>
    </row>
    <row r="19" spans="1:18" x14ac:dyDescent="0.35">
      <c r="A19" s="41">
        <f t="shared" si="0"/>
        <v>10</v>
      </c>
      <c r="B19" s="158" t="s">
        <v>288</v>
      </c>
      <c r="C19" s="448" t="str">
        <f>RIGHT(B5,4)</f>
        <v>2020</v>
      </c>
      <c r="D19" s="733">
        <f>'Pg3 Rev App XII C4'!C40</f>
        <v>65.982936122822153</v>
      </c>
      <c r="E19" s="37">
        <v>75.821720569928246</v>
      </c>
      <c r="F19" s="37">
        <v>0</v>
      </c>
      <c r="G19" s="37">
        <v>0</v>
      </c>
      <c r="H19" s="329">
        <f>SUM(E19:G19)</f>
        <v>75.821720569928246</v>
      </c>
      <c r="I19" s="708">
        <f>D19-H19</f>
        <v>-9.838784447106093</v>
      </c>
      <c r="J19" s="672">
        <v>4.1999999999999997E-3</v>
      </c>
      <c r="K19" s="710">
        <f>I19</f>
        <v>-9.838784447106093</v>
      </c>
      <c r="L19" s="673">
        <f>(I19/2)*J19</f>
        <v>-2.0661447338922796E-2</v>
      </c>
      <c r="M19" s="673"/>
      <c r="N19" s="737">
        <f t="shared" ref="N19:N30" si="2">K19+L19</f>
        <v>-9.859445894445015</v>
      </c>
      <c r="O19" s="41">
        <f t="shared" si="1"/>
        <v>10</v>
      </c>
      <c r="P19" s="40"/>
    </row>
    <row r="20" spans="1:18" x14ac:dyDescent="0.35">
      <c r="A20" s="41">
        <f t="shared" si="0"/>
        <v>11</v>
      </c>
      <c r="B20" s="158" t="s">
        <v>289</v>
      </c>
      <c r="C20" s="448" t="str">
        <f>C19</f>
        <v>2020</v>
      </c>
      <c r="D20" s="734">
        <f>$D$19</f>
        <v>65.982936122822153</v>
      </c>
      <c r="E20" s="178">
        <f>$E$19</f>
        <v>75.821720569928246</v>
      </c>
      <c r="F20" s="178">
        <f>$F$19</f>
        <v>0</v>
      </c>
      <c r="G20" s="178">
        <f>$G$19</f>
        <v>0</v>
      </c>
      <c r="H20" s="248">
        <f>SUM(E20:G20)</f>
        <v>75.821720569928246</v>
      </c>
      <c r="I20" s="662">
        <f t="shared" ref="I20:I30" si="3">D20-H20</f>
        <v>-9.838784447106093</v>
      </c>
      <c r="J20" s="672">
        <v>3.8999999999999998E-3</v>
      </c>
      <c r="K20" s="711">
        <f t="shared" ref="K20:K30" si="4">N19+I20</f>
        <v>-19.69823034155111</v>
      </c>
      <c r="L20" s="676">
        <f t="shared" ref="L20:L30" si="5">(N19+K20)/2*J20</f>
        <v>-5.7637468660192447E-2</v>
      </c>
      <c r="M20" s="676"/>
      <c r="N20" s="712">
        <f t="shared" si="2"/>
        <v>-19.755867810211303</v>
      </c>
      <c r="O20" s="41">
        <f t="shared" si="1"/>
        <v>11</v>
      </c>
      <c r="P20" s="195"/>
    </row>
    <row r="21" spans="1:18" x14ac:dyDescent="0.35">
      <c r="A21" s="41">
        <f t="shared" si="0"/>
        <v>12</v>
      </c>
      <c r="B21" s="158" t="s">
        <v>290</v>
      </c>
      <c r="C21" s="448" t="str">
        <f>C19</f>
        <v>2020</v>
      </c>
      <c r="D21" s="734">
        <f t="shared" ref="D21:D30" si="6">$D$19</f>
        <v>65.982936122822153</v>
      </c>
      <c r="E21" s="178">
        <f t="shared" ref="E21:E30" si="7">$E$19</f>
        <v>75.821720569928246</v>
      </c>
      <c r="F21" s="178">
        <f t="shared" ref="F21:F30" si="8">$F$19</f>
        <v>0</v>
      </c>
      <c r="G21" s="178">
        <f t="shared" ref="G21:G30" si="9">$G$19</f>
        <v>0</v>
      </c>
      <c r="H21" s="248">
        <f t="shared" ref="H21:H29" si="10">SUM(E21:G21)</f>
        <v>75.821720569928246</v>
      </c>
      <c r="I21" s="662">
        <f t="shared" si="3"/>
        <v>-9.838784447106093</v>
      </c>
      <c r="J21" s="672">
        <v>4.1999999999999997E-3</v>
      </c>
      <c r="K21" s="711">
        <f t="shared" si="4"/>
        <v>-29.594652257317396</v>
      </c>
      <c r="L21" s="676">
        <f t="shared" si="5"/>
        <v>-0.10363609214181026</v>
      </c>
      <c r="M21" s="676"/>
      <c r="N21" s="712">
        <f t="shared" si="2"/>
        <v>-29.698288349459204</v>
      </c>
      <c r="O21" s="41">
        <f t="shared" si="1"/>
        <v>12</v>
      </c>
      <c r="P21" s="195"/>
    </row>
    <row r="22" spans="1:18" x14ac:dyDescent="0.35">
      <c r="A22" s="41">
        <f t="shared" si="0"/>
        <v>13</v>
      </c>
      <c r="B22" s="158" t="s">
        <v>291</v>
      </c>
      <c r="C22" s="448" t="str">
        <f>C19</f>
        <v>2020</v>
      </c>
      <c r="D22" s="734">
        <f t="shared" si="6"/>
        <v>65.982936122822153</v>
      </c>
      <c r="E22" s="178">
        <f t="shared" si="7"/>
        <v>75.821720569928246</v>
      </c>
      <c r="F22" s="178">
        <f t="shared" si="8"/>
        <v>0</v>
      </c>
      <c r="G22" s="178">
        <f t="shared" si="9"/>
        <v>0</v>
      </c>
      <c r="H22" s="248">
        <f t="shared" si="10"/>
        <v>75.821720569928246</v>
      </c>
      <c r="I22" s="662">
        <f>D22-H22</f>
        <v>-9.838784447106093</v>
      </c>
      <c r="J22" s="672">
        <v>3.8999999999999998E-3</v>
      </c>
      <c r="K22" s="711">
        <f t="shared" si="4"/>
        <v>-39.537072796565297</v>
      </c>
      <c r="L22" s="676">
        <f t="shared" si="5"/>
        <v>-0.13500895423474776</v>
      </c>
      <c r="M22" s="676"/>
      <c r="N22" s="712">
        <f t="shared" si="2"/>
        <v>-39.672081750800047</v>
      </c>
      <c r="O22" s="41">
        <f t="shared" si="1"/>
        <v>13</v>
      </c>
      <c r="P22" s="195"/>
      <c r="R22" s="678"/>
    </row>
    <row r="23" spans="1:18" x14ac:dyDescent="0.35">
      <c r="A23" s="41">
        <f t="shared" si="0"/>
        <v>14</v>
      </c>
      <c r="B23" s="158" t="s">
        <v>292</v>
      </c>
      <c r="C23" s="448" t="str">
        <f>C19</f>
        <v>2020</v>
      </c>
      <c r="D23" s="734">
        <f t="shared" si="6"/>
        <v>65.982936122822153</v>
      </c>
      <c r="E23" s="178">
        <f t="shared" si="7"/>
        <v>75.821720569928246</v>
      </c>
      <c r="F23" s="178">
        <f t="shared" si="8"/>
        <v>0</v>
      </c>
      <c r="G23" s="178">
        <f t="shared" si="9"/>
        <v>0</v>
      </c>
      <c r="H23" s="248">
        <f t="shared" si="10"/>
        <v>75.821720569928246</v>
      </c>
      <c r="I23" s="662">
        <f t="shared" si="3"/>
        <v>-9.838784447106093</v>
      </c>
      <c r="J23" s="672">
        <v>4.0000000000000001E-3</v>
      </c>
      <c r="K23" s="711">
        <f t="shared" si="4"/>
        <v>-49.51086619790614</v>
      </c>
      <c r="L23" s="676">
        <f t="shared" si="5"/>
        <v>-0.17836589589741236</v>
      </c>
      <c r="M23" s="676"/>
      <c r="N23" s="712">
        <f t="shared" si="2"/>
        <v>-49.689232093803554</v>
      </c>
      <c r="O23" s="41">
        <f t="shared" si="1"/>
        <v>14</v>
      </c>
      <c r="P23" s="195"/>
    </row>
    <row r="24" spans="1:18" x14ac:dyDescent="0.35">
      <c r="A24" s="41">
        <f t="shared" si="0"/>
        <v>15</v>
      </c>
      <c r="B24" s="158" t="s">
        <v>293</v>
      </c>
      <c r="C24" s="448" t="str">
        <f>C19</f>
        <v>2020</v>
      </c>
      <c r="D24" s="734">
        <f t="shared" si="6"/>
        <v>65.982936122822153</v>
      </c>
      <c r="E24" s="178">
        <f t="shared" si="7"/>
        <v>75.821720569928246</v>
      </c>
      <c r="F24" s="178">
        <f t="shared" si="8"/>
        <v>0</v>
      </c>
      <c r="G24" s="178">
        <f t="shared" si="9"/>
        <v>0</v>
      </c>
      <c r="H24" s="248">
        <f t="shared" si="10"/>
        <v>75.821720569928246</v>
      </c>
      <c r="I24" s="662">
        <f t="shared" si="3"/>
        <v>-9.838784447106093</v>
      </c>
      <c r="J24" s="672">
        <v>3.8999999999999998E-3</v>
      </c>
      <c r="K24" s="711">
        <f t="shared" si="4"/>
        <v>-59.528016540909647</v>
      </c>
      <c r="L24" s="676">
        <f t="shared" si="5"/>
        <v>-0.21297363483769075</v>
      </c>
      <c r="M24" s="676"/>
      <c r="N24" s="712">
        <f t="shared" si="2"/>
        <v>-59.740990175747335</v>
      </c>
      <c r="O24" s="41">
        <f t="shared" si="1"/>
        <v>15</v>
      </c>
      <c r="P24" s="195"/>
    </row>
    <row r="25" spans="1:18" x14ac:dyDescent="0.35">
      <c r="A25" s="41">
        <f t="shared" si="0"/>
        <v>16</v>
      </c>
      <c r="B25" s="158" t="s">
        <v>294</v>
      </c>
      <c r="C25" s="448" t="str">
        <f>C19</f>
        <v>2020</v>
      </c>
      <c r="D25" s="734">
        <f t="shared" si="6"/>
        <v>65.982936122822153</v>
      </c>
      <c r="E25" s="178">
        <f t="shared" si="7"/>
        <v>75.821720569928246</v>
      </c>
      <c r="F25" s="178">
        <f t="shared" si="8"/>
        <v>0</v>
      </c>
      <c r="G25" s="178">
        <f t="shared" si="9"/>
        <v>0</v>
      </c>
      <c r="H25" s="248">
        <f t="shared" si="10"/>
        <v>75.821720569928246</v>
      </c>
      <c r="I25" s="662">
        <f t="shared" si="3"/>
        <v>-9.838784447106093</v>
      </c>
      <c r="J25" s="672">
        <v>2.8999999999999998E-3</v>
      </c>
      <c r="K25" s="711">
        <f t="shared" si="4"/>
        <v>-69.579774622853421</v>
      </c>
      <c r="L25" s="676">
        <f t="shared" si="5"/>
        <v>-0.18751510895797108</v>
      </c>
      <c r="M25" s="676"/>
      <c r="N25" s="712">
        <f t="shared" si="2"/>
        <v>-69.767289731811388</v>
      </c>
      <c r="O25" s="41">
        <f t="shared" si="1"/>
        <v>16</v>
      </c>
      <c r="P25" s="195"/>
    </row>
    <row r="26" spans="1:18" x14ac:dyDescent="0.35">
      <c r="A26" s="41">
        <f t="shared" si="0"/>
        <v>17</v>
      </c>
      <c r="B26" s="158" t="s">
        <v>295</v>
      </c>
      <c r="C26" s="448" t="str">
        <f>C19</f>
        <v>2020</v>
      </c>
      <c r="D26" s="734">
        <f t="shared" si="6"/>
        <v>65.982936122822153</v>
      </c>
      <c r="E26" s="178">
        <f t="shared" si="7"/>
        <v>75.821720569928246</v>
      </c>
      <c r="F26" s="178">
        <f t="shared" si="8"/>
        <v>0</v>
      </c>
      <c r="G26" s="178">
        <f t="shared" si="9"/>
        <v>0</v>
      </c>
      <c r="H26" s="248">
        <f t="shared" si="10"/>
        <v>75.821720569928246</v>
      </c>
      <c r="I26" s="662">
        <f t="shared" si="3"/>
        <v>-9.838784447106093</v>
      </c>
      <c r="J26" s="672">
        <v>2.8999999999999998E-3</v>
      </c>
      <c r="K26" s="711">
        <f t="shared" si="4"/>
        <v>-79.606074178917481</v>
      </c>
      <c r="L26" s="676">
        <f t="shared" si="5"/>
        <v>-0.21659137767055683</v>
      </c>
      <c r="M26" s="676"/>
      <c r="N26" s="712">
        <f t="shared" si="2"/>
        <v>-79.822665556588035</v>
      </c>
      <c r="O26" s="41">
        <f t="shared" si="1"/>
        <v>17</v>
      </c>
      <c r="P26" s="195"/>
    </row>
    <row r="27" spans="1:18" x14ac:dyDescent="0.35">
      <c r="A27" s="41">
        <f t="shared" si="0"/>
        <v>18</v>
      </c>
      <c r="B27" s="158" t="s">
        <v>296</v>
      </c>
      <c r="C27" s="448" t="str">
        <f>C19</f>
        <v>2020</v>
      </c>
      <c r="D27" s="734">
        <f t="shared" si="6"/>
        <v>65.982936122822153</v>
      </c>
      <c r="E27" s="178">
        <f t="shared" si="7"/>
        <v>75.821720569928246</v>
      </c>
      <c r="F27" s="178">
        <f t="shared" si="8"/>
        <v>0</v>
      </c>
      <c r="G27" s="178">
        <f t="shared" si="9"/>
        <v>0</v>
      </c>
      <c r="H27" s="248">
        <f t="shared" si="10"/>
        <v>75.821720569928246</v>
      </c>
      <c r="I27" s="662">
        <f t="shared" si="3"/>
        <v>-9.838784447106093</v>
      </c>
      <c r="J27" s="672">
        <v>2.8E-3</v>
      </c>
      <c r="K27" s="711">
        <f t="shared" si="4"/>
        <v>-89.661450003694128</v>
      </c>
      <c r="L27" s="736">
        <f t="shared" si="5"/>
        <v>-0.23727776178439502</v>
      </c>
      <c r="M27" s="27" t="s">
        <v>16</v>
      </c>
      <c r="N27" s="712">
        <f t="shared" si="2"/>
        <v>-89.898727765478526</v>
      </c>
      <c r="O27" s="41">
        <f t="shared" si="1"/>
        <v>18</v>
      </c>
      <c r="P27" s="195"/>
    </row>
    <row r="28" spans="1:18" x14ac:dyDescent="0.35">
      <c r="A28" s="41">
        <f t="shared" si="0"/>
        <v>19</v>
      </c>
      <c r="B28" s="158" t="s">
        <v>297</v>
      </c>
      <c r="C28" s="448" t="str">
        <f>C19</f>
        <v>2020</v>
      </c>
      <c r="D28" s="734">
        <f t="shared" si="6"/>
        <v>65.982936122822153</v>
      </c>
      <c r="E28" s="178">
        <f t="shared" si="7"/>
        <v>75.821720569928246</v>
      </c>
      <c r="F28" s="178">
        <f t="shared" si="8"/>
        <v>0</v>
      </c>
      <c r="G28" s="178">
        <f t="shared" si="9"/>
        <v>0</v>
      </c>
      <c r="H28" s="248">
        <f t="shared" si="10"/>
        <v>75.821720569928246</v>
      </c>
      <c r="I28" s="662">
        <f t="shared" si="3"/>
        <v>-9.838784447106093</v>
      </c>
      <c r="J28" s="672">
        <v>2.8E-3</v>
      </c>
      <c r="K28" s="711">
        <f t="shared" si="4"/>
        <v>-99.737512212584619</v>
      </c>
      <c r="L28" s="676">
        <f t="shared" si="5"/>
        <v>-0.26549073596928841</v>
      </c>
      <c r="M28" s="676"/>
      <c r="N28" s="712">
        <f t="shared" si="2"/>
        <v>-100.00300294855391</v>
      </c>
      <c r="O28" s="41">
        <f t="shared" si="1"/>
        <v>19</v>
      </c>
      <c r="P28" s="195"/>
    </row>
    <row r="29" spans="1:18" x14ac:dyDescent="0.35">
      <c r="A29" s="41">
        <f t="shared" si="0"/>
        <v>20</v>
      </c>
      <c r="B29" s="158" t="s">
        <v>298</v>
      </c>
      <c r="C29" s="448" t="str">
        <f>C19</f>
        <v>2020</v>
      </c>
      <c r="D29" s="734">
        <f t="shared" si="6"/>
        <v>65.982936122822153</v>
      </c>
      <c r="E29" s="178">
        <f t="shared" si="7"/>
        <v>75.821720569928246</v>
      </c>
      <c r="F29" s="178">
        <f t="shared" si="8"/>
        <v>0</v>
      </c>
      <c r="G29" s="178">
        <f t="shared" si="9"/>
        <v>0</v>
      </c>
      <c r="H29" s="248">
        <f t="shared" si="10"/>
        <v>75.821720569928246</v>
      </c>
      <c r="I29" s="662">
        <f t="shared" si="3"/>
        <v>-9.838784447106093</v>
      </c>
      <c r="J29" s="672">
        <v>2.7000000000000001E-3</v>
      </c>
      <c r="K29" s="711">
        <f t="shared" si="4"/>
        <v>-109.84178739566001</v>
      </c>
      <c r="L29" s="676">
        <f t="shared" si="5"/>
        <v>-0.28329046696468879</v>
      </c>
      <c r="M29" s="676"/>
      <c r="N29" s="712">
        <f t="shared" si="2"/>
        <v>-110.12507786262469</v>
      </c>
      <c r="O29" s="41">
        <f t="shared" si="1"/>
        <v>20</v>
      </c>
      <c r="P29" s="195"/>
    </row>
    <row r="30" spans="1:18" x14ac:dyDescent="0.35">
      <c r="A30" s="41">
        <f t="shared" si="0"/>
        <v>21</v>
      </c>
      <c r="B30" s="449" t="s">
        <v>299</v>
      </c>
      <c r="C30" s="450" t="str">
        <f>C19</f>
        <v>2020</v>
      </c>
      <c r="D30" s="734">
        <f t="shared" si="6"/>
        <v>65.982936122822153</v>
      </c>
      <c r="E30" s="178">
        <f t="shared" si="7"/>
        <v>75.821720569928246</v>
      </c>
      <c r="F30" s="178">
        <f t="shared" si="8"/>
        <v>0</v>
      </c>
      <c r="G30" s="178">
        <f t="shared" si="9"/>
        <v>0</v>
      </c>
      <c r="H30" s="452">
        <f>SUM(E30:G30)</f>
        <v>75.821720569928246</v>
      </c>
      <c r="I30" s="709">
        <f t="shared" si="3"/>
        <v>-9.838784447106093</v>
      </c>
      <c r="J30" s="679">
        <v>2.8E-3</v>
      </c>
      <c r="K30" s="723">
        <f t="shared" si="4"/>
        <v>-119.96386230973079</v>
      </c>
      <c r="L30" s="681">
        <f t="shared" si="5"/>
        <v>-0.32212451624129768</v>
      </c>
      <c r="M30" s="681"/>
      <c r="N30" s="713">
        <f t="shared" si="2"/>
        <v>-120.28598682597209</v>
      </c>
      <c r="O30" s="41">
        <f t="shared" si="1"/>
        <v>21</v>
      </c>
      <c r="P30" s="195"/>
    </row>
    <row r="31" spans="1:18" ht="16" thickBot="1" x14ac:dyDescent="0.4">
      <c r="A31" s="41">
        <f t="shared" si="0"/>
        <v>22</v>
      </c>
      <c r="D31" s="707">
        <f t="shared" ref="D31:I31" si="11">SUM(D19:D30)</f>
        <v>791.79523347386578</v>
      </c>
      <c r="E31" s="682">
        <f t="shared" si="11"/>
        <v>909.86064683913912</v>
      </c>
      <c r="F31" s="682">
        <f t="shared" si="11"/>
        <v>0</v>
      </c>
      <c r="G31" s="682">
        <f t="shared" si="11"/>
        <v>0</v>
      </c>
      <c r="H31" s="682">
        <f t="shared" si="11"/>
        <v>909.86064683913912</v>
      </c>
      <c r="I31" s="707">
        <f t="shared" si="11"/>
        <v>-118.06541336527312</v>
      </c>
      <c r="J31" s="683"/>
      <c r="K31" s="714" t="s">
        <v>16</v>
      </c>
      <c r="L31" s="735">
        <f>SUM(L19:L30)</f>
        <v>-2.220573460698974</v>
      </c>
      <c r="M31" s="27" t="s">
        <v>16</v>
      </c>
      <c r="N31" s="714" t="s">
        <v>16</v>
      </c>
      <c r="O31" s="41">
        <f t="shared" si="1"/>
        <v>22</v>
      </c>
    </row>
    <row r="32" spans="1:18" ht="16" thickTop="1" x14ac:dyDescent="0.35">
      <c r="D32" s="714" t="s">
        <v>16</v>
      </c>
      <c r="E32" s="453"/>
      <c r="F32" s="453"/>
      <c r="G32" s="453"/>
      <c r="H32" s="453"/>
      <c r="I32" s="714" t="s">
        <v>16</v>
      </c>
      <c r="J32" s="453"/>
      <c r="K32" s="453"/>
      <c r="L32" s="714"/>
      <c r="M32" s="714"/>
      <c r="N32" s="453"/>
    </row>
    <row r="33" spans="1:14" x14ac:dyDescent="0.35">
      <c r="D33" s="714"/>
      <c r="E33" s="453"/>
      <c r="F33" s="453"/>
      <c r="G33" s="453"/>
      <c r="H33" s="453"/>
      <c r="I33" s="714"/>
      <c r="J33" s="453"/>
      <c r="K33" s="453"/>
      <c r="L33" s="714"/>
      <c r="M33" s="714"/>
      <c r="N33" s="453"/>
    </row>
    <row r="34" spans="1:14" x14ac:dyDescent="0.35">
      <c r="A34" s="27" t="s">
        <v>16</v>
      </c>
      <c r="B34" s="24" t="s">
        <v>646</v>
      </c>
      <c r="F34" s="687"/>
      <c r="G34" s="687"/>
    </row>
    <row r="35" spans="1:14" ht="18" x14ac:dyDescent="0.35">
      <c r="A35" s="454">
        <v>1</v>
      </c>
      <c r="B35" s="42" t="s">
        <v>580</v>
      </c>
      <c r="F35" s="687"/>
      <c r="G35" s="687"/>
    </row>
    <row r="36" spans="1:14" ht="18" x14ac:dyDescent="0.35">
      <c r="A36" s="454">
        <v>2</v>
      </c>
      <c r="B36" s="42" t="s">
        <v>581</v>
      </c>
    </row>
    <row r="37" spans="1:14" ht="18" x14ac:dyDescent="0.35">
      <c r="A37" s="454">
        <v>3</v>
      </c>
      <c r="B37" s="42" t="s">
        <v>582</v>
      </c>
    </row>
    <row r="38" spans="1:14" ht="18" x14ac:dyDescent="0.35">
      <c r="A38" s="454">
        <v>4</v>
      </c>
      <c r="B38" s="42" t="s">
        <v>583</v>
      </c>
    </row>
    <row r="39" spans="1:14" ht="18" x14ac:dyDescent="0.35">
      <c r="A39" s="454"/>
      <c r="B39" s="42" t="s">
        <v>584</v>
      </c>
    </row>
    <row r="40" spans="1:14" ht="18" x14ac:dyDescent="0.35">
      <c r="A40" s="454">
        <v>5</v>
      </c>
      <c r="B40" s="42" t="s">
        <v>300</v>
      </c>
      <c r="C40" s="535"/>
    </row>
    <row r="41" spans="1:14" ht="18" x14ac:dyDescent="0.35">
      <c r="A41" s="454">
        <v>6</v>
      </c>
      <c r="B41" s="42" t="s">
        <v>585</v>
      </c>
    </row>
    <row r="42" spans="1:14" ht="18" x14ac:dyDescent="0.35">
      <c r="A42" s="454">
        <v>7</v>
      </c>
      <c r="B42" s="42" t="s">
        <v>586</v>
      </c>
    </row>
  </sheetData>
  <mergeCells count="5">
    <mergeCell ref="B2:O2"/>
    <mergeCell ref="B3:O3"/>
    <mergeCell ref="B4:O4"/>
    <mergeCell ref="B5:O5"/>
    <mergeCell ref="B6:N6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Roman,Bold"&amp;7REVISED</oddHeader>
    <oddFooter>&amp;L&amp;F&amp;CPage 7&amp;R&amp;A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A60C6-C178-4BB9-B7CC-79AA47438683}">
  <sheetPr>
    <pageSetUpPr fitToPage="1"/>
  </sheetPr>
  <dimension ref="A1:Q42"/>
  <sheetViews>
    <sheetView zoomScale="80" zoomScaleNormal="80" workbookViewId="0"/>
  </sheetViews>
  <sheetFormatPr defaultColWidth="9.1796875" defaultRowHeight="15.5" x14ac:dyDescent="0.35"/>
  <cols>
    <col min="1" max="1" width="5.1796875" style="41" customWidth="1"/>
    <col min="2" max="2" width="12.54296875" style="42" customWidth="1"/>
    <col min="3" max="3" width="20" style="42" customWidth="1"/>
    <col min="4" max="7" width="21.54296875" style="42" customWidth="1"/>
    <col min="8" max="8" width="22.81640625" style="42" bestFit="1" customWidth="1"/>
    <col min="9" max="13" width="21.54296875" style="42" customWidth="1"/>
    <col min="14" max="14" width="5.1796875" style="41" customWidth="1"/>
    <col min="15" max="15" width="13.54296875" style="42" customWidth="1"/>
    <col min="16" max="16" width="12.54296875" style="42" customWidth="1"/>
    <col min="17" max="16384" width="9.1796875" style="42"/>
  </cols>
  <sheetData>
    <row r="1" spans="1:14" x14ac:dyDescent="0.35">
      <c r="A1" s="668" t="s">
        <v>587</v>
      </c>
    </row>
    <row r="2" spans="1:14" x14ac:dyDescent="0.35">
      <c r="I2" s="535"/>
    </row>
    <row r="3" spans="1:14" x14ac:dyDescent="0.35">
      <c r="B3" s="758" t="s">
        <v>24</v>
      </c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</row>
    <row r="4" spans="1:14" x14ac:dyDescent="0.3">
      <c r="B4" s="751" t="s">
        <v>216</v>
      </c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</row>
    <row r="5" spans="1:14" x14ac:dyDescent="0.3">
      <c r="B5" s="751" t="s">
        <v>564</v>
      </c>
      <c r="C5" s="751"/>
      <c r="D5" s="751"/>
      <c r="E5" s="751"/>
      <c r="F5" s="751"/>
      <c r="G5" s="751"/>
      <c r="H5" s="751"/>
      <c r="I5" s="751"/>
      <c r="J5" s="751"/>
      <c r="K5" s="751"/>
      <c r="L5" s="751"/>
      <c r="M5" s="751"/>
      <c r="N5" s="751"/>
    </row>
    <row r="6" spans="1:14" x14ac:dyDescent="0.3">
      <c r="B6" s="759" t="s">
        <v>620</v>
      </c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</row>
    <row r="7" spans="1:14" x14ac:dyDescent="0.35">
      <c r="B7" s="760" t="s">
        <v>1</v>
      </c>
      <c r="C7" s="760"/>
      <c r="D7" s="760"/>
      <c r="E7" s="760"/>
      <c r="F7" s="760"/>
      <c r="G7" s="760"/>
      <c r="H7" s="760"/>
      <c r="I7" s="760"/>
      <c r="J7" s="760"/>
      <c r="K7" s="760"/>
      <c r="L7" s="760"/>
      <c r="M7" s="760"/>
      <c r="N7" s="534"/>
    </row>
    <row r="8" spans="1:14" x14ac:dyDescent="0.35">
      <c r="A8" s="534"/>
      <c r="B8" s="534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</row>
    <row r="9" spans="1:14" x14ac:dyDescent="0.35">
      <c r="A9" s="41" t="s">
        <v>2</v>
      </c>
      <c r="B9" s="57"/>
      <c r="E9" s="48"/>
      <c r="F9" s="196"/>
      <c r="G9" s="196"/>
      <c r="N9" s="41" t="s">
        <v>2</v>
      </c>
    </row>
    <row r="10" spans="1:14" x14ac:dyDescent="0.35">
      <c r="A10" s="41" t="s">
        <v>6</v>
      </c>
      <c r="B10" s="57"/>
      <c r="E10" s="48"/>
      <c r="F10" s="196"/>
      <c r="G10" s="196"/>
      <c r="N10" s="41" t="s">
        <v>6</v>
      </c>
    </row>
    <row r="11" spans="1:14" x14ac:dyDescent="0.35">
      <c r="A11" s="41">
        <v>1</v>
      </c>
      <c r="E11" s="48"/>
      <c r="I11" s="670"/>
      <c r="J11" s="670"/>
      <c r="N11" s="41">
        <v>1</v>
      </c>
    </row>
    <row r="12" spans="1:14" x14ac:dyDescent="0.35">
      <c r="A12" s="41">
        <f t="shared" ref="A12:A32" si="0">A11+1</f>
        <v>2</v>
      </c>
      <c r="C12" s="447" t="s">
        <v>271</v>
      </c>
      <c r="D12" s="447" t="s">
        <v>272</v>
      </c>
      <c r="E12" s="447" t="s">
        <v>273</v>
      </c>
      <c r="F12" s="447" t="s">
        <v>274</v>
      </c>
      <c r="G12" s="447" t="s">
        <v>275</v>
      </c>
      <c r="H12" s="447" t="s">
        <v>276</v>
      </c>
      <c r="I12" s="447" t="s">
        <v>565</v>
      </c>
      <c r="J12" s="447" t="s">
        <v>566</v>
      </c>
      <c r="K12" s="447" t="s">
        <v>567</v>
      </c>
      <c r="L12" s="447" t="s">
        <v>568</v>
      </c>
      <c r="M12" s="447" t="s">
        <v>569</v>
      </c>
      <c r="N12" s="41">
        <f t="shared" ref="N12:N32" si="1">N11+1</f>
        <v>2</v>
      </c>
    </row>
    <row r="13" spans="1:14" x14ac:dyDescent="0.35">
      <c r="A13" s="41">
        <f t="shared" si="0"/>
        <v>3</v>
      </c>
      <c r="B13" s="48" t="s">
        <v>277</v>
      </c>
      <c r="C13" s="41"/>
      <c r="D13" s="41"/>
      <c r="E13" s="41"/>
      <c r="F13" s="41" t="str">
        <f>"= "&amp;F12&amp;"; Line "&amp;A32&amp;" / 12"</f>
        <v>= Col. 4; Line 22 / 12</v>
      </c>
      <c r="G13" s="41"/>
      <c r="H13" s="72" t="str">
        <f>"= Sum "&amp;E12&amp;" thru "&amp;G12</f>
        <v>= Sum Col. 3 thru Col. 5</v>
      </c>
      <c r="I13" s="72" t="str">
        <f>"= "&amp;D12&amp;" - "&amp;H12</f>
        <v>= Col. 2 - Col. 6</v>
      </c>
      <c r="J13" s="41"/>
      <c r="K13" s="41" t="str">
        <f>"See Footnote "&amp;A41</f>
        <v>See Footnote 6</v>
      </c>
      <c r="L13" s="41" t="str">
        <f>"See Footnote "&amp;A42</f>
        <v>See Footnote 7</v>
      </c>
      <c r="M13" s="72" t="str">
        <f>"= "&amp;K12&amp;" + "&amp;L12</f>
        <v>= Col. 9 + Col. 10</v>
      </c>
      <c r="N13" s="41">
        <f t="shared" si="1"/>
        <v>3</v>
      </c>
    </row>
    <row r="14" spans="1:14" x14ac:dyDescent="0.35">
      <c r="A14" s="41">
        <f t="shared" si="0"/>
        <v>4</v>
      </c>
      <c r="B14" s="48"/>
      <c r="C14" s="41"/>
      <c r="D14" s="41"/>
      <c r="E14" s="41"/>
      <c r="F14" s="41"/>
      <c r="G14" s="41"/>
      <c r="H14" s="72"/>
      <c r="I14" s="72"/>
      <c r="J14" s="41"/>
      <c r="K14" s="41"/>
      <c r="L14" s="41"/>
      <c r="M14" s="72"/>
      <c r="N14" s="41">
        <f t="shared" si="1"/>
        <v>4</v>
      </c>
    </row>
    <row r="15" spans="1:14" x14ac:dyDescent="0.35">
      <c r="A15" s="41">
        <f t="shared" si="0"/>
        <v>5</v>
      </c>
      <c r="C15" s="447"/>
      <c r="H15" s="534"/>
      <c r="K15" s="534" t="s">
        <v>278</v>
      </c>
      <c r="M15" s="534" t="s">
        <v>278</v>
      </c>
      <c r="N15" s="41">
        <f t="shared" si="1"/>
        <v>5</v>
      </c>
    </row>
    <row r="16" spans="1:14" x14ac:dyDescent="0.35">
      <c r="A16" s="41">
        <f t="shared" si="0"/>
        <v>6</v>
      </c>
      <c r="C16" s="447"/>
      <c r="F16" s="534"/>
      <c r="G16" s="534"/>
      <c r="H16" s="534"/>
      <c r="I16" s="534" t="s">
        <v>279</v>
      </c>
      <c r="J16" s="534"/>
      <c r="K16" s="534" t="s">
        <v>280</v>
      </c>
      <c r="M16" s="534" t="s">
        <v>280</v>
      </c>
      <c r="N16" s="41">
        <f t="shared" si="1"/>
        <v>6</v>
      </c>
    </row>
    <row r="17" spans="1:17" x14ac:dyDescent="0.35">
      <c r="A17" s="41">
        <f t="shared" si="0"/>
        <v>7</v>
      </c>
      <c r="C17" s="534"/>
      <c r="D17" s="534" t="s">
        <v>279</v>
      </c>
      <c r="E17" s="534" t="s">
        <v>279</v>
      </c>
      <c r="F17" s="534" t="s">
        <v>570</v>
      </c>
      <c r="G17" s="534"/>
      <c r="H17" s="534" t="s">
        <v>571</v>
      </c>
      <c r="I17" s="534" t="s">
        <v>280</v>
      </c>
      <c r="J17" s="534" t="s">
        <v>279</v>
      </c>
      <c r="K17" s="534" t="s">
        <v>281</v>
      </c>
      <c r="M17" s="534" t="s">
        <v>281</v>
      </c>
      <c r="N17" s="41">
        <f t="shared" si="1"/>
        <v>7</v>
      </c>
    </row>
    <row r="18" spans="1:17" x14ac:dyDescent="0.35">
      <c r="A18" s="41">
        <f t="shared" si="0"/>
        <v>8</v>
      </c>
      <c r="C18" s="534"/>
      <c r="D18" s="534" t="s">
        <v>572</v>
      </c>
      <c r="E18" s="534" t="s">
        <v>572</v>
      </c>
      <c r="F18" s="534" t="s">
        <v>572</v>
      </c>
      <c r="G18" s="534" t="s">
        <v>573</v>
      </c>
      <c r="H18" s="534" t="s">
        <v>572</v>
      </c>
      <c r="I18" s="534" t="s">
        <v>281</v>
      </c>
      <c r="J18" s="534" t="s">
        <v>282</v>
      </c>
      <c r="K18" s="534" t="s">
        <v>283</v>
      </c>
      <c r="L18" s="534"/>
      <c r="M18" s="534" t="s">
        <v>283</v>
      </c>
      <c r="N18" s="41">
        <f t="shared" si="1"/>
        <v>8</v>
      </c>
    </row>
    <row r="19" spans="1:17" ht="18" x14ac:dyDescent="0.35">
      <c r="A19" s="41">
        <f t="shared" si="0"/>
        <v>9</v>
      </c>
      <c r="B19" s="671" t="s">
        <v>284</v>
      </c>
      <c r="C19" s="671" t="s">
        <v>285</v>
      </c>
      <c r="D19" s="196" t="s">
        <v>574</v>
      </c>
      <c r="E19" s="196" t="s">
        <v>575</v>
      </c>
      <c r="F19" s="196" t="s">
        <v>576</v>
      </c>
      <c r="G19" s="196" t="s">
        <v>577</v>
      </c>
      <c r="H19" s="196" t="s">
        <v>578</v>
      </c>
      <c r="I19" s="196" t="s">
        <v>283</v>
      </c>
      <c r="J19" s="196" t="s">
        <v>579</v>
      </c>
      <c r="K19" s="196" t="s">
        <v>608</v>
      </c>
      <c r="L19" s="196" t="s">
        <v>282</v>
      </c>
      <c r="M19" s="196" t="s">
        <v>287</v>
      </c>
      <c r="N19" s="41">
        <f t="shared" si="1"/>
        <v>9</v>
      </c>
    </row>
    <row r="20" spans="1:17" x14ac:dyDescent="0.35">
      <c r="A20" s="41">
        <f t="shared" si="0"/>
        <v>10</v>
      </c>
      <c r="B20" s="158" t="s">
        <v>288</v>
      </c>
      <c r="C20" s="448" t="str">
        <f>RIGHT(B6,4)</f>
        <v>2020</v>
      </c>
      <c r="D20" s="37">
        <v>65.256245263724395</v>
      </c>
      <c r="E20" s="37">
        <v>75.821720569928246</v>
      </c>
      <c r="F20" s="37">
        <v>0</v>
      </c>
      <c r="G20" s="37">
        <v>0</v>
      </c>
      <c r="H20" s="329">
        <f>SUM(E20:G20)</f>
        <v>75.821720569928246</v>
      </c>
      <c r="I20" s="64">
        <f>D20-H20</f>
        <v>-10.565475306203851</v>
      </c>
      <c r="J20" s="672">
        <v>4.1999999999999997E-3</v>
      </c>
      <c r="K20" s="653">
        <f>I20</f>
        <v>-10.565475306203851</v>
      </c>
      <c r="L20" s="673">
        <f>(I20/2)*J20</f>
        <v>-2.2187498143028086E-2</v>
      </c>
      <c r="M20" s="674">
        <f t="shared" ref="M20:M31" si="2">K20+L20</f>
        <v>-10.587662804346879</v>
      </c>
      <c r="N20" s="41">
        <f t="shared" si="1"/>
        <v>10</v>
      </c>
      <c r="O20" s="40"/>
    </row>
    <row r="21" spans="1:17" x14ac:dyDescent="0.35">
      <c r="A21" s="41">
        <f t="shared" si="0"/>
        <v>11</v>
      </c>
      <c r="B21" s="158" t="s">
        <v>289</v>
      </c>
      <c r="C21" s="448" t="str">
        <f>C20</f>
        <v>2020</v>
      </c>
      <c r="D21" s="38">
        <f>$D$20</f>
        <v>65.256245263724395</v>
      </c>
      <c r="E21" s="178">
        <f>$E$20</f>
        <v>75.821720569928246</v>
      </c>
      <c r="F21" s="178">
        <f>$F$20</f>
        <v>0</v>
      </c>
      <c r="G21" s="178">
        <f>$G$20</f>
        <v>0</v>
      </c>
      <c r="H21" s="248">
        <f>SUM(E21:G21)</f>
        <v>75.821720569928246</v>
      </c>
      <c r="I21" s="178">
        <f t="shared" ref="I21:I31" si="3">D21-H21</f>
        <v>-10.565475306203851</v>
      </c>
      <c r="J21" s="672">
        <v>3.8999999999999998E-3</v>
      </c>
      <c r="K21" s="675">
        <f>M20+I21</f>
        <v>-21.153138110550728</v>
      </c>
      <c r="L21" s="676">
        <f t="shared" ref="L21:L31" si="4">(M20+K21)/2*J21</f>
        <v>-6.1894561784050325E-2</v>
      </c>
      <c r="M21" s="677">
        <f t="shared" si="2"/>
        <v>-21.215032672334779</v>
      </c>
      <c r="N21" s="41">
        <f t="shared" si="1"/>
        <v>11</v>
      </c>
      <c r="O21" s="195"/>
    </row>
    <row r="22" spans="1:17" x14ac:dyDescent="0.35">
      <c r="A22" s="41">
        <f t="shared" si="0"/>
        <v>12</v>
      </c>
      <c r="B22" s="158" t="s">
        <v>290</v>
      </c>
      <c r="C22" s="448" t="str">
        <f>C20</f>
        <v>2020</v>
      </c>
      <c r="D22" s="38">
        <f t="shared" ref="D22:D31" si="5">$D$20</f>
        <v>65.256245263724395</v>
      </c>
      <c r="E22" s="178">
        <f t="shared" ref="E22:E31" si="6">$E$20</f>
        <v>75.821720569928246</v>
      </c>
      <c r="F22" s="178">
        <f t="shared" ref="F22:F31" si="7">$F$20</f>
        <v>0</v>
      </c>
      <c r="G22" s="178">
        <f t="shared" ref="G22:G31" si="8">$G$20</f>
        <v>0</v>
      </c>
      <c r="H22" s="248">
        <f t="shared" ref="H22:H30" si="9">SUM(E22:G22)</f>
        <v>75.821720569928246</v>
      </c>
      <c r="I22" s="178">
        <f t="shared" si="3"/>
        <v>-10.565475306203851</v>
      </c>
      <c r="J22" s="672">
        <v>4.1999999999999997E-3</v>
      </c>
      <c r="K22" s="675">
        <f t="shared" ref="K22:K31" si="10">M21+I22</f>
        <v>-31.78050797853863</v>
      </c>
      <c r="L22" s="676">
        <f>(M21+K22)/2*J22</f>
        <v>-0.11129063536683415</v>
      </c>
      <c r="M22" s="677">
        <f t="shared" si="2"/>
        <v>-31.891798613905465</v>
      </c>
      <c r="N22" s="41">
        <f t="shared" si="1"/>
        <v>12</v>
      </c>
      <c r="O22" s="195"/>
    </row>
    <row r="23" spans="1:17" x14ac:dyDescent="0.35">
      <c r="A23" s="41">
        <f t="shared" si="0"/>
        <v>13</v>
      </c>
      <c r="B23" s="158" t="s">
        <v>291</v>
      </c>
      <c r="C23" s="448" t="str">
        <f>C20</f>
        <v>2020</v>
      </c>
      <c r="D23" s="38">
        <f t="shared" si="5"/>
        <v>65.256245263724395</v>
      </c>
      <c r="E23" s="178">
        <f t="shared" si="6"/>
        <v>75.821720569928246</v>
      </c>
      <c r="F23" s="178">
        <f t="shared" si="7"/>
        <v>0</v>
      </c>
      <c r="G23" s="178">
        <f t="shared" si="8"/>
        <v>0</v>
      </c>
      <c r="H23" s="248">
        <f t="shared" si="9"/>
        <v>75.821720569928246</v>
      </c>
      <c r="I23" s="178">
        <f>D23-H23</f>
        <v>-10.565475306203851</v>
      </c>
      <c r="J23" s="672">
        <v>3.8999999999999998E-3</v>
      </c>
      <c r="K23" s="675">
        <f t="shared" si="10"/>
        <v>-42.457273920109316</v>
      </c>
      <c r="L23" s="676">
        <f>(M22+K23)/2*J23</f>
        <v>-0.1449806914413288</v>
      </c>
      <c r="M23" s="677">
        <f t="shared" si="2"/>
        <v>-42.602254611550642</v>
      </c>
      <c r="N23" s="41">
        <f t="shared" si="1"/>
        <v>13</v>
      </c>
      <c r="O23" s="195"/>
      <c r="Q23" s="678"/>
    </row>
    <row r="24" spans="1:17" x14ac:dyDescent="0.35">
      <c r="A24" s="41">
        <f t="shared" si="0"/>
        <v>14</v>
      </c>
      <c r="B24" s="158" t="s">
        <v>292</v>
      </c>
      <c r="C24" s="448" t="str">
        <f>C20</f>
        <v>2020</v>
      </c>
      <c r="D24" s="38">
        <f t="shared" si="5"/>
        <v>65.256245263724395</v>
      </c>
      <c r="E24" s="178">
        <f t="shared" si="6"/>
        <v>75.821720569928246</v>
      </c>
      <c r="F24" s="178">
        <f t="shared" si="7"/>
        <v>0</v>
      </c>
      <c r="G24" s="178">
        <f t="shared" si="8"/>
        <v>0</v>
      </c>
      <c r="H24" s="248">
        <f t="shared" si="9"/>
        <v>75.821720569928246</v>
      </c>
      <c r="I24" s="178">
        <f t="shared" si="3"/>
        <v>-10.565475306203851</v>
      </c>
      <c r="J24" s="672">
        <v>4.0000000000000001E-3</v>
      </c>
      <c r="K24" s="675">
        <f t="shared" si="10"/>
        <v>-53.167729917754492</v>
      </c>
      <c r="L24" s="676">
        <f t="shared" si="4"/>
        <v>-0.19153996905861026</v>
      </c>
      <c r="M24" s="677">
        <f t="shared" si="2"/>
        <v>-53.359269886813102</v>
      </c>
      <c r="N24" s="41">
        <f t="shared" si="1"/>
        <v>14</v>
      </c>
      <c r="O24" s="195"/>
    </row>
    <row r="25" spans="1:17" x14ac:dyDescent="0.35">
      <c r="A25" s="41">
        <f t="shared" si="0"/>
        <v>15</v>
      </c>
      <c r="B25" s="158" t="s">
        <v>293</v>
      </c>
      <c r="C25" s="448" t="str">
        <f>C20</f>
        <v>2020</v>
      </c>
      <c r="D25" s="38">
        <f t="shared" si="5"/>
        <v>65.256245263724395</v>
      </c>
      <c r="E25" s="178">
        <f t="shared" si="6"/>
        <v>75.821720569928246</v>
      </c>
      <c r="F25" s="178">
        <f t="shared" si="7"/>
        <v>0</v>
      </c>
      <c r="G25" s="178">
        <f t="shared" si="8"/>
        <v>0</v>
      </c>
      <c r="H25" s="248">
        <f t="shared" si="9"/>
        <v>75.821720569928246</v>
      </c>
      <c r="I25" s="178">
        <f t="shared" si="3"/>
        <v>-10.565475306203851</v>
      </c>
      <c r="J25" s="672">
        <v>3.8999999999999998E-3</v>
      </c>
      <c r="K25" s="675">
        <f t="shared" si="10"/>
        <v>-63.924745193016953</v>
      </c>
      <c r="L25" s="676">
        <f>(M24+K25)/2*J25</f>
        <v>-0.22870382940566861</v>
      </c>
      <c r="M25" s="677">
        <f t="shared" si="2"/>
        <v>-64.15344902242262</v>
      </c>
      <c r="N25" s="41">
        <f t="shared" si="1"/>
        <v>15</v>
      </c>
      <c r="O25" s="195"/>
    </row>
    <row r="26" spans="1:17" x14ac:dyDescent="0.35">
      <c r="A26" s="41">
        <f t="shared" si="0"/>
        <v>16</v>
      </c>
      <c r="B26" s="158" t="s">
        <v>294</v>
      </c>
      <c r="C26" s="448" t="str">
        <f>C20</f>
        <v>2020</v>
      </c>
      <c r="D26" s="38">
        <f t="shared" si="5"/>
        <v>65.256245263724395</v>
      </c>
      <c r="E26" s="178">
        <f t="shared" si="6"/>
        <v>75.821720569928246</v>
      </c>
      <c r="F26" s="178">
        <f t="shared" si="7"/>
        <v>0</v>
      </c>
      <c r="G26" s="178">
        <f t="shared" si="8"/>
        <v>0</v>
      </c>
      <c r="H26" s="248">
        <f t="shared" si="9"/>
        <v>75.821720569928246</v>
      </c>
      <c r="I26" s="178">
        <f t="shared" si="3"/>
        <v>-10.565475306203851</v>
      </c>
      <c r="J26" s="672">
        <v>2.8999999999999998E-3</v>
      </c>
      <c r="K26" s="675">
        <f t="shared" si="10"/>
        <v>-74.718924328626471</v>
      </c>
      <c r="L26" s="676">
        <f t="shared" si="4"/>
        <v>-0.20136494135902114</v>
      </c>
      <c r="M26" s="677">
        <f t="shared" si="2"/>
        <v>-74.920289269985489</v>
      </c>
      <c r="N26" s="41">
        <f t="shared" si="1"/>
        <v>16</v>
      </c>
      <c r="O26" s="195"/>
    </row>
    <row r="27" spans="1:17" x14ac:dyDescent="0.35">
      <c r="A27" s="41">
        <f t="shared" si="0"/>
        <v>17</v>
      </c>
      <c r="B27" s="158" t="s">
        <v>295</v>
      </c>
      <c r="C27" s="448" t="str">
        <f>C20</f>
        <v>2020</v>
      </c>
      <c r="D27" s="38">
        <f t="shared" si="5"/>
        <v>65.256245263724395</v>
      </c>
      <c r="E27" s="178">
        <f t="shared" si="6"/>
        <v>75.821720569928246</v>
      </c>
      <c r="F27" s="178">
        <f t="shared" si="7"/>
        <v>0</v>
      </c>
      <c r="G27" s="178">
        <f t="shared" si="8"/>
        <v>0</v>
      </c>
      <c r="H27" s="248">
        <f t="shared" si="9"/>
        <v>75.821720569928246</v>
      </c>
      <c r="I27" s="178">
        <f t="shared" si="3"/>
        <v>-10.565475306203851</v>
      </c>
      <c r="J27" s="672">
        <v>2.8999999999999998E-3</v>
      </c>
      <c r="K27" s="675">
        <f t="shared" si="10"/>
        <v>-85.485764576189339</v>
      </c>
      <c r="L27" s="676">
        <f t="shared" si="4"/>
        <v>-0.23258877807695347</v>
      </c>
      <c r="M27" s="677">
        <f t="shared" si="2"/>
        <v>-85.718353354266299</v>
      </c>
      <c r="N27" s="41">
        <f t="shared" si="1"/>
        <v>17</v>
      </c>
      <c r="O27" s="195"/>
    </row>
    <row r="28" spans="1:17" x14ac:dyDescent="0.35">
      <c r="A28" s="41">
        <f t="shared" si="0"/>
        <v>18</v>
      </c>
      <c r="B28" s="158" t="s">
        <v>296</v>
      </c>
      <c r="C28" s="448" t="str">
        <f>C20</f>
        <v>2020</v>
      </c>
      <c r="D28" s="38">
        <f t="shared" si="5"/>
        <v>65.256245263724395</v>
      </c>
      <c r="E28" s="178">
        <f t="shared" si="6"/>
        <v>75.821720569928246</v>
      </c>
      <c r="F28" s="178">
        <f t="shared" si="7"/>
        <v>0</v>
      </c>
      <c r="G28" s="178">
        <f t="shared" si="8"/>
        <v>0</v>
      </c>
      <c r="H28" s="248">
        <f t="shared" si="9"/>
        <v>75.821720569928246</v>
      </c>
      <c r="I28" s="178">
        <f t="shared" si="3"/>
        <v>-10.565475306203851</v>
      </c>
      <c r="J28" s="672">
        <v>2.8E-3</v>
      </c>
      <c r="K28" s="675">
        <f t="shared" si="10"/>
        <v>-96.283828660470149</v>
      </c>
      <c r="L28" s="676">
        <f t="shared" si="4"/>
        <v>-0.25480305482063098</v>
      </c>
      <c r="M28" s="677">
        <f t="shared" si="2"/>
        <v>-96.538631715290776</v>
      </c>
      <c r="N28" s="41">
        <f t="shared" si="1"/>
        <v>18</v>
      </c>
      <c r="O28" s="195"/>
    </row>
    <row r="29" spans="1:17" x14ac:dyDescent="0.35">
      <c r="A29" s="41">
        <f t="shared" si="0"/>
        <v>19</v>
      </c>
      <c r="B29" s="158" t="s">
        <v>297</v>
      </c>
      <c r="C29" s="448" t="str">
        <f>C20</f>
        <v>2020</v>
      </c>
      <c r="D29" s="38">
        <f t="shared" si="5"/>
        <v>65.256245263724395</v>
      </c>
      <c r="E29" s="178">
        <f t="shared" si="6"/>
        <v>75.821720569928246</v>
      </c>
      <c r="F29" s="178">
        <f t="shared" si="7"/>
        <v>0</v>
      </c>
      <c r="G29" s="178">
        <f t="shared" si="8"/>
        <v>0</v>
      </c>
      <c r="H29" s="248">
        <f t="shared" si="9"/>
        <v>75.821720569928246</v>
      </c>
      <c r="I29" s="178">
        <f t="shared" si="3"/>
        <v>-10.565475306203851</v>
      </c>
      <c r="J29" s="672">
        <v>2.8E-3</v>
      </c>
      <c r="K29" s="675">
        <f t="shared" si="10"/>
        <v>-107.10410702149463</v>
      </c>
      <c r="L29" s="676">
        <f t="shared" si="4"/>
        <v>-0.28509983423149959</v>
      </c>
      <c r="M29" s="677">
        <f t="shared" si="2"/>
        <v>-107.38920685572613</v>
      </c>
      <c r="N29" s="41">
        <f t="shared" si="1"/>
        <v>19</v>
      </c>
      <c r="O29" s="195"/>
    </row>
    <row r="30" spans="1:17" x14ac:dyDescent="0.35">
      <c r="A30" s="41">
        <f t="shared" si="0"/>
        <v>20</v>
      </c>
      <c r="B30" s="158" t="s">
        <v>298</v>
      </c>
      <c r="C30" s="448" t="str">
        <f>C20</f>
        <v>2020</v>
      </c>
      <c r="D30" s="38">
        <f t="shared" si="5"/>
        <v>65.256245263724395</v>
      </c>
      <c r="E30" s="178">
        <f t="shared" si="6"/>
        <v>75.821720569928246</v>
      </c>
      <c r="F30" s="178">
        <f t="shared" si="7"/>
        <v>0</v>
      </c>
      <c r="G30" s="178">
        <f t="shared" si="8"/>
        <v>0</v>
      </c>
      <c r="H30" s="248">
        <f t="shared" si="9"/>
        <v>75.821720569928246</v>
      </c>
      <c r="I30" s="178">
        <f t="shared" si="3"/>
        <v>-10.565475306203851</v>
      </c>
      <c r="J30" s="672">
        <v>2.7000000000000001E-3</v>
      </c>
      <c r="K30" s="675">
        <f t="shared" si="10"/>
        <v>-117.95468216192998</v>
      </c>
      <c r="L30" s="676">
        <f t="shared" si="4"/>
        <v>-0.3042142501738358</v>
      </c>
      <c r="M30" s="677">
        <f t="shared" si="2"/>
        <v>-118.25889641210382</v>
      </c>
      <c r="N30" s="41">
        <f t="shared" si="1"/>
        <v>20</v>
      </c>
      <c r="O30" s="195"/>
    </row>
    <row r="31" spans="1:17" x14ac:dyDescent="0.35">
      <c r="A31" s="41">
        <f t="shared" si="0"/>
        <v>21</v>
      </c>
      <c r="B31" s="449" t="s">
        <v>299</v>
      </c>
      <c r="C31" s="450" t="str">
        <f>C20</f>
        <v>2020</v>
      </c>
      <c r="D31" s="38">
        <f t="shared" si="5"/>
        <v>65.256245263724395</v>
      </c>
      <c r="E31" s="178">
        <f t="shared" si="6"/>
        <v>75.821720569928246</v>
      </c>
      <c r="F31" s="178">
        <f t="shared" si="7"/>
        <v>0</v>
      </c>
      <c r="G31" s="178">
        <f t="shared" si="8"/>
        <v>0</v>
      </c>
      <c r="H31" s="452">
        <f>SUM(E31:G31)</f>
        <v>75.821720569928246</v>
      </c>
      <c r="I31" s="451">
        <f t="shared" si="3"/>
        <v>-10.565475306203851</v>
      </c>
      <c r="J31" s="679">
        <v>2.8E-3</v>
      </c>
      <c r="K31" s="680">
        <f t="shared" si="10"/>
        <v>-128.82437171830767</v>
      </c>
      <c r="L31" s="681">
        <f t="shared" si="4"/>
        <v>-0.34591657538257609</v>
      </c>
      <c r="M31" s="452">
        <f t="shared" si="2"/>
        <v>-129.17028829369025</v>
      </c>
      <c r="N31" s="41">
        <f t="shared" si="1"/>
        <v>21</v>
      </c>
      <c r="O31" s="195"/>
    </row>
    <row r="32" spans="1:17" ht="16" thickBot="1" x14ac:dyDescent="0.4">
      <c r="A32" s="41">
        <f t="shared" si="0"/>
        <v>22</v>
      </c>
      <c r="D32" s="682">
        <f t="shared" ref="D32:I32" si="11">SUM(D20:D31)</f>
        <v>783.07494316469274</v>
      </c>
      <c r="E32" s="682">
        <f t="shared" si="11"/>
        <v>909.86064683913912</v>
      </c>
      <c r="F32" s="682">
        <f t="shared" si="11"/>
        <v>0</v>
      </c>
      <c r="G32" s="682">
        <f t="shared" si="11"/>
        <v>0</v>
      </c>
      <c r="H32" s="682">
        <f t="shared" si="11"/>
        <v>909.86064683913912</v>
      </c>
      <c r="I32" s="682">
        <f t="shared" si="11"/>
        <v>-126.78570367444621</v>
      </c>
      <c r="J32" s="683"/>
      <c r="K32" s="684"/>
      <c r="L32" s="685">
        <f>SUM(L20:L31)</f>
        <v>-2.3845846192440376</v>
      </c>
      <c r="M32" s="684"/>
      <c r="N32" s="41">
        <f t="shared" si="1"/>
        <v>22</v>
      </c>
    </row>
    <row r="33" spans="1:13" ht="16" thickTop="1" x14ac:dyDescent="0.35">
      <c r="D33" s="453"/>
      <c r="E33" s="453"/>
      <c r="F33" s="453"/>
      <c r="G33" s="453"/>
      <c r="H33" s="453"/>
      <c r="I33" s="453"/>
      <c r="J33" s="453"/>
      <c r="K33" s="453"/>
      <c r="L33" s="453"/>
      <c r="M33" s="453"/>
    </row>
    <row r="34" spans="1:13" x14ac:dyDescent="0.35">
      <c r="B34" s="686"/>
      <c r="F34" s="687"/>
      <c r="G34" s="687"/>
    </row>
    <row r="35" spans="1:13" ht="18" x14ac:dyDescent="0.35">
      <c r="A35" s="454">
        <v>1</v>
      </c>
      <c r="B35" s="42" t="s">
        <v>580</v>
      </c>
      <c r="F35" s="687"/>
      <c r="G35" s="687"/>
    </row>
    <row r="36" spans="1:13" ht="18" x14ac:dyDescent="0.35">
      <c r="A36" s="454">
        <v>2</v>
      </c>
      <c r="B36" s="42" t="s">
        <v>581</v>
      </c>
    </row>
    <row r="37" spans="1:13" ht="18" x14ac:dyDescent="0.35">
      <c r="A37" s="454">
        <v>3</v>
      </c>
      <c r="B37" s="42" t="s">
        <v>582</v>
      </c>
    </row>
    <row r="38" spans="1:13" ht="18" x14ac:dyDescent="0.35">
      <c r="A38" s="454">
        <v>4</v>
      </c>
      <c r="B38" s="42" t="s">
        <v>583</v>
      </c>
    </row>
    <row r="39" spans="1:13" ht="18" x14ac:dyDescent="0.35">
      <c r="A39" s="454"/>
      <c r="B39" s="42" t="s">
        <v>584</v>
      </c>
    </row>
    <row r="40" spans="1:13" ht="18" x14ac:dyDescent="0.35">
      <c r="A40" s="454">
        <v>5</v>
      </c>
      <c r="B40" s="42" t="s">
        <v>300</v>
      </c>
      <c r="C40" s="535"/>
    </row>
    <row r="41" spans="1:13" ht="18" x14ac:dyDescent="0.35">
      <c r="A41" s="454">
        <v>6</v>
      </c>
      <c r="B41" s="42" t="s">
        <v>585</v>
      </c>
    </row>
    <row r="42" spans="1:13" ht="18" x14ac:dyDescent="0.35">
      <c r="A42" s="454">
        <v>7</v>
      </c>
      <c r="B42" s="42" t="s">
        <v>586</v>
      </c>
    </row>
  </sheetData>
  <mergeCells count="5">
    <mergeCell ref="B3:N3"/>
    <mergeCell ref="B4:N4"/>
    <mergeCell ref="B5:N5"/>
    <mergeCell ref="B6:N6"/>
    <mergeCell ref="B7:M7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Roman,Bold"&amp;6AS FILED</oddHeader>
    <oddFooter>&amp;L&amp;F&amp;CPage 7.1&amp;R&amp;A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3B3B9-87C6-4A42-8C75-02B6AB4D9C35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e183c04-4e8d-4715-bce7-54b439dc82e0"/>
  </ds:schemaRefs>
</ds:datastoreItem>
</file>

<file path=customXml/itemProps3.xml><?xml version="1.0" encoding="utf-8"?>
<ds:datastoreItem xmlns:ds="http://schemas.openxmlformats.org/officeDocument/2006/customXml" ds:itemID="{00D5253F-28C1-49BE-A0F1-FF15DADCE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9</vt:i4>
      </vt:variant>
    </vt:vector>
  </HeadingPairs>
  <TitlesOfParts>
    <vt:vector size="29" baseType="lpstr">
      <vt:lpstr>Pg1 Appendix XII C4 Cost Adj</vt:lpstr>
      <vt:lpstr>Pg2 Appendix XII C4 Comparison</vt:lpstr>
      <vt:lpstr>Pg3 Rev App XII C4</vt:lpstr>
      <vt:lpstr>Pg4 App.XII C4-Cost Adj</vt:lpstr>
      <vt:lpstr>Pg4.1 As Filed-Orig.App XII C4</vt:lpstr>
      <vt:lpstr>Pg5 Rev Sec.2-Non-Direct Exp</vt:lpstr>
      <vt:lpstr>Pg6 As Filed Sec.2-Cost Adj</vt:lpstr>
      <vt:lpstr>Pg7 Rev Sec.4-TU</vt:lpstr>
      <vt:lpstr>Pg7.1 As Filed Sec.4-TU</vt:lpstr>
      <vt:lpstr>Pg8 Rev Stmt AH</vt:lpstr>
      <vt:lpstr>Pg8.1 As Filed Stmt AH-Cost Adj</vt:lpstr>
      <vt:lpstr>Pg8.2 Rev AH-3</vt:lpstr>
      <vt:lpstr>Pg8.3 As Filed-AH-3-Cost Adj</vt:lpstr>
      <vt:lpstr>Pg9 Rev Stmt AL</vt:lpstr>
      <vt:lpstr>Pg9.1 As Filed Smt AL-Cost Adj</vt:lpstr>
      <vt:lpstr>Pg10 Rev Stmt AV</vt:lpstr>
      <vt:lpstr>Pg11 As Filed Smt AV-Cost Adj</vt:lpstr>
      <vt:lpstr>Pg12 Rev AV-4</vt:lpstr>
      <vt:lpstr>Pg13 As Filed AV-4-Cost Adj</vt:lpstr>
      <vt:lpstr>Pg14 Appendix XII C4 Int Calc</vt:lpstr>
      <vt:lpstr>'Pg11 As Filed Smt AV-Cost Adj'!Print_Area</vt:lpstr>
      <vt:lpstr>'Pg13 As Filed AV-4-Cost Adj'!Print_Area</vt:lpstr>
      <vt:lpstr>'Pg4 App.XII C4-Cost Adj'!Print_Area</vt:lpstr>
      <vt:lpstr>'Pg4.1 As Filed-Orig.App XII C4'!Print_Area</vt:lpstr>
      <vt:lpstr>'Pg6 As Filed Sec.2-Cost Adj'!Print_Area</vt:lpstr>
      <vt:lpstr>'Pg7.1 As Filed Sec.4-TU'!Print_Area</vt:lpstr>
      <vt:lpstr>'Pg8.1 As Filed Stmt AH-Cost Adj'!Print_Area</vt:lpstr>
      <vt:lpstr>'Pg8.3 As Filed-AH-3-Cost Adj'!Print_Area</vt:lpstr>
      <vt:lpstr>'Pg9.1 As Filed Smt AL-Cost Adj'!Print_Area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Tanedo, Lolit</dc:creator>
  <cp:lastModifiedBy>Lolit Tanedo</cp:lastModifiedBy>
  <cp:lastPrinted>2023-09-20T00:00:39Z</cp:lastPrinted>
  <dcterms:created xsi:type="dcterms:W3CDTF">2021-03-15T22:51:55Z</dcterms:created>
  <dcterms:modified xsi:type="dcterms:W3CDTF">2023-09-20T00:00:43Z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</Properties>
</file>