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Cost Adjustment Workpapers - July Posting/"/>
    </mc:Choice>
  </mc:AlternateContent>
  <xr:revisionPtr revIDLastSave="681" documentId="8_{6E0C08FE-BC56-4679-BC7B-47F58FE36DCE}" xr6:coauthVersionLast="47" xr6:coauthVersionMax="47" xr10:uidLastSave="{C7A149C9-BC62-4D34-AAF8-07CED2B789A6}"/>
  <bookViews>
    <workbookView xWindow="-110" yWindow="-110" windowWidth="19420" windowHeight="10420" tabRatio="815" xr2:uid="{00000000-000D-0000-FFFF-FFFF00000000}"/>
  </bookViews>
  <sheets>
    <sheet name="Pg1 App XII C2 Cost Adj" sheetId="169" r:id="rId1"/>
    <sheet name="Pg2 App XII C2 Comparison" sheetId="168" r:id="rId2"/>
    <sheet name="Pg3 Rev App XII C2" sheetId="208" r:id="rId3"/>
    <sheet name="Pg4 As Filed App XII C2 FERC" sheetId="170" r:id="rId4"/>
    <sheet name="Pg5 Rev Sec.2-Non-Dir Exp" sheetId="209" r:id="rId5"/>
    <sheet name="Pg6 As Filed Non-Dir Exp FERC" sheetId="171" r:id="rId6"/>
    <sheet name="Pg7 Rev Stmt AH" sheetId="211" r:id="rId7"/>
    <sheet name="Pg7.1 As Filed Stmt AH FERC Adj" sheetId="188" r:id="rId8"/>
    <sheet name="Pg7.2 Rev AH-3" sheetId="212" r:id="rId9"/>
    <sheet name="Pg7.3 As Filed AH-3 FERC Adj" sheetId="196" r:id="rId10"/>
    <sheet name="Pg8 Rev Stmt AL" sheetId="213" r:id="rId11"/>
    <sheet name="Pg8.1 As Filed Stmt AL FERC Adj" sheetId="201" r:id="rId12"/>
    <sheet name="Pg9 Rev Stmt AV" sheetId="214" r:id="rId13"/>
    <sheet name="Pg10 As Filed Stmt AV FERC Adj" sheetId="203" r:id="rId14"/>
    <sheet name="Pg11 Rev AV-4" sheetId="215" r:id="rId15"/>
    <sheet name="Pg12 As Filed AV-4 FERC Adj" sheetId="204" r:id="rId16"/>
    <sheet name="Pg13 App XII C2 Int Calc" sheetId="207" r:id="rId17"/>
  </sheets>
  <definedNames>
    <definedName name="\0">#REF!</definedName>
    <definedName name="\A">#REF!</definedName>
    <definedName name="\b">#REF!</definedName>
    <definedName name="\D">#REF!</definedName>
    <definedName name="\E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#REF!</definedName>
    <definedName name="_________PG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3">#REF!</definedName>
    <definedName name="_______DAT4">#REF!</definedName>
    <definedName name="_______DAT6">#REF!</definedName>
    <definedName name="_______DAT7">#REF!</definedName>
    <definedName name="_______DAT9">#REF!</definedName>
    <definedName name="_______PG1">#REF!</definedName>
    <definedName name="_______PG2">#REF!</definedName>
    <definedName name="_______PG511">#REF!</definedName>
    <definedName name="_______PG514">#REF!</definedName>
    <definedName name="_______PG519">#REF!</definedName>
    <definedName name="_______VAR1">#REF!</definedName>
    <definedName name="_______VAR2">#REF!</definedName>
    <definedName name="_______VAR3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VAR1">#REF!</definedName>
    <definedName name="______VAR2">#REF!</definedName>
    <definedName name="______VAR3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VAR1">#REF!</definedName>
    <definedName name="_____VAR2">#REF!</definedName>
    <definedName name="_____VAR3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VAR1">#REF!</definedName>
    <definedName name="____VAR2">#REF!</definedName>
    <definedName name="____VAR3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VAR1">#REF!</definedName>
    <definedName name="___VAR2">#REF!</definedName>
    <definedName name="___VAR3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CHART4" hidden="1">#REF!</definedName>
    <definedName name="__123Graph_FCHART5" hidden="1">#REF!</definedName>
    <definedName name="__123Graph_X" hidden="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VAR1">#REF!</definedName>
    <definedName name="__VAR2">#REF!</definedName>
    <definedName name="__VAR3">#REF!</definedName>
    <definedName name="_1">#REF!</definedName>
    <definedName name="_1_0_0ROUN">#REF!</definedName>
    <definedName name="_11111">#REF!</definedName>
    <definedName name="_123Graph_CHART3" hidden="1">#REF!</definedName>
    <definedName name="_123Graph_E" hidden="1">#REF!</definedName>
    <definedName name="_1807">#REF!</definedName>
    <definedName name="_1808">#REF!</definedName>
    <definedName name="_1809">#REF!</definedName>
    <definedName name="_1810">#REF!</definedName>
    <definedName name="_1812">#REF!</definedName>
    <definedName name="_1818">#REF!</definedName>
    <definedName name="_1820">#REF!</definedName>
    <definedName name="_19903">#REF!</definedName>
    <definedName name="_2">#REF!</definedName>
    <definedName name="_2_0_0ROUN">#REF!</definedName>
    <definedName name="_20014">#REF!</definedName>
    <definedName name="_24939">#REF!</definedName>
    <definedName name="_25004">#REF!</definedName>
    <definedName name="_28">#REF!</definedName>
    <definedName name="_3">#REF!</definedName>
    <definedName name="_422">#REF!</definedName>
    <definedName name="_423">#REF!</definedName>
    <definedName name="_9000">#REF!</definedName>
    <definedName name="_9310">#REF!</definedName>
    <definedName name="_9325">#REF!</definedName>
    <definedName name="_9330">#REF!</definedName>
    <definedName name="_9350">#REF!</definedName>
    <definedName name="_9461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Sort" hidden="1">#REF!</definedName>
    <definedName name="_TB">#REF!</definedName>
    <definedName name="_TB601">#REF!</definedName>
    <definedName name="_VAR1">#REF!</definedName>
    <definedName name="_VAR2">#REF!</definedName>
    <definedName name="_VAR3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>#REF!</definedName>
    <definedName name="Adj_2190047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LERT2">#REF!</definedName>
    <definedName name="ALL">#REF!</definedName>
    <definedName name="ALLOCATORS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hidden="1">{#N/A,#N/A,TRUE,"SDGE";#N/A,#N/A,TRUE,"GBU";#N/A,#N/A,TRUE,"TBU";#N/A,#N/A,TRUE,"EDBU";#N/A,#N/A,TRUE,"ExclCC"}</definedName>
    <definedName name="Balance_for_Sch_M">#REF!</definedName>
    <definedName name="Balances">#REF!</definedName>
    <definedName name="bbad6">#REF!</definedName>
    <definedName name="bl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U">#REF!</definedName>
    <definedName name="C_">#REF!</definedName>
    <definedName name="CA">#REF!</definedName>
    <definedName name="CALC">#REF!</definedName>
    <definedName name="capexentity">#REF!</definedName>
    <definedName name="CAPRAT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F_2">#REF!</definedName>
    <definedName name="CF_3">#REF!</definedName>
    <definedName name="CF_4">#REF!</definedName>
    <definedName name="cfentity">#REF!</definedName>
    <definedName name="Chart">"Chart 3"</definedName>
    <definedName name="Company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ionRange">#REF!</definedName>
    <definedName name="Costs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d" hidden="1">{#N/A,#N/A,TRUE,"SDGE";#N/A,#N/A,TRUE,"GBU";#N/A,#N/A,TRUE,"TBU";#N/A,#N/A,TRUE,"EDBU";#N/A,#N/A,TRUE,"ExclCC"}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CHART4" hidden="1">#REF!</definedName>
    <definedName name="dd" hidden="1">#REF!</definedName>
    <definedName name="dddd" hidden="1">#REF!</definedName>
    <definedName name="DEMAND_FORECAST">#REF!</definedName>
    <definedName name="DETAIL">#REF!</definedName>
    <definedName name="DF_GRID_1">Total Labor #REF!</definedName>
    <definedName name="DF_NAVPANEL_13">#REF!</definedName>
    <definedName name="DF_NAVPANEL_18">#REF!</definedName>
    <definedName name="DISCNT_CONTRACT">#REF!</definedName>
    <definedName name="dist">#REF!</definedName>
    <definedName name="dms">#REF!</definedName>
    <definedName name="EDI">#REF!</definedName>
    <definedName name="Elec">#REF!</definedName>
    <definedName name="ELEC_AG">#REF!</definedName>
    <definedName name="Electric">#REF!</definedName>
    <definedName name="Electric___NV">#REF!</definedName>
    <definedName name="EMPDATA">#REF!</definedName>
    <definedName name="entity">#REF!</definedName>
    <definedName name="entity1">#REF!</definedName>
    <definedName name="EPI">#REF!</definedName>
    <definedName name="EPSILON">#REF!</definedName>
    <definedName name="ETCarveOut2008">#REF!</definedName>
    <definedName name="ETI">#REF!</definedName>
    <definedName name="FAColumn">#REF!</definedName>
    <definedName name="FAStart">#REF!</definedName>
    <definedName name="FedTaxRate">#REF!</definedName>
    <definedName name="Fin_Plan_1293">#REF!</definedName>
    <definedName name="firstyearofservice">#REF!</definedName>
    <definedName name="FOOTER">#REF!</definedName>
    <definedName name="Forecast_Demands">#REF!</definedName>
    <definedName name="FORM">#REF!</definedName>
    <definedName name="FR_AND_U">#REF!</definedName>
    <definedName name="Frequency">#REF!</definedName>
    <definedName name="FTDM">#REF!</definedName>
    <definedName name="FULL_NAME">#REF!</definedName>
    <definedName name="g">#REF!</definedName>
    <definedName name="Gas">#REF!</definedName>
    <definedName name="gaselec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TML_CodePage">1252</definedName>
    <definedName name="HTML_Control">{"'Summary'!$A$1:$J$24"}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>#REF!</definedName>
    <definedName name="Inc">#REF!</definedName>
    <definedName name="IncAcct">#REF!</definedName>
    <definedName name="IncDesc">#REF!</definedName>
    <definedName name="input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JANBS">#REF!</definedName>
    <definedName name="JE">#REF!</definedName>
    <definedName name="lastyearofservice">#REF!</definedName>
    <definedName name="limcount" hidden="1">1</definedName>
    <definedName name="MAIN">#REF!</definedName>
    <definedName name="MEMO">#REF!</definedName>
    <definedName name="MESG1">#REF!</definedName>
    <definedName name="MESG2">#REF!</definedName>
    <definedName name="MISC1">#REF!</definedName>
    <definedName name="MISC2">#REF!</definedName>
    <definedName name="MISC3">#REF!</definedName>
    <definedName name="MISC4">#REF!</definedName>
    <definedName name="MODEL">#REF!</definedName>
    <definedName name="month">#REF!</definedName>
    <definedName name="MONTHLYREC">#REF!</definedName>
    <definedName name="N_A">#REF!</definedName>
    <definedName name="NO">#REF!</definedName>
    <definedName name="noe">#REF!</definedName>
    <definedName name="Non_Operating">#REF!</definedName>
    <definedName name="NormFedTax?">#REF!</definedName>
    <definedName name="NormStateTax?">#REF!</definedName>
    <definedName name="now">#REF!</definedName>
    <definedName name="O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tion_05a">#REF!</definedName>
    <definedName name="Option_05b">#REF!</definedName>
    <definedName name="originalbooklife">#REF!</definedName>
    <definedName name="Other">#REF!</definedName>
    <definedName name="Other_detail">#REF!</definedName>
    <definedName name="otherrev" hidden="1">{#N/A,#N/A,TRUE,"SDGE";#N/A,#N/A,TRUE,"GBU";#N/A,#N/A,TRUE,"TBU";#N/A,#N/A,TRUE,"EDBU";#N/A,#N/A,TRUE,"ExclCC"}</definedName>
    <definedName name="pa">#REF!</definedName>
    <definedName name="PAGE1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yType">#REF!</definedName>
    <definedName name="PBR_06">#REF!</definedName>
    <definedName name="period">#REF!</definedName>
    <definedName name="PG565A">#REF!</definedName>
    <definedName name="PG568A">#REF!</definedName>
    <definedName name="PG568A1">#REF!</definedName>
    <definedName name="PG568B">#REF!</definedName>
    <definedName name="pmcat">#REF!</definedName>
    <definedName name="pmper">#REF!</definedName>
    <definedName name="POOL_ORDER_2005_amts_AULT3">#REF!</definedName>
    <definedName name="PRINT">#REF!</definedName>
    <definedName name="_xlnm.Print_Area" localSheetId="13">'Pg10 As Filed Stmt AV FERC Adj'!$A$2:$J$158</definedName>
    <definedName name="_xlnm.Print_Area" localSheetId="15">'Pg12 As Filed AV-4 FERC Adj'!$A$2:$F$91</definedName>
    <definedName name="_xlnm.Print_Area" localSheetId="3">'Pg4 As Filed App XII C2 FERC'!$A$2:$F$57</definedName>
    <definedName name="_xlnm.Print_Area" localSheetId="5">'Pg6 As Filed Non-Dir Exp FERC'!$A$2:$H$104</definedName>
    <definedName name="_xlnm.Print_Area" localSheetId="7">'Pg7.1 As Filed Stmt AH FERC Adj'!$A$2:$H$75</definedName>
    <definedName name="_xlnm.Print_Area" localSheetId="9">'Pg7.3 As Filed AH-3 FERC Adj'!$A$2:$O$62</definedName>
    <definedName name="_xlnm.Print_Area" localSheetId="11">'Pg8.1 As Filed Stmt AL FERC Adj'!$A$2:$J$34</definedName>
    <definedName name="_xlnm.Print_Area">#REF!</definedName>
    <definedName name="Print_Area_MI">#REF!</definedName>
    <definedName name="_xlnm.Print_Titles" localSheetId="16">'Pg13 App XII C2 Int Calc'!$1:$16</definedName>
    <definedName name="PRINT1">#REF!</definedName>
    <definedName name="PRINTCAT">[0]!PRINTCAT</definedName>
    <definedName name="PRINTPAGE1">[0]!PRINTPAGE1</definedName>
    <definedName name="Project">#REF!</definedName>
    <definedName name="pyeper">#REF!</definedName>
    <definedName name="qry_501_COR">#REF!</definedName>
    <definedName name="qry_Cost_of_Removal">#REF!</definedName>
    <definedName name="RateCase">#REF!</definedName>
    <definedName name="RawData">#REF!</definedName>
    <definedName name="Regulated_Expor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venues">#REF!</definedName>
    <definedName name="rngCompany">#REF!</definedName>
    <definedName name="rngEscalated">#REF!</definedName>
    <definedName name="rngETElecCap">#REF!</definedName>
    <definedName name="rngETElecOM">#REF!</definedName>
    <definedName name="rngFactors">#REF!</definedName>
    <definedName name="rngfrmAdjustmentsSource">#REF!</definedName>
    <definedName name="rngfrmAdjustmentsTarget">#REF!</definedName>
    <definedName name="rngLookupAdjustmentData">#REF!</definedName>
    <definedName name="rngReassignmentGas">#REF!</definedName>
    <definedName name="ROUNDED">#REF!</definedName>
    <definedName name="RPTCOL">#REF!</definedName>
    <definedName name="RPTROW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>#REF!</definedName>
    <definedName name="scgpl">#REF!</definedName>
    <definedName name="SDGE">12</definedName>
    <definedName name="sdge_gaselec">#REF!</definedName>
    <definedName name="sencount" hidden="1">1</definedName>
    <definedName name="SFAColumn">#REF!</definedName>
    <definedName name="SFAStart">#REF!</definedName>
    <definedName name="SHEET_B1">#REF!</definedName>
    <definedName name="SOEColumn">#REF!</definedName>
    <definedName name="SOEStart">#REF!</definedName>
    <definedName name="sort">#REF!</definedName>
    <definedName name="SORTALLOC">#REF!</definedName>
    <definedName name="SPLIT">#REF!</definedName>
    <definedName name="START">#REF!</definedName>
    <definedName name="START2">#REF!</definedName>
    <definedName name="START3">#REF!</definedName>
    <definedName name="StateTaxRate">#REF!</definedName>
    <definedName name="STDM">#REF!</definedName>
    <definedName name="summary">#REF!</definedName>
    <definedName name="summaryBU">#REF!</definedName>
    <definedName name="Support">#REF!</definedName>
    <definedName name="SW_Cost_A">#REF!</definedName>
    <definedName name="SW_Cost_A_All">#REF!</definedName>
    <definedName name="SW_Cost_A_All_2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_2">#REF!</definedName>
    <definedName name="TaxReturn1992">#REF!</definedName>
    <definedName name="TaxReturn1993">#REF!</definedName>
    <definedName name="TaxType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lChgCodes">#REF!</definedName>
    <definedName name="tblRates">#REF!</definedName>
    <definedName name="TEMP">#REF!</definedName>
    <definedName name="test" hidden="1">{"Control_DataContact",#N/A,FALSE,"Control"}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RefCopyRangeCount" hidden="1">39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wnCode">#REF!</definedName>
    <definedName name="TrialBal">#REF!</definedName>
    <definedName name="TRX">#REF!</definedName>
    <definedName name="TUCU" hidden="1">#REF!</definedName>
    <definedName name="Type">#REF!</definedName>
    <definedName name="UNITS">#REF!</definedName>
    <definedName name="Validation">#REF!</definedName>
    <definedName name="VARXPLAN">#REF!</definedName>
    <definedName name="view_cis_e0p40_1">#REF!</definedName>
    <definedName name="VIEW1">#REF!</definedName>
    <definedName name="voltsort">#REF!</definedName>
    <definedName name="WEIGHTED">#REF!</definedName>
    <definedName name="WKGRPColumn">#REF!</definedName>
    <definedName name="WKGRPStart">#REF!</definedName>
    <definedName name="WORKFORCE">#REF!</definedName>
    <definedName name="Workstream">#REF!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ntrolSheets." hidden="1">{"Control_P1",#N/A,FALSE,"Control";"Control_P2",#N/A,FALSE,"Control";"Control_P3",#N/A,FALSE,"Control";"Control_P4",#N/A,FALSE,"Control"}</definedName>
    <definedName name="wrn.Data_Contact.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MyTestReport." hidden="1">{"Alberta",#N/A,FALSE,"Pivot Data";#N/A,#N/A,FALSE,"Pivot Data";"HiddenColumns",#N/A,FALSE,"Pivot Data"}</definedName>
    <definedName name="wrn.Sch.A._.B." hidden="1">{"Sch.A_CWC_Summary",#N/A,FALSE,"Sch.A,B";"Sch.B_LLSummary",#N/A,FALSE,"Sch.A,B"}</definedName>
    <definedName name="wrn.Sch.C." hidden="1">{"Sch.C_Rev_lag",#N/A,FALSE,"Sch.C"}</definedName>
    <definedName name="wrn.Sch.D." hidden="1">{"Sch.D1_GasPurch",#N/A,FALSE,"Sch.D";"Sch.D2_ElecPurch",#N/A,FALSE,"Sch.D"}</definedName>
    <definedName name="wrn.Sch.E._.F." hidden="1">{"Sch.E_PayrollExp",#N/A,TRUE,"Sch.E,F";"Sch.F_FICA",#N/A,TRUE,"Sch.E,F"}</definedName>
    <definedName name="wrn.Sch.G.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J." hidden="1">{"Sch.J_CorpChgs",#N/A,FALSE,"Sch.J"}</definedName>
    <definedName name="wrn.Sch.K." hidden="1">{"Sch.K_P1_PropLease",#N/A,FALSE,"Sch.K";"Sch.K_P2_PropLease",#N/A,FALSE,"Sch.K"}</definedName>
    <definedName name="wrn.Sch.L." hidden="1">{"Sch.L_MaterialIssue",#N/A,FALSE,"Sch.L"}</definedName>
    <definedName name="wrn.Sch.M." hidden="1">{"Sch.M_Prop&amp;FFTaxes",#N/A,FALSE,"Sch.M"}</definedName>
    <definedName name="wrn.Sch.N.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XmnRefRange">#REF!</definedName>
    <definedName name="xsTYPE">"tbl"</definedName>
    <definedName name="xxx" hidden="1">#REF!</definedName>
    <definedName name="year">#REF!</definedName>
    <definedName name="YEARRATES">#REF!</definedName>
    <definedName name="YEClose1992">#REF!</definedName>
    <definedName name="yeperiod">#REF!</definedName>
    <definedName name="YTDI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15" l="1"/>
  <c r="B114" i="214"/>
  <c r="B32" i="213"/>
  <c r="C53" i="212"/>
  <c r="B74" i="211"/>
  <c r="B38" i="209"/>
  <c r="G49" i="168"/>
  <c r="G26" i="168"/>
  <c r="G24" i="168"/>
  <c r="G18" i="168"/>
  <c r="E53" i="168" l="1"/>
  <c r="E49" i="168"/>
  <c r="E41" i="168"/>
  <c r="E28" i="168"/>
  <c r="E24" i="168"/>
  <c r="E18" i="168"/>
  <c r="C53" i="168"/>
  <c r="C51" i="168"/>
  <c r="C49" i="168"/>
  <c r="C41" i="168"/>
  <c r="C28" i="168"/>
  <c r="C24" i="168"/>
  <c r="C18" i="168"/>
  <c r="P28" i="212" l="1"/>
  <c r="P13" i="212"/>
  <c r="P14" i="212"/>
  <c r="P15" i="212"/>
  <c r="P16" i="212"/>
  <c r="P17" i="212"/>
  <c r="P18" i="212"/>
  <c r="P19" i="212"/>
  <c r="P20" i="212"/>
  <c r="P26" i="212" s="1"/>
  <c r="P30" i="212" s="1"/>
  <c r="P21" i="212"/>
  <c r="P22" i="212"/>
  <c r="P23" i="212"/>
  <c r="P24" i="212"/>
  <c r="P12" i="212"/>
  <c r="P11" i="212"/>
  <c r="N26" i="212"/>
  <c r="N30" i="212" s="1"/>
  <c r="E45" i="211" s="1"/>
  <c r="E46" i="211" s="1"/>
  <c r="E48" i="211" s="1"/>
  <c r="E50" i="211" s="1"/>
  <c r="R62" i="212"/>
  <c r="R63" i="212" s="1"/>
  <c r="A62" i="212"/>
  <c r="A63" i="212" s="1"/>
  <c r="F87" i="215"/>
  <c r="C87" i="215"/>
  <c r="F86" i="215"/>
  <c r="F85" i="215"/>
  <c r="F84" i="215"/>
  <c r="F83" i="215"/>
  <c r="F82" i="215"/>
  <c r="F81" i="215"/>
  <c r="C81" i="215"/>
  <c r="C15" i="215" s="1"/>
  <c r="F80" i="215"/>
  <c r="C80" i="215"/>
  <c r="C14" i="215" s="1"/>
  <c r="F79" i="215"/>
  <c r="C79" i="215"/>
  <c r="F78" i="215"/>
  <c r="C78" i="215"/>
  <c r="F77" i="215"/>
  <c r="F76" i="215"/>
  <c r="F75" i="215"/>
  <c r="C75" i="215"/>
  <c r="F74" i="215"/>
  <c r="F73" i="215"/>
  <c r="F72" i="215"/>
  <c r="F71" i="215"/>
  <c r="F70" i="215"/>
  <c r="F69" i="215"/>
  <c r="F68" i="215"/>
  <c r="C68" i="215"/>
  <c r="F67" i="215"/>
  <c r="F66" i="215"/>
  <c r="F65" i="215"/>
  <c r="F64" i="215"/>
  <c r="F63" i="215"/>
  <c r="B56" i="215"/>
  <c r="B55" i="215"/>
  <c r="B54" i="215"/>
  <c r="C46" i="215"/>
  <c r="C41" i="215"/>
  <c r="C26" i="215"/>
  <c r="C21" i="215"/>
  <c r="C13" i="215"/>
  <c r="A13" i="215"/>
  <c r="A14" i="215" s="1"/>
  <c r="A15" i="215" s="1"/>
  <c r="A16" i="215" s="1"/>
  <c r="A17" i="215" s="1"/>
  <c r="A18" i="215" s="1"/>
  <c r="A19" i="215" s="1"/>
  <c r="A20" i="215" s="1"/>
  <c r="A21" i="215" s="1"/>
  <c r="A22" i="215" s="1"/>
  <c r="A23" i="215" s="1"/>
  <c r="A24" i="215" s="1"/>
  <c r="A25" i="215" s="1"/>
  <c r="A26" i="215" s="1"/>
  <c r="A27" i="215" s="1"/>
  <c r="A28" i="215" s="1"/>
  <c r="A29" i="215" s="1"/>
  <c r="A30" i="215" s="1"/>
  <c r="A31" i="215" s="1"/>
  <c r="A32" i="215" s="1"/>
  <c r="A33" i="215" s="1"/>
  <c r="A34" i="215" s="1"/>
  <c r="A35" i="215" s="1"/>
  <c r="A36" i="215" s="1"/>
  <c r="A37" i="215" s="1"/>
  <c r="A38" i="215" s="1"/>
  <c r="A39" i="215" s="1"/>
  <c r="A40" i="215" s="1"/>
  <c r="A41" i="215" s="1"/>
  <c r="A42" i="215" s="1"/>
  <c r="A43" i="215" s="1"/>
  <c r="A44" i="215" s="1"/>
  <c r="A45" i="215" s="1"/>
  <c r="A46" i="215" s="1"/>
  <c r="A47" i="215" s="1"/>
  <c r="A48" i="215" s="1"/>
  <c r="C12" i="215"/>
  <c r="A12" i="215"/>
  <c r="F11" i="215"/>
  <c r="F12" i="215" s="1"/>
  <c r="F13" i="215" s="1"/>
  <c r="F14" i="215" s="1"/>
  <c r="F15" i="215" s="1"/>
  <c r="F16" i="215" s="1"/>
  <c r="F17" i="215" s="1"/>
  <c r="F18" i="215" s="1"/>
  <c r="F19" i="215" s="1"/>
  <c r="F20" i="215" s="1"/>
  <c r="F21" i="215" s="1"/>
  <c r="F22" i="215" s="1"/>
  <c r="F23" i="215" s="1"/>
  <c r="F24" i="215" s="1"/>
  <c r="F25" i="215" s="1"/>
  <c r="F26" i="215" s="1"/>
  <c r="F27" i="215" s="1"/>
  <c r="F28" i="215" s="1"/>
  <c r="F29" i="215" s="1"/>
  <c r="F30" i="215" s="1"/>
  <c r="F31" i="215" s="1"/>
  <c r="F32" i="215" s="1"/>
  <c r="F33" i="215" s="1"/>
  <c r="F34" i="215" s="1"/>
  <c r="F35" i="215" s="1"/>
  <c r="F36" i="215" s="1"/>
  <c r="F37" i="215" s="1"/>
  <c r="F38" i="215" s="1"/>
  <c r="F39" i="215" s="1"/>
  <c r="F40" i="215" s="1"/>
  <c r="F41" i="215" s="1"/>
  <c r="F42" i="215" s="1"/>
  <c r="F43" i="215" s="1"/>
  <c r="F44" i="215" s="1"/>
  <c r="F45" i="215" s="1"/>
  <c r="F46" i="215" s="1"/>
  <c r="F47" i="215" s="1"/>
  <c r="F48" i="215" s="1"/>
  <c r="G148" i="214"/>
  <c r="B148" i="214"/>
  <c r="B147" i="214"/>
  <c r="G146" i="214"/>
  <c r="G145" i="214"/>
  <c r="B145" i="214"/>
  <c r="B144" i="214"/>
  <c r="G136" i="214"/>
  <c r="B136" i="214"/>
  <c r="B133" i="214"/>
  <c r="B132" i="214"/>
  <c r="J128" i="214"/>
  <c r="J129" i="214" s="1"/>
  <c r="J130" i="214" s="1"/>
  <c r="J131" i="214" s="1"/>
  <c r="J132" i="214" s="1"/>
  <c r="J133" i="214" s="1"/>
  <c r="J134" i="214" s="1"/>
  <c r="J135" i="214" s="1"/>
  <c r="J136" i="214" s="1"/>
  <c r="J137" i="214" s="1"/>
  <c r="J138" i="214" s="1"/>
  <c r="J139" i="214" s="1"/>
  <c r="J140" i="214" s="1"/>
  <c r="J141" i="214" s="1"/>
  <c r="J142" i="214" s="1"/>
  <c r="J143" i="214" s="1"/>
  <c r="J144" i="214" s="1"/>
  <c r="J145" i="214" s="1"/>
  <c r="J146" i="214" s="1"/>
  <c r="J147" i="214" s="1"/>
  <c r="J148" i="214" s="1"/>
  <c r="J149" i="214" s="1"/>
  <c r="J150" i="214" s="1"/>
  <c r="J151" i="214" s="1"/>
  <c r="J152" i="214" s="1"/>
  <c r="J153" i="214" s="1"/>
  <c r="J154" i="214" s="1"/>
  <c r="J155" i="214" s="1"/>
  <c r="J156" i="214" s="1"/>
  <c r="J157" i="214" s="1"/>
  <c r="A128" i="214"/>
  <c r="A129" i="214" s="1"/>
  <c r="A130" i="214" s="1"/>
  <c r="A131" i="214" s="1"/>
  <c r="A132" i="214" s="1"/>
  <c r="A133" i="214" s="1"/>
  <c r="A134" i="214" s="1"/>
  <c r="A135" i="214" s="1"/>
  <c r="A136" i="214" s="1"/>
  <c r="A137" i="214" s="1"/>
  <c r="A138" i="214" s="1"/>
  <c r="A139" i="214" s="1"/>
  <c r="A140" i="214" s="1"/>
  <c r="A141" i="214" s="1"/>
  <c r="A142" i="214" s="1"/>
  <c r="A143" i="214" s="1"/>
  <c r="A144" i="214" s="1"/>
  <c r="A145" i="214" s="1"/>
  <c r="A146" i="214" s="1"/>
  <c r="A147" i="214" s="1"/>
  <c r="A148" i="214" s="1"/>
  <c r="A149" i="214" s="1"/>
  <c r="A150" i="214" s="1"/>
  <c r="A151" i="214" s="1"/>
  <c r="A152" i="214" s="1"/>
  <c r="A153" i="214" s="1"/>
  <c r="A154" i="214" s="1"/>
  <c r="A155" i="214" s="1"/>
  <c r="A156" i="214" s="1"/>
  <c r="A157" i="214" s="1"/>
  <c r="B121" i="214"/>
  <c r="G99" i="214"/>
  <c r="J82" i="214"/>
  <c r="J83" i="214" s="1"/>
  <c r="J84" i="214" s="1"/>
  <c r="J85" i="214" s="1"/>
  <c r="J86" i="214" s="1"/>
  <c r="J87" i="214" s="1"/>
  <c r="J88" i="214" s="1"/>
  <c r="J89" i="214" s="1"/>
  <c r="J90" i="214" s="1"/>
  <c r="J91" i="214" s="1"/>
  <c r="J92" i="214" s="1"/>
  <c r="J93" i="214" s="1"/>
  <c r="J94" i="214" s="1"/>
  <c r="J95" i="214" s="1"/>
  <c r="J96" i="214" s="1"/>
  <c r="J97" i="214" s="1"/>
  <c r="J98" i="214" s="1"/>
  <c r="J99" i="214" s="1"/>
  <c r="J100" i="214" s="1"/>
  <c r="J101" i="214" s="1"/>
  <c r="J102" i="214" s="1"/>
  <c r="J103" i="214" s="1"/>
  <c r="J104" i="214" s="1"/>
  <c r="J105" i="214" s="1"/>
  <c r="J106" i="214" s="1"/>
  <c r="J107" i="214" s="1"/>
  <c r="J108" i="214" s="1"/>
  <c r="J109" i="214" s="1"/>
  <c r="J110" i="214" s="1"/>
  <c r="J111" i="214" s="1"/>
  <c r="A82" i="214"/>
  <c r="A83" i="214" s="1"/>
  <c r="A84" i="214" s="1"/>
  <c r="A85" i="214" s="1"/>
  <c r="A86" i="214" s="1"/>
  <c r="A87" i="214" s="1"/>
  <c r="A88" i="214" s="1"/>
  <c r="A89" i="214" s="1"/>
  <c r="A90" i="214" s="1"/>
  <c r="A91" i="214" s="1"/>
  <c r="A92" i="214" s="1"/>
  <c r="A93" i="214" s="1"/>
  <c r="A94" i="214" s="1"/>
  <c r="A95" i="214" s="1"/>
  <c r="A96" i="214" s="1"/>
  <c r="A97" i="214" s="1"/>
  <c r="A98" i="214" s="1"/>
  <c r="A99" i="214" s="1"/>
  <c r="A100" i="214" s="1"/>
  <c r="A101" i="214" s="1"/>
  <c r="A102" i="214" s="1"/>
  <c r="A103" i="214" s="1"/>
  <c r="A104" i="214" s="1"/>
  <c r="A105" i="214" s="1"/>
  <c r="A106" i="214" s="1"/>
  <c r="A107" i="214" s="1"/>
  <c r="A108" i="214" s="1"/>
  <c r="A109" i="214" s="1"/>
  <c r="A110" i="214" s="1"/>
  <c r="A111" i="214" s="1"/>
  <c r="B75" i="214"/>
  <c r="D63" i="214"/>
  <c r="C63" i="214"/>
  <c r="G62" i="214"/>
  <c r="G61" i="214"/>
  <c r="G65" i="214" s="1"/>
  <c r="G132" i="214" s="1"/>
  <c r="G60" i="214"/>
  <c r="E49" i="214"/>
  <c r="C49" i="214"/>
  <c r="C48" i="214"/>
  <c r="G39" i="214"/>
  <c r="G32" i="214"/>
  <c r="E48" i="214" s="1"/>
  <c r="G27" i="214"/>
  <c r="E47" i="214" s="1"/>
  <c r="G25" i="214"/>
  <c r="G17" i="214"/>
  <c r="C47" i="214" s="1"/>
  <c r="J12" i="214"/>
  <c r="J13" i="214" s="1"/>
  <c r="J14" i="214" s="1"/>
  <c r="J15" i="214" s="1"/>
  <c r="J16" i="214" s="1"/>
  <c r="J17" i="214" s="1"/>
  <c r="J18" i="214" s="1"/>
  <c r="J19" i="214" s="1"/>
  <c r="J20" i="214" s="1"/>
  <c r="J21" i="214" s="1"/>
  <c r="J22" i="214" s="1"/>
  <c r="J23" i="214" s="1"/>
  <c r="J24" i="214" s="1"/>
  <c r="J25" i="214" s="1"/>
  <c r="J26" i="214" s="1"/>
  <c r="J27" i="214" s="1"/>
  <c r="J28" i="214" s="1"/>
  <c r="J29" i="214" s="1"/>
  <c r="J30" i="214" s="1"/>
  <c r="J31" i="214" s="1"/>
  <c r="J32" i="214" s="1"/>
  <c r="J33" i="214" s="1"/>
  <c r="J34" i="214" s="1"/>
  <c r="J35" i="214" s="1"/>
  <c r="J36" i="214" s="1"/>
  <c r="J37" i="214" s="1"/>
  <c r="J38" i="214" s="1"/>
  <c r="J39" i="214" s="1"/>
  <c r="J40" i="214" s="1"/>
  <c r="J41" i="214" s="1"/>
  <c r="J42" i="214" s="1"/>
  <c r="J43" i="214" s="1"/>
  <c r="J44" i="214" s="1"/>
  <c r="J45" i="214" s="1"/>
  <c r="J46" i="214" s="1"/>
  <c r="J47" i="214" s="1"/>
  <c r="J48" i="214" s="1"/>
  <c r="J49" i="214" s="1"/>
  <c r="J50" i="214" s="1"/>
  <c r="J51" i="214" s="1"/>
  <c r="J52" i="214" s="1"/>
  <c r="J53" i="214" s="1"/>
  <c r="J54" i="214" s="1"/>
  <c r="J55" i="214" s="1"/>
  <c r="J56" i="214" s="1"/>
  <c r="J57" i="214" s="1"/>
  <c r="J58" i="214" s="1"/>
  <c r="J59" i="214" s="1"/>
  <c r="J60" i="214" s="1"/>
  <c r="J61" i="214" s="1"/>
  <c r="J62" i="214" s="1"/>
  <c r="J63" i="214" s="1"/>
  <c r="J64" i="214" s="1"/>
  <c r="J65" i="214" s="1"/>
  <c r="A12" i="214"/>
  <c r="A13" i="214" s="1"/>
  <c r="A14" i="214" s="1"/>
  <c r="A15" i="214" s="1"/>
  <c r="A16" i="214" s="1"/>
  <c r="A17" i="214" s="1"/>
  <c r="A18" i="214" s="1"/>
  <c r="A19" i="214" s="1"/>
  <c r="A20" i="214" s="1"/>
  <c r="A21" i="214" s="1"/>
  <c r="A22" i="214" s="1"/>
  <c r="A23" i="214" s="1"/>
  <c r="A24" i="214" s="1"/>
  <c r="A25" i="214" s="1"/>
  <c r="A26" i="214" s="1"/>
  <c r="A27" i="214" s="1"/>
  <c r="A28" i="214" s="1"/>
  <c r="A29" i="214" s="1"/>
  <c r="A30" i="214" s="1"/>
  <c r="A31" i="214" s="1"/>
  <c r="A32" i="214" s="1"/>
  <c r="A33" i="214" s="1"/>
  <c r="A34" i="214" s="1"/>
  <c r="A35" i="214" s="1"/>
  <c r="A36" i="214" s="1"/>
  <c r="A37" i="214" s="1"/>
  <c r="A38" i="214" s="1"/>
  <c r="A39" i="214" s="1"/>
  <c r="A40" i="214" s="1"/>
  <c r="A41" i="214" s="1"/>
  <c r="A42" i="214" s="1"/>
  <c r="A43" i="214" s="1"/>
  <c r="A44" i="214" s="1"/>
  <c r="A45" i="214" s="1"/>
  <c r="A46" i="214" s="1"/>
  <c r="A47" i="214" s="1"/>
  <c r="A48" i="214" s="1"/>
  <c r="A49" i="214" s="1"/>
  <c r="A50" i="214" s="1"/>
  <c r="A51" i="214" s="1"/>
  <c r="A52" i="214" s="1"/>
  <c r="A53" i="214" s="1"/>
  <c r="A54" i="214" s="1"/>
  <c r="A55" i="214" s="1"/>
  <c r="A56" i="214" s="1"/>
  <c r="A57" i="214" s="1"/>
  <c r="A58" i="214" s="1"/>
  <c r="A59" i="214" s="1"/>
  <c r="A60" i="214" s="1"/>
  <c r="A61" i="214" s="1"/>
  <c r="A62" i="214" s="1"/>
  <c r="A63" i="214" s="1"/>
  <c r="A64" i="214" s="1"/>
  <c r="A65" i="214" s="1"/>
  <c r="J11" i="214"/>
  <c r="E27" i="213"/>
  <c r="G19" i="213"/>
  <c r="G15" i="213"/>
  <c r="J12" i="213"/>
  <c r="J13" i="213" s="1"/>
  <c r="J14" i="213" s="1"/>
  <c r="J15" i="213" s="1"/>
  <c r="J16" i="213" s="1"/>
  <c r="J17" i="213" s="1"/>
  <c r="J18" i="213" s="1"/>
  <c r="J19" i="213" s="1"/>
  <c r="J20" i="213" s="1"/>
  <c r="J21" i="213" s="1"/>
  <c r="J22" i="213" s="1"/>
  <c r="J23" i="213" s="1"/>
  <c r="J24" i="213" s="1"/>
  <c r="J25" i="213" s="1"/>
  <c r="J26" i="213" s="1"/>
  <c r="J27" i="213" s="1"/>
  <c r="J28" i="213" s="1"/>
  <c r="J29" i="213" s="1"/>
  <c r="A12" i="213"/>
  <c r="A13" i="213" s="1"/>
  <c r="A14" i="213" s="1"/>
  <c r="A15" i="213" s="1"/>
  <c r="A16" i="213" s="1"/>
  <c r="A17" i="213" s="1"/>
  <c r="A18" i="213" s="1"/>
  <c r="A19" i="213" s="1"/>
  <c r="A20" i="213" s="1"/>
  <c r="A21" i="213" s="1"/>
  <c r="A22" i="213" s="1"/>
  <c r="A23" i="213" s="1"/>
  <c r="A24" i="213" s="1"/>
  <c r="A25" i="213" s="1"/>
  <c r="A26" i="213" s="1"/>
  <c r="A27" i="213" s="1"/>
  <c r="A28" i="213" s="1"/>
  <c r="A29" i="213" s="1"/>
  <c r="J11" i="213"/>
  <c r="E48" i="212"/>
  <c r="E44" i="212"/>
  <c r="E37" i="212"/>
  <c r="E51" i="212" s="1"/>
  <c r="F28" i="212"/>
  <c r="H28" i="212" s="1"/>
  <c r="I28" i="212" s="1"/>
  <c r="M28" i="212" s="1"/>
  <c r="E26" i="212"/>
  <c r="E30" i="212" s="1"/>
  <c r="D26" i="212"/>
  <c r="D30" i="212" s="1"/>
  <c r="F24" i="212"/>
  <c r="I24" i="212" s="1"/>
  <c r="M24" i="212" s="1"/>
  <c r="F23" i="212"/>
  <c r="I23" i="212" s="1"/>
  <c r="M23" i="212" s="1"/>
  <c r="F22" i="212"/>
  <c r="I22" i="212" s="1"/>
  <c r="M22" i="212" s="1"/>
  <c r="F21" i="212"/>
  <c r="I21" i="212" s="1"/>
  <c r="M21" i="212" s="1"/>
  <c r="F20" i="212"/>
  <c r="I20" i="212" s="1"/>
  <c r="M20" i="212" s="1"/>
  <c r="F19" i="212"/>
  <c r="I19" i="212" s="1"/>
  <c r="M19" i="212" s="1"/>
  <c r="F18" i="212"/>
  <c r="I18" i="212" s="1"/>
  <c r="M18" i="212" s="1"/>
  <c r="F17" i="212"/>
  <c r="I17" i="212" s="1"/>
  <c r="M17" i="212" s="1"/>
  <c r="F16" i="212"/>
  <c r="I16" i="212" s="1"/>
  <c r="M16" i="212" s="1"/>
  <c r="F15" i="212"/>
  <c r="I15" i="212" s="1"/>
  <c r="M15" i="212" s="1"/>
  <c r="K14" i="212"/>
  <c r="H14" i="212"/>
  <c r="H26" i="212" s="1"/>
  <c r="F14" i="212"/>
  <c r="I14" i="212" s="1"/>
  <c r="M14" i="212" s="1"/>
  <c r="F13" i="212"/>
  <c r="I13" i="212" s="1"/>
  <c r="M13" i="212" s="1"/>
  <c r="K12" i="212"/>
  <c r="F12" i="212"/>
  <c r="I12" i="212" s="1"/>
  <c r="A12" i="212"/>
  <c r="A13" i="212" s="1"/>
  <c r="A14" i="212" s="1"/>
  <c r="A15" i="212" s="1"/>
  <c r="A16" i="212" s="1"/>
  <c r="A17" i="212" s="1"/>
  <c r="A18" i="212" s="1"/>
  <c r="A19" i="212" s="1"/>
  <c r="A20" i="212" s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A32" i="212" s="1"/>
  <c r="A33" i="212" s="1"/>
  <c r="A34" i="212" s="1"/>
  <c r="A35" i="212" s="1"/>
  <c r="A36" i="212" s="1"/>
  <c r="A37" i="212" s="1"/>
  <c r="A38" i="212" s="1"/>
  <c r="A39" i="212" s="1"/>
  <c r="A40" i="212" s="1"/>
  <c r="A41" i="212" s="1"/>
  <c r="A42" i="212" s="1"/>
  <c r="A43" i="212" s="1"/>
  <c r="A44" i="212" s="1"/>
  <c r="A45" i="212" s="1"/>
  <c r="A46" i="212" s="1"/>
  <c r="A47" i="212" s="1"/>
  <c r="A48" i="212" s="1"/>
  <c r="R11" i="212"/>
  <c r="R12" i="212" s="1"/>
  <c r="R13" i="212" s="1"/>
  <c r="R14" i="212" s="1"/>
  <c r="R15" i="212" s="1"/>
  <c r="R16" i="212" s="1"/>
  <c r="R17" i="212" s="1"/>
  <c r="R18" i="212" s="1"/>
  <c r="R19" i="212" s="1"/>
  <c r="R20" i="212" s="1"/>
  <c r="R21" i="212" s="1"/>
  <c r="R22" i="212" s="1"/>
  <c r="R23" i="212" s="1"/>
  <c r="R24" i="212" s="1"/>
  <c r="R25" i="212" s="1"/>
  <c r="R26" i="212" s="1"/>
  <c r="R27" i="212" s="1"/>
  <c r="R28" i="212" s="1"/>
  <c r="R29" i="212" s="1"/>
  <c r="R30" i="212" s="1"/>
  <c r="R31" i="212" s="1"/>
  <c r="R32" i="212" s="1"/>
  <c r="R33" i="212" s="1"/>
  <c r="R34" i="212" s="1"/>
  <c r="R35" i="212" s="1"/>
  <c r="R36" i="212" s="1"/>
  <c r="R37" i="212" s="1"/>
  <c r="R38" i="212" s="1"/>
  <c r="R39" i="212" s="1"/>
  <c r="R40" i="212" s="1"/>
  <c r="R41" i="212" s="1"/>
  <c r="R42" i="212" s="1"/>
  <c r="R43" i="212" s="1"/>
  <c r="R44" i="212" s="1"/>
  <c r="R45" i="212" s="1"/>
  <c r="R46" i="212" s="1"/>
  <c r="R47" i="212" s="1"/>
  <c r="F11" i="212"/>
  <c r="H45" i="211"/>
  <c r="H46" i="211" s="1"/>
  <c r="H47" i="211" s="1"/>
  <c r="H48" i="211" s="1"/>
  <c r="A45" i="211"/>
  <c r="A46" i="211"/>
  <c r="A47" i="211" s="1"/>
  <c r="E61" i="211"/>
  <c r="E69" i="211" s="1"/>
  <c r="E59" i="211"/>
  <c r="E29" i="211"/>
  <c r="A12" i="211"/>
  <c r="A13" i="211" s="1"/>
  <c r="A14" i="211" s="1"/>
  <c r="A15" i="211" s="1"/>
  <c r="A16" i="211" s="1"/>
  <c r="A17" i="211" s="1"/>
  <c r="A18" i="211" s="1"/>
  <c r="A19" i="211" s="1"/>
  <c r="A20" i="211" s="1"/>
  <c r="A21" i="211" s="1"/>
  <c r="A22" i="211" s="1"/>
  <c r="A23" i="211" s="1"/>
  <c r="A24" i="211" s="1"/>
  <c r="A25" i="211" s="1"/>
  <c r="A26" i="211" s="1"/>
  <c r="A27" i="211" s="1"/>
  <c r="A28" i="211" s="1"/>
  <c r="A29" i="211" s="1"/>
  <c r="A30" i="211" s="1"/>
  <c r="A31" i="211" s="1"/>
  <c r="A32" i="211" s="1"/>
  <c r="A33" i="211" s="1"/>
  <c r="A34" i="211" s="1"/>
  <c r="A35" i="211" s="1"/>
  <c r="A36" i="211" s="1"/>
  <c r="A37" i="211" s="1"/>
  <c r="A38" i="211" s="1"/>
  <c r="A39" i="211" s="1"/>
  <c r="A40" i="211" s="1"/>
  <c r="A41" i="211" s="1"/>
  <c r="A42" i="211" s="1"/>
  <c r="A43" i="211" s="1"/>
  <c r="A44" i="211" s="1"/>
  <c r="H11" i="211"/>
  <c r="H12" i="211" s="1"/>
  <c r="H13" i="211" s="1"/>
  <c r="H14" i="211" s="1"/>
  <c r="H15" i="211" s="1"/>
  <c r="H16" i="211" s="1"/>
  <c r="H17" i="211" s="1"/>
  <c r="H18" i="211" s="1"/>
  <c r="H19" i="211" s="1"/>
  <c r="H20" i="211" s="1"/>
  <c r="H21" i="211" s="1"/>
  <c r="H22" i="211" s="1"/>
  <c r="H23" i="211" s="1"/>
  <c r="H24" i="211" s="1"/>
  <c r="H25" i="211" s="1"/>
  <c r="H26" i="211" s="1"/>
  <c r="H27" i="211" s="1"/>
  <c r="H28" i="211" s="1"/>
  <c r="H29" i="211" s="1"/>
  <c r="H30" i="211" s="1"/>
  <c r="H31" i="211" s="1"/>
  <c r="H32" i="211" s="1"/>
  <c r="H33" i="211" s="1"/>
  <c r="H34" i="211" s="1"/>
  <c r="H35" i="211" s="1"/>
  <c r="H36" i="211" s="1"/>
  <c r="H37" i="211" s="1"/>
  <c r="H38" i="211" s="1"/>
  <c r="H39" i="211" s="1"/>
  <c r="H40" i="211" s="1"/>
  <c r="H41" i="211" s="1"/>
  <c r="H42" i="211" s="1"/>
  <c r="H43" i="211" s="1"/>
  <c r="H44" i="211" s="1"/>
  <c r="C16" i="215" l="1"/>
  <c r="C82" i="215"/>
  <c r="R48" i="212"/>
  <c r="R49" i="212" s="1"/>
  <c r="R50" i="212" s="1"/>
  <c r="R51" i="212" s="1"/>
  <c r="R52" i="212" s="1"/>
  <c r="R53" i="212" s="1"/>
  <c r="R54" i="212" s="1"/>
  <c r="R55" i="212" s="1"/>
  <c r="R56" i="212" s="1"/>
  <c r="R57" i="212" s="1"/>
  <c r="R58" i="212" s="1"/>
  <c r="R59" i="212" s="1"/>
  <c r="R60" i="212" s="1"/>
  <c r="R61" i="212" s="1"/>
  <c r="A49" i="212"/>
  <c r="A50" i="212" s="1"/>
  <c r="A51" i="212" s="1"/>
  <c r="A52" i="212" s="1"/>
  <c r="A53" i="212" s="1"/>
  <c r="A54" i="212" s="1"/>
  <c r="A55" i="212" s="1"/>
  <c r="A56" i="212" s="1"/>
  <c r="A57" i="212" s="1"/>
  <c r="A58" i="212" s="1"/>
  <c r="A59" i="212" s="1"/>
  <c r="A60" i="212" s="1"/>
  <c r="A61" i="212" s="1"/>
  <c r="M12" i="212"/>
  <c r="H30" i="212"/>
  <c r="F26" i="212"/>
  <c r="F30" i="212" s="1"/>
  <c r="K26" i="212"/>
  <c r="K30" i="212" s="1"/>
  <c r="C50" i="214"/>
  <c r="D47" i="214" s="1"/>
  <c r="G144" i="214"/>
  <c r="G138" i="214"/>
  <c r="G147" i="214" s="1"/>
  <c r="G63" i="214"/>
  <c r="G155" i="214" s="1"/>
  <c r="I11" i="212"/>
  <c r="H49" i="211"/>
  <c r="H50" i="211" s="1"/>
  <c r="H51" i="211" s="1"/>
  <c r="H52" i="211" s="1"/>
  <c r="H53" i="211" s="1"/>
  <c r="H54" i="211" s="1"/>
  <c r="H55" i="211" s="1"/>
  <c r="H56" i="211" s="1"/>
  <c r="H57" i="211" s="1"/>
  <c r="H58" i="211" s="1"/>
  <c r="H59" i="211" s="1"/>
  <c r="H60" i="211" s="1"/>
  <c r="H61" i="211" s="1"/>
  <c r="H62" i="211" s="1"/>
  <c r="H63" i="211" s="1"/>
  <c r="H64" i="211" s="1"/>
  <c r="H65" i="211" s="1"/>
  <c r="H66" i="211" s="1"/>
  <c r="H67" i="211" s="1"/>
  <c r="H68" i="211" s="1"/>
  <c r="H69" i="211" s="1"/>
  <c r="H70" i="211" s="1"/>
  <c r="H71" i="211" s="1"/>
  <c r="A48" i="211"/>
  <c r="A49" i="211" s="1"/>
  <c r="A50" i="211" s="1"/>
  <c r="A51" i="211" s="1"/>
  <c r="A52" i="211" s="1"/>
  <c r="A53" i="211" s="1"/>
  <c r="A54" i="211" s="1"/>
  <c r="A55" i="211" s="1"/>
  <c r="A56" i="211" s="1"/>
  <c r="A57" i="211" s="1"/>
  <c r="A58" i="211" s="1"/>
  <c r="A59" i="211" s="1"/>
  <c r="A60" i="211" s="1"/>
  <c r="A61" i="211" s="1"/>
  <c r="A62" i="211" s="1"/>
  <c r="A63" i="211" s="1"/>
  <c r="A64" i="211" s="1"/>
  <c r="A65" i="211" s="1"/>
  <c r="A66" i="211" s="1"/>
  <c r="A67" i="211" s="1"/>
  <c r="A68" i="211" s="1"/>
  <c r="A69" i="211" s="1"/>
  <c r="A70" i="211" s="1"/>
  <c r="A71" i="211" s="1"/>
  <c r="E71" i="211"/>
  <c r="E51" i="211" s="1"/>
  <c r="E52" i="211" s="1"/>
  <c r="E58" i="209" l="1"/>
  <c r="E23" i="213"/>
  <c r="E25" i="213" s="1"/>
  <c r="E29" i="213" s="1"/>
  <c r="G47" i="214"/>
  <c r="D48" i="214"/>
  <c r="G48" i="214" s="1"/>
  <c r="D49" i="214"/>
  <c r="G49" i="214" s="1"/>
  <c r="G150" i="214"/>
  <c r="G153" i="214" s="1"/>
  <c r="G157" i="214" s="1"/>
  <c r="I26" i="212"/>
  <c r="I30" i="212" s="1"/>
  <c r="M11" i="212"/>
  <c r="M26" i="212" s="1"/>
  <c r="M30" i="212" s="1"/>
  <c r="E76" i="209" l="1"/>
  <c r="C31" i="215"/>
  <c r="C32" i="215" s="1"/>
  <c r="C36" i="215" s="1"/>
  <c r="G89" i="214" s="1"/>
  <c r="G100" i="214" s="1"/>
  <c r="D50" i="214"/>
  <c r="G52" i="214"/>
  <c r="G86" i="214" s="1"/>
  <c r="G50" i="214"/>
  <c r="G109" i="214" s="1"/>
  <c r="G98" i="214" l="1"/>
  <c r="G92" i="214"/>
  <c r="G101" i="214" s="1"/>
  <c r="G104" i="214" l="1"/>
  <c r="G107" i="214" s="1"/>
  <c r="G111" i="214" s="1"/>
  <c r="A51" i="209" l="1"/>
  <c r="A52" i="209" s="1"/>
  <c r="A53" i="209" s="1"/>
  <c r="A54" i="209" s="1"/>
  <c r="A55" i="209" s="1"/>
  <c r="A56" i="209" s="1"/>
  <c r="A57" i="209" s="1"/>
  <c r="A58" i="209" s="1"/>
  <c r="A59" i="209" s="1"/>
  <c r="A60" i="209" s="1"/>
  <c r="A61" i="209" s="1"/>
  <c r="A62" i="209" s="1"/>
  <c r="A63" i="209" s="1"/>
  <c r="A64" i="209" s="1"/>
  <c r="A65" i="209" s="1"/>
  <c r="A66" i="209" s="1"/>
  <c r="A67" i="209" s="1"/>
  <c r="A68" i="209" s="1"/>
  <c r="A69" i="209" s="1"/>
  <c r="A70" i="209" s="1"/>
  <c r="A71" i="209" s="1"/>
  <c r="A72" i="209" s="1"/>
  <c r="A73" i="209" s="1"/>
  <c r="A74" i="209" s="1"/>
  <c r="A75" i="209" s="1"/>
  <c r="A76" i="209" s="1"/>
  <c r="A77" i="209" s="1"/>
  <c r="A78" i="209" s="1"/>
  <c r="A79" i="209" s="1"/>
  <c r="A80" i="209" s="1"/>
  <c r="A81" i="209" s="1"/>
  <c r="A82" i="209" s="1"/>
  <c r="A83" i="209" s="1"/>
  <c r="A84" i="209" s="1"/>
  <c r="A85" i="209" s="1"/>
  <c r="A86" i="209" s="1"/>
  <c r="A87" i="209" s="1"/>
  <c r="A88" i="209" s="1"/>
  <c r="A89" i="209" s="1"/>
  <c r="A90" i="209" s="1"/>
  <c r="A91" i="209" s="1"/>
  <c r="A92" i="209" s="1"/>
  <c r="A93" i="209" s="1"/>
  <c r="A94" i="209" s="1"/>
  <c r="A95" i="209" s="1"/>
  <c r="A96" i="209" s="1"/>
  <c r="A97" i="209" s="1"/>
  <c r="A98" i="209" s="1"/>
  <c r="A99" i="209" s="1"/>
  <c r="A100" i="209" s="1"/>
  <c r="H50" i="209"/>
  <c r="H51" i="209" s="1"/>
  <c r="H52" i="209" s="1"/>
  <c r="H53" i="209" s="1"/>
  <c r="H54" i="209" s="1"/>
  <c r="H55" i="209" s="1"/>
  <c r="H56" i="209" s="1"/>
  <c r="H57" i="209" s="1"/>
  <c r="H58" i="209" s="1"/>
  <c r="H59" i="209" s="1"/>
  <c r="H60" i="209" s="1"/>
  <c r="H61" i="209" s="1"/>
  <c r="H62" i="209" s="1"/>
  <c r="H63" i="209" s="1"/>
  <c r="H64" i="209" s="1"/>
  <c r="H65" i="209" s="1"/>
  <c r="H66" i="209" s="1"/>
  <c r="H67" i="209" s="1"/>
  <c r="H68" i="209" s="1"/>
  <c r="H69" i="209" s="1"/>
  <c r="H70" i="209" s="1"/>
  <c r="H71" i="209" s="1"/>
  <c r="H72" i="209" s="1"/>
  <c r="H73" i="209" s="1"/>
  <c r="H74" i="209" s="1"/>
  <c r="H75" i="209" s="1"/>
  <c r="H76" i="209" s="1"/>
  <c r="H77" i="209" s="1"/>
  <c r="H78" i="209" s="1"/>
  <c r="H79" i="209" s="1"/>
  <c r="H80" i="209" s="1"/>
  <c r="H81" i="209" s="1"/>
  <c r="H82" i="209" s="1"/>
  <c r="H83" i="209" s="1"/>
  <c r="H84" i="209" s="1"/>
  <c r="H85" i="209" s="1"/>
  <c r="H86" i="209" s="1"/>
  <c r="H87" i="209" s="1"/>
  <c r="H88" i="209" s="1"/>
  <c r="H89" i="209" s="1"/>
  <c r="H90" i="209" s="1"/>
  <c r="H91" i="209" s="1"/>
  <c r="H92" i="209" s="1"/>
  <c r="H93" i="209" s="1"/>
  <c r="H94" i="209" s="1"/>
  <c r="H95" i="209" s="1"/>
  <c r="H96" i="209" s="1"/>
  <c r="H97" i="209" s="1"/>
  <c r="H98" i="209" s="1"/>
  <c r="H99" i="209" s="1"/>
  <c r="H100" i="209" s="1"/>
  <c r="B45" i="209"/>
  <c r="B44" i="209"/>
  <c r="B43" i="209"/>
  <c r="B42" i="209"/>
  <c r="B41" i="209"/>
  <c r="B103" i="209"/>
  <c r="A13" i="209"/>
  <c r="A14" i="209" s="1"/>
  <c r="A15" i="209" s="1"/>
  <c r="A16" i="209" s="1"/>
  <c r="A17" i="209" s="1"/>
  <c r="A18" i="209" s="1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12" i="209"/>
  <c r="H11" i="209"/>
  <c r="H12" i="209" s="1"/>
  <c r="H13" i="209" s="1"/>
  <c r="H14" i="209" s="1"/>
  <c r="H15" i="209" s="1"/>
  <c r="H16" i="209" s="1"/>
  <c r="H17" i="209" s="1"/>
  <c r="H18" i="209" s="1"/>
  <c r="H19" i="209" s="1"/>
  <c r="H20" i="209" s="1"/>
  <c r="H21" i="209" s="1"/>
  <c r="H22" i="209" s="1"/>
  <c r="H23" i="209" s="1"/>
  <c r="H24" i="209" s="1"/>
  <c r="H25" i="209" s="1"/>
  <c r="H26" i="209" s="1"/>
  <c r="H27" i="209" s="1"/>
  <c r="H28" i="209" s="1"/>
  <c r="H29" i="209" s="1"/>
  <c r="H30" i="209" s="1"/>
  <c r="H31" i="209" s="1"/>
  <c r="H32" i="209" s="1"/>
  <c r="H33" i="209" s="1"/>
  <c r="H34" i="209" s="1"/>
  <c r="H35" i="209" s="1"/>
  <c r="E51" i="168"/>
  <c r="E47" i="168"/>
  <c r="E45" i="168"/>
  <c r="E43" i="168"/>
  <c r="E39" i="168"/>
  <c r="E35" i="168"/>
  <c r="E26" i="168"/>
  <c r="E22" i="168"/>
  <c r="E20" i="168"/>
  <c r="E16" i="168"/>
  <c r="E12" i="168"/>
  <c r="C47" i="168"/>
  <c r="C45" i="168"/>
  <c r="C43" i="168"/>
  <c r="C39" i="168"/>
  <c r="C35" i="168"/>
  <c r="C26" i="168"/>
  <c r="C22" i="168"/>
  <c r="C20" i="168"/>
  <c r="C16" i="168"/>
  <c r="C12" i="168"/>
  <c r="B56" i="208"/>
  <c r="B52" i="208"/>
  <c r="C46" i="208"/>
  <c r="B46" i="208"/>
  <c r="C44" i="208"/>
  <c r="B44" i="208"/>
  <c r="C42" i="208"/>
  <c r="B42" i="208"/>
  <c r="C38" i="208"/>
  <c r="B38" i="208"/>
  <c r="B36" i="208"/>
  <c r="C34" i="208"/>
  <c r="B34" i="208"/>
  <c r="E32" i="208"/>
  <c r="C32" i="208"/>
  <c r="A13" i="208"/>
  <c r="A14" i="208" s="1"/>
  <c r="A15" i="208" s="1"/>
  <c r="A16" i="208" s="1"/>
  <c r="A17" i="208" s="1"/>
  <c r="A18" i="208" s="1"/>
  <c r="A19" i="208" s="1"/>
  <c r="A20" i="208" s="1"/>
  <c r="A21" i="208" s="1"/>
  <c r="A22" i="208" s="1"/>
  <c r="A23" i="208" s="1"/>
  <c r="A24" i="208" s="1"/>
  <c r="A25" i="208" s="1"/>
  <c r="A26" i="208" s="1"/>
  <c r="A27" i="208" s="1"/>
  <c r="A28" i="208" s="1"/>
  <c r="A33" i="208" s="1"/>
  <c r="A34" i="208" s="1"/>
  <c r="A35" i="208" s="1"/>
  <c r="A36" i="208" s="1"/>
  <c r="A37" i="208" s="1"/>
  <c r="A38" i="208" s="1"/>
  <c r="A39" i="208" s="1"/>
  <c r="A40" i="208" s="1"/>
  <c r="A41" i="208" s="1"/>
  <c r="A42" i="208" s="1"/>
  <c r="A43" i="208" s="1"/>
  <c r="A44" i="208" s="1"/>
  <c r="A45" i="208" s="1"/>
  <c r="A46" i="208" s="1"/>
  <c r="A47" i="208" s="1"/>
  <c r="A48" i="208" s="1"/>
  <c r="A49" i="208" s="1"/>
  <c r="A50" i="208" s="1"/>
  <c r="A51" i="208" s="1"/>
  <c r="A52" i="208" s="1"/>
  <c r="A53" i="208" s="1"/>
  <c r="F12" i="208"/>
  <c r="F13" i="208" s="1"/>
  <c r="F14" i="208" s="1"/>
  <c r="F15" i="208" s="1"/>
  <c r="F16" i="208" s="1"/>
  <c r="F17" i="208" s="1"/>
  <c r="F18" i="208" s="1"/>
  <c r="F19" i="208" s="1"/>
  <c r="F20" i="208" s="1"/>
  <c r="F21" i="208" s="1"/>
  <c r="F22" i="208" s="1"/>
  <c r="F23" i="208" s="1"/>
  <c r="F24" i="208" s="1"/>
  <c r="F25" i="208" s="1"/>
  <c r="F26" i="208" s="1"/>
  <c r="F27" i="208" s="1"/>
  <c r="F28" i="208" s="1"/>
  <c r="F33" i="208" s="1"/>
  <c r="F34" i="208" s="1"/>
  <c r="F35" i="208" s="1"/>
  <c r="F36" i="208" s="1"/>
  <c r="F37" i="208" s="1"/>
  <c r="F38" i="208" s="1"/>
  <c r="F39" i="208" s="1"/>
  <c r="F40" i="208" s="1"/>
  <c r="F41" i="208" s="1"/>
  <c r="F42" i="208" s="1"/>
  <c r="F43" i="208" s="1"/>
  <c r="F44" i="208" s="1"/>
  <c r="F45" i="208" s="1"/>
  <c r="F46" i="208" s="1"/>
  <c r="F47" i="208" s="1"/>
  <c r="F48" i="208" s="1"/>
  <c r="F49" i="208" s="1"/>
  <c r="F50" i="208" s="1"/>
  <c r="F51" i="208" s="1"/>
  <c r="F52" i="208" s="1"/>
  <c r="F53" i="208" s="1"/>
  <c r="A12" i="208"/>
  <c r="F11" i="208"/>
  <c r="B52" i="204" l="1"/>
  <c r="B39" i="171" l="1"/>
  <c r="B104" i="171" s="1"/>
  <c r="C28" i="207" l="1"/>
  <c r="C29" i="207" s="1"/>
  <c r="C30" i="207" s="1"/>
  <c r="C31" i="207" s="1"/>
  <c r="C32" i="207" s="1"/>
  <c r="C33" i="207" s="1"/>
  <c r="C34" i="207" s="1"/>
  <c r="C35" i="207" s="1"/>
  <c r="C36" i="207" s="1"/>
  <c r="C37" i="207" s="1"/>
  <c r="C38" i="207" s="1"/>
  <c r="C39" i="207" s="1"/>
  <c r="C40" i="207" s="1"/>
  <c r="C41" i="207" s="1"/>
  <c r="C42" i="207" s="1"/>
  <c r="C43" i="207" s="1"/>
  <c r="C44" i="207" s="1"/>
  <c r="C45" i="207" s="1"/>
  <c r="C46" i="207" s="1"/>
  <c r="C47" i="207" s="1"/>
  <c r="C48" i="207" s="1"/>
  <c r="C49" i="207" s="1"/>
  <c r="C50" i="207" s="1"/>
  <c r="C51" i="207" s="1"/>
  <c r="C52" i="207" s="1"/>
  <c r="C53" i="207" s="1"/>
  <c r="C54" i="207" s="1"/>
  <c r="C55" i="207" s="1"/>
  <c r="C56" i="207" s="1"/>
  <c r="C57" i="207" s="1"/>
  <c r="C58" i="207" s="1"/>
  <c r="C59" i="207" s="1"/>
  <c r="C60" i="207" s="1"/>
  <c r="C61" i="207" s="1"/>
  <c r="C62" i="207" s="1"/>
  <c r="C63" i="207" s="1"/>
  <c r="C64" i="207" s="1"/>
  <c r="C27" i="207"/>
  <c r="C26" i="207"/>
  <c r="C25" i="207"/>
  <c r="C24" i="207"/>
  <c r="C23" i="207"/>
  <c r="C22" i="207"/>
  <c r="C21" i="207"/>
  <c r="C20" i="207"/>
  <c r="C19" i="207"/>
  <c r="C18" i="207"/>
  <c r="I11" i="207"/>
  <c r="I12" i="207" s="1"/>
  <c r="I13" i="207" s="1"/>
  <c r="I14" i="207" s="1"/>
  <c r="I15" i="207" s="1"/>
  <c r="I16" i="207" s="1"/>
  <c r="I17" i="207" s="1"/>
  <c r="I18" i="207" s="1"/>
  <c r="I19" i="207" s="1"/>
  <c r="I20" i="207" s="1"/>
  <c r="I21" i="207" s="1"/>
  <c r="I22" i="207" s="1"/>
  <c r="I23" i="207" s="1"/>
  <c r="I24" i="207" s="1"/>
  <c r="I25" i="207" s="1"/>
  <c r="I26" i="207" s="1"/>
  <c r="I27" i="207" s="1"/>
  <c r="I28" i="207" s="1"/>
  <c r="I29" i="207" s="1"/>
  <c r="I30" i="207" s="1"/>
  <c r="I31" i="207" s="1"/>
  <c r="I32" i="207" s="1"/>
  <c r="I33" i="207" s="1"/>
  <c r="I34" i="207" s="1"/>
  <c r="I35" i="207" s="1"/>
  <c r="I36" i="207" s="1"/>
  <c r="I37" i="207" s="1"/>
  <c r="I38" i="207" s="1"/>
  <c r="I39" i="207" s="1"/>
  <c r="I40" i="207" s="1"/>
  <c r="I41" i="207" s="1"/>
  <c r="I42" i="207" s="1"/>
  <c r="I43" i="207" s="1"/>
  <c r="I44" i="207" s="1"/>
  <c r="I45" i="207" s="1"/>
  <c r="I46" i="207" s="1"/>
  <c r="I47" i="207" s="1"/>
  <c r="I48" i="207" s="1"/>
  <c r="I49" i="207" s="1"/>
  <c r="I50" i="207" s="1"/>
  <c r="I51" i="207" s="1"/>
  <c r="I52" i="207" s="1"/>
  <c r="I53" i="207" s="1"/>
  <c r="I54" i="207" s="1"/>
  <c r="I55" i="207" s="1"/>
  <c r="I56" i="207" s="1"/>
  <c r="I57" i="207" s="1"/>
  <c r="I58" i="207" s="1"/>
  <c r="I59" i="207" s="1"/>
  <c r="I60" i="207" s="1"/>
  <c r="I61" i="207" s="1"/>
  <c r="I62" i="207" s="1"/>
  <c r="I63" i="207" s="1"/>
  <c r="I64" i="207" s="1"/>
  <c r="I65" i="207" s="1"/>
  <c r="I66" i="207" s="1"/>
  <c r="I67" i="207" s="1"/>
  <c r="I68" i="207" s="1"/>
  <c r="I69" i="207" s="1"/>
  <c r="I70" i="207" s="1"/>
  <c r="I71" i="207" s="1"/>
  <c r="I72" i="207" s="1"/>
  <c r="I73" i="207" s="1"/>
  <c r="I74" i="207" s="1"/>
  <c r="I75" i="207" s="1"/>
  <c r="I76" i="207" s="1"/>
  <c r="I77" i="207" s="1"/>
  <c r="I78" i="207" s="1"/>
  <c r="I79" i="207" s="1"/>
  <c r="I80" i="207" s="1"/>
  <c r="I81" i="207" s="1"/>
  <c r="I82" i="207" s="1"/>
  <c r="I83" i="207" s="1"/>
  <c r="I84" i="207" s="1"/>
  <c r="I85" i="207" s="1"/>
  <c r="I86" i="207" s="1"/>
  <c r="I87" i="207" s="1"/>
  <c r="I88" i="207" s="1"/>
  <c r="I89" i="207" s="1"/>
  <c r="I90" i="207" s="1"/>
  <c r="I91" i="207" s="1"/>
  <c r="I92" i="207" s="1"/>
  <c r="I93" i="207" s="1"/>
  <c r="I94" i="207" s="1"/>
  <c r="I95" i="207" s="1"/>
  <c r="I96" i="207" s="1"/>
  <c r="I97" i="207" s="1"/>
  <c r="I98" i="207" s="1"/>
  <c r="I99" i="207" s="1"/>
  <c r="I100" i="207" s="1"/>
  <c r="I101" i="207" s="1"/>
  <c r="A11" i="207"/>
  <c r="A12" i="207" s="1"/>
  <c r="A13" i="207" s="1"/>
  <c r="A14" i="207" s="1"/>
  <c r="A15" i="207" s="1"/>
  <c r="A16" i="207" s="1"/>
  <c r="A17" i="207" s="1"/>
  <c r="A18" i="207" s="1"/>
  <c r="A19" i="207" s="1"/>
  <c r="A20" i="207" s="1"/>
  <c r="A21" i="207" s="1"/>
  <c r="A22" i="207" s="1"/>
  <c r="A23" i="207" s="1"/>
  <c r="A24" i="207" s="1"/>
  <c r="A25" i="207" s="1"/>
  <c r="A26" i="207" s="1"/>
  <c r="A27" i="207" s="1"/>
  <c r="A28" i="207" s="1"/>
  <c r="A29" i="207" s="1"/>
  <c r="A30" i="207" s="1"/>
  <c r="A31" i="207" s="1"/>
  <c r="A32" i="207" s="1"/>
  <c r="A33" i="207" s="1"/>
  <c r="A34" i="207" s="1"/>
  <c r="A35" i="207" s="1"/>
  <c r="A36" i="207" s="1"/>
  <c r="A37" i="207" s="1"/>
  <c r="A38" i="207" s="1"/>
  <c r="A39" i="207" s="1"/>
  <c r="A40" i="207" s="1"/>
  <c r="A41" i="207" s="1"/>
  <c r="A42" i="207" s="1"/>
  <c r="A43" i="207" s="1"/>
  <c r="A44" i="207" s="1"/>
  <c r="A45" i="207" s="1"/>
  <c r="A46" i="207" s="1"/>
  <c r="A47" i="207" s="1"/>
  <c r="A48" i="207" s="1"/>
  <c r="A49" i="207" s="1"/>
  <c r="A50" i="207" s="1"/>
  <c r="A51" i="207" s="1"/>
  <c r="A52" i="207" s="1"/>
  <c r="A53" i="207" s="1"/>
  <c r="A54" i="207" s="1"/>
  <c r="A55" i="207" s="1"/>
  <c r="A56" i="207" s="1"/>
  <c r="A57" i="207" s="1"/>
  <c r="A58" i="207" s="1"/>
  <c r="A59" i="207" s="1"/>
  <c r="A60" i="207" s="1"/>
  <c r="A61" i="207" s="1"/>
  <c r="A62" i="207" s="1"/>
  <c r="A63" i="207" s="1"/>
  <c r="A64" i="207" s="1"/>
  <c r="A65" i="207" s="1"/>
  <c r="A66" i="207" s="1"/>
  <c r="A67" i="207" s="1"/>
  <c r="A68" i="207" s="1"/>
  <c r="A69" i="207" s="1"/>
  <c r="A70" i="207" s="1"/>
  <c r="A71" i="207" s="1"/>
  <c r="A72" i="207" s="1"/>
  <c r="A73" i="207" s="1"/>
  <c r="A74" i="207" s="1"/>
  <c r="A75" i="207" s="1"/>
  <c r="A76" i="207" s="1"/>
  <c r="A77" i="207" s="1"/>
  <c r="A78" i="207" s="1"/>
  <c r="A79" i="207" s="1"/>
  <c r="A80" i="207" s="1"/>
  <c r="A81" i="207" s="1"/>
  <c r="A82" i="207" s="1"/>
  <c r="A83" i="207" s="1"/>
  <c r="A84" i="207" s="1"/>
  <c r="A85" i="207" s="1"/>
  <c r="A86" i="207" s="1"/>
  <c r="A87" i="207" s="1"/>
  <c r="A88" i="207" s="1"/>
  <c r="A89" i="207" s="1"/>
  <c r="A90" i="207" s="1"/>
  <c r="A91" i="207" s="1"/>
  <c r="A92" i="207" s="1"/>
  <c r="A93" i="207" s="1"/>
  <c r="A94" i="207" s="1"/>
  <c r="A95" i="207" s="1"/>
  <c r="A96" i="207" s="1"/>
  <c r="A97" i="207" s="1"/>
  <c r="A98" i="207" s="1"/>
  <c r="A99" i="207" s="1"/>
  <c r="A100" i="207" s="1"/>
  <c r="A101" i="207" s="1"/>
  <c r="C82" i="204" l="1"/>
  <c r="C16" i="204" s="1"/>
  <c r="C81" i="204"/>
  <c r="C15" i="204" s="1"/>
  <c r="C80" i="204"/>
  <c r="C14" i="204" s="1"/>
  <c r="C79" i="204"/>
  <c r="F88" i="204"/>
  <c r="C88" i="204"/>
  <c r="F87" i="204"/>
  <c r="F86" i="204"/>
  <c r="F85" i="204"/>
  <c r="F84" i="204"/>
  <c r="F83" i="204"/>
  <c r="F82" i="204"/>
  <c r="F81" i="204"/>
  <c r="F80" i="204"/>
  <c r="F79" i="204"/>
  <c r="F78" i="204"/>
  <c r="F77" i="204"/>
  <c r="F76" i="204"/>
  <c r="F75" i="204"/>
  <c r="F74" i="204"/>
  <c r="F73" i="204"/>
  <c r="F72" i="204"/>
  <c r="C76" i="204"/>
  <c r="F71" i="204"/>
  <c r="F70" i="204"/>
  <c r="F69" i="204"/>
  <c r="F68" i="204"/>
  <c r="F67" i="204"/>
  <c r="F66" i="204"/>
  <c r="F65" i="204"/>
  <c r="F64" i="204"/>
  <c r="B56" i="204"/>
  <c r="B55" i="204"/>
  <c r="C47" i="204"/>
  <c r="C42" i="204"/>
  <c r="C22" i="204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A26" i="204" s="1"/>
  <c r="A27" i="204" s="1"/>
  <c r="A28" i="204" s="1"/>
  <c r="A29" i="204" s="1"/>
  <c r="A30" i="204" s="1"/>
  <c r="A31" i="204" s="1"/>
  <c r="A32" i="204" s="1"/>
  <c r="A33" i="204" s="1"/>
  <c r="A34" i="204" s="1"/>
  <c r="A35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A49" i="204" s="1"/>
  <c r="F12" i="204"/>
  <c r="F13" i="204" s="1"/>
  <c r="F14" i="204" s="1"/>
  <c r="F15" i="204" s="1"/>
  <c r="F16" i="204" s="1"/>
  <c r="F17" i="204" s="1"/>
  <c r="F18" i="204" s="1"/>
  <c r="F19" i="204" s="1"/>
  <c r="F20" i="204" s="1"/>
  <c r="F21" i="204" s="1"/>
  <c r="F22" i="204" s="1"/>
  <c r="F23" i="204" s="1"/>
  <c r="F24" i="204" s="1"/>
  <c r="F25" i="204" s="1"/>
  <c r="F26" i="204" s="1"/>
  <c r="F27" i="204" s="1"/>
  <c r="F28" i="204" s="1"/>
  <c r="F29" i="204" s="1"/>
  <c r="F30" i="204" s="1"/>
  <c r="F31" i="204" s="1"/>
  <c r="F32" i="204" s="1"/>
  <c r="F33" i="204" s="1"/>
  <c r="F34" i="204" s="1"/>
  <c r="F35" i="204" s="1"/>
  <c r="F36" i="204" s="1"/>
  <c r="F37" i="204" s="1"/>
  <c r="F38" i="204" s="1"/>
  <c r="F39" i="204" s="1"/>
  <c r="F40" i="204" s="1"/>
  <c r="F41" i="204" s="1"/>
  <c r="F42" i="204" s="1"/>
  <c r="F43" i="204" s="1"/>
  <c r="F44" i="204" s="1"/>
  <c r="F45" i="204" s="1"/>
  <c r="F46" i="204" s="1"/>
  <c r="F47" i="204" s="1"/>
  <c r="F48" i="204" s="1"/>
  <c r="F49" i="204" s="1"/>
  <c r="B57" i="204"/>
  <c r="G149" i="203"/>
  <c r="B149" i="203"/>
  <c r="B148" i="203"/>
  <c r="G147" i="203"/>
  <c r="G146" i="203"/>
  <c r="B146" i="203"/>
  <c r="B145" i="203"/>
  <c r="G137" i="203"/>
  <c r="B137" i="203"/>
  <c r="B134" i="203"/>
  <c r="B133" i="203"/>
  <c r="J129" i="203"/>
  <c r="J130" i="203" s="1"/>
  <c r="J131" i="203" s="1"/>
  <c r="J132" i="203" s="1"/>
  <c r="J133" i="203" s="1"/>
  <c r="J134" i="203" s="1"/>
  <c r="J135" i="203" s="1"/>
  <c r="J136" i="203" s="1"/>
  <c r="J137" i="203" s="1"/>
  <c r="J138" i="203" s="1"/>
  <c r="J139" i="203" s="1"/>
  <c r="J140" i="203" s="1"/>
  <c r="J141" i="203" s="1"/>
  <c r="J142" i="203" s="1"/>
  <c r="J143" i="203" s="1"/>
  <c r="J144" i="203" s="1"/>
  <c r="J145" i="203" s="1"/>
  <c r="J146" i="203" s="1"/>
  <c r="J147" i="203" s="1"/>
  <c r="J148" i="203" s="1"/>
  <c r="J149" i="203" s="1"/>
  <c r="J150" i="203" s="1"/>
  <c r="J151" i="203" s="1"/>
  <c r="J152" i="203" s="1"/>
  <c r="J153" i="203" s="1"/>
  <c r="J154" i="203" s="1"/>
  <c r="J155" i="203" s="1"/>
  <c r="J156" i="203" s="1"/>
  <c r="J157" i="203" s="1"/>
  <c r="J158" i="203" s="1"/>
  <c r="A129" i="203"/>
  <c r="A130" i="203" s="1"/>
  <c r="A131" i="203" s="1"/>
  <c r="A132" i="203" s="1"/>
  <c r="A133" i="203" s="1"/>
  <c r="A134" i="203" s="1"/>
  <c r="A135" i="203" s="1"/>
  <c r="A136" i="203" s="1"/>
  <c r="A137" i="203" s="1"/>
  <c r="A138" i="203" s="1"/>
  <c r="A139" i="203" s="1"/>
  <c r="A140" i="203" s="1"/>
  <c r="A141" i="203" s="1"/>
  <c r="A142" i="203" s="1"/>
  <c r="A143" i="203" s="1"/>
  <c r="A144" i="203" s="1"/>
  <c r="A145" i="203" s="1"/>
  <c r="A146" i="203" s="1"/>
  <c r="A147" i="203" s="1"/>
  <c r="A148" i="203" s="1"/>
  <c r="A149" i="203" s="1"/>
  <c r="A150" i="203" s="1"/>
  <c r="A151" i="203" s="1"/>
  <c r="A152" i="203" s="1"/>
  <c r="A153" i="203" s="1"/>
  <c r="A154" i="203" s="1"/>
  <c r="A155" i="203" s="1"/>
  <c r="A156" i="203" s="1"/>
  <c r="A157" i="203" s="1"/>
  <c r="A158" i="203" s="1"/>
  <c r="G100" i="203"/>
  <c r="J83" i="203"/>
  <c r="J84" i="203" s="1"/>
  <c r="J85" i="203" s="1"/>
  <c r="J86" i="203" s="1"/>
  <c r="J87" i="203" s="1"/>
  <c r="J88" i="203" s="1"/>
  <c r="J89" i="203" s="1"/>
  <c r="J90" i="203" s="1"/>
  <c r="J91" i="203" s="1"/>
  <c r="J92" i="203" s="1"/>
  <c r="J93" i="203" s="1"/>
  <c r="J94" i="203" s="1"/>
  <c r="J95" i="203" s="1"/>
  <c r="J96" i="203" s="1"/>
  <c r="J97" i="203" s="1"/>
  <c r="J98" i="203" s="1"/>
  <c r="J99" i="203" s="1"/>
  <c r="J100" i="203" s="1"/>
  <c r="J101" i="203" s="1"/>
  <c r="J102" i="203" s="1"/>
  <c r="J103" i="203" s="1"/>
  <c r="J104" i="203" s="1"/>
  <c r="J105" i="203" s="1"/>
  <c r="J106" i="203" s="1"/>
  <c r="J107" i="203" s="1"/>
  <c r="J108" i="203" s="1"/>
  <c r="J109" i="203" s="1"/>
  <c r="J110" i="203" s="1"/>
  <c r="J111" i="203" s="1"/>
  <c r="J112" i="203" s="1"/>
  <c r="A83" i="203"/>
  <c r="A84" i="203" s="1"/>
  <c r="A85" i="203" s="1"/>
  <c r="A86" i="203" s="1"/>
  <c r="A87" i="203" s="1"/>
  <c r="A88" i="203" s="1"/>
  <c r="A89" i="203" s="1"/>
  <c r="A90" i="203" s="1"/>
  <c r="A91" i="203" s="1"/>
  <c r="A92" i="203" s="1"/>
  <c r="A93" i="203" s="1"/>
  <c r="A94" i="203" s="1"/>
  <c r="A95" i="203" s="1"/>
  <c r="A96" i="203" s="1"/>
  <c r="A97" i="203" s="1"/>
  <c r="A98" i="203" s="1"/>
  <c r="A99" i="203" s="1"/>
  <c r="A100" i="203" s="1"/>
  <c r="A101" i="203" s="1"/>
  <c r="A102" i="203" s="1"/>
  <c r="A103" i="203" s="1"/>
  <c r="A104" i="203" s="1"/>
  <c r="A105" i="203" s="1"/>
  <c r="A106" i="203" s="1"/>
  <c r="A107" i="203" s="1"/>
  <c r="A108" i="203" s="1"/>
  <c r="A109" i="203" s="1"/>
  <c r="A110" i="203" s="1"/>
  <c r="A111" i="203" s="1"/>
  <c r="A112" i="203" s="1"/>
  <c r="D64" i="203"/>
  <c r="C64" i="203"/>
  <c r="G63" i="203"/>
  <c r="G62" i="203"/>
  <c r="G61" i="203"/>
  <c r="G64" i="203" s="1"/>
  <c r="G156" i="203" s="1"/>
  <c r="E50" i="203"/>
  <c r="C49" i="203"/>
  <c r="G40" i="203"/>
  <c r="C50" i="203" s="1"/>
  <c r="G33" i="203"/>
  <c r="E49" i="203" s="1"/>
  <c r="G26" i="203"/>
  <c r="G28" i="203" s="1"/>
  <c r="E48" i="203" s="1"/>
  <c r="G18" i="203"/>
  <c r="C48" i="203" s="1"/>
  <c r="A13" i="203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A41" i="203" s="1"/>
  <c r="A42" i="203" s="1"/>
  <c r="A43" i="203" s="1"/>
  <c r="A44" i="203" s="1"/>
  <c r="A45" i="203" s="1"/>
  <c r="A46" i="203" s="1"/>
  <c r="A47" i="203" s="1"/>
  <c r="A48" i="203" s="1"/>
  <c r="A49" i="203" s="1"/>
  <c r="A50" i="203" s="1"/>
  <c r="A51" i="203" s="1"/>
  <c r="A52" i="203" s="1"/>
  <c r="A53" i="203" s="1"/>
  <c r="A54" i="203" s="1"/>
  <c r="A55" i="203" s="1"/>
  <c r="A56" i="203" s="1"/>
  <c r="A57" i="203" s="1"/>
  <c r="A58" i="203" s="1"/>
  <c r="A59" i="203" s="1"/>
  <c r="A60" i="203" s="1"/>
  <c r="A61" i="203" s="1"/>
  <c r="A62" i="203" s="1"/>
  <c r="A63" i="203" s="1"/>
  <c r="A64" i="203" s="1"/>
  <c r="A65" i="203" s="1"/>
  <c r="A66" i="203" s="1"/>
  <c r="J12" i="203"/>
  <c r="J13" i="203" s="1"/>
  <c r="J14" i="203" s="1"/>
  <c r="J15" i="203" s="1"/>
  <c r="J16" i="203" s="1"/>
  <c r="J17" i="203" s="1"/>
  <c r="J18" i="203" s="1"/>
  <c r="J19" i="203" s="1"/>
  <c r="J20" i="203" s="1"/>
  <c r="J21" i="203" s="1"/>
  <c r="J22" i="203" s="1"/>
  <c r="J23" i="203" s="1"/>
  <c r="J24" i="203" s="1"/>
  <c r="J25" i="203" s="1"/>
  <c r="J26" i="203" s="1"/>
  <c r="J27" i="203" s="1"/>
  <c r="J28" i="203" s="1"/>
  <c r="J29" i="203" s="1"/>
  <c r="J30" i="203" s="1"/>
  <c r="J31" i="203" s="1"/>
  <c r="J32" i="203" s="1"/>
  <c r="J33" i="203" s="1"/>
  <c r="J34" i="203" s="1"/>
  <c r="J35" i="203" s="1"/>
  <c r="J36" i="203" s="1"/>
  <c r="J37" i="203" s="1"/>
  <c r="J38" i="203" s="1"/>
  <c r="J39" i="203" s="1"/>
  <c r="J40" i="203" s="1"/>
  <c r="J41" i="203" s="1"/>
  <c r="J42" i="203" s="1"/>
  <c r="J43" i="203" s="1"/>
  <c r="J44" i="203" s="1"/>
  <c r="J45" i="203" s="1"/>
  <c r="J46" i="203" s="1"/>
  <c r="J47" i="203" s="1"/>
  <c r="J48" i="203" s="1"/>
  <c r="J49" i="203" s="1"/>
  <c r="J50" i="203" s="1"/>
  <c r="J51" i="203" s="1"/>
  <c r="J52" i="203" s="1"/>
  <c r="J53" i="203" s="1"/>
  <c r="J54" i="203" s="1"/>
  <c r="J55" i="203" s="1"/>
  <c r="J56" i="203" s="1"/>
  <c r="J57" i="203" s="1"/>
  <c r="J58" i="203" s="1"/>
  <c r="J59" i="203" s="1"/>
  <c r="J60" i="203" s="1"/>
  <c r="J61" i="203" s="1"/>
  <c r="J62" i="203" s="1"/>
  <c r="J63" i="203" s="1"/>
  <c r="J64" i="203" s="1"/>
  <c r="J65" i="203" s="1"/>
  <c r="J66" i="203" s="1"/>
  <c r="B122" i="203"/>
  <c r="E86" i="209" l="1"/>
  <c r="E88" i="209"/>
  <c r="G66" i="203"/>
  <c r="G133" i="203" s="1"/>
  <c r="G145" i="203" s="1"/>
  <c r="C13" i="204"/>
  <c r="C17" i="204" s="1"/>
  <c r="C83" i="204"/>
  <c r="C69" i="204"/>
  <c r="C51" i="203"/>
  <c r="D49" i="203" s="1"/>
  <c r="G49" i="203" s="1"/>
  <c r="G139" i="203"/>
  <c r="G148" i="203" s="1"/>
  <c r="B76" i="203"/>
  <c r="E90" i="209" l="1"/>
  <c r="E50" i="209"/>
  <c r="D48" i="203"/>
  <c r="G151" i="203"/>
  <c r="G154" i="203" s="1"/>
  <c r="G158" i="203" s="1"/>
  <c r="D50" i="203"/>
  <c r="G50" i="203" s="1"/>
  <c r="G53" i="203" s="1"/>
  <c r="G87" i="203" s="1"/>
  <c r="D51" i="203"/>
  <c r="G48" i="203"/>
  <c r="G51" i="203" s="1"/>
  <c r="G110" i="203" s="1"/>
  <c r="E70" i="209" l="1"/>
  <c r="E18" i="209" s="1"/>
  <c r="G99" i="203"/>
  <c r="G16" i="201" l="1"/>
  <c r="E28" i="201"/>
  <c r="A13" i="201"/>
  <c r="A14" i="201" s="1"/>
  <c r="A15" i="201" s="1"/>
  <c r="A16" i="201" s="1"/>
  <c r="A17" i="201" s="1"/>
  <c r="A18" i="201" s="1"/>
  <c r="A19" i="201" s="1"/>
  <c r="A20" i="201" s="1"/>
  <c r="A21" i="201" s="1"/>
  <c r="A22" i="201" s="1"/>
  <c r="A23" i="201" s="1"/>
  <c r="A24" i="201" s="1"/>
  <c r="A25" i="201" s="1"/>
  <c r="A26" i="201" s="1"/>
  <c r="A27" i="201" s="1"/>
  <c r="A28" i="201" s="1"/>
  <c r="A29" i="201" s="1"/>
  <c r="A30" i="201" s="1"/>
  <c r="J12" i="201"/>
  <c r="J13" i="201" s="1"/>
  <c r="J14" i="201" s="1"/>
  <c r="J15" i="201" s="1"/>
  <c r="J16" i="201" s="1"/>
  <c r="J17" i="201" s="1"/>
  <c r="J18" i="201" s="1"/>
  <c r="J19" i="201" s="1"/>
  <c r="J20" i="201" s="1"/>
  <c r="J21" i="201" s="1"/>
  <c r="J22" i="201" s="1"/>
  <c r="J23" i="201" s="1"/>
  <c r="J24" i="201" s="1"/>
  <c r="J25" i="201" s="1"/>
  <c r="J26" i="201" s="1"/>
  <c r="J27" i="201" s="1"/>
  <c r="J28" i="201" s="1"/>
  <c r="J29" i="201" s="1"/>
  <c r="J30" i="201" s="1"/>
  <c r="G20" i="201" l="1"/>
  <c r="E61" i="188" l="1"/>
  <c r="E46" i="188"/>
  <c r="E30" i="188"/>
  <c r="A13" i="188"/>
  <c r="A14" i="188" s="1"/>
  <c r="A15" i="188" s="1"/>
  <c r="A16" i="188" s="1"/>
  <c r="A17" i="188" s="1"/>
  <c r="A18" i="188" s="1"/>
  <c r="A19" i="188" s="1"/>
  <c r="A20" i="188" s="1"/>
  <c r="A21" i="188" s="1"/>
  <c r="A22" i="188" s="1"/>
  <c r="A23" i="188" s="1"/>
  <c r="A24" i="188" s="1"/>
  <c r="A25" i="188" s="1"/>
  <c r="A26" i="188" s="1"/>
  <c r="A27" i="188" s="1"/>
  <c r="A28" i="188" s="1"/>
  <c r="A29" i="188" s="1"/>
  <c r="A30" i="188" s="1"/>
  <c r="A31" i="188" s="1"/>
  <c r="H12" i="188"/>
  <c r="H13" i="188" s="1"/>
  <c r="H14" i="188" s="1"/>
  <c r="H15" i="188" s="1"/>
  <c r="H16" i="188" s="1"/>
  <c r="H17" i="188" s="1"/>
  <c r="H18" i="188" s="1"/>
  <c r="H19" i="188" s="1"/>
  <c r="H20" i="188" s="1"/>
  <c r="H21" i="188" s="1"/>
  <c r="H22" i="188" s="1"/>
  <c r="H23" i="188" s="1"/>
  <c r="H24" i="188" s="1"/>
  <c r="H25" i="188" s="1"/>
  <c r="H26" i="188" s="1"/>
  <c r="H27" i="188" s="1"/>
  <c r="H28" i="188" s="1"/>
  <c r="H29" i="188" s="1"/>
  <c r="H30" i="188" s="1"/>
  <c r="H31" i="188" s="1"/>
  <c r="H32" i="188" s="1"/>
  <c r="K15" i="196"/>
  <c r="K13" i="196"/>
  <c r="K27" i="196" s="1"/>
  <c r="K31" i="196" s="1"/>
  <c r="E48" i="196"/>
  <c r="E45" i="196"/>
  <c r="E38" i="196"/>
  <c r="F29" i="196"/>
  <c r="H29" i="196" s="1"/>
  <c r="I29" i="196" s="1"/>
  <c r="M29" i="196" s="1"/>
  <c r="E27" i="196"/>
  <c r="E31" i="196" s="1"/>
  <c r="D27" i="196"/>
  <c r="D31" i="196" s="1"/>
  <c r="F25" i="196"/>
  <c r="I25" i="196" s="1"/>
  <c r="M25" i="196" s="1"/>
  <c r="F24" i="196"/>
  <c r="I24" i="196" s="1"/>
  <c r="M24" i="196" s="1"/>
  <c r="F23" i="196"/>
  <c r="I23" i="196" s="1"/>
  <c r="M23" i="196" s="1"/>
  <c r="F22" i="196"/>
  <c r="I22" i="196" s="1"/>
  <c r="M22" i="196" s="1"/>
  <c r="F21" i="196"/>
  <c r="I21" i="196" s="1"/>
  <c r="M21" i="196" s="1"/>
  <c r="F20" i="196"/>
  <c r="I20" i="196" s="1"/>
  <c r="M20" i="196" s="1"/>
  <c r="F19" i="196"/>
  <c r="I19" i="196" s="1"/>
  <c r="M19" i="196" s="1"/>
  <c r="F18" i="196"/>
  <c r="I18" i="196" s="1"/>
  <c r="M18" i="196" s="1"/>
  <c r="F17" i="196"/>
  <c r="I17" i="196" s="1"/>
  <c r="M17" i="196" s="1"/>
  <c r="F16" i="196"/>
  <c r="I16" i="196" s="1"/>
  <c r="M16" i="196" s="1"/>
  <c r="H15" i="196"/>
  <c r="H27" i="196" s="1"/>
  <c r="F15" i="196"/>
  <c r="F14" i="196"/>
  <c r="I14" i="196" s="1"/>
  <c r="M14" i="196" s="1"/>
  <c r="F13" i="196"/>
  <c r="I13" i="196" s="1"/>
  <c r="A13" i="196"/>
  <c r="A14" i="196" s="1"/>
  <c r="A15" i="196" s="1"/>
  <c r="A16" i="196" s="1"/>
  <c r="A17" i="196" s="1"/>
  <c r="A18" i="196" s="1"/>
  <c r="A19" i="196" s="1"/>
  <c r="A20" i="196" s="1"/>
  <c r="A21" i="196" s="1"/>
  <c r="A22" i="196" s="1"/>
  <c r="A23" i="196" s="1"/>
  <c r="A24" i="196" s="1"/>
  <c r="A25" i="196" s="1"/>
  <c r="A26" i="196" s="1"/>
  <c r="A27" i="196" s="1"/>
  <c r="A28" i="196" s="1"/>
  <c r="A29" i="196" s="1"/>
  <c r="A30" i="196" s="1"/>
  <c r="A31" i="196" s="1"/>
  <c r="A32" i="196" s="1"/>
  <c r="A33" i="196" s="1"/>
  <c r="A34" i="196" s="1"/>
  <c r="A35" i="196" s="1"/>
  <c r="A36" i="196" s="1"/>
  <c r="A37" i="196" s="1"/>
  <c r="A38" i="196" s="1"/>
  <c r="A39" i="196" s="1"/>
  <c r="A40" i="196" s="1"/>
  <c r="A41" i="196" s="1"/>
  <c r="A42" i="196" s="1"/>
  <c r="A43" i="196" s="1"/>
  <c r="A44" i="196" s="1"/>
  <c r="A45" i="196" s="1"/>
  <c r="A46" i="196" s="1"/>
  <c r="A47" i="196" s="1"/>
  <c r="A48" i="196" s="1"/>
  <c r="A49" i="196" s="1"/>
  <c r="A50" i="196" s="1"/>
  <c r="A51" i="196" s="1"/>
  <c r="A52" i="196" s="1"/>
  <c r="A53" i="196" s="1"/>
  <c r="A54" i="196" s="1"/>
  <c r="A55" i="196" s="1"/>
  <c r="A56" i="196" s="1"/>
  <c r="A57" i="196" s="1"/>
  <c r="A58" i="196" s="1"/>
  <c r="A59" i="196" s="1"/>
  <c r="A60" i="196" s="1"/>
  <c r="A61" i="196" s="1"/>
  <c r="A62" i="196" s="1"/>
  <c r="O12" i="196"/>
  <c r="O13" i="196" s="1"/>
  <c r="O14" i="196" s="1"/>
  <c r="O15" i="196" s="1"/>
  <c r="O16" i="196" s="1"/>
  <c r="O17" i="196" s="1"/>
  <c r="O18" i="196" s="1"/>
  <c r="O19" i="196" s="1"/>
  <c r="O20" i="196" s="1"/>
  <c r="O21" i="196" s="1"/>
  <c r="O22" i="196" s="1"/>
  <c r="O23" i="196" s="1"/>
  <c r="O24" i="196" s="1"/>
  <c r="O25" i="196" s="1"/>
  <c r="O26" i="196" s="1"/>
  <c r="O27" i="196" s="1"/>
  <c r="O28" i="196" s="1"/>
  <c r="O29" i="196" s="1"/>
  <c r="O30" i="196" s="1"/>
  <c r="O31" i="196" s="1"/>
  <c r="O32" i="196" s="1"/>
  <c r="O33" i="196" s="1"/>
  <c r="O34" i="196" s="1"/>
  <c r="O35" i="196" s="1"/>
  <c r="O36" i="196" s="1"/>
  <c r="O37" i="196" s="1"/>
  <c r="O38" i="196" s="1"/>
  <c r="O39" i="196" s="1"/>
  <c r="O40" i="196" s="1"/>
  <c r="O41" i="196" s="1"/>
  <c r="O42" i="196" s="1"/>
  <c r="O43" i="196" s="1"/>
  <c r="O44" i="196" s="1"/>
  <c r="O45" i="196" s="1"/>
  <c r="O46" i="196" s="1"/>
  <c r="O47" i="196" s="1"/>
  <c r="O48" i="196" s="1"/>
  <c r="O49" i="196" s="1"/>
  <c r="O50" i="196" s="1"/>
  <c r="O51" i="196" s="1"/>
  <c r="O52" i="196" s="1"/>
  <c r="O53" i="196" s="1"/>
  <c r="O54" i="196" s="1"/>
  <c r="O55" i="196" s="1"/>
  <c r="O56" i="196" s="1"/>
  <c r="O57" i="196" s="1"/>
  <c r="O58" i="196" s="1"/>
  <c r="O59" i="196" s="1"/>
  <c r="O60" i="196" s="1"/>
  <c r="O61" i="196" s="1"/>
  <c r="O62" i="196" s="1"/>
  <c r="F12" i="196"/>
  <c r="E53" i="209" l="1"/>
  <c r="E55" i="209" s="1"/>
  <c r="E12" i="209" s="1"/>
  <c r="E69" i="188"/>
  <c r="E59" i="188"/>
  <c r="E48" i="188"/>
  <c r="E50" i="188" s="1"/>
  <c r="H33" i="188"/>
  <c r="H34" i="188" s="1"/>
  <c r="H35" i="188" s="1"/>
  <c r="H36" i="188" s="1"/>
  <c r="H37" i="188" s="1"/>
  <c r="H38" i="188" s="1"/>
  <c r="H39" i="188" s="1"/>
  <c r="H40" i="188" s="1"/>
  <c r="H41" i="188" s="1"/>
  <c r="H42" i="188" s="1"/>
  <c r="H43" i="188" s="1"/>
  <c r="H44" i="188" s="1"/>
  <c r="A32" i="188"/>
  <c r="A33" i="188" s="1"/>
  <c r="A34" i="188" s="1"/>
  <c r="A35" i="188" s="1"/>
  <c r="A36" i="188" s="1"/>
  <c r="A37" i="188" s="1"/>
  <c r="A38" i="188" s="1"/>
  <c r="A39" i="188" s="1"/>
  <c r="A40" i="188" s="1"/>
  <c r="A41" i="188" s="1"/>
  <c r="A42" i="188" s="1"/>
  <c r="A43" i="188" s="1"/>
  <c r="A44" i="188" s="1"/>
  <c r="M13" i="196"/>
  <c r="H31" i="196"/>
  <c r="F27" i="196"/>
  <c r="F31" i="196" s="1"/>
  <c r="I12" i="196"/>
  <c r="M12" i="196" s="1"/>
  <c r="I15" i="196"/>
  <c r="M15" i="196" s="1"/>
  <c r="E51" i="196"/>
  <c r="M27" i="196" l="1"/>
  <c r="M31" i="196" s="1"/>
  <c r="A45" i="188"/>
  <c r="A46" i="188" s="1"/>
  <c r="A47" i="188" s="1"/>
  <c r="A48" i="188" s="1"/>
  <c r="A49" i="188" s="1"/>
  <c r="A50" i="188" s="1"/>
  <c r="A51" i="188" s="1"/>
  <c r="A52" i="188" s="1"/>
  <c r="A53" i="188" s="1"/>
  <c r="A54" i="188" s="1"/>
  <c r="A55" i="188" s="1"/>
  <c r="A56" i="188" s="1"/>
  <c r="A57" i="188" s="1"/>
  <c r="A58" i="188" s="1"/>
  <c r="A59" i="188" s="1"/>
  <c r="A60" i="188" s="1"/>
  <c r="A61" i="188" s="1"/>
  <c r="A62" i="188" s="1"/>
  <c r="A63" i="188" s="1"/>
  <c r="A64" i="188" s="1"/>
  <c r="A65" i="188" s="1"/>
  <c r="A66" i="188" s="1"/>
  <c r="A67" i="188" s="1"/>
  <c r="A68" i="188" s="1"/>
  <c r="A69" i="188" s="1"/>
  <c r="A70" i="188" s="1"/>
  <c r="A71" i="188" s="1"/>
  <c r="H45" i="188"/>
  <c r="H46" i="188" s="1"/>
  <c r="H47" i="188" s="1"/>
  <c r="H48" i="188" s="1"/>
  <c r="H49" i="188" s="1"/>
  <c r="H50" i="188" s="1"/>
  <c r="H51" i="188" s="1"/>
  <c r="H52" i="188" s="1"/>
  <c r="H53" i="188" s="1"/>
  <c r="H54" i="188" s="1"/>
  <c r="H55" i="188" s="1"/>
  <c r="H56" i="188" s="1"/>
  <c r="H57" i="188" s="1"/>
  <c r="H58" i="188" s="1"/>
  <c r="H59" i="188" s="1"/>
  <c r="H60" i="188" s="1"/>
  <c r="H61" i="188" s="1"/>
  <c r="H62" i="188" s="1"/>
  <c r="H63" i="188" s="1"/>
  <c r="H64" i="188" s="1"/>
  <c r="H65" i="188" s="1"/>
  <c r="H66" i="188" s="1"/>
  <c r="H67" i="188" s="1"/>
  <c r="H68" i="188" s="1"/>
  <c r="H69" i="188" s="1"/>
  <c r="H70" i="188" s="1"/>
  <c r="H71" i="188" s="1"/>
  <c r="E71" i="188"/>
  <c r="I27" i="196"/>
  <c r="I31" i="196" s="1"/>
  <c r="E51" i="188" l="1"/>
  <c r="E52" i="188" s="1"/>
  <c r="E65" i="209" l="1"/>
  <c r="E16" i="209" s="1"/>
  <c r="E60" i="209"/>
  <c r="E14" i="209" s="1"/>
  <c r="E59" i="171"/>
  <c r="E26" i="201"/>
  <c r="E30" i="201" s="1"/>
  <c r="E77" i="209" l="1"/>
  <c r="C33" i="204"/>
  <c r="A52" i="171" l="1"/>
  <c r="A53" i="171" s="1"/>
  <c r="A54" i="171" s="1"/>
  <c r="A55" i="171" s="1"/>
  <c r="A56" i="171" s="1"/>
  <c r="A57" i="171" s="1"/>
  <c r="A58" i="171" s="1"/>
  <c r="A59" i="171" s="1"/>
  <c r="A60" i="171" s="1"/>
  <c r="A61" i="171" s="1"/>
  <c r="A62" i="171" s="1"/>
  <c r="A63" i="171" s="1"/>
  <c r="A64" i="171" s="1"/>
  <c r="A65" i="171" s="1"/>
  <c r="A66" i="171" s="1"/>
  <c r="A67" i="171" s="1"/>
  <c r="A68" i="171" s="1"/>
  <c r="A69" i="171" s="1"/>
  <c r="A70" i="171" s="1"/>
  <c r="A71" i="171" s="1"/>
  <c r="A72" i="171" s="1"/>
  <c r="A73" i="171" s="1"/>
  <c r="A74" i="171" s="1"/>
  <c r="A75" i="171" s="1"/>
  <c r="A76" i="171" s="1"/>
  <c r="A77" i="171" s="1"/>
  <c r="A78" i="171" s="1"/>
  <c r="A79" i="171" s="1"/>
  <c r="A80" i="171" s="1"/>
  <c r="A81" i="171" s="1"/>
  <c r="A82" i="171" s="1"/>
  <c r="A83" i="171" s="1"/>
  <c r="A84" i="171" s="1"/>
  <c r="A85" i="171" s="1"/>
  <c r="A86" i="171" s="1"/>
  <c r="A87" i="171" s="1"/>
  <c r="A88" i="171" s="1"/>
  <c r="A89" i="171" s="1"/>
  <c r="A90" i="171" s="1"/>
  <c r="A91" i="171" s="1"/>
  <c r="A92" i="171" s="1"/>
  <c r="A93" i="171" s="1"/>
  <c r="A94" i="171" s="1"/>
  <c r="A95" i="171" s="1"/>
  <c r="A96" i="171" s="1"/>
  <c r="A97" i="171" s="1"/>
  <c r="A98" i="171" s="1"/>
  <c r="A99" i="171" s="1"/>
  <c r="A100" i="171" s="1"/>
  <c r="A101" i="171" s="1"/>
  <c r="H51" i="171"/>
  <c r="H52" i="171" s="1"/>
  <c r="H53" i="171" s="1"/>
  <c r="H54" i="171" s="1"/>
  <c r="H55" i="171" s="1"/>
  <c r="H56" i="171" s="1"/>
  <c r="H57" i="171" s="1"/>
  <c r="H58" i="171" s="1"/>
  <c r="H59" i="171" s="1"/>
  <c r="H60" i="171" s="1"/>
  <c r="H61" i="171" s="1"/>
  <c r="H62" i="171" s="1"/>
  <c r="H63" i="171" s="1"/>
  <c r="H64" i="171" s="1"/>
  <c r="H65" i="171" s="1"/>
  <c r="H66" i="171" s="1"/>
  <c r="H67" i="171" s="1"/>
  <c r="H68" i="171" s="1"/>
  <c r="H69" i="171" s="1"/>
  <c r="H70" i="171" s="1"/>
  <c r="H71" i="171" s="1"/>
  <c r="H72" i="171" s="1"/>
  <c r="H73" i="171" s="1"/>
  <c r="H74" i="171" s="1"/>
  <c r="H75" i="171" s="1"/>
  <c r="H76" i="171" s="1"/>
  <c r="H77" i="171" s="1"/>
  <c r="H78" i="171" s="1"/>
  <c r="H79" i="171" s="1"/>
  <c r="H80" i="171" s="1"/>
  <c r="H81" i="171" s="1"/>
  <c r="H82" i="171" s="1"/>
  <c r="H83" i="171" s="1"/>
  <c r="H84" i="171" s="1"/>
  <c r="H85" i="171" s="1"/>
  <c r="H86" i="171" s="1"/>
  <c r="H87" i="171" s="1"/>
  <c r="H88" i="171" s="1"/>
  <c r="H89" i="171" s="1"/>
  <c r="H90" i="171" s="1"/>
  <c r="H91" i="171" s="1"/>
  <c r="H92" i="171" s="1"/>
  <c r="H93" i="171" s="1"/>
  <c r="H94" i="171" s="1"/>
  <c r="H95" i="171" s="1"/>
  <c r="H96" i="171" s="1"/>
  <c r="H97" i="171" s="1"/>
  <c r="H98" i="171" s="1"/>
  <c r="H99" i="171" s="1"/>
  <c r="H100" i="171" s="1"/>
  <c r="H101" i="171" s="1"/>
  <c r="B46" i="171"/>
  <c r="B44" i="171"/>
  <c r="A13" i="171"/>
  <c r="A14" i="171" s="1"/>
  <c r="A15" i="171" s="1"/>
  <c r="A16" i="171" s="1"/>
  <c r="A17" i="171" s="1"/>
  <c r="A18" i="171" s="1"/>
  <c r="A19" i="171" s="1"/>
  <c r="A20" i="171" s="1"/>
  <c r="A21" i="171" s="1"/>
  <c r="A22" i="171" s="1"/>
  <c r="A23" i="171" s="1"/>
  <c r="A24" i="171" s="1"/>
  <c r="A25" i="171" s="1"/>
  <c r="A26" i="171" s="1"/>
  <c r="A27" i="171" s="1"/>
  <c r="A28" i="171" s="1"/>
  <c r="A29" i="171" s="1"/>
  <c r="A30" i="171" s="1"/>
  <c r="A31" i="171" s="1"/>
  <c r="A32" i="171" s="1"/>
  <c r="A33" i="171" s="1"/>
  <c r="A34" i="171" s="1"/>
  <c r="A35" i="171" s="1"/>
  <c r="A36" i="171" s="1"/>
  <c r="H12" i="171"/>
  <c r="H13" i="171" s="1"/>
  <c r="H14" i="171" s="1"/>
  <c r="H15" i="171" s="1"/>
  <c r="H16" i="171" s="1"/>
  <c r="H17" i="171" s="1"/>
  <c r="H18" i="171" s="1"/>
  <c r="H19" i="171" s="1"/>
  <c r="H20" i="171" s="1"/>
  <c r="H21" i="171" s="1"/>
  <c r="H22" i="171" s="1"/>
  <c r="H23" i="171" s="1"/>
  <c r="H24" i="171" s="1"/>
  <c r="H25" i="171" s="1"/>
  <c r="H26" i="171" s="1"/>
  <c r="H27" i="171" s="1"/>
  <c r="H28" i="171" s="1"/>
  <c r="H29" i="171" s="1"/>
  <c r="H30" i="171" s="1"/>
  <c r="H31" i="171" s="1"/>
  <c r="H32" i="171" s="1"/>
  <c r="H33" i="171" s="1"/>
  <c r="H34" i="171" s="1"/>
  <c r="H35" i="171" s="1"/>
  <c r="H36" i="171" s="1"/>
  <c r="B45" i="171"/>
  <c r="B43" i="171"/>
  <c r="B42" i="171"/>
  <c r="B53" i="170" l="1"/>
  <c r="C47" i="170"/>
  <c r="B47" i="170"/>
  <c r="C45" i="170"/>
  <c r="B45" i="170"/>
  <c r="C43" i="170"/>
  <c r="B43" i="170"/>
  <c r="B39" i="170"/>
  <c r="B37" i="170"/>
  <c r="B35" i="170"/>
  <c r="E33" i="170"/>
  <c r="C33" i="170"/>
  <c r="C39" i="170"/>
  <c r="G39" i="168" s="1"/>
  <c r="A13" i="170"/>
  <c r="A14" i="170" s="1"/>
  <c r="A15" i="170" s="1"/>
  <c r="A16" i="170" s="1"/>
  <c r="A17" i="170" s="1"/>
  <c r="A18" i="170" s="1"/>
  <c r="A19" i="170" s="1"/>
  <c r="A20" i="170" s="1"/>
  <c r="A21" i="170" s="1"/>
  <c r="A22" i="170" s="1"/>
  <c r="A23" i="170" s="1"/>
  <c r="A24" i="170" s="1"/>
  <c r="A25" i="170" s="1"/>
  <c r="A26" i="170" s="1"/>
  <c r="A27" i="170" s="1"/>
  <c r="A28" i="170" s="1"/>
  <c r="A29" i="170" s="1"/>
  <c r="A34" i="170" s="1"/>
  <c r="A35" i="170" s="1"/>
  <c r="A36" i="170" s="1"/>
  <c r="A37" i="170" s="1"/>
  <c r="A38" i="170" s="1"/>
  <c r="A39" i="170" s="1"/>
  <c r="A40" i="170" s="1"/>
  <c r="A41" i="170" s="1"/>
  <c r="A42" i="170" s="1"/>
  <c r="A43" i="170" s="1"/>
  <c r="A44" i="170" s="1"/>
  <c r="A45" i="170" s="1"/>
  <c r="A46" i="170" s="1"/>
  <c r="A47" i="170" s="1"/>
  <c r="A48" i="170" s="1"/>
  <c r="A49" i="170" s="1"/>
  <c r="A50" i="170" s="1"/>
  <c r="A51" i="170" s="1"/>
  <c r="A52" i="170" s="1"/>
  <c r="A53" i="170" s="1"/>
  <c r="A54" i="170" s="1"/>
  <c r="F12" i="170"/>
  <c r="F13" i="170" s="1"/>
  <c r="F14" i="170" s="1"/>
  <c r="F15" i="170" s="1"/>
  <c r="F16" i="170" s="1"/>
  <c r="F17" i="170" s="1"/>
  <c r="F18" i="170" s="1"/>
  <c r="F19" i="170" s="1"/>
  <c r="F20" i="170" s="1"/>
  <c r="F21" i="170" s="1"/>
  <c r="F22" i="170" s="1"/>
  <c r="F23" i="170" s="1"/>
  <c r="F24" i="170" s="1"/>
  <c r="F25" i="170" s="1"/>
  <c r="F26" i="170" s="1"/>
  <c r="F27" i="170" s="1"/>
  <c r="F28" i="170" s="1"/>
  <c r="F29" i="170" s="1"/>
  <c r="F34" i="170" s="1"/>
  <c r="F35" i="170" s="1"/>
  <c r="F36" i="170" s="1"/>
  <c r="F37" i="170" s="1"/>
  <c r="F38" i="170" s="1"/>
  <c r="F39" i="170" s="1"/>
  <c r="F40" i="170" s="1"/>
  <c r="F41" i="170" s="1"/>
  <c r="F42" i="170" s="1"/>
  <c r="F43" i="170" s="1"/>
  <c r="F44" i="170" s="1"/>
  <c r="F45" i="170" s="1"/>
  <c r="F46" i="170" s="1"/>
  <c r="F47" i="170" s="1"/>
  <c r="F48" i="170" s="1"/>
  <c r="F49" i="170" s="1"/>
  <c r="F50" i="170" s="1"/>
  <c r="F51" i="170" s="1"/>
  <c r="F52" i="170" s="1"/>
  <c r="F53" i="170" s="1"/>
  <c r="F54" i="170" s="1"/>
  <c r="C35" i="170"/>
  <c r="G35" i="168" s="1"/>
  <c r="B53" i="168"/>
  <c r="G51" i="168"/>
  <c r="G47" i="168"/>
  <c r="B47" i="168"/>
  <c r="G45" i="168"/>
  <c r="B45" i="168"/>
  <c r="B43" i="168"/>
  <c r="B39" i="168"/>
  <c r="B37" i="168"/>
  <c r="B35" i="168"/>
  <c r="H33" i="168"/>
  <c r="G33" i="168"/>
  <c r="E33" i="168"/>
  <c r="C33" i="168"/>
  <c r="G32" i="168"/>
  <c r="E32" i="168"/>
  <c r="C32" i="168"/>
  <c r="G22" i="168"/>
  <c r="G20" i="168"/>
  <c r="G16" i="168"/>
  <c r="A13" i="168"/>
  <c r="A14" i="168" s="1"/>
  <c r="I12" i="168"/>
  <c r="I13" i="168" s="1"/>
  <c r="I14" i="168" s="1"/>
  <c r="I15" i="168" s="1"/>
  <c r="I16" i="168" s="1"/>
  <c r="I17" i="168" s="1"/>
  <c r="I18" i="168" s="1"/>
  <c r="I19" i="168" s="1"/>
  <c r="I20" i="168" s="1"/>
  <c r="I21" i="168" s="1"/>
  <c r="I22" i="168" s="1"/>
  <c r="I23" i="168" s="1"/>
  <c r="I24" i="168" s="1"/>
  <c r="I25" i="168" s="1"/>
  <c r="I26" i="168" s="1"/>
  <c r="I27" i="168" s="1"/>
  <c r="I28" i="168" s="1"/>
  <c r="I29" i="168" s="1"/>
  <c r="I34" i="168" s="1"/>
  <c r="I35" i="168" s="1"/>
  <c r="I36" i="168" s="1"/>
  <c r="I37" i="168" s="1"/>
  <c r="I38" i="168" s="1"/>
  <c r="I39" i="168" s="1"/>
  <c r="I40" i="168" s="1"/>
  <c r="I41" i="168" s="1"/>
  <c r="I42" i="168" s="1"/>
  <c r="I43" i="168" s="1"/>
  <c r="I44" i="168" s="1"/>
  <c r="I45" i="168" s="1"/>
  <c r="I46" i="168" s="1"/>
  <c r="I47" i="168" s="1"/>
  <c r="I48" i="168" s="1"/>
  <c r="I49" i="168" s="1"/>
  <c r="I50" i="168" s="1"/>
  <c r="I51" i="168" s="1"/>
  <c r="I52" i="168" s="1"/>
  <c r="I53" i="168" s="1"/>
  <c r="I54" i="168" s="1"/>
  <c r="G12" i="169"/>
  <c r="G13" i="169" s="1"/>
  <c r="G14" i="169" s="1"/>
  <c r="G15" i="169" s="1"/>
  <c r="G16" i="169" s="1"/>
  <c r="G17" i="169" s="1"/>
  <c r="G18" i="169" s="1"/>
  <c r="G19" i="169" s="1"/>
  <c r="G20" i="169" s="1"/>
  <c r="G21" i="169" s="1"/>
  <c r="A12" i="169"/>
  <c r="A13" i="169" s="1"/>
  <c r="A14" i="169" s="1"/>
  <c r="A15" i="169" s="1"/>
  <c r="A16" i="169" s="1"/>
  <c r="A17" i="169" s="1"/>
  <c r="A18" i="169" s="1"/>
  <c r="A19" i="169" s="1"/>
  <c r="A20" i="169" s="1"/>
  <c r="A21" i="169" s="1"/>
  <c r="G43" i="168" l="1"/>
  <c r="A15" i="168"/>
  <c r="A16" i="168" s="1"/>
  <c r="A17" i="168" s="1"/>
  <c r="A18" i="168" s="1"/>
  <c r="G12" i="168"/>
  <c r="A19" i="168" l="1"/>
  <c r="A20" i="168" s="1"/>
  <c r="A21" i="168" s="1"/>
  <c r="A22" i="168" s="1"/>
  <c r="A23" i="168" s="1"/>
  <c r="A24" i="168" s="1"/>
  <c r="H24" i="168"/>
  <c r="H18" i="168"/>
  <c r="A25" i="168" l="1"/>
  <c r="A26" i="168" s="1"/>
  <c r="A27" i="168" s="1"/>
  <c r="A28" i="168" s="1"/>
  <c r="A29" i="168" s="1"/>
  <c r="A34" i="168" s="1"/>
  <c r="A35" i="168" s="1"/>
  <c r="H28" i="168"/>
  <c r="A36" i="168" l="1"/>
  <c r="A37" i="168" s="1"/>
  <c r="A38" i="168" s="1"/>
  <c r="A39" i="168" s="1"/>
  <c r="A40" i="168" s="1"/>
  <c r="A41" i="168" s="1"/>
  <c r="H41" i="168"/>
  <c r="A42" i="168" l="1"/>
  <c r="A43" i="168" s="1"/>
  <c r="A44" i="168" s="1"/>
  <c r="A45" i="168" s="1"/>
  <c r="A46" i="168" s="1"/>
  <c r="A47" i="168" s="1"/>
  <c r="A48" i="168" s="1"/>
  <c r="A49" i="168" s="1"/>
  <c r="A50" i="168" s="1"/>
  <c r="A51" i="168" s="1"/>
  <c r="A52" i="168" s="1"/>
  <c r="A53" i="168" s="1"/>
  <c r="A54" i="168" s="1"/>
  <c r="H49" i="168"/>
  <c r="C27" i="204" l="1"/>
  <c r="C37" i="204" s="1"/>
  <c r="E78" i="171" l="1"/>
  <c r="E91" i="171" l="1"/>
  <c r="E56" i="171" l="1"/>
  <c r="E13" i="171" s="1"/>
  <c r="E71" i="171"/>
  <c r="E19" i="171" s="1"/>
  <c r="E61" i="171"/>
  <c r="E15" i="171" s="1"/>
  <c r="E66" i="171"/>
  <c r="E17" i="171" s="1"/>
  <c r="G101" i="203" l="1"/>
  <c r="G93" i="203"/>
  <c r="G102" i="203" s="1"/>
  <c r="G105" i="203" l="1"/>
  <c r="G108" i="203" s="1"/>
  <c r="G112" i="203" s="1"/>
  <c r="E80" i="171" l="1"/>
  <c r="E93" i="171" s="1"/>
  <c r="E95" i="171" s="1"/>
  <c r="E99" i="171" s="1"/>
  <c r="E101" i="171" s="1"/>
  <c r="E23" i="171" s="1"/>
  <c r="E79" i="209"/>
  <c r="E82" i="171" l="1"/>
  <c r="E84" i="171" s="1"/>
  <c r="E21" i="171" s="1"/>
  <c r="E92" i="209"/>
  <c r="E94" i="209" s="1"/>
  <c r="E98" i="209" s="1"/>
  <c r="E100" i="209" s="1"/>
  <c r="E22" i="209" s="1"/>
  <c r="E81" i="209"/>
  <c r="E83" i="209" s="1"/>
  <c r="E20" i="209" s="1"/>
  <c r="E25" i="171"/>
  <c r="E27" i="171" s="1"/>
  <c r="E29" i="171" s="1"/>
  <c r="E34" i="171" s="1"/>
  <c r="E36" i="171" s="1"/>
  <c r="E24" i="209" l="1"/>
  <c r="E26" i="209" s="1"/>
  <c r="E28" i="209" s="1"/>
  <c r="E33" i="209" s="1"/>
  <c r="E35" i="209" s="1"/>
  <c r="C13" i="208" s="1"/>
  <c r="E14" i="168"/>
  <c r="C37" i="170" l="1"/>
  <c r="E37" i="168" s="1"/>
  <c r="C18" i="170"/>
  <c r="C24" i="170" s="1"/>
  <c r="C28" i="170" s="1"/>
  <c r="C17" i="208"/>
  <c r="C23" i="208" s="1"/>
  <c r="C27" i="208" s="1"/>
  <c r="C36" i="208"/>
  <c r="C14" i="168"/>
  <c r="G14" i="168" s="1"/>
  <c r="C41" i="170" l="1"/>
  <c r="C49" i="170" s="1"/>
  <c r="C53" i="170" s="1"/>
  <c r="G28" i="168"/>
  <c r="D17" i="207" s="1"/>
  <c r="C40" i="208"/>
  <c r="C48" i="208" s="1"/>
  <c r="C52" i="208" s="1"/>
  <c r="C37" i="168"/>
  <c r="D13" i="169" l="1"/>
  <c r="G37" i="168"/>
  <c r="G41" i="168"/>
  <c r="G53" i="168"/>
  <c r="F17" i="207"/>
  <c r="G17" i="207"/>
  <c r="D18" i="207"/>
  <c r="D19" i="207" s="1"/>
  <c r="D20" i="207" s="1"/>
  <c r="D21" i="207" s="1"/>
  <c r="D22" i="207" s="1"/>
  <c r="D23" i="207" s="1"/>
  <c r="D24" i="207" s="1"/>
  <c r="D25" i="207" s="1"/>
  <c r="D26" i="207" s="1"/>
  <c r="D27" i="207" s="1"/>
  <c r="D28" i="207" s="1"/>
  <c r="D101" i="207" l="1"/>
  <c r="H17" i="207"/>
  <c r="F18" i="207" s="1"/>
  <c r="G18" i="207" l="1"/>
  <c r="H18" i="207" l="1"/>
  <c r="F19" i="207" s="1"/>
  <c r="G19" i="207" s="1"/>
  <c r="H19" i="207" l="1"/>
  <c r="F20" i="207"/>
  <c r="G20" i="207" s="1"/>
  <c r="H20" i="207" l="1"/>
  <c r="F21" i="207" s="1"/>
  <c r="G21" i="207" l="1"/>
  <c r="H21" i="207" s="1"/>
  <c r="F22" i="207" s="1"/>
  <c r="G22" i="207" s="1"/>
  <c r="H22" i="207" s="1"/>
  <c r="F23" i="207" l="1"/>
  <c r="G23" i="207" s="1"/>
  <c r="H23" i="207" l="1"/>
  <c r="F24" i="207" l="1"/>
  <c r="G24" i="207" s="1"/>
  <c r="H24" i="207" s="1"/>
  <c r="F25" i="207" s="1"/>
  <c r="G25" i="207" l="1"/>
  <c r="H25" i="207" s="1"/>
  <c r="F26" i="207" l="1"/>
  <c r="G26" i="207" s="1"/>
  <c r="H26" i="207" s="1"/>
  <c r="F27" i="207" l="1"/>
  <c r="G27" i="207" s="1"/>
  <c r="H27" i="207" s="1"/>
  <c r="F28" i="207" s="1"/>
  <c r="G28" i="207" l="1"/>
  <c r="H28" i="207" s="1"/>
  <c r="F29" i="207" l="1"/>
  <c r="G29" i="207" s="1"/>
  <c r="H29" i="207" s="1"/>
  <c r="F30" i="207" l="1"/>
  <c r="G30" i="207" s="1"/>
  <c r="H30" i="207" s="1"/>
  <c r="F31" i="207" l="1"/>
  <c r="G31" i="207" s="1"/>
  <c r="H31" i="207" l="1"/>
  <c r="F32" i="207" s="1"/>
  <c r="G32" i="207" l="1"/>
  <c r="H32" i="207" s="1"/>
  <c r="F33" i="207" l="1"/>
  <c r="G33" i="207" s="1"/>
  <c r="H33" i="207" s="1"/>
  <c r="F34" i="207" s="1"/>
  <c r="G34" i="207" l="1"/>
  <c r="H34" i="207" s="1"/>
  <c r="F35" i="207" s="1"/>
  <c r="G35" i="207" l="1"/>
  <c r="H35" i="207" s="1"/>
  <c r="F36" i="207" l="1"/>
  <c r="G36" i="207" s="1"/>
  <c r="H36" i="207" s="1"/>
  <c r="F37" i="207" l="1"/>
  <c r="G37" i="207" s="1"/>
  <c r="H37" i="207" s="1"/>
  <c r="F38" i="207" l="1"/>
  <c r="G38" i="207" s="1"/>
  <c r="H38" i="207" s="1"/>
  <c r="F39" i="207" l="1"/>
  <c r="G39" i="207" s="1"/>
  <c r="H39" i="207" l="1"/>
  <c r="F40" i="207" l="1"/>
  <c r="G40" i="207" s="1"/>
  <c r="H40" i="207" s="1"/>
  <c r="F41" i="207" l="1"/>
  <c r="G41" i="207" s="1"/>
  <c r="H41" i="207" s="1"/>
  <c r="F42" i="207" l="1"/>
  <c r="G42" i="207" s="1"/>
  <c r="H42" i="207" s="1"/>
  <c r="F43" i="207" s="1"/>
  <c r="G43" i="207" l="1"/>
  <c r="H43" i="207" s="1"/>
  <c r="F44" i="207" s="1"/>
  <c r="G44" i="207" l="1"/>
  <c r="H44" i="207" s="1"/>
  <c r="F45" i="207" l="1"/>
  <c r="G45" i="207" s="1"/>
  <c r="H45" i="207" s="1"/>
  <c r="F46" i="207" l="1"/>
  <c r="G46" i="207" s="1"/>
  <c r="H46" i="207" s="1"/>
  <c r="F47" i="207" l="1"/>
  <c r="G47" i="207" s="1"/>
  <c r="H47" i="207" s="1"/>
  <c r="F48" i="207" l="1"/>
  <c r="G48" i="207" s="1"/>
  <c r="H48" i="207" l="1"/>
  <c r="F49" i="207" l="1"/>
  <c r="G49" i="207" s="1"/>
  <c r="H49" i="207" s="1"/>
  <c r="F50" i="207" l="1"/>
  <c r="G50" i="207" s="1"/>
  <c r="H50" i="207" s="1"/>
  <c r="F51" i="207" l="1"/>
  <c r="G51" i="207" s="1"/>
  <c r="H51" i="207" l="1"/>
  <c r="F52" i="207" l="1"/>
  <c r="G52" i="207" s="1"/>
  <c r="H52" i="207" s="1"/>
  <c r="F53" i="207" l="1"/>
  <c r="G53" i="207" s="1"/>
  <c r="H53" i="207" s="1"/>
  <c r="F54" i="207" l="1"/>
  <c r="G54" i="207" s="1"/>
  <c r="H54" i="207" s="1"/>
  <c r="F55" i="207" l="1"/>
  <c r="G55" i="207" s="1"/>
  <c r="H55" i="207" s="1"/>
  <c r="F56" i="207" l="1"/>
  <c r="G56" i="207" s="1"/>
  <c r="H56" i="207" s="1"/>
  <c r="F57" i="207" l="1"/>
  <c r="G57" i="207" s="1"/>
  <c r="H57" i="207" s="1"/>
  <c r="F58" i="207" s="1"/>
  <c r="G58" i="207" l="1"/>
  <c r="H58" i="207" s="1"/>
  <c r="F59" i="207" l="1"/>
  <c r="G59" i="207" s="1"/>
  <c r="H59" i="207" l="1"/>
  <c r="F60" i="207" l="1"/>
  <c r="G60" i="207" s="1"/>
  <c r="H60" i="207" l="1"/>
  <c r="F61" i="207" l="1"/>
  <c r="G61" i="207" s="1"/>
  <c r="H61" i="207" s="1"/>
  <c r="F62" i="207" l="1"/>
  <c r="G62" i="207" s="1"/>
  <c r="H62" i="207" s="1"/>
  <c r="F63" i="207" l="1"/>
  <c r="G63" i="207" s="1"/>
  <c r="H63" i="207" l="1"/>
  <c r="F64" i="207" l="1"/>
  <c r="G64" i="207" s="1"/>
  <c r="H64" i="207" s="1"/>
  <c r="F65" i="207" l="1"/>
  <c r="G65" i="207" s="1"/>
  <c r="H65" i="207" s="1"/>
  <c r="F66" i="207" l="1"/>
  <c r="G66" i="207" s="1"/>
  <c r="H66" i="207" l="1"/>
  <c r="F67" i="207" l="1"/>
  <c r="G67" i="207" s="1"/>
  <c r="H67" i="207" l="1"/>
  <c r="F68" i="207" l="1"/>
  <c r="G68" i="207" s="1"/>
  <c r="H68" i="207" s="1"/>
  <c r="F69" i="207" l="1"/>
  <c r="G69" i="207" s="1"/>
  <c r="H69" i="207" s="1"/>
  <c r="F70" i="207" l="1"/>
  <c r="G70" i="207" s="1"/>
  <c r="H70" i="207" s="1"/>
  <c r="F71" i="207" l="1"/>
  <c r="G71" i="207" s="1"/>
  <c r="H71" i="207" s="1"/>
  <c r="F72" i="207" l="1"/>
  <c r="G72" i="207" s="1"/>
  <c r="H72" i="207" s="1"/>
  <c r="F73" i="207" l="1"/>
  <c r="G73" i="207" s="1"/>
  <c r="H73" i="207" s="1"/>
  <c r="F74" i="207" s="1"/>
  <c r="G74" i="207" l="1"/>
  <c r="H74" i="207" s="1"/>
  <c r="F75" i="207" l="1"/>
  <c r="G75" i="207" s="1"/>
  <c r="H75" i="207" l="1"/>
  <c r="F76" i="207" l="1"/>
  <c r="G76" i="207" s="1"/>
  <c r="H76" i="207" s="1"/>
  <c r="F77" i="207" l="1"/>
  <c r="G77" i="207" s="1"/>
  <c r="H77" i="207" s="1"/>
  <c r="F78" i="207" l="1"/>
  <c r="G78" i="207" s="1"/>
  <c r="H78" i="207" s="1"/>
  <c r="F79" i="207" l="1"/>
  <c r="G79" i="207" s="1"/>
  <c r="H79" i="207" l="1"/>
  <c r="F80" i="207" l="1"/>
  <c r="G80" i="207" s="1"/>
  <c r="H80" i="207" s="1"/>
  <c r="F81" i="207" l="1"/>
  <c r="G81" i="207" s="1"/>
  <c r="H81" i="207" s="1"/>
  <c r="F82" i="207" s="1"/>
  <c r="G82" i="207" l="1"/>
  <c r="H82" i="207" s="1"/>
  <c r="F83" i="207" l="1"/>
  <c r="G83" i="207" s="1"/>
  <c r="H83" i="207" l="1"/>
  <c r="F84" i="207" l="1"/>
  <c r="G84" i="207" s="1"/>
  <c r="H84" i="207" s="1"/>
  <c r="F85" i="207" l="1"/>
  <c r="G85" i="207" s="1"/>
  <c r="H85" i="207" s="1"/>
  <c r="F86" i="207" l="1"/>
  <c r="G86" i="207" s="1"/>
  <c r="H86" i="207" l="1"/>
  <c r="F87" i="207" l="1"/>
  <c r="G87" i="207" s="1"/>
  <c r="H87" i="207" s="1"/>
  <c r="F88" i="207" l="1"/>
  <c r="G88" i="207" s="1"/>
  <c r="H88" i="207" l="1"/>
  <c r="F89" i="207" s="1"/>
  <c r="G89" i="207" s="1"/>
  <c r="H89" i="207" s="1"/>
  <c r="F90" i="207" s="1"/>
  <c r="G90" i="207" l="1"/>
  <c r="H90" i="207" s="1"/>
  <c r="F91" i="207" s="1"/>
  <c r="G91" i="207" l="1"/>
  <c r="H91" i="207" s="1"/>
  <c r="F92" i="207" l="1"/>
  <c r="G92" i="207"/>
  <c r="H92" i="207" s="1"/>
  <c r="F93" i="207" l="1"/>
  <c r="G93" i="207"/>
  <c r="H93" i="207" s="1"/>
  <c r="F94" i="207" l="1"/>
  <c r="G94" i="207" s="1"/>
  <c r="H94" i="207" s="1"/>
  <c r="F95" i="207" l="1"/>
  <c r="G95" i="207" s="1"/>
  <c r="H95" i="207" s="1"/>
  <c r="F96" i="207" l="1"/>
  <c r="G96" i="207" s="1"/>
  <c r="H96" i="207" s="1"/>
  <c r="F97" i="207" s="1"/>
  <c r="G97" i="207" l="1"/>
  <c r="H97" i="207" s="1"/>
  <c r="F98" i="207" l="1"/>
  <c r="G98" i="207" s="1"/>
  <c r="H98" i="207" l="1"/>
  <c r="F99" i="207" l="1"/>
  <c r="G99" i="207" s="1"/>
  <c r="H99" i="207" s="1"/>
  <c r="F100" i="207" l="1"/>
  <c r="G100" i="207" s="1"/>
  <c r="G101" i="207" s="1"/>
  <c r="D15" i="169" s="1"/>
  <c r="D17" i="169" s="1"/>
  <c r="D21" i="169" s="1"/>
  <c r="H100" i="207" l="1"/>
</calcChain>
</file>

<file path=xl/sharedStrings.xml><?xml version="1.0" encoding="utf-8"?>
<sst xmlns="http://schemas.openxmlformats.org/spreadsheetml/2006/main" count="1814" uniqueCount="663">
  <si>
    <t>SAN DIEGO GAS AND ELECTRIC COMPANY</t>
  </si>
  <si>
    <t>($1,000)</t>
  </si>
  <si>
    <t>Line</t>
  </si>
  <si>
    <t>(a)</t>
  </si>
  <si>
    <t>(b)</t>
  </si>
  <si>
    <t>Average Balance</t>
  </si>
  <si>
    <t>Reference</t>
  </si>
  <si>
    <t xml:space="preserve">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</si>
  <si>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</si>
  <si>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</si>
  <si>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</si>
  <si>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</si>
  <si>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>SAN DIEGO GAS &amp; ELECTRIC COMPANY</t>
  </si>
  <si>
    <t>Month</t>
  </si>
  <si>
    <t>No.</t>
  </si>
  <si>
    <t>Total</t>
  </si>
  <si>
    <t>Description</t>
  </si>
  <si>
    <t xml:space="preserve">     Total Transmission Related Depreciation Reserve</t>
  </si>
  <si>
    <t>Transmission Related Electric Misc. Intangible Plant Amortization Reserve</t>
  </si>
  <si>
    <t>Transmission Plant</t>
  </si>
  <si>
    <t>Statement AH - Workpapers</t>
  </si>
  <si>
    <t>Operation and Maintenance Expenses</t>
  </si>
  <si>
    <t>Amounts</t>
  </si>
  <si>
    <t>Derivation of Transmission Plant Property Insurance Allocation Factor:</t>
  </si>
  <si>
    <t>Shall be Zero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</si>
  <si>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</si>
  <si>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</si>
  <si>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</si>
  <si>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</si>
  <si>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</si>
  <si>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</si>
  <si>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</si>
  <si>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</si>
  <si>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</si>
  <si>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(c) = (a) - (b)</t>
  </si>
  <si>
    <t>FERC</t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</si>
  <si>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</si>
  <si>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</si>
  <si>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</si>
  <si>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</si>
  <si>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</si>
  <si>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</si>
  <si>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</si>
  <si>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</si>
  <si>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</si>
  <si>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</si>
  <si>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Less: Administrative Expenses Transferred-Credit</t>
  </si>
  <si>
    <t>Employee Pensions &amp; Benefits</t>
  </si>
  <si>
    <t xml:space="preserve">Franchise Requirements </t>
  </si>
  <si>
    <t>Less: Duplicate Charges (Company Energy Use)</t>
  </si>
  <si>
    <t>General Advertising Expenses</t>
  </si>
  <si>
    <t>Maintenance of General Plant</t>
  </si>
  <si>
    <t>Total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</si>
  <si>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</si>
  <si>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</si>
  <si>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</si>
  <si>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</si>
  <si>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</si>
  <si>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</si>
  <si>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</si>
  <si>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</si>
  <si>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</si>
  <si>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Statement AL - Workpapers</t>
  </si>
  <si>
    <t>Working Capital</t>
  </si>
  <si>
    <t>Transmission Plant Allocation Factor</t>
  </si>
  <si>
    <t>FERC Method = 1/8 of O&amp;M Expense</t>
  </si>
  <si>
    <t>The balances for Materials &amp; Supplies and Prepayments are derived based on a 13-month average balance.</t>
  </si>
  <si>
    <t>(c)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</si>
  <si>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</si>
  <si>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</si>
  <si>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</si>
  <si>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</si>
  <si>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</si>
  <si>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</si>
  <si>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</si>
  <si>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</si>
  <si>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</si>
  <si>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</si>
  <si>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</si>
  <si>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</si>
  <si>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</si>
  <si>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</si>
  <si>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</si>
  <si>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</si>
  <si>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</si>
  <si>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</si>
  <si>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</si>
  <si>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</si>
  <si>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</si>
  <si>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</si>
  <si>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</si>
  <si>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</si>
  <si>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</si>
  <si>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</si>
  <si>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Statement AV - Workpapers</t>
  </si>
  <si>
    <t>Cost of</t>
  </si>
  <si>
    <t>Capital</t>
  </si>
  <si>
    <t>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</si>
  <si>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</si>
  <si>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</si>
  <si>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</si>
  <si>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</si>
  <si>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</si>
  <si>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</si>
  <si>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</si>
  <si>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Total Direct Maintenance Cost</t>
  </si>
  <si>
    <t>Section 1 - Direct Maintenance Expense Cost Component</t>
  </si>
  <si>
    <t>Section 2 - Non-Direct Expense Cost Component</t>
  </si>
  <si>
    <t>Section 3 - Cost Component Containing Other Specific Expenses</t>
  </si>
  <si>
    <t>Section 5 - Interest True-Up Adjustment Cost Component</t>
  </si>
  <si>
    <t>A. Non-Direct Annual Carrying Charge Percentages</t>
  </si>
  <si>
    <t>Lease Agreement</t>
  </si>
  <si>
    <t xml:space="preserve">     Transmission Related A&amp;G Carrying Charge Percentage</t>
  </si>
  <si>
    <t xml:space="preserve">     Transmission Related Payroll Tax Carrying Charge Percentage</t>
  </si>
  <si>
    <t>Citizens Financed Transmission Projects: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</si>
  <si>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</si>
  <si>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</si>
  <si>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</si>
  <si>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 xml:space="preserve">     Total</t>
  </si>
  <si>
    <t>Total Adjusted Administrative &amp; General Expenses</t>
  </si>
  <si>
    <t>Injuries &amp; Damages</t>
  </si>
  <si>
    <t xml:space="preserve">Derivation of End Use Transmission Rate Base </t>
  </si>
  <si>
    <t>A. Derivation of Transmission Rate Base: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</si>
  <si>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</si>
  <si>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</si>
  <si>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</si>
  <si>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</si>
  <si>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</si>
  <si>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</si>
  <si>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</si>
  <si>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</si>
  <si>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</si>
  <si>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</si>
  <si>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</si>
  <si>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</si>
  <si>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</si>
  <si>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</si>
  <si>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</si>
  <si>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</si>
  <si>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</si>
  <si>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</si>
  <si>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</si>
  <si>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</si>
  <si>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</si>
  <si>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</si>
  <si>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</si>
  <si>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8.84%</t>
  </si>
  <si>
    <t>Form 1; Page 323; Line 181</t>
  </si>
  <si>
    <t>Form 1; Page 323; Line 182</t>
  </si>
  <si>
    <t>Form 1; Page 323; Line 183</t>
  </si>
  <si>
    <t>Form 1; Page 323; Line 184</t>
  </si>
  <si>
    <t>Form 1; Page 323; Line 185</t>
  </si>
  <si>
    <t>Form 1; Page 323; Line 186</t>
  </si>
  <si>
    <t>Form 1; Page 323; Line 187</t>
  </si>
  <si>
    <t>Form 1; Page 323; Line 188</t>
  </si>
  <si>
    <t>Form 1; Page 323; Line 189</t>
  </si>
  <si>
    <t>Form 1; Page 323; Line 190</t>
  </si>
  <si>
    <t>Form 1; Page 323; Line 191</t>
  </si>
  <si>
    <t>Form 1; Page 323; Line 192</t>
  </si>
  <si>
    <t>Form 1; Page 323; Line 193</t>
  </si>
  <si>
    <t>Form 1; Page 323; Line 196</t>
  </si>
  <si>
    <t xml:space="preserve">Regulatory Commission Expenses  </t>
  </si>
  <si>
    <t>FERC Form 1</t>
  </si>
  <si>
    <t>Page; Line; Col.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</si>
  <si>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</si>
  <si>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</si>
  <si>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</si>
  <si>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</si>
  <si>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</si>
  <si>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</si>
  <si>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</si>
  <si>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</si>
  <si>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</si>
  <si>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</si>
  <si>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</si>
  <si>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</si>
  <si>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</si>
  <si>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One Eighth O&amp;M Rule</t>
  </si>
  <si>
    <t xml:space="preserve">     Transmission Related Cash Working Capital - Retail Customers</t>
  </si>
  <si>
    <t>Derivation of Direct Maintenance Expense:</t>
  </si>
  <si>
    <t>Derivation of Non-Direct Transmission Operation and Maintenance Expense:</t>
  </si>
  <si>
    <t>Derivation of Non-Direct Administrative and General Expense: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</si>
  <si>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</si>
  <si>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</si>
  <si>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</si>
  <si>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</si>
  <si>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</si>
  <si>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</si>
  <si>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</si>
  <si>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</si>
  <si>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</si>
  <si>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</si>
  <si>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</si>
  <si>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</si>
  <si>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</si>
  <si>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</si>
  <si>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</si>
  <si>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</si>
  <si>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</si>
  <si>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</si>
  <si>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</si>
  <si>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</si>
  <si>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</si>
  <si>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</si>
  <si>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</si>
  <si>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</si>
  <si>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</si>
  <si>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</si>
  <si>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</si>
  <si>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</si>
  <si>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</si>
  <si>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</si>
  <si>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</si>
  <si>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</si>
  <si>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</si>
  <si>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</si>
  <si>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</si>
  <si>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SDG&amp;E Return on Equity</t>
  </si>
  <si>
    <t xml:space="preserve">     Total Capital</t>
  </si>
  <si>
    <t xml:space="preserve">     B = Transmission Total Federal Tax Adjustments</t>
  </si>
  <si>
    <t xml:space="preserve">     FT = Federal Income Tax Rate for Rate Effective Period</t>
  </si>
  <si>
    <t>Federal Income Tax    =    (((A) + (C / D)) * FT) - (B / D)</t>
  </si>
  <si>
    <t xml:space="preserve">                                                         (1 - FT)</t>
  </si>
  <si>
    <t xml:space="preserve">     ST = State Income Tax Rate for Rate Effective Period</t>
  </si>
  <si>
    <t>State Income Tax    =    ((A) + (B / C) + Federal Income Tax)*(ST)</t>
  </si>
  <si>
    <t xml:space="preserve">                                                               (1 - ST)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</si>
  <si>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</si>
  <si>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Total Non-Direct Transmission O&amp;M Expense</t>
  </si>
  <si>
    <t>Adjustments to Per Book Transmission O&amp;M Expense:</t>
  </si>
  <si>
    <t xml:space="preserve">   Other Transmission Non-Direct O&amp;M Exclusion Adjustments </t>
  </si>
  <si>
    <t xml:space="preserve">     Total Non-Direct Adjusted Transmission O&amp;M Expenses </t>
  </si>
  <si>
    <t>Total Non-Direct Administrative &amp; General Expense</t>
  </si>
  <si>
    <t>Adjustments to Per Book A&amp;G Expense:</t>
  </si>
  <si>
    <t>Total Adjusted Non-Direct A&amp;G Expenses Excluding Property Insurance</t>
  </si>
  <si>
    <t xml:space="preserve">     Total Adjusted Non-Direct A&amp;G Expenses Including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</si>
  <si>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</si>
  <si>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</si>
  <si>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t>Less: Property Insurance (Due to different allocation factor)</t>
  </si>
  <si>
    <t>Section 4 - True-Up Adjustment Cost Component (Over)/Undercollection</t>
  </si>
  <si>
    <t xml:space="preserve">     Total Transmission Rate Base</t>
  </si>
  <si>
    <t xml:space="preserve">     Total Working Capital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</si>
  <si>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</si>
  <si>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Property Insurance</t>
  </si>
  <si>
    <t>Miscellaneous General Expenses</t>
  </si>
  <si>
    <t>Outside Services Employed</t>
  </si>
  <si>
    <t>Office Supplies &amp; Expenses</t>
  </si>
  <si>
    <t>Transmission Related M&amp;S Allocated to Transmission</t>
  </si>
  <si>
    <t>Transmission Related Prepayments Allocated to Transmission</t>
  </si>
  <si>
    <t>Transmission Related Working Cash</t>
  </si>
  <si>
    <t>Number of Months in Base Period</t>
  </si>
  <si>
    <t>Net Transmission Plant</t>
  </si>
  <si>
    <t>Description of Annual Costs</t>
  </si>
  <si>
    <t>Subtotal Annual Costs</t>
  </si>
  <si>
    <t>Other Adjustments</t>
  </si>
  <si>
    <t>Total Annual Costs</t>
  </si>
  <si>
    <t>Description of Monthly Costs</t>
  </si>
  <si>
    <t>Total Monthly Costs</t>
  </si>
  <si>
    <t>Transmission Related O&amp;M Expense</t>
  </si>
  <si>
    <t>Transmission O&amp;M Expense</t>
  </si>
  <si>
    <t xml:space="preserve">     Transmission O&amp;M Expense Carrying Charge Percentage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</si>
  <si>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</si>
  <si>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</si>
  <si>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</si>
  <si>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</si>
  <si>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 xml:space="preserve">     Subtotal Annual Carrying Charge Rate</t>
  </si>
  <si>
    <t xml:space="preserve">     Total Annual Carrying Charge Rate</t>
  </si>
  <si>
    <t>Citizens Lease Payment</t>
  </si>
  <si>
    <t>Total Annual Carrying Charge Rate</t>
  </si>
  <si>
    <t>Net Transmission Related Common Plant</t>
  </si>
  <si>
    <t>Net Transmission Related General Plant</t>
  </si>
  <si>
    <t>Total Net Transmission Related General and Common Plant</t>
  </si>
  <si>
    <t>Transmission Related General and Common Depreciation Expense</t>
  </si>
  <si>
    <t>Cost of Capital Rate</t>
  </si>
  <si>
    <t>Cost Adjustment Workpapers</t>
  </si>
  <si>
    <t>Transmission Related Municipal Franchise Fees Expense</t>
  </si>
  <si>
    <t>Total Citizens Annual Prior Year Cost of Service</t>
  </si>
  <si>
    <t>Total Citizens Monthly Prior Year Cost of Service</t>
  </si>
  <si>
    <t>B. Derivation of Non-Direct Expense</t>
  </si>
  <si>
    <t xml:space="preserve">     Total Non-Direct Expense</t>
  </si>
  <si>
    <t>Total Transmission Related A&amp;G Expense Including Property Ins.</t>
  </si>
  <si>
    <t>Transmission Related General and Common Return and Associated Income Taxes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</si>
  <si>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</si>
  <si>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Citizens portion of Equity AFUDC is embedded in the Equity AFUDC component of Transmission Depreciation expense.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</si>
  <si>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</si>
  <si>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</si>
  <si>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</si>
  <si>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</si>
  <si>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Miscellaneous Transmission Expense </t>
  </si>
  <si>
    <t xml:space="preserve">   Transmission of Electricity by Others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</si>
  <si>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</si>
  <si>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</si>
  <si>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</si>
  <si>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Damages &amp; Injuries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</si>
  <si>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</si>
  <si>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</si>
  <si>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</si>
  <si>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General Advertising Expenses 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</si>
  <si>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</si>
  <si>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</si>
  <si>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</si>
  <si>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Transmission Related General &amp; Common Plant Revenue</t>
  </si>
  <si>
    <t>A. Transmission Related O&amp;M Expense</t>
  </si>
  <si>
    <t>B. Transmission Related A&amp;G Expense</t>
  </si>
  <si>
    <t>C. Transmission Related Property Tax Expense</t>
  </si>
  <si>
    <t>D. Transmission Related Payroll Tax Expense</t>
  </si>
  <si>
    <t>E. Transmission Related Working Capital Revenue</t>
  </si>
  <si>
    <t>F. Transmission Related General &amp; Common Plant Revenue</t>
  </si>
  <si>
    <t xml:space="preserve">     Transmission Related Property Tax Carrying Charge Percentage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</si>
  <si>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</si>
  <si>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Total Transmission Plant &amp; Incentive Transmission Plant</t>
  </si>
  <si>
    <t>Transmission Plant &amp; Incentive Transmission Plant</t>
  </si>
  <si>
    <t>A. Derivation of Net Transmission Plant:</t>
  </si>
  <si>
    <t>Incentive Transmission Plant</t>
  </si>
  <si>
    <t>Incentive Transmission Plant Depreciation Reserve</t>
  </si>
  <si>
    <t xml:space="preserve">     Total Net Incentive Transmission Plant</t>
  </si>
  <si>
    <t>B. Incentive Project Net Transmission Plant:</t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</si>
  <si>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</si>
  <si>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</si>
  <si>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</si>
  <si>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</si>
  <si>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</si>
  <si>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</si>
  <si>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Incentive Weighted Cost of Capital:</t>
  </si>
  <si>
    <t>Incentive Cost of Equity Component (Preferred &amp; Common):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</si>
  <si>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</si>
  <si>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 xml:space="preserve">     D = Incentive ROE Project Transmission Rate Base</t>
  </si>
  <si>
    <t xml:space="preserve">Federal Income Tax    =    (((A) + (C / D)) * FT) - (B / D)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</si>
  <si>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</si>
  <si>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</si>
  <si>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</si>
  <si>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Federal Income Tax Expense </t>
  </si>
  <si>
    <t>Total Transmission Related General and Common Plant Revenues</t>
  </si>
  <si>
    <t>Incentive Return on Common Equity:</t>
  </si>
  <si>
    <t>ROE is pursuant to SDG&amp;E's TO5 Formula Informational Filing in Docket No. ER19-221-000.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</si>
  <si>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</si>
  <si>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</si>
  <si>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D. Incentive Transmission Construction Work In Progress</t>
  </si>
  <si>
    <t xml:space="preserve">     C = Equity AFUDC Component of Transmission Depreciation Expense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</si>
  <si>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</si>
  <si>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>CITIZENS' SHARE OF THE SX-PQ UNDERGROUND LINE SEGMENT</t>
  </si>
  <si>
    <t xml:space="preserve">     Total Transmission Related General and Common Plant Carrying Charge Percentage</t>
  </si>
  <si>
    <t>Summary of Cost Components</t>
  </si>
  <si>
    <t xml:space="preserve">Section 2 - Non-Direct Expense Cost Component </t>
  </si>
  <si>
    <t>Account 7000722, which was created to track Citizens SX-PQ A&amp;G Expense.</t>
  </si>
  <si>
    <t>Litigation expenses (ERRA)</t>
  </si>
  <si>
    <t>San Diego Gas &amp; Electric Company</t>
  </si>
  <si>
    <t>Citizen's Share of the SX-PQ Underground Line Segment</t>
  </si>
  <si>
    <t>Total Annual Costs Citizens' Share of the SX-PQ Underground Line Segment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</si>
  <si>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</si>
  <si>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</si>
  <si>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</si>
  <si>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</si>
  <si>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</si>
  <si>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</si>
  <si>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Derivation of Other Adjustments Applicable to Appendix XII Cycle 2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</si>
  <si>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</si>
  <si>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</si>
  <si>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</si>
  <si>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</si>
  <si>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</si>
  <si>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</si>
  <si>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</si>
  <si>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</si>
  <si>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</si>
  <si>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</si>
  <si>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</si>
  <si>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</si>
  <si>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</si>
  <si>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</si>
  <si>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</si>
  <si>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</si>
  <si>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</si>
  <si>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</si>
  <si>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</si>
  <si>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</si>
  <si>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38</t>
  </si>
  <si>
    <t>Section 1; Page 1; Line 17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</si>
  <si>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</si>
  <si>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</si>
  <si>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</si>
  <si>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</si>
  <si>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</si>
  <si>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13 + Line 15</t>
  </si>
  <si>
    <t>Line 1 / 12 Months</t>
  </si>
  <si>
    <t>Line 3 / 12 Months</t>
  </si>
  <si>
    <t>Line 5 / 12 Months</t>
  </si>
  <si>
    <t>Sum Lines 20, 22, 24</t>
  </si>
  <si>
    <t>Line 9 / 12 Months</t>
  </si>
  <si>
    <t>Line 11 / 12 Months</t>
  </si>
  <si>
    <t>Line 15 / 12 Months</t>
  </si>
  <si>
    <t>Sum Lines 26, 28, 30, 32</t>
  </si>
  <si>
    <t>Line 34 x Line 36</t>
  </si>
  <si>
    <t>Rate Effective Period January 1, 2020 to December 31, 2020</t>
  </si>
  <si>
    <t>Base Period &amp; True-Up Period 12 - Months Ending December 31, 2018</t>
  </si>
  <si>
    <t>Page 2; Line 6</t>
  </si>
  <si>
    <t>Page 2; Line 11</t>
  </si>
  <si>
    <t>Page 2; Line 16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</si>
  <si>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</si>
  <si>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</si>
  <si>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</si>
  <si>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</si>
  <si>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</si>
  <si>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</si>
  <si>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</si>
  <si>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</si>
  <si>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Line 4 / Line 1</t>
  </si>
  <si>
    <t>Line 9 / Line 1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</si>
  <si>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</si>
  <si>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</si>
  <si>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</si>
  <si>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</si>
  <si>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</si>
  <si>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</si>
  <si>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</si>
  <si>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</si>
  <si>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</si>
  <si>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Line 45 + Line 47</t>
  </si>
  <si>
    <t>Line 49 / Line 1</t>
  </si>
  <si>
    <t>Not Applicable to 2018 Base Period</t>
  </si>
  <si>
    <t>Statement AI; Line 17</t>
  </si>
  <si>
    <t>AH-1; Line 48</t>
  </si>
  <si>
    <t>AH-2; Line 37; Col. a</t>
  </si>
  <si>
    <t>Negative of AH-2; Line 41; Col. b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</si>
  <si>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</si>
  <si>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</si>
  <si>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</si>
  <si>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</si>
  <si>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</si>
  <si>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</si>
  <si>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</si>
  <si>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</si>
  <si>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AH-3; Line 20; Col. a</t>
  </si>
  <si>
    <t>Negative of AH-3; Line 27; Col. a</t>
  </si>
  <si>
    <t>Negative of AH-3; Line 31; Col. a</t>
  </si>
  <si>
    <t>Negative of AH-3; Line 32; Col. a</t>
  </si>
  <si>
    <t>Negative of AH-3; Line 33; Col. a</t>
  </si>
  <si>
    <t>Negative of AH-3; Line 34; Col. a</t>
  </si>
  <si>
    <t>Negative of AH-3; Line 35; Col. b</t>
  </si>
  <si>
    <t>Negative of AH-3; Sum Lines 26, 28, 30, 36; Col. a or b</t>
  </si>
  <si>
    <t>Negative of AH-3; Line 38; Col. b</t>
  </si>
  <si>
    <t>Negative of AH-3; Sum Lines 24, 25, 29, 37; Col. a or b</t>
  </si>
  <si>
    <t>Negative of AH-3; Line 5; Col. c</t>
  </si>
  <si>
    <t>Line 35 + Line 36</t>
  </si>
  <si>
    <t>Used to allocate property insurance in conformance with the TO5 Formula Rate Mechanism.</t>
  </si>
  <si>
    <t xml:space="preserve">   Other Cost Adjustments</t>
  </si>
  <si>
    <t>AH-2, Line 37; Col. d</t>
  </si>
  <si>
    <t>AH-3, Line 20; Col. d</t>
  </si>
  <si>
    <t xml:space="preserve"> 12 Months Ending December 31, 2018</t>
  </si>
  <si>
    <t>(e) = (c) + (d)</t>
  </si>
  <si>
    <t xml:space="preserve">Add / (Deduct) </t>
  </si>
  <si>
    <t>Revised</t>
  </si>
  <si>
    <t>(f)</t>
  </si>
  <si>
    <t>(g) = (e) + (f)</t>
  </si>
  <si>
    <t xml:space="preserve">FERC Audit </t>
  </si>
  <si>
    <t>Adj</t>
  </si>
  <si>
    <t>Sum Lines 1 thru 14</t>
  </si>
  <si>
    <t>Line 16 + Line 18</t>
  </si>
  <si>
    <r>
      <t>(d)</t>
    </r>
    <r>
      <rPr>
        <b/>
        <vertAlign val="superscript"/>
        <sz val="12"/>
        <rFont val="Times New Roman"/>
        <family val="1"/>
      </rPr>
      <t xml:space="preserve"> 2</t>
    </r>
  </si>
  <si>
    <t>A&amp;G Cost Adj</t>
  </si>
  <si>
    <t xml:space="preserve">A&amp;G </t>
  </si>
  <si>
    <t>This amount represents the Non-Direct A&amp;G expenses billed to Citizens in 2018, which is added back to derive Total Adjusted A&amp;G Expenses in SAP</t>
  </si>
  <si>
    <t>Represents reclassification of 2018 3P (People, Process, Priorities) project costs from O&amp;M FERC accounts 560, 580 and 588 to A&amp;G FERC 923, in 2020.</t>
  </si>
  <si>
    <t>This correction is reflected as an "Other Adjustments" in Appendix XII Cycle 4.</t>
  </si>
  <si>
    <t>4, 6</t>
  </si>
  <si>
    <t>FERC Audit Adjustment - Compliance Finding #3 - Allocation of overhead costs to CWIP.</t>
  </si>
  <si>
    <t>FERC Audit Adjustment - Compliance Finding #8 - Accounting for outside services employed.</t>
  </si>
  <si>
    <t>FERC Audit Adjustment - Compliance Finding #5 - Accounting for regulatory commission expenses.</t>
  </si>
  <si>
    <t>FERC Audit Adjustment - Compliance Finding #7 - Accounting for donations &amp; lobbying expenses.</t>
  </si>
  <si>
    <t xml:space="preserve">   FERC Audit Adjustments</t>
  </si>
  <si>
    <t>Sum Lines 5 thru 18</t>
  </si>
  <si>
    <t>Sum Lines 22 thru 34</t>
  </si>
  <si>
    <t>Line 37 x Line 38</t>
  </si>
  <si>
    <t>Line 39 + Line 40</t>
  </si>
  <si>
    <t>Line 44 Above</t>
  </si>
  <si>
    <t>Sum Lines 44 thru 47</t>
  </si>
  <si>
    <t>Sum Lines 50 thru 57</t>
  </si>
  <si>
    <t>Line 48 / Line 58</t>
  </si>
  <si>
    <t>AL-1; Line 18</t>
  </si>
  <si>
    <t>Line 1 x Line 3</t>
  </si>
  <si>
    <t>AL-2; Line 18</t>
  </si>
  <si>
    <t>Line 3 x Line 7</t>
  </si>
  <si>
    <t>Negative of Statement AH; Line 23</t>
  </si>
  <si>
    <t>Sum Lines 12 thru 14</t>
  </si>
  <si>
    <t>Line 15 x Line 17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</si>
  <si>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</si>
  <si>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</si>
  <si>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</si>
  <si>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</si>
  <si>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</si>
  <si>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</si>
  <si>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</si>
  <si>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</si>
  <si>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</si>
  <si>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</si>
  <si>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</si>
  <si>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</si>
  <si>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</si>
  <si>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AV1; Line 42</t>
  </si>
  <si>
    <t>Negative of Statement AR; Line 11</t>
  </si>
  <si>
    <t>AV-2A; Line 38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</si>
  <si>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</si>
  <si>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</si>
  <si>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</si>
  <si>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</si>
  <si>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</si>
  <si>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</si>
  <si>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</si>
  <si>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</si>
  <si>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</si>
  <si>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</si>
  <si>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</si>
  <si>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</si>
  <si>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</si>
  <si>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</si>
  <si>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</si>
  <si>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</si>
  <si>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</si>
  <si>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</si>
  <si>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</si>
  <si>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</si>
  <si>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</si>
  <si>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</si>
  <si>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</si>
  <si>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</si>
  <si>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</si>
  <si>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</si>
  <si>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</si>
  <si>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</si>
  <si>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</si>
  <si>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</si>
  <si>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</si>
  <si>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</si>
  <si>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Derivation of Interest Expense on Other Adjustments Applicable to Appendix XII Cycle 2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</si>
  <si>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</si>
  <si>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</si>
  <si>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</si>
  <si>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</si>
  <si>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</si>
  <si>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</si>
  <si>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</si>
  <si>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</si>
  <si>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</si>
  <si>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</si>
  <si>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</si>
  <si>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</si>
  <si>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</si>
  <si>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</si>
  <si>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</si>
  <si>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</si>
  <si>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</si>
  <si>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</si>
  <si>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</si>
  <si>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</si>
  <si>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</si>
  <si>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</si>
  <si>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</si>
  <si>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</si>
  <si>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</si>
  <si>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</si>
  <si>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</si>
  <si>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</si>
  <si>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</si>
  <si>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</si>
  <si>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</si>
  <si>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</si>
  <si>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</si>
  <si>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</si>
  <si>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</si>
  <si>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</si>
  <si>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</si>
  <si>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Negative of Line 36 x Line 60</t>
  </si>
  <si>
    <t>Posted FERC Interest rates</t>
  </si>
  <si>
    <t>Revised - Appendix XII Cycle 2</t>
  </si>
  <si>
    <t>Other Adjustments due to Appendix XII Cycle 2 Cost Adjustments Calculation:</t>
  </si>
  <si>
    <t xml:space="preserve">Items in bold have changed due to various FERC Audit adj. compared to Appendix XII Cycle 2 filing per ER20-209 and cost adj. incl. in Appendix XII Cycle 4 per ER22-133.  </t>
  </si>
  <si>
    <t>Pg5 Rev Section 2; Page 1; Line 25</t>
  </si>
  <si>
    <t>Pg18 Rev AV-4; Line 6</t>
  </si>
  <si>
    <t>Pg11 Rev Statement AH; Line 19</t>
  </si>
  <si>
    <t>Pg11 Rev Statement AH; Line 41</t>
  </si>
  <si>
    <t>Pg13 Rev Statement AK; Line 17</t>
  </si>
  <si>
    <t>Pg14 Rev Statement AL; Line 5</t>
  </si>
  <si>
    <t>Pg14 Rev Statement AL; Line 9</t>
  </si>
  <si>
    <t>Pg14 Rev Statement AL; Line 19</t>
  </si>
  <si>
    <t>Pg15 Rev Statement AV2; Line 31</t>
  </si>
  <si>
    <t>Pg18 Rev AV-4; Line 4</t>
  </si>
  <si>
    <t>Pg18 Rev AV-4; Line 5</t>
  </si>
  <si>
    <t>Pg12 Rev Statement AJ; Line 17</t>
  </si>
  <si>
    <t>Pg11.3 Rev AH-2; Line 37; Col. f</t>
  </si>
  <si>
    <t>Pg11.6 Rev AH-3; Line 20; Col. f</t>
  </si>
  <si>
    <t>Pg8 Rev Statement AD; Line 25</t>
  </si>
  <si>
    <t>Pg8 Rev Statement AD; Line 29</t>
  </si>
  <si>
    <t>Pg8 Rev Statement AD; Line 31</t>
  </si>
  <si>
    <t>Pg8 Rev Statement AD; Line 1</t>
  </si>
  <si>
    <t>Pg8 Rev Statement AD; Line 7</t>
  </si>
  <si>
    <t>Pg8 Rev Statement AD; Line 9</t>
  </si>
  <si>
    <t>Pg8 Rev Statement AD; Line 17</t>
  </si>
  <si>
    <t>Pg8 Rev Statement AD; Line 19</t>
  </si>
  <si>
    <t>Pg8 Rev Statement AD; Line 35</t>
  </si>
  <si>
    <t>Pg18 Rev AV-4; Page 1; Line 26</t>
  </si>
  <si>
    <t>Pg10 Rev Statement AF; Line 7</t>
  </si>
  <si>
    <t>FERC Audit Adj</t>
  </si>
  <si>
    <t>Adj A&amp;G with</t>
  </si>
  <si>
    <t>Pg8 Rev Statement AD; Line 11</t>
  </si>
  <si>
    <t>Pg8 Rev Statement AD; Line 27</t>
  </si>
  <si>
    <t>Pg9 Rev Statement AE; Line 1</t>
  </si>
  <si>
    <t>Pg9 Rev Statement AE; Line 11</t>
  </si>
  <si>
    <t>Pg9 Rev Statement AE; Line 13</t>
  </si>
  <si>
    <t>Pg9 Rev Statement AE; Line 15</t>
  </si>
  <si>
    <t>Page 3 and Page 4, Line 36</t>
  </si>
  <si>
    <r>
      <t xml:space="preserve">Appendix XII Cycle 7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</si>
  <si>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XII Cycle 7 Annual Informational Filing </t>
  </si>
  <si>
    <t xml:space="preserve">   Other Cost Adjustments (incl. in Appendix XII Cycle 4; ER22-133)</t>
  </si>
  <si>
    <t xml:space="preserve">   FERC Audit Adjustments (incl. in Appendix XII Cycle 6; ER24-175)</t>
  </si>
  <si>
    <t>Appendix XII Cycle 7 Annual Informational Filing</t>
  </si>
  <si>
    <t>(i) = (g) - (h)</t>
  </si>
  <si>
    <t>A&amp;G</t>
  </si>
  <si>
    <t>This is to correct the overallocation of duplicate charges credit for company energy use in FERC Account no. 929.</t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</si>
  <si>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7</t>
    </r>
  </si>
  <si>
    <t>Sum Lines 22 thru 35</t>
  </si>
  <si>
    <t>Line 36 + Line 37</t>
  </si>
  <si>
    <t>Line 38 x Line 39</t>
  </si>
  <si>
    <t>Negative of Line 37 x Line 61</t>
  </si>
  <si>
    <t>Line 40 + Line 41</t>
  </si>
  <si>
    <t>Sum Lines 45 thru 48</t>
  </si>
  <si>
    <t>Line 45 Above</t>
  </si>
  <si>
    <t>Sum Lines 51 thru 58</t>
  </si>
  <si>
    <t>Line 49 / Line 59</t>
  </si>
  <si>
    <t>Pg7 Rev Statement AH; Line 42</t>
  </si>
  <si>
    <t>Pg7 Rev Statement AH; Line 19</t>
  </si>
  <si>
    <t>Pg8 Rev Statement AL; Line 19</t>
  </si>
  <si>
    <t>Pg8 Rev Statement AL; Line 5</t>
  </si>
  <si>
    <t>Pg8 Rev Statement AL; Line 9</t>
  </si>
  <si>
    <t>Pg11 Rev AV-4; Page 1; Line 26</t>
  </si>
  <si>
    <t>Estimated FERC Interest rates</t>
  </si>
  <si>
    <t>Page 13; Line 92; Col. 5</t>
  </si>
  <si>
    <t>Rev AH-3; Line 20; Col. f</t>
  </si>
  <si>
    <t>Negative of Rev AH-3; Line 27; Col. a</t>
  </si>
  <si>
    <t>Negative of Rev AH-3; Line 31; Col. a</t>
  </si>
  <si>
    <t>Negative of Rev AH-3; Line 32; Col. a</t>
  </si>
  <si>
    <t>Negative of Rev AH-3; Line 33; Col. a</t>
  </si>
  <si>
    <t>Negative of Rev AH-3; Line 34; Col. a</t>
  </si>
  <si>
    <t>Negative of Rev AH-3; Line 36; Col. b</t>
  </si>
  <si>
    <t>Negative of Rev AH-3; Sum Lines 26, 28, 30, 37; Col. a or b</t>
  </si>
  <si>
    <t>Negative of Rev AH-3; Line 39; Col. b</t>
  </si>
  <si>
    <t>Negative of Rev AH-3; Sum Lines 24, 25, 29, 38; Col. a or b</t>
  </si>
  <si>
    <t>Rev AH-3, Line 20; Col. d</t>
  </si>
  <si>
    <t>Source: As Filed Appendix XII Cycle 2; Rev Summary of Cost Components in FERC Audit Adj; ER24-175</t>
  </si>
  <si>
    <t>Source: As Filed Appendix XII Cycle 2; Rev Stmt AH in FERC Audit Adj; ER24-175</t>
  </si>
  <si>
    <t>Source: As Filed Appendix XII Cycle 2; Rev Stmt AH-3 in FERC Audit Adj; ER24-175</t>
  </si>
  <si>
    <t>Source: As Filed Appendix XII Cycle 2; Rev Stmt AL in FERC Audit Adj; ER24-175</t>
  </si>
  <si>
    <t>Source: As Filed Appendix XII Cycle 2; Rev Stmt AV in FERC Audit Adj; ER24-175</t>
  </si>
  <si>
    <t>Source: As Filed Appendix XII Cycle 2; Rev AV-4 in FERC Audit Adj; ER24-175</t>
  </si>
  <si>
    <r>
      <t xml:space="preserve">(h) </t>
    </r>
    <r>
      <rPr>
        <b/>
        <vertAlign val="superscript"/>
        <sz val="12"/>
        <rFont val="Times New Roman"/>
        <family val="1"/>
      </rPr>
      <t>7</t>
    </r>
  </si>
  <si>
    <t>As Filed - Appendix XII Cycle 2 ER20-209, ER22-133 and ER24-175</t>
  </si>
  <si>
    <t>Source: As Filed Appendix XII Cycle 2; Rev Sec 2-Non-Direct Exp in FERC Audit Adj; ER24-175</t>
  </si>
  <si>
    <t>Rev AH-3; Line 20; Col. a</t>
  </si>
  <si>
    <t>Pg7.2 Negative of Rev AH-3; Line 20; Col. h</t>
  </si>
  <si>
    <t>Pg10 Rev Statement AV2; Line 31</t>
  </si>
  <si>
    <t xml:space="preserve">Section C.6a of the Protocols provides a mechanism for SDG&amp;E to correct errors that affected the Appendix XII costs in a previous Informational Filing. In this </t>
  </si>
  <si>
    <t>Energy Use)" Credit accounted for in FERC account 929. This error had minimally understated the Citizens Share of the SX-PQ Underground Line Segment in the previous</t>
  </si>
  <si>
    <t>Appendix XII Cycle 2 filing causing its correction in the Appendix XII Cycle 7 Annual Informational Filing.</t>
  </si>
  <si>
    <t>Items in BOLD have changed to correct the over-allocation of "Duplicate Charges (Company Energy Use)" Credit in FERC Account no. 929.</t>
  </si>
  <si>
    <t>Appendix XII Cycle 7 Informational Filing, SDG&amp;E is correcting Appendix XII Cycle 2 for approximately $310 for the over-allocation of "Duplicate Charges (Company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</si>
</sst>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0.000"/>
    <numFmt numFmtId="204" formatCode="_(&quot;$&quot;* #,##0,_);_(&quot;$&quot;* \(#,##0,\);_(&quot;$&quot;* &quot;-&quot;??_);_(@_)"/>
    <numFmt numFmtId="205" formatCode="&quot;$&quot;#,##0,_);[Red]\(&quot;$&quot;#,##0,\)"/>
  </numFmts>
  <fonts count="16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vertAlign val="superscript"/>
      <sz val="1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810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3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30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3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0" fillId="50" borderId="0" applyNumberFormat="0" applyBorder="0" applyAlignment="0" applyProtection="0"/>
    <xf numFmtId="171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7" fillId="56" borderId="21" applyNumberFormat="0" applyProtection="0">
      <alignment vertical="center"/>
    </xf>
    <xf numFmtId="4" fontId="35" fillId="56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19" fillId="59" borderId="21" applyNumberFormat="0" applyProtection="0">
      <alignment vertical="center"/>
    </xf>
    <xf numFmtId="4" fontId="35" fillId="6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7" fillId="62" borderId="21" applyNumberFormat="0" applyProtection="0">
      <alignment vertical="center"/>
    </xf>
    <xf numFmtId="4" fontId="35" fillId="63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38" fillId="56" borderId="21" applyNumberFormat="0" applyProtection="0">
      <alignment vertical="center"/>
    </xf>
    <xf numFmtId="4" fontId="33" fillId="65" borderId="22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4" fontId="39" fillId="67" borderId="21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23" fillId="70" borderId="23" applyNumberFormat="0">
      <protection locked="0"/>
    </xf>
    <xf numFmtId="0" fontId="14" fillId="71" borderId="24" applyBorder="0"/>
    <xf numFmtId="4" fontId="35" fillId="69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2" fillId="67" borderId="21" applyNumberFormat="0" applyProtection="0">
      <alignment vertical="center"/>
    </xf>
    <xf numFmtId="4" fontId="43" fillId="67" borderId="21" applyNumberFormat="0" applyProtection="0">
      <alignment vertical="center"/>
    </xf>
    <xf numFmtId="4" fontId="44" fillId="72" borderId="21" applyNumberFormat="0" applyProtection="0">
      <alignment horizontal="left" vertical="center" indent="1"/>
    </xf>
    <xf numFmtId="4" fontId="45" fillId="68" borderId="25" applyNumberFormat="0" applyProtection="0">
      <alignment horizontal="left" vertical="center" indent="1"/>
    </xf>
    <xf numFmtId="0" fontId="23" fillId="73" borderId="26"/>
    <xf numFmtId="4" fontId="46" fillId="69" borderId="20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/>
    <xf numFmtId="0" fontId="49" fillId="0" borderId="27" applyNumberFormat="0" applyFill="0" applyProtection="0">
      <alignment horizontal="center"/>
    </xf>
    <xf numFmtId="0" fontId="50" fillId="0" borderId="0" applyNumberFormat="0" applyFill="0" applyBorder="0" applyProtection="0">
      <alignment horizontal="centerContinuous"/>
    </xf>
    <xf numFmtId="172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6" borderId="0" applyNumberFormat="0" applyBorder="0" applyAlignment="0" applyProtection="0"/>
    <xf numFmtId="0" fontId="57" fillId="79" borderId="28" applyNumberFormat="0" applyAlignment="0" applyProtection="0"/>
    <xf numFmtId="0" fontId="57" fillId="79" borderId="28" applyNumberFormat="0" applyAlignment="0" applyProtection="0"/>
    <xf numFmtId="0" fontId="58" fillId="9" borderId="14" applyNumberFormat="0" applyAlignment="0" applyProtection="0"/>
    <xf numFmtId="0" fontId="59" fillId="77" borderId="29" applyNumberFormat="0" applyAlignment="0" applyProtection="0"/>
    <xf numFmtId="0" fontId="59" fillId="77" borderId="29" applyNumberFormat="0" applyAlignment="0" applyProtection="0"/>
    <xf numFmtId="0" fontId="60" fillId="10" borderId="17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1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7" fillId="0" borderId="1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9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9" borderId="28" applyNumberFormat="0" applyAlignment="0" applyProtection="0"/>
    <xf numFmtId="0" fontId="70" fillId="49" borderId="28" applyNumberFormat="0" applyAlignment="0" applyProtection="0"/>
    <xf numFmtId="0" fontId="71" fillId="8" borderId="14" applyNumberFormat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16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37" fontId="75" fillId="0" borderId="0"/>
    <xf numFmtId="37" fontId="75" fillId="0" borderId="0"/>
    <xf numFmtId="0" fontId="23" fillId="80" borderId="0"/>
    <xf numFmtId="0" fontId="76" fillId="0" borderId="0"/>
    <xf numFmtId="0" fontId="23" fillId="80" borderId="0"/>
    <xf numFmtId="0" fontId="23" fillId="80" borderId="0"/>
    <xf numFmtId="0" fontId="3" fillId="0" borderId="0"/>
    <xf numFmtId="0" fontId="52" fillId="0" borderId="0"/>
    <xf numFmtId="0" fontId="76" fillId="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77" fillId="11" borderId="18" applyNumberFormat="0" applyFont="0" applyAlignment="0" applyProtection="0"/>
    <xf numFmtId="0" fontId="78" fillId="79" borderId="34" applyNumberFormat="0" applyAlignment="0" applyProtection="0"/>
    <xf numFmtId="0" fontId="78" fillId="79" borderId="34" applyNumberFormat="0" applyAlignment="0" applyProtection="0"/>
    <xf numFmtId="0" fontId="79" fillId="9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9">
      <alignment horizontal="center"/>
    </xf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4" fontId="33" fillId="54" borderId="20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34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6" fillId="82" borderId="20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34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2" fillId="54" borderId="34" applyNumberFormat="0" applyProtection="0">
      <alignment vertical="center"/>
    </xf>
    <xf numFmtId="4" fontId="83" fillId="54" borderId="28" applyNumberFormat="0" applyProtection="0">
      <alignment vertical="center"/>
    </xf>
    <xf numFmtId="4" fontId="34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6" fillId="99" borderId="34" applyNumberFormat="0" applyProtection="0">
      <alignment horizontal="left" vertical="center" indent="1"/>
    </xf>
    <xf numFmtId="4" fontId="36" fillId="98" borderId="22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3" fillId="65" borderId="22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6" fillId="98" borderId="22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66" borderId="0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23" fillId="70" borderId="23" applyNumberFormat="0">
      <protection locked="0"/>
    </xf>
    <xf numFmtId="4" fontId="40" fillId="72" borderId="34" applyNumberFormat="0" applyProtection="0">
      <alignment vertical="center"/>
    </xf>
    <xf numFmtId="4" fontId="40" fillId="72" borderId="34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83" fillId="72" borderId="26" applyNumberFormat="0" applyProtection="0">
      <alignment vertical="center"/>
    </xf>
    <xf numFmtId="4" fontId="41" fillId="69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35" fillId="69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85" fillId="102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86" fillId="0" borderId="0"/>
    <xf numFmtId="4" fontId="87" fillId="109" borderId="35" applyNumberFormat="0" applyProtection="0">
      <alignment horizontal="left" vertical="center" indent="1"/>
    </xf>
    <xf numFmtId="0" fontId="86" fillId="0" borderId="0"/>
    <xf numFmtId="0" fontId="86" fillId="0" borderId="0"/>
    <xf numFmtId="4" fontId="45" fillId="68" borderId="25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4" fontId="88" fillId="100" borderId="34" applyNumberFormat="0" applyProtection="0">
      <alignment horizontal="right" vertical="center"/>
    </xf>
    <xf numFmtId="4" fontId="89" fillId="70" borderId="28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0" fontId="90" fillId="110" borderId="0"/>
    <xf numFmtId="49" fontId="91" fillId="110" borderId="0"/>
    <xf numFmtId="49" fontId="92" fillId="110" borderId="37"/>
    <xf numFmtId="49" fontId="92" fillId="110" borderId="0"/>
    <xf numFmtId="0" fontId="90" fillId="67" borderId="37">
      <protection locked="0"/>
    </xf>
    <xf numFmtId="0" fontId="90" fillId="110" borderId="0"/>
    <xf numFmtId="0" fontId="93" fillId="61" borderId="0"/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94" fillId="0" borderId="19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7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171" fontId="31" fillId="0" borderId="0"/>
    <xf numFmtId="171" fontId="31" fillId="0" borderId="0"/>
    <xf numFmtId="0" fontId="96" fillId="6" borderId="0" applyNumberFormat="0" applyBorder="0" applyAlignment="0" applyProtection="0"/>
    <xf numFmtId="0" fontId="56" fillId="6" borderId="0" applyNumberFormat="0" applyBorder="0" applyAlignment="0" applyProtection="0"/>
    <xf numFmtId="0" fontId="97" fillId="9" borderId="14" applyNumberFormat="0" applyAlignment="0" applyProtection="0"/>
    <xf numFmtId="0" fontId="58" fillId="9" borderId="14" applyNumberFormat="0" applyAlignment="0" applyProtection="0"/>
    <xf numFmtId="0" fontId="98" fillId="10" borderId="17" applyNumberFormat="0" applyAlignment="0" applyProtection="0"/>
    <xf numFmtId="0" fontId="60" fillId="10" borderId="17" applyNumberFormat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29" fillId="43" borderId="0" applyNumberFormat="0" applyBorder="0" applyAlignment="0" applyProtection="0"/>
    <xf numFmtId="0" fontId="100" fillId="0" borderId="11" applyNumberFormat="0" applyFill="0" applyAlignment="0" applyProtection="0"/>
    <xf numFmtId="0" fontId="65" fillId="0" borderId="11" applyNumberFormat="0" applyFill="0" applyAlignment="0" applyProtection="0"/>
    <xf numFmtId="0" fontId="101" fillId="0" borderId="12" applyNumberFormat="0" applyFill="0" applyAlignment="0" applyProtection="0"/>
    <xf numFmtId="0" fontId="67" fillId="0" borderId="12" applyNumberFormat="0" applyFill="0" applyAlignment="0" applyProtection="0"/>
    <xf numFmtId="0" fontId="102" fillId="0" borderId="13" applyNumberFormat="0" applyFill="0" applyAlignment="0" applyProtection="0"/>
    <xf numFmtId="0" fontId="69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8" borderId="14" applyNumberFormat="0" applyAlignment="0" applyProtection="0"/>
    <xf numFmtId="0" fontId="71" fillId="8" borderId="14" applyNumberFormat="0" applyAlignment="0" applyProtection="0"/>
    <xf numFmtId="0" fontId="104" fillId="0" borderId="16" applyNumberFormat="0" applyFill="0" applyAlignment="0" applyProtection="0"/>
    <xf numFmtId="0" fontId="73" fillId="0" borderId="16" applyNumberFormat="0" applyFill="0" applyAlignment="0" applyProtection="0"/>
    <xf numFmtId="0" fontId="105" fillId="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0" fontId="7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23" fillId="8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3" fillId="80" borderId="0"/>
    <xf numFmtId="0" fontId="23" fillId="8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3" fillId="48" borderId="2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107" fillId="9" borderId="15" applyNumberFormat="0" applyAlignment="0" applyProtection="0"/>
    <xf numFmtId="0" fontId="79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3" fillId="54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3" fillId="70" borderId="23" applyNumberFormat="0">
      <protection locked="0"/>
    </xf>
    <xf numFmtId="0" fontId="23" fillId="70" borderId="23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0" borderId="23" applyNumberFormat="0">
      <protection locked="0"/>
    </xf>
    <xf numFmtId="4" fontId="85" fillId="108" borderId="20" applyNumberFormat="0" applyProtection="0">
      <alignment vertical="center"/>
    </xf>
    <xf numFmtId="4" fontId="83" fillId="72" borderId="26" applyNumberFormat="0" applyProtection="0">
      <alignment vertical="center"/>
    </xf>
    <xf numFmtId="4" fontId="85" fillId="104" borderId="20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6"/>
    <xf numFmtId="4" fontId="89" fillId="70" borderId="28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09" fillId="0" borderId="19" applyNumberFormat="0" applyFill="0" applyAlignment="0" applyProtection="0"/>
    <xf numFmtId="0" fontId="94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54" borderId="20" applyNumberFormat="0" applyProtection="0">
      <alignment horizontal="left" vertical="top" indent="1"/>
    </xf>
    <xf numFmtId="0" fontId="59" fillId="77" borderId="41" applyNumberFormat="0" applyAlignment="0" applyProtection="0"/>
    <xf numFmtId="0" fontId="59" fillId="77" borderId="4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1" fillId="0" borderId="40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3" fillId="54" borderId="20" applyNumberFormat="0" applyProtection="0">
      <alignment vertical="center"/>
    </xf>
    <xf numFmtId="44" fontId="3" fillId="0" borderId="0" applyFont="0" applyFill="0" applyBorder="0" applyAlignment="0" applyProtection="0"/>
    <xf numFmtId="4" fontId="88" fillId="101" borderId="20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20" applyNumberFormat="0" applyProtection="0">
      <alignment horizontal="left" vertical="top" indent="1"/>
    </xf>
    <xf numFmtId="0" fontId="52" fillId="11" borderId="18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2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20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2" fillId="72" borderId="20" applyNumberFormat="0" applyProtection="0">
      <alignment vertical="center"/>
    </xf>
    <xf numFmtId="4" fontId="45" fillId="109" borderId="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5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5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146" fillId="125" borderId="77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3" fillId="65" borderId="5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6" fontId="3" fillId="0" borderId="0">
      <protection locked="0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3" borderId="57"/>
    <xf numFmtId="0" fontId="3" fillId="69" borderId="79" applyNumberFormat="0" applyProtection="0">
      <alignment horizontal="left" vertical="top" indent="1"/>
    </xf>
    <xf numFmtId="0" fontId="111" fillId="0" borderId="0"/>
    <xf numFmtId="41" fontId="2" fillId="0" borderId="0" applyFont="0" applyFill="0" applyBorder="0" applyAlignment="0" applyProtection="0"/>
    <xf numFmtId="4" fontId="40" fillId="102" borderId="79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9" fillId="0" borderId="60" applyNumberFormat="0" applyFill="0" applyProtection="0">
      <alignment horizontal="center"/>
    </xf>
    <xf numFmtId="4" fontId="40" fillId="102" borderId="79" applyNumberFormat="0" applyProtection="0">
      <alignment horizontal="left" vertical="center" indent="1"/>
    </xf>
    <xf numFmtId="171" fontId="115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40" fillId="112" borderId="0" applyNumberFormat="0" applyBorder="0" applyAlignment="0" applyProtection="0"/>
    <xf numFmtId="0" fontId="40" fillId="112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113" borderId="0" applyNumberFormat="0" applyBorder="0" applyAlignment="0" applyProtection="0"/>
    <xf numFmtId="0" fontId="40" fillId="113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15" borderId="0" applyNumberFormat="0" applyBorder="0" applyAlignment="0" applyProtection="0"/>
    <xf numFmtId="0" fontId="40" fillId="115" borderId="0" applyNumberFormat="0" applyBorder="0" applyAlignment="0" applyProtection="0"/>
    <xf numFmtId="0" fontId="40" fillId="116" borderId="0" applyNumberFormat="0" applyBorder="0" applyAlignment="0" applyProtection="0"/>
    <xf numFmtId="0" fontId="40" fillId="116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16" fillId="117" borderId="0" applyNumberFormat="0" applyBorder="0" applyAlignment="0" applyProtection="0"/>
    <xf numFmtId="0" fontId="116" fillId="117" borderId="0" applyNumberFormat="0" applyBorder="0" applyAlignment="0" applyProtection="0"/>
    <xf numFmtId="0" fontId="116" fillId="87" borderId="0" applyNumberFormat="0" applyBorder="0" applyAlignment="0" applyProtection="0"/>
    <xf numFmtId="0" fontId="116" fillId="87" borderId="0" applyNumberFormat="0" applyBorder="0" applyAlignment="0" applyProtection="0"/>
    <xf numFmtId="0" fontId="116" fillId="96" borderId="0" applyNumberFormat="0" applyBorder="0" applyAlignment="0" applyProtection="0"/>
    <xf numFmtId="0" fontId="116" fillId="96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0" borderId="0" applyNumberFormat="0" applyBorder="0" applyAlignment="0" applyProtection="0"/>
    <xf numFmtId="0" fontId="116" fillId="90" borderId="0" applyNumberFormat="0" applyBorder="0" applyAlignment="0" applyProtection="0"/>
    <xf numFmtId="0" fontId="116" fillId="119" borderId="0" applyNumberFormat="0" applyBorder="0" applyAlignment="0" applyProtection="0"/>
    <xf numFmtId="0" fontId="116" fillId="119" borderId="0" applyNumberFormat="0" applyBorder="0" applyAlignment="0" applyProtection="0"/>
    <xf numFmtId="0" fontId="116" fillId="88" borderId="0" applyNumberFormat="0" applyBorder="0" applyAlignment="0" applyProtection="0"/>
    <xf numFmtId="0" fontId="116" fillId="88" borderId="0" applyNumberFormat="0" applyBorder="0" applyAlignment="0" applyProtection="0"/>
    <xf numFmtId="0" fontId="116" fillId="94" borderId="0" applyNumberFormat="0" applyBorder="0" applyAlignment="0" applyProtection="0"/>
    <xf numFmtId="0" fontId="116" fillId="94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2" borderId="0" applyNumberFormat="0" applyBorder="0" applyAlignment="0" applyProtection="0"/>
    <xf numFmtId="0" fontId="116" fillId="92" borderId="0" applyNumberFormat="0" applyBorder="0" applyAlignment="0" applyProtection="0"/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179" fontId="3" fillId="66" borderId="61">
      <alignment horizontal="center" vertical="center"/>
    </xf>
    <xf numFmtId="0" fontId="117" fillId="85" borderId="0" applyNumberFormat="0" applyBorder="0" applyAlignment="0" applyProtection="0"/>
    <xf numFmtId="0" fontId="117" fillId="85" borderId="0" applyNumberFormat="0" applyBorder="0" applyAlignment="0" applyProtection="0"/>
    <xf numFmtId="3" fontId="118" fillId="0" borderId="0" applyFill="0" applyBorder="0" applyProtection="0">
      <alignment horizontal="right"/>
    </xf>
    <xf numFmtId="180" fontId="119" fillId="0" borderId="0" applyNumberFormat="0" applyFill="0" applyBorder="0" applyAlignment="0" applyProtection="0">
      <alignment horizontal="center"/>
      <protection locked="0"/>
    </xf>
    <xf numFmtId="0" fontId="120" fillId="0" borderId="46" applyFill="0" applyProtection="0">
      <alignment horizontal="right"/>
    </xf>
    <xf numFmtId="0" fontId="121" fillId="104" borderId="62" applyNumberFormat="0" applyAlignment="0" applyProtection="0"/>
    <xf numFmtId="0" fontId="121" fillId="104" borderId="62" applyNumberFormat="0" applyAlignment="0" applyProtection="0"/>
    <xf numFmtId="8" fontId="3" fillId="0" borderId="45" applyFont="0" applyFill="0" applyBorder="0" applyProtection="0">
      <alignment horizontal="right"/>
    </xf>
    <xf numFmtId="0" fontId="122" fillId="120" borderId="55" applyNumberFormat="0" applyAlignment="0" applyProtection="0"/>
    <xf numFmtId="0" fontId="122" fillId="120" borderId="55" applyNumberFormat="0" applyAlignment="0" applyProtection="0"/>
    <xf numFmtId="0" fontId="14" fillId="0" borderId="48">
      <alignment horizontal="center"/>
    </xf>
    <xf numFmtId="181" fontId="123" fillId="0" borderId="0" applyFont="0" applyFill="0" applyBorder="0" applyAlignment="0" applyProtection="0">
      <alignment horizontal="right"/>
    </xf>
    <xf numFmtId="0" fontId="40" fillId="68" borderId="79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4" fontId="88" fillId="101" borderId="79" applyNumberFormat="0" applyProtection="0">
      <alignment horizontal="right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8" fillId="101" borderId="79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3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3" fillId="0" borderId="63" applyNumberFormat="0" applyFont="0" applyFill="0" applyAlignment="0" applyProtection="0"/>
    <xf numFmtId="190" fontId="3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9" fontId="80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Fill="0" applyBorder="0" applyProtection="0">
      <alignment horizontal="left"/>
    </xf>
    <xf numFmtId="37" fontId="23" fillId="0" borderId="0"/>
    <xf numFmtId="0" fontId="128" fillId="113" borderId="0" applyNumberFormat="0" applyBorder="0" applyAlignment="0" applyProtection="0"/>
    <xf numFmtId="0" fontId="128" fillId="113" borderId="0" applyNumberFormat="0" applyBorder="0" applyAlignment="0" applyProtection="0"/>
    <xf numFmtId="38" fontId="23" fillId="4" borderId="0" applyNumberFormat="0" applyBorder="0" applyAlignment="0" applyProtection="0"/>
    <xf numFmtId="192" fontId="123" fillId="0" borderId="0" applyFont="0" applyFill="0" applyBorder="0" applyAlignment="0" applyProtection="0">
      <alignment horizontal="right"/>
    </xf>
    <xf numFmtId="0" fontId="129" fillId="0" borderId="0" applyNumberFormat="0" applyFill="0" applyBorder="0" applyAlignment="0" applyProtection="0"/>
    <xf numFmtId="0" fontId="20" fillId="0" borderId="0" applyFill="0" applyBorder="0" applyProtection="0">
      <alignment horizontal="right"/>
    </xf>
    <xf numFmtId="0" fontId="130" fillId="0" borderId="64" applyNumberFormat="0" applyFill="0" applyAlignment="0" applyProtection="0"/>
    <xf numFmtId="0" fontId="130" fillId="0" borderId="64" applyNumberFormat="0" applyFill="0" applyAlignment="0" applyProtection="0"/>
    <xf numFmtId="0" fontId="131" fillId="0" borderId="65" applyNumberFormat="0" applyFill="0" applyAlignment="0" applyProtection="0"/>
    <xf numFmtId="0" fontId="131" fillId="0" borderId="65" applyNumberFormat="0" applyFill="0" applyAlignment="0" applyProtection="0"/>
    <xf numFmtId="0" fontId="42" fillId="0" borderId="66" applyNumberFormat="0" applyFill="0" applyAlignment="0" applyProtection="0"/>
    <xf numFmtId="0" fontId="42" fillId="0" borderId="6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1" fillId="0" borderId="67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3" fontId="134" fillId="0" borderId="0"/>
    <xf numFmtId="10" fontId="23" fillId="72" borderId="57" applyNumberFormat="0" applyBorder="0" applyAlignment="0" applyProtection="0"/>
    <xf numFmtId="0" fontId="135" fillId="116" borderId="62" applyNumberFormat="0" applyAlignment="0" applyProtection="0"/>
    <xf numFmtId="0" fontId="135" fillId="116" borderId="62" applyNumberFormat="0" applyAlignment="0" applyProtection="0"/>
    <xf numFmtId="10" fontId="23" fillId="72" borderId="0">
      <protection locked="0"/>
    </xf>
    <xf numFmtId="0" fontId="136" fillId="0" borderId="68">
      <alignment horizontal="right"/>
    </xf>
    <xf numFmtId="0" fontId="136" fillId="0" borderId="68">
      <alignment horizontal="left"/>
    </xf>
    <xf numFmtId="0" fontId="137" fillId="0" borderId="69" applyNumberFormat="0" applyFill="0" applyAlignment="0" applyProtection="0"/>
    <xf numFmtId="0" fontId="137" fillId="0" borderId="69" applyNumberFormat="0" applyFill="0" applyAlignment="0" applyProtection="0"/>
    <xf numFmtId="180" fontId="23" fillId="0" borderId="0" applyNumberFormat="0" applyFont="0" applyFill="0" applyBorder="0" applyAlignment="0">
      <protection hidden="1"/>
    </xf>
    <xf numFmtId="194" fontId="124" fillId="0" borderId="47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3" fillId="0" borderId="0" applyFont="0" applyFill="0" applyBorder="0" applyAlignment="0" applyProtection="0">
      <alignment horizontal="right"/>
    </xf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9" fillId="0" borderId="0"/>
    <xf numFmtId="0" fontId="29" fillId="0" borderId="0"/>
    <xf numFmtId="0" fontId="29" fillId="0" borderId="0"/>
    <xf numFmtId="0" fontId="3" fillId="0" borderId="0"/>
    <xf numFmtId="169" fontId="3" fillId="0" borderId="0">
      <alignment horizontal="left" wrapText="1"/>
    </xf>
    <xf numFmtId="169" fontId="23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0" fontId="29" fillId="0" borderId="0"/>
    <xf numFmtId="37" fontId="115" fillId="0" borderId="0"/>
    <xf numFmtId="37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9" fillId="11" borderId="18" applyNumberFormat="0" applyFont="0" applyAlignment="0" applyProtection="0"/>
    <xf numFmtId="0" fontId="40" fillId="108" borderId="70" applyNumberFormat="0" applyFont="0" applyAlignment="0" applyProtection="0"/>
    <xf numFmtId="0" fontId="40" fillId="108" borderId="70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1" fontId="14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4" fillId="0" borderId="0" applyFont="0" applyFill="0" applyBorder="0" applyAlignment="0" applyProtection="0"/>
    <xf numFmtId="189" fontId="145" fillId="0" borderId="77" applyBorder="0" applyProtection="0">
      <alignment horizontal="right"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7" fontId="80" fillId="0" borderId="0" applyFont="0" applyFill="0" applyBorder="0" applyProtection="0">
      <alignment horizontal="right"/>
    </xf>
    <xf numFmtId="0" fontId="3" fillId="0" borderId="0">
      <protection locked="0"/>
    </xf>
    <xf numFmtId="0" fontId="24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68">
      <alignment horizontal="center"/>
    </xf>
    <xf numFmtId="0" fontId="81" fillId="0" borderId="68">
      <alignment horizontal="center"/>
    </xf>
    <xf numFmtId="0" fontId="81" fillId="0" borderId="68">
      <alignment horizontal="center"/>
    </xf>
    <xf numFmtId="0" fontId="81" fillId="0" borderId="68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0" fontId="80" fillId="81" borderId="0" applyNumberFormat="0" applyFont="0" applyBorder="0" applyAlignment="0" applyProtection="0"/>
    <xf numFmtId="197" fontId="142" fillId="0" borderId="0"/>
    <xf numFmtId="198" fontId="80" fillId="0" borderId="0" applyFont="0" applyFill="0" applyBorder="0" applyProtection="0">
      <alignment horizontal="right"/>
    </xf>
    <xf numFmtId="199" fontId="80" fillId="0" borderId="0" applyFont="0" applyFill="0" applyBorder="0" applyProtection="0">
      <alignment horizontal="right"/>
    </xf>
    <xf numFmtId="198" fontId="80" fillId="0" borderId="0" applyFont="0" applyFill="0" applyBorder="0" applyProtection="0">
      <alignment horizontal="right"/>
    </xf>
    <xf numFmtId="178" fontId="118" fillId="0" borderId="0" applyFill="0" applyBorder="0" applyProtection="0">
      <alignment horizontal="right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78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1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121" borderId="71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80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0" fillId="0" borderId="0" applyNumberFormat="0" applyBorder="0" applyAlignment="0"/>
    <xf numFmtId="0" fontId="143" fillId="0" borderId="0" applyNumberFormat="0" applyBorder="0" applyAlignment="0"/>
    <xf numFmtId="0" fontId="144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45" fillId="0" borderId="0" applyBorder="0" applyProtection="0">
      <alignment vertical="center"/>
    </xf>
    <xf numFmtId="189" fontId="145" fillId="0" borderId="56" applyBorder="0" applyProtection="0">
      <alignment horizontal="right" vertical="center"/>
    </xf>
    <xf numFmtId="0" fontId="146" fillId="124" borderId="0" applyBorder="0" applyProtection="0">
      <alignment horizontal="centerContinuous" vertical="center"/>
    </xf>
    <xf numFmtId="0" fontId="146" fillId="125" borderId="56" applyBorder="0" applyProtection="0">
      <alignment horizontal="centerContinuous" vertical="center"/>
    </xf>
    <xf numFmtId="0" fontId="136" fillId="0" borderId="0">
      <alignment horizontal="left"/>
      <protection locked="0"/>
    </xf>
    <xf numFmtId="0" fontId="147" fillId="0" borderId="0" applyFill="0" applyBorder="0" applyProtection="0">
      <alignment horizontal="left"/>
    </xf>
    <xf numFmtId="0" fontId="127" fillId="0" borderId="49" applyFill="0" applyBorder="0" applyProtection="0">
      <alignment horizontal="left" vertical="top"/>
    </xf>
    <xf numFmtId="42" fontId="23" fillId="126" borderId="0" applyNumberFormat="0" applyFont="0" applyBorder="0" applyAlignment="0" applyProtection="0"/>
    <xf numFmtId="0" fontId="23" fillId="0" borderId="0"/>
    <xf numFmtId="0" fontId="148" fillId="0" borderId="0" applyFill="0" applyBorder="0" applyProtection="0">
      <alignment horizontal="left" vertical="top"/>
    </xf>
    <xf numFmtId="0" fontId="149" fillId="0" borderId="0" applyFill="0" applyBorder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3" fontId="124" fillId="0" borderId="43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201" fontId="80" fillId="0" borderId="0">
      <alignment horizontal="left"/>
      <protection locked="0"/>
    </xf>
    <xf numFmtId="180" fontId="150" fillId="0" borderId="0"/>
    <xf numFmtId="38" fontId="23" fillId="54" borderId="0" applyNumberFormat="0" applyBorder="0" applyAlignment="0" applyProtection="0"/>
    <xf numFmtId="37" fontId="23" fillId="4" borderId="0" applyNumberFormat="0" applyBorder="0" applyAlignment="0" applyProtection="0"/>
    <xf numFmtId="37" fontId="23" fillId="0" borderId="0"/>
    <xf numFmtId="37" fontId="23" fillId="54" borderId="0" applyNumberFormat="0" applyBorder="0" applyAlignment="0" applyProtection="0"/>
    <xf numFmtId="3" fontId="151" fillId="0" borderId="67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6" fillId="0" borderId="68">
      <alignment horizontal="right"/>
    </xf>
    <xf numFmtId="37" fontId="23" fillId="0" borderId="0"/>
    <xf numFmtId="202" fontId="23" fillId="0" borderId="0"/>
    <xf numFmtId="37" fontId="23" fillId="0" borderId="0"/>
    <xf numFmtId="4" fontId="88" fillId="101" borderId="79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5" fillId="0" borderId="0"/>
    <xf numFmtId="0" fontId="152" fillId="0" borderId="0"/>
    <xf numFmtId="0" fontId="17" fillId="0" borderId="0"/>
    <xf numFmtId="37" fontId="115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17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8" fillId="101" borderId="79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8" fontId="3" fillId="0" borderId="73" applyFont="0" applyFill="0" applyBorder="0" applyProtection="0">
      <alignment horizontal="right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6" fontId="3" fillId="0" borderId="0">
      <protection locked="0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136" fillId="0" borderId="40">
      <alignment horizontal="right"/>
    </xf>
    <xf numFmtId="0" fontId="136" fillId="0" borderId="40">
      <alignment horizontal="left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81" fillId="0" borderId="40">
      <alignment horizontal="center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10" fontId="23" fillId="72" borderId="82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1" fillId="104" borderId="84" applyNumberFormat="0" applyAlignment="0" applyProtection="0"/>
    <xf numFmtId="0" fontId="121" fillId="104" borderId="84" applyNumberFormat="0" applyAlignment="0" applyProtection="0"/>
    <xf numFmtId="0" fontId="120" fillId="0" borderId="83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6" fillId="69" borderId="79" applyNumberFormat="0" applyProtection="0">
      <alignment horizontal="right" vertical="center"/>
    </xf>
    <xf numFmtId="0" fontId="23" fillId="73" borderId="82"/>
    <xf numFmtId="4" fontId="45" fillId="68" borderId="81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33" fillId="54" borderId="79" applyNumberFormat="0" applyProtection="0">
      <alignment vertical="center"/>
    </xf>
    <xf numFmtId="0" fontId="3" fillId="0" borderId="0"/>
    <xf numFmtId="189" fontId="145" fillId="0" borderId="42" applyBorder="0" applyProtection="0">
      <alignment horizontal="right" vertical="center"/>
    </xf>
    <xf numFmtId="0" fontId="146" fillId="125" borderId="42" applyBorder="0" applyProtection="0">
      <alignment horizontal="centerContinuous"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136" fillId="0" borderId="40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78" fillId="79" borderId="75" applyNumberFormat="0" applyAlignment="0" applyProtection="0"/>
    <xf numFmtId="0" fontId="78" fillId="79" borderId="75" applyNumberFormat="0" applyAlignment="0" applyProtection="0"/>
    <xf numFmtId="4" fontId="33" fillId="54" borderId="79" applyNumberFormat="0" applyProtection="0">
      <alignment vertical="center"/>
    </xf>
    <xf numFmtId="4" fontId="40" fillId="54" borderId="75" applyNumberFormat="0" applyProtection="0">
      <alignment vertical="center"/>
    </xf>
    <xf numFmtId="4" fontId="40" fillId="54" borderId="75" applyNumberFormat="0" applyProtection="0">
      <alignment vertical="center"/>
    </xf>
    <xf numFmtId="4" fontId="82" fillId="54" borderId="75" applyNumberFormat="0" applyProtection="0">
      <alignment vertical="center"/>
    </xf>
    <xf numFmtId="4" fontId="34" fillId="54" borderId="79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84" fillId="82" borderId="79" applyNumberFormat="0" applyProtection="0">
      <alignment horizontal="left" vertical="top" indent="1"/>
    </xf>
    <xf numFmtId="4" fontId="40" fillId="5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57" borderId="75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36" fillId="99" borderId="75" applyNumberFormat="0" applyProtection="0">
      <alignment horizontal="left" vertical="center" indent="1"/>
    </xf>
    <xf numFmtId="4" fontId="36" fillId="98" borderId="58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23" fillId="70" borderId="59" applyNumberFormat="0">
      <protection locked="0"/>
    </xf>
    <xf numFmtId="4" fontId="40" fillId="72" borderId="75" applyNumberFormat="0" applyProtection="0">
      <alignment vertical="center"/>
    </xf>
    <xf numFmtId="4" fontId="40" fillId="72" borderId="75" applyNumberFormat="0" applyProtection="0">
      <alignment vertical="center"/>
    </xf>
    <xf numFmtId="4" fontId="85" fillId="108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5" applyNumberFormat="0" applyProtection="0">
      <alignment vertical="center"/>
    </xf>
    <xf numFmtId="4" fontId="35" fillId="69" borderId="79" applyNumberFormat="0" applyProtection="0">
      <alignment vertical="center"/>
    </xf>
    <xf numFmtId="4" fontId="82" fillId="72" borderId="75" applyNumberFormat="0" applyProtection="0">
      <alignment vertical="center"/>
    </xf>
    <xf numFmtId="4" fontId="83" fillId="72" borderId="82" applyNumberFormat="0" applyProtection="0">
      <alignment vertical="center"/>
    </xf>
    <xf numFmtId="4" fontId="41" fillId="69" borderId="79" applyNumberFormat="0" applyProtection="0">
      <alignment vertical="center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85" fillId="104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0" fontId="85" fillId="108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35" fillId="69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82" fillId="100" borderId="75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33" fillId="66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85" fillId="102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5" fillId="68" borderId="81" applyNumberFormat="0" applyProtection="0">
      <alignment horizontal="left" vertical="center" indent="1"/>
    </xf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4" fontId="88" fillId="100" borderId="75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5" applyNumberFormat="0" applyProtection="0">
      <alignment horizontal="left" vertical="center" indent="1"/>
    </xf>
    <xf numFmtId="4" fontId="40" fillId="56" borderId="7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83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22" fillId="0" borderId="0"/>
    <xf numFmtId="43" fontId="22" fillId="0" borderId="0" applyFont="0" applyFill="0" applyBorder="0" applyAlignment="0" applyProtection="0"/>
    <xf numFmtId="4" fontId="36" fillId="82" borderId="79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0" fillId="88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0" borderId="79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40" fillId="108" borderId="85" applyNumberFormat="0" applyFont="0" applyAlignment="0" applyProtection="0"/>
    <xf numFmtId="4" fontId="40" fillId="90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6" borderId="28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40" fillId="54" borderId="75" applyNumberFormat="0" applyProtection="0">
      <alignment vertical="center"/>
    </xf>
    <xf numFmtId="4" fontId="82" fillId="54" borderId="75" applyNumberFormat="0" applyProtection="0">
      <alignment vertical="center"/>
    </xf>
    <xf numFmtId="4" fontId="40" fillId="88" borderId="79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40" fillId="54" borderId="75" applyNumberFormat="0" applyProtection="0">
      <alignment vertical="center"/>
    </xf>
    <xf numFmtId="0" fontId="23" fillId="105" borderId="28" applyNumberFormat="0" applyProtection="0">
      <alignment horizontal="left" vertical="center" indent="1"/>
    </xf>
    <xf numFmtId="0" fontId="122" fillId="120" borderId="55" applyNumberFormat="0" applyAlignment="0" applyProtection="0"/>
    <xf numFmtId="0" fontId="85" fillId="102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4" fontId="40" fillId="64" borderId="75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0" fontId="23" fillId="107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4" fontId="87" fillId="109" borderId="3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85" fillId="102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82" fillId="10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85" fillId="108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5" fillId="104" borderId="79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83" fillId="72" borderId="82" applyNumberFormat="0" applyProtection="0">
      <alignment vertical="center"/>
    </xf>
    <xf numFmtId="4" fontId="82" fillId="72" borderId="75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5" applyNumberFormat="0" applyProtection="0">
      <alignment vertical="center"/>
    </xf>
    <xf numFmtId="4" fontId="40" fillId="72" borderId="79" applyNumberFormat="0" applyProtection="0">
      <alignment vertical="center"/>
    </xf>
    <xf numFmtId="4" fontId="85" fillId="108" borderId="79" applyNumberFormat="0" applyProtection="0">
      <alignment vertical="center"/>
    </xf>
    <xf numFmtId="4" fontId="40" fillId="72" borderId="75" applyNumberFormat="0" applyProtection="0">
      <alignment vertical="center"/>
    </xf>
    <xf numFmtId="4" fontId="40" fillId="72" borderId="75" applyNumberFormat="0" applyProtection="0">
      <alignment vertical="center"/>
    </xf>
    <xf numFmtId="4" fontId="35" fillId="62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0" fontId="14" fillId="71" borderId="80" applyBorder="0"/>
    <xf numFmtId="4" fontId="35" fillId="69" borderId="79" applyNumberFormat="0" applyProtection="0">
      <alignment vertical="center"/>
    </xf>
    <xf numFmtId="4" fontId="40" fillId="100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73" borderId="82"/>
    <xf numFmtId="4" fontId="40" fillId="96" borderId="79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36" fillId="99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5" fillId="62" borderId="79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84" fillId="82" borderId="79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83" fillId="54" borderId="28" applyNumberFormat="0" applyProtection="0">
      <alignment vertical="center"/>
    </xf>
    <xf numFmtId="4" fontId="82" fillId="54" borderId="75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5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3" fillId="54" borderId="79" applyNumberFormat="0" applyProtection="0">
      <alignment vertical="center"/>
    </xf>
    <xf numFmtId="4" fontId="40" fillId="0" borderId="79" applyNumberFormat="0" applyProtection="0">
      <alignment horizontal="left" vertical="center" indent="1"/>
    </xf>
    <xf numFmtId="0" fontId="81" fillId="0" borderId="9">
      <alignment horizontal="center"/>
    </xf>
    <xf numFmtId="0" fontId="3" fillId="4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0" fontId="78" fillId="79" borderId="75" applyNumberFormat="0" applyAlignment="0" applyProtection="0"/>
    <xf numFmtId="0" fontId="78" fillId="79" borderId="75" applyNumberForma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73" borderId="82"/>
    <xf numFmtId="4" fontId="35" fillId="64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34" fillId="54" borderId="79" applyNumberFormat="0" applyProtection="0">
      <alignment vertical="center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33" fillId="54" borderId="79" applyNumberFormat="0" applyProtection="0">
      <alignment vertical="center"/>
    </xf>
    <xf numFmtId="4" fontId="40" fillId="10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0" fontId="3" fillId="106" borderId="75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78" fillId="79" borderId="75" applyNumberFormat="0" applyAlignment="0" applyProtection="0"/>
    <xf numFmtId="4" fontId="36" fillId="82" borderId="79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3" fillId="54" borderId="28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70" fillId="49" borderId="28" applyNumberFormat="0" applyAlignment="0" applyProtection="0"/>
    <xf numFmtId="0" fontId="70" fillId="49" borderId="28" applyNumberFormat="0" applyAlignment="0" applyProtection="0"/>
    <xf numFmtId="4" fontId="23" fillId="85" borderId="28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40" fillId="101" borderId="79" applyNumberFormat="0" applyProtection="0">
      <alignment horizontal="right" vertical="center"/>
    </xf>
    <xf numFmtId="0" fontId="57" fillId="79" borderId="28" applyNumberFormat="0" applyAlignment="0" applyProtection="0"/>
    <xf numFmtId="0" fontId="57" fillId="79" borderId="28" applyNumberFormat="0" applyAlignment="0" applyProtection="0"/>
    <xf numFmtId="0" fontId="3" fillId="68" borderId="79" applyNumberFormat="0" applyProtection="0">
      <alignment horizontal="left" vertical="top" indent="1"/>
    </xf>
    <xf numFmtId="4" fontId="35" fillId="59" borderId="79" applyNumberFormat="0" applyProtection="0">
      <alignment horizontal="right" vertical="center"/>
    </xf>
    <xf numFmtId="0" fontId="23" fillId="48" borderId="28" applyNumberFormat="0" applyFont="0" applyAlignment="0" applyProtection="0"/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33" fillId="54" borderId="79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57" fillId="79" borderId="28" applyNumberFormat="0" applyAlignment="0" applyProtection="0"/>
    <xf numFmtId="4" fontId="36" fillId="82" borderId="79" applyNumberFormat="0" applyProtection="0">
      <alignment vertical="center"/>
    </xf>
    <xf numFmtId="4" fontId="88" fillId="100" borderId="75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61" borderId="7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4" fontId="40" fillId="0" borderId="75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0" fontId="3" fillId="4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23" fillId="48" borderId="28" applyNumberFormat="0" applyFont="0" applyAlignment="0" applyProtection="0"/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9" fontId="92" fillId="110" borderId="37"/>
    <xf numFmtId="4" fontId="89" fillId="70" borderId="28" applyNumberFormat="0" applyProtection="0">
      <alignment horizontal="right" vertical="center"/>
    </xf>
    <xf numFmtId="0" fontId="23" fillId="73" borderId="82"/>
    <xf numFmtId="0" fontId="23" fillId="73" borderId="82"/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23" fillId="102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127" fillId="0" borderId="49" applyFill="0" applyBorder="0" applyProtection="0">
      <alignment horizontal="left" vertical="top"/>
    </xf>
    <xf numFmtId="0" fontId="3" fillId="4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14" fillId="71" borderId="80" applyBorder="0"/>
    <xf numFmtId="0" fontId="3" fillId="0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2" fillId="0" borderId="38" applyNumberFormat="0" applyFill="0" applyAlignment="0" applyProtection="0"/>
    <xf numFmtId="4" fontId="88" fillId="101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23" fillId="73" borderId="82"/>
    <xf numFmtId="0" fontId="23" fillId="70" borderId="59" applyNumberFormat="0">
      <protection locked="0"/>
    </xf>
    <xf numFmtId="4" fontId="23" fillId="0" borderId="28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85" fillId="108" borderId="79" applyNumberFormat="0" applyProtection="0">
      <alignment vertical="center"/>
    </xf>
    <xf numFmtId="4" fontId="88" fillId="101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0" fontId="32" fillId="0" borderId="38" applyNumberFormat="0" applyFill="0" applyAlignment="0" applyProtection="0"/>
    <xf numFmtId="4" fontId="23" fillId="89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" fillId="55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0" borderId="79" applyNumberFormat="0" applyProtection="0">
      <alignment horizontal="right" vertical="center"/>
    </xf>
    <xf numFmtId="4" fontId="35" fillId="69" borderId="79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6" fillId="69" borderId="79" applyNumberFormat="0" applyProtection="0">
      <alignment horizontal="right" vertical="center"/>
    </xf>
    <xf numFmtId="0" fontId="23" fillId="73" borderId="82"/>
    <xf numFmtId="4" fontId="45" fillId="68" borderId="81" applyNumberFormat="0" applyProtection="0">
      <alignment horizontal="left" vertical="center" indent="1"/>
    </xf>
    <xf numFmtId="4" fontId="35" fillId="58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3" fillId="66" borderId="79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4" fontId="35" fillId="69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4" fontId="35" fillId="62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0" fontId="23" fillId="102" borderId="79" applyNumberFormat="0" applyProtection="0">
      <alignment horizontal="left" vertical="top" indent="1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0" fontId="70" fillId="49" borderId="28" applyNumberFormat="0" applyAlignment="0" applyProtection="0"/>
    <xf numFmtId="4" fontId="35" fillId="58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4" fontId="33" fillId="54" borderId="79" applyNumberFormat="0" applyProtection="0">
      <alignment vertical="center"/>
    </xf>
    <xf numFmtId="4" fontId="40" fillId="97" borderId="75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88" borderId="79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4" fontId="40" fillId="92" borderId="79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0" fontId="23" fillId="73" borderId="82"/>
    <xf numFmtId="0" fontId="23" fillId="101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6" fillId="69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5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0" fontId="57" fillId="79" borderId="28" applyNumberFormat="0" applyAlignment="0" applyProtection="0"/>
    <xf numFmtId="4" fontId="40" fillId="100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8" borderId="35" applyNumberFormat="0" applyProtection="0">
      <alignment horizontal="right" vertical="center"/>
    </xf>
    <xf numFmtId="4" fontId="40" fillId="54" borderId="75" applyNumberFormat="0" applyProtection="0">
      <alignment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2" fillId="0" borderId="0"/>
    <xf numFmtId="0" fontId="3" fillId="0" borderId="0"/>
    <xf numFmtId="0" fontId="127" fillId="0" borderId="87" applyFill="0" applyBorder="0" applyProtection="0">
      <alignment horizontal="left" vertical="top"/>
    </xf>
    <xf numFmtId="0" fontId="53" fillId="32" borderId="0" applyNumberFormat="0" applyBorder="0" applyAlignment="0" applyProtection="0"/>
    <xf numFmtId="0" fontId="3" fillId="84" borderId="75" applyNumberFormat="0" applyProtection="0">
      <alignment horizontal="left" vertical="center" indent="1"/>
    </xf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0"/>
    <xf numFmtId="0" fontId="2" fillId="0" borderId="0"/>
    <xf numFmtId="0" fontId="23" fillId="80" borderId="0"/>
    <xf numFmtId="0" fontId="23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71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23" fillId="70" borderId="59" applyNumberFormat="0">
      <protection locked="0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23" fillId="73" borderId="82"/>
    <xf numFmtId="43" fontId="3" fillId="0" borderId="0" applyFont="0" applyFill="0" applyBorder="0" applyAlignment="0" applyProtection="0"/>
    <xf numFmtId="0" fontId="3" fillId="0" borderId="0"/>
    <xf numFmtId="0" fontId="3" fillId="106" borderId="75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77" borderId="55" applyNumberFormat="0" applyAlignment="0" applyProtection="0"/>
    <xf numFmtId="0" fontId="59" fillId="77" borderId="55" applyNumberFormat="0" applyAlignment="0" applyProtection="0"/>
    <xf numFmtId="44" fontId="2" fillId="0" borderId="0" applyFont="0" applyFill="0" applyBorder="0" applyAlignment="0" applyProtection="0"/>
    <xf numFmtId="4" fontId="88" fillId="101" borderId="79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101" borderId="79" applyNumberFormat="0" applyProtection="0">
      <alignment horizontal="right" vertical="center"/>
    </xf>
    <xf numFmtId="4" fontId="35" fillId="54" borderId="7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2" fillId="72" borderId="79" applyNumberFormat="0" applyProtection="0">
      <alignment vertical="center"/>
    </xf>
    <xf numFmtId="0" fontId="23" fillId="73" borderId="82"/>
    <xf numFmtId="0" fontId="3" fillId="0" borderId="0"/>
    <xf numFmtId="0" fontId="23" fillId="107" borderId="28" applyNumberFormat="0" applyProtection="0">
      <alignment horizontal="left" vertical="center" indent="1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40" fillId="104" borderId="75" applyNumberFormat="0" applyAlignment="0" applyProtection="0"/>
    <xf numFmtId="0" fontId="140" fillId="104" borderId="75" applyNumberFormat="0" applyAlignment="0" applyProtection="0"/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146" fillId="125" borderId="56" applyBorder="0" applyProtection="0">
      <alignment horizontal="centerContinuous" vertical="center"/>
    </xf>
    <xf numFmtId="0" fontId="3" fillId="55" borderId="79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0" borderId="0"/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53" fillId="28" borderId="0" applyNumberFormat="0" applyBorder="0" applyAlignment="0" applyProtection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0" borderId="0"/>
    <xf numFmtId="0" fontId="136" fillId="0" borderId="68">
      <alignment horizontal="right"/>
    </xf>
    <xf numFmtId="0" fontId="136" fillId="0" borderId="68">
      <alignment horizontal="left"/>
    </xf>
    <xf numFmtId="0" fontId="81" fillId="0" borderId="68">
      <alignment horizontal="center"/>
    </xf>
    <xf numFmtId="9" fontId="3" fillId="0" borderId="0" applyFont="0" applyFill="0" applyBorder="0" applyAlignment="0" applyProtection="0"/>
    <xf numFmtId="0" fontId="3" fillId="4" borderId="75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3" fillId="72" borderId="82" applyNumberFormat="0" applyProtection="0">
      <alignment vertical="center"/>
    </xf>
    <xf numFmtId="4" fontId="33" fillId="65" borderId="58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5" fillId="0" borderId="77" applyBorder="0" applyProtection="0">
      <alignment horizontal="right" vertical="center"/>
    </xf>
    <xf numFmtId="0" fontId="146" fillId="125" borderId="77" applyBorder="0" applyProtection="0">
      <alignment horizontal="centerContinuous" vertical="center"/>
    </xf>
    <xf numFmtId="0" fontId="136" fillId="0" borderId="68">
      <alignment horizontal="right"/>
    </xf>
    <xf numFmtId="0" fontId="3" fillId="0" borderId="0"/>
    <xf numFmtId="4" fontId="45" fillId="68" borderId="81" applyNumberFormat="0" applyProtection="0">
      <alignment horizontal="left" vertical="center" indent="1"/>
    </xf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0" fontId="23" fillId="73" borderId="82"/>
    <xf numFmtId="4" fontId="88" fillId="100" borderId="75" applyNumberFormat="0" applyProtection="0">
      <alignment horizontal="right" vertical="center"/>
    </xf>
    <xf numFmtId="4" fontId="89" fillId="70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0" fontId="70" fillId="49" borderId="28" applyNumberFormat="0" applyAlignment="0" applyProtection="0"/>
    <xf numFmtId="4" fontId="23" fillId="83" borderId="28" applyNumberFormat="0" applyProtection="0">
      <alignment horizontal="left" vertical="center" indent="1"/>
    </xf>
    <xf numFmtId="49" fontId="92" fillId="110" borderId="37"/>
    <xf numFmtId="0" fontId="3" fillId="69" borderId="79" applyNumberFormat="0" applyProtection="0">
      <alignment horizontal="left" vertical="center" indent="1"/>
    </xf>
    <xf numFmtId="0" fontId="90" fillId="67" borderId="37">
      <protection locked="0"/>
    </xf>
    <xf numFmtId="0" fontId="23" fillId="102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4" fontId="35" fillId="69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33" fillId="65" borderId="5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4" fontId="40" fillId="103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87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0" fontId="23" fillId="104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35" fillId="63" borderId="79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0" fontId="3" fillId="4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0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4" fontId="82" fillId="54" borderId="75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0" fontId="70" fillId="49" borderId="28" applyNumberFormat="0" applyAlignment="0" applyProtection="0"/>
    <xf numFmtId="4" fontId="23" fillId="86" borderId="28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0" fontId="90" fillId="67" borderId="37">
      <protection locked="0"/>
    </xf>
    <xf numFmtId="0" fontId="57" fillId="79" borderId="28" applyNumberFormat="0" applyAlignment="0" applyProtection="0"/>
    <xf numFmtId="0" fontId="23" fillId="48" borderId="28" applyNumberFormat="0" applyFont="0" applyAlignment="0" applyProtection="0"/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23" fillId="73" borderId="82"/>
    <xf numFmtId="0" fontId="23" fillId="73" borderId="82"/>
    <xf numFmtId="4" fontId="45" fillId="68" borderId="81" applyNumberFormat="0" applyProtection="0">
      <alignment horizontal="left" vertical="center" indent="1"/>
    </xf>
    <xf numFmtId="4" fontId="83" fillId="67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0" fontId="85" fillId="10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72" borderId="75" applyNumberFormat="0" applyProtection="0">
      <alignment vertical="center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40" fillId="100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5" borderId="28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0" fontId="23" fillId="102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85" fillId="108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1" borderId="79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4" fontId="23" fillId="86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71" borderId="79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40" fillId="10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94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0" fontId="23" fillId="73" borderId="82"/>
    <xf numFmtId="4" fontId="23" fillId="92" borderId="28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9" fontId="92" fillId="110" borderId="37"/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146" fillId="125" borderId="77" applyBorder="0" applyProtection="0">
      <alignment horizontal="centerContinuous" vertical="center"/>
    </xf>
    <xf numFmtId="0" fontId="23" fillId="101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5" fillId="57" borderId="79" applyNumberFormat="0" applyProtection="0">
      <alignment horizontal="right" vertical="center"/>
    </xf>
    <xf numFmtId="4" fontId="33" fillId="54" borderId="79" applyNumberFormat="0" applyProtection="0">
      <alignment vertical="center"/>
    </xf>
    <xf numFmtId="0" fontId="3" fillId="106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2" fillId="54" borderId="75" applyNumberFormat="0" applyProtection="0">
      <alignment vertical="center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122" fillId="120" borderId="55" applyNumberFormat="0" applyAlignment="0" applyProtection="0"/>
    <xf numFmtId="4" fontId="40" fillId="72" borderId="79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68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23" fillId="48" borderId="28" applyNumberFormat="0" applyFont="0" applyAlignment="0" applyProtection="0"/>
    <xf numFmtId="4" fontId="85" fillId="108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3" fontId="2" fillId="0" borderId="0" applyFont="0" applyFill="0" applyBorder="0" applyAlignment="0" applyProtection="0"/>
    <xf numFmtId="0" fontId="90" fillId="67" borderId="37">
      <protection locked="0"/>
    </xf>
    <xf numFmtId="0" fontId="23" fillId="73" borderId="82"/>
    <xf numFmtId="0" fontId="3" fillId="84" borderId="75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85" fillId="102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82" fillId="10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83" fillId="72" borderId="82" applyNumberFormat="0" applyProtection="0">
      <alignment vertical="center"/>
    </xf>
    <xf numFmtId="4" fontId="82" fillId="72" borderId="75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5" applyNumberFormat="0" applyProtection="0">
      <alignment vertical="center"/>
    </xf>
    <xf numFmtId="4" fontId="40" fillId="72" borderId="79" applyNumberFormat="0" applyProtection="0">
      <alignment vertical="center"/>
    </xf>
    <xf numFmtId="4" fontId="85" fillId="108" borderId="79" applyNumberFormat="0" applyProtection="0">
      <alignment vertical="center"/>
    </xf>
    <xf numFmtId="4" fontId="40" fillId="72" borderId="75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84" fillId="82" borderId="79" applyNumberFormat="0" applyProtection="0">
      <alignment horizontal="left" vertical="top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3" fillId="84" borderId="75" applyNumberFormat="0" applyProtection="0">
      <alignment horizontal="left" vertical="center" indent="1"/>
    </xf>
    <xf numFmtId="0" fontId="32" fillId="0" borderId="38" applyNumberFormat="0" applyFill="0" applyAlignment="0" applyProtection="0"/>
    <xf numFmtId="4" fontId="35" fillId="57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90" borderId="28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57" borderId="75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70" fillId="49" borderId="28" applyNumberFormat="0" applyAlignment="0" applyProtection="0"/>
    <xf numFmtId="0" fontId="70" fillId="49" borderId="28" applyNumberFormat="0" applyAlignment="0" applyProtection="0"/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35" fillId="56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59" fillId="77" borderId="55" applyNumberFormat="0" applyAlignment="0" applyProtection="0"/>
    <xf numFmtId="0" fontId="59" fillId="77" borderId="55" applyNumberFormat="0" applyAlignment="0" applyProtection="0"/>
    <xf numFmtId="4" fontId="34" fillId="54" borderId="79" applyNumberFormat="0" applyProtection="0">
      <alignment vertical="center"/>
    </xf>
    <xf numFmtId="0" fontId="57" fillId="79" borderId="28" applyNumberFormat="0" applyAlignment="0" applyProtection="0"/>
    <xf numFmtId="0" fontId="57" fillId="79" borderId="28" applyNumberFormat="0" applyAlignment="0" applyProtection="0"/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40" fillId="85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0" fillId="57" borderId="75" applyNumberFormat="0" applyProtection="0">
      <alignment horizontal="right" vertical="center"/>
    </xf>
    <xf numFmtId="0" fontId="23" fillId="48" borderId="28" applyNumberFormat="0" applyFont="0" applyAlignment="0" applyProtection="0"/>
    <xf numFmtId="4" fontId="33" fillId="54" borderId="79" applyNumberFormat="0" applyProtection="0">
      <alignment vertical="center"/>
    </xf>
    <xf numFmtId="4" fontId="23" fillId="82" borderId="28" applyNumberFormat="0" applyProtection="0">
      <alignment vertical="center"/>
    </xf>
    <xf numFmtId="4" fontId="83" fillId="54" borderId="28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135" fillId="116" borderId="84" applyNumberFormat="0" applyAlignment="0" applyProtection="0"/>
    <xf numFmtId="0" fontId="135" fillId="116" borderId="84" applyNumberFormat="0" applyAlignment="0" applyProtection="0"/>
    <xf numFmtId="4" fontId="23" fillId="83" borderId="28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40" fillId="88" borderId="79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23" fillId="70" borderId="59" applyNumberFormat="0">
      <protection locked="0"/>
    </xf>
    <xf numFmtId="0" fontId="3" fillId="55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35" fillId="69" borderId="79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4" fontId="40" fillId="102" borderId="79" applyNumberFormat="0" applyProtection="0">
      <alignment horizontal="left" vertical="center" indent="1"/>
    </xf>
    <xf numFmtId="0" fontId="23" fillId="73" borderId="82"/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40" fillId="72" borderId="75" applyNumberFormat="0" applyProtection="0">
      <alignment vertical="center"/>
    </xf>
    <xf numFmtId="4" fontId="82" fillId="72" borderId="75" applyNumberFormat="0" applyProtection="0">
      <alignment vertical="center"/>
    </xf>
    <xf numFmtId="4" fontId="40" fillId="72" borderId="75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23" fillId="73" borderId="82"/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6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8" fontId="3" fillId="0" borderId="73" applyFont="0" applyFill="0" applyBorder="0" applyProtection="0">
      <alignment horizontal="right"/>
    </xf>
    <xf numFmtId="0" fontId="3" fillId="84" borderId="7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6" fillId="82" borderId="79" applyNumberFormat="0" applyProtection="0">
      <alignment vertical="center"/>
    </xf>
    <xf numFmtId="4" fontId="23" fillId="9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6" fillId="69" borderId="79" applyNumberFormat="0" applyProtection="0">
      <alignment horizontal="right" vertical="center"/>
    </xf>
    <xf numFmtId="4" fontId="45" fillId="68" borderId="81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33" fillId="66" borderId="79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33" fillId="54" borderId="79" applyNumberFormat="0" applyProtection="0">
      <alignment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3" borderId="82"/>
    <xf numFmtId="0" fontId="3" fillId="4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4" fontId="40" fillId="63" borderId="75" applyNumberFormat="0" applyProtection="0">
      <alignment horizontal="right" vertical="center"/>
    </xf>
    <xf numFmtId="0" fontId="23" fillId="102" borderId="79" applyNumberFormat="0" applyProtection="0">
      <alignment horizontal="left" vertical="top" indent="1"/>
    </xf>
    <xf numFmtId="4" fontId="35" fillId="69" borderId="79" applyNumberFormat="0" applyProtection="0">
      <alignment vertical="center"/>
    </xf>
    <xf numFmtId="0" fontId="23" fillId="102" borderId="79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121" fillId="104" borderId="84" applyNumberFormat="0" applyAlignment="0" applyProtection="0"/>
    <xf numFmtId="4" fontId="40" fillId="101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81" fillId="0" borderId="9">
      <alignment horizontal="center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23" fillId="102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54" borderId="75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23" fillId="73" borderId="82"/>
    <xf numFmtId="0" fontId="23" fillId="105" borderId="28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0" fontId="36" fillId="54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4" fontId="3" fillId="71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35" fillId="62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89" fillId="70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8" fillId="100" borderId="75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6" fillId="99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4" fontId="46" fillId="69" borderId="79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23" fillId="73" borderId="82"/>
    <xf numFmtId="4" fontId="40" fillId="97" borderId="75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73" borderId="82"/>
    <xf numFmtId="4" fontId="40" fillId="96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3" borderId="82"/>
    <xf numFmtId="4" fontId="40" fillId="97" borderId="75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0" fontId="23" fillId="73" borderId="82"/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23" fillId="73" borderId="82"/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4" fontId="45" fillId="68" borderId="81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3" borderId="82"/>
    <xf numFmtId="0" fontId="3" fillId="69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32" fillId="0" borderId="38" applyNumberFormat="0" applyFill="0" applyAlignment="0" applyProtection="0"/>
    <xf numFmtId="4" fontId="40" fillId="10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0" fontId="3" fillId="55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55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9" fontId="92" fillId="110" borderId="37"/>
    <xf numFmtId="0" fontId="3" fillId="55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0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6" fillId="54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59" fillId="77" borderId="55" applyNumberFormat="0" applyAlignment="0" applyProtection="0"/>
    <xf numFmtId="0" fontId="59" fillId="77" borderId="55" applyNumberFormat="0" applyAlignment="0" applyProtection="0"/>
    <xf numFmtId="0" fontId="36" fillId="54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36" fillId="98" borderId="58" applyNumberFormat="0" applyProtection="0">
      <alignment horizontal="left" vertical="center" indent="1"/>
    </xf>
    <xf numFmtId="0" fontId="146" fillId="125" borderId="77" applyBorder="0" applyProtection="0">
      <alignment horizontal="centerContinuous" vertical="center"/>
    </xf>
    <xf numFmtId="0" fontId="23" fillId="102" borderId="79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36" fillId="99" borderId="7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94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113" fillId="54" borderId="79" applyNumberFormat="0" applyProtection="0">
      <alignment vertical="center"/>
    </xf>
    <xf numFmtId="4" fontId="35" fillId="64" borderId="79" applyNumberFormat="0" applyProtection="0">
      <alignment horizontal="right" vertical="center"/>
    </xf>
    <xf numFmtId="4" fontId="34" fillId="54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3" borderId="82"/>
    <xf numFmtId="0" fontId="23" fillId="107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4" borderId="79" applyNumberFormat="0" applyProtection="0">
      <alignment horizontal="right" vertical="center"/>
    </xf>
    <xf numFmtId="0" fontId="23" fillId="102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40" fillId="0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23" fillId="104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88" borderId="79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135" fillId="116" borderId="84" applyNumberFormat="0" applyAlignment="0" applyProtection="0"/>
    <xf numFmtId="10" fontId="23" fillId="72" borderId="82" applyNumberFormat="0" applyBorder="0" applyAlignment="0" applyProtection="0"/>
    <xf numFmtId="4" fontId="40" fillId="93" borderId="75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4" fillId="54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0" fontId="120" fillId="0" borderId="83" applyFill="0" applyProtection="0">
      <alignment horizontal="right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0" fontId="3" fillId="0" borderId="75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0" fontId="40" fillId="68" borderId="79" applyNumberFormat="0" applyProtection="0">
      <alignment horizontal="left" vertical="top" indent="1"/>
    </xf>
    <xf numFmtId="49" fontId="92" fillId="110" borderId="37"/>
    <xf numFmtId="4" fontId="23" fillId="83" borderId="28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0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0" fontId="85" fillId="108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5" fillId="104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23" fillId="73" borderId="82"/>
    <xf numFmtId="0" fontId="23" fillId="70" borderId="59" applyNumberFormat="0">
      <protection locked="0"/>
    </xf>
    <xf numFmtId="4" fontId="23" fillId="102" borderId="3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100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10" fontId="23" fillId="72" borderId="82" applyNumberFormat="0" applyBorder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5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3" fillId="54" borderId="79" applyNumberFormat="0" applyProtection="0">
      <alignment vertical="center"/>
    </xf>
    <xf numFmtId="0" fontId="70" fillId="49" borderId="28" applyNumberFormat="0" applyAlignment="0" applyProtection="0"/>
    <xf numFmtId="4" fontId="36" fillId="54" borderId="79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4" fontId="40" fillId="72" borderId="75" applyNumberFormat="0" applyProtection="0">
      <alignment vertical="center"/>
    </xf>
    <xf numFmtId="4" fontId="40" fillId="102" borderId="79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66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0" fontId="23" fillId="73" borderId="82"/>
    <xf numFmtId="4" fontId="35" fillId="62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0" fontId="23" fillId="107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46" fillId="69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40" fillId="56" borderId="75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3" fontId="124" fillId="0" borderId="78"/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1" fillId="69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0" fontId="23" fillId="73" borderId="82"/>
    <xf numFmtId="4" fontId="23" fillId="90" borderId="28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6" fillId="0" borderId="76" applyNumberFormat="0" applyFill="0" applyAlignment="0" applyProtection="0"/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73" borderId="82"/>
    <xf numFmtId="4" fontId="23" fillId="0" borderId="28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0" fontId="23" fillId="70" borderId="59" applyNumberFormat="0">
      <protection locked="0"/>
    </xf>
    <xf numFmtId="4" fontId="23" fillId="83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55" borderId="79" applyNumberFormat="0" applyProtection="0">
      <alignment horizontal="left" vertical="center" indent="1"/>
    </xf>
    <xf numFmtId="189" fontId="145" fillId="0" borderId="56" applyBorder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146" fillId="125" borderId="56" applyBorder="0" applyProtection="0">
      <alignment horizontal="centerContinuous" vertical="center"/>
    </xf>
    <xf numFmtId="0" fontId="127" fillId="0" borderId="49" applyFill="0" applyBorder="0" applyProtection="0">
      <alignment horizontal="left" vertical="top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3" fontId="124" fillId="0" borderId="78"/>
    <xf numFmtId="0" fontId="3" fillId="68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23" fillId="85" borderId="28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0" fontId="3" fillId="4" borderId="75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87" fillId="109" borderId="3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78" fillId="79" borderId="75" applyNumberFormat="0" applyAlignment="0" applyProtection="0"/>
    <xf numFmtId="4" fontId="23" fillId="96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5" fillId="59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2" fillId="0" borderId="38" applyNumberFormat="0" applyFill="0" applyAlignment="0" applyProtection="0"/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136" fillId="0" borderId="9">
      <alignment horizontal="right"/>
    </xf>
    <xf numFmtId="0" fontId="136" fillId="0" borderId="9">
      <alignment horizontal="left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81" fillId="0" borderId="9">
      <alignment horizontal="center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40" fillId="95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10" fontId="23" fillId="72" borderId="82" applyNumberFormat="0" applyBorder="0" applyAlignment="0" applyProtection="0"/>
    <xf numFmtId="0" fontId="3" fillId="68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0" fontId="120" fillId="0" borderId="83" applyFill="0" applyProtection="0">
      <alignment horizontal="right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0" fontId="23" fillId="73" borderId="82"/>
    <xf numFmtId="4" fontId="45" fillId="68" borderId="81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33" fillId="54" borderId="79" applyNumberFormat="0" applyProtection="0">
      <alignment vertical="center"/>
    </xf>
    <xf numFmtId="0" fontId="23" fillId="107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136" fillId="0" borderId="9">
      <alignment horizontal="right"/>
    </xf>
    <xf numFmtId="4" fontId="35" fillId="64" borderId="79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35" fillId="59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61" borderId="75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33" fillId="54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101" borderId="79" applyNumberFormat="0" applyProtection="0">
      <alignment horizontal="right" vertical="center"/>
    </xf>
    <xf numFmtId="4" fontId="40" fillId="72" borderId="79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90" fillId="67" borderId="37">
      <protection locked="0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194" fontId="124" fillId="0" borderId="47">
      <alignment horizontal="right"/>
    </xf>
    <xf numFmtId="0" fontId="40" fillId="68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5" fillId="58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0" fontId="36" fillId="0" borderId="76" applyNumberFormat="0" applyFill="0" applyAlignment="0" applyProtection="0"/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9" fontId="92" fillId="110" borderId="37"/>
    <xf numFmtId="0" fontId="3" fillId="68" borderId="79" applyNumberFormat="0" applyProtection="0">
      <alignment horizontal="left" vertical="top" indent="1"/>
    </xf>
    <xf numFmtId="0" fontId="23" fillId="73" borderId="82"/>
    <xf numFmtId="4" fontId="40" fillId="85" borderId="79" applyNumberFormat="0" applyProtection="0">
      <alignment horizontal="right" vertical="center"/>
    </xf>
    <xf numFmtId="4" fontId="35" fillId="69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88" fillId="100" borderId="75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3" borderId="82"/>
    <xf numFmtId="0" fontId="3" fillId="69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0" fontId="23" fillId="107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0" borderId="75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23" fillId="70" borderId="59" applyNumberFormat="0">
      <protection locked="0"/>
    </xf>
    <xf numFmtId="4" fontId="23" fillId="83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2" fillId="0" borderId="0"/>
    <xf numFmtId="4" fontId="40" fillId="72" borderId="75" applyNumberFormat="0" applyProtection="0">
      <alignment vertical="center"/>
    </xf>
    <xf numFmtId="0" fontId="23" fillId="107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78" fillId="79" borderId="75" applyNumberFormat="0" applyAlignment="0" applyProtection="0"/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40" fillId="94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40" fillId="96" borderId="79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70" fillId="49" borderId="28" applyNumberFormat="0" applyAlignment="0" applyProtection="0"/>
    <xf numFmtId="4" fontId="40" fillId="103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49" fontId="92" fillId="110" borderId="37"/>
    <xf numFmtId="0" fontId="23" fillId="48" borderId="28" applyNumberFormat="0" applyFont="0" applyAlignment="0" applyProtection="0"/>
    <xf numFmtId="4" fontId="40" fillId="54" borderId="75" applyNumberFormat="0" applyProtection="0">
      <alignment vertical="center"/>
    </xf>
    <xf numFmtId="0" fontId="32" fillId="0" borderId="38" applyNumberFormat="0" applyFill="0" applyAlignment="0" applyProtection="0"/>
    <xf numFmtId="4" fontId="40" fillId="72" borderId="79" applyNumberFormat="0" applyProtection="0">
      <alignment vertical="center"/>
    </xf>
    <xf numFmtId="4" fontId="33" fillId="66" borderId="81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0" fontId="23" fillId="107" borderId="28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88" fillId="101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5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6" fillId="0" borderId="76" applyNumberFormat="0" applyFill="0" applyAlignment="0" applyProtection="0"/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40" fillId="68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40" fillId="58" borderId="75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189" fontId="145" fillId="0" borderId="77" applyBorder="0" applyProtection="0">
      <alignment horizontal="right" vertical="center"/>
    </xf>
    <xf numFmtId="4" fontId="40" fillId="100" borderId="75" applyNumberFormat="0" applyProtection="0">
      <alignment horizontal="left" vertical="center" indent="1"/>
    </xf>
    <xf numFmtId="4" fontId="40" fillId="0" borderId="75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140" fillId="104" borderId="75" applyNumberFormat="0" applyAlignment="0" applyProtection="0"/>
    <xf numFmtId="0" fontId="3" fillId="68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0" fontId="120" fillId="0" borderId="83" applyFill="0" applyProtection="0">
      <alignment horizontal="right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4" fontId="113" fillId="54" borderId="79" applyNumberFormat="0" applyProtection="0">
      <alignment vertical="center"/>
    </xf>
    <xf numFmtId="0" fontId="3" fillId="68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23" fillId="48" borderId="28" applyNumberFormat="0" applyFont="0" applyAlignment="0" applyProtection="0"/>
    <xf numFmtId="0" fontId="23" fillId="102" borderId="79" applyNumberFormat="0" applyProtection="0">
      <alignment horizontal="left" vertical="top" indent="1"/>
    </xf>
    <xf numFmtId="4" fontId="33" fillId="66" borderId="79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101" borderId="79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82" fillId="101" borderId="79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0" fontId="121" fillId="104" borderId="84" applyNumberFormat="0" applyAlignment="0" applyProtection="0"/>
    <xf numFmtId="4" fontId="113" fillId="54" borderId="79" applyNumberFormat="0" applyProtection="0">
      <alignment vertical="center"/>
    </xf>
    <xf numFmtId="4" fontId="40" fillId="85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3" fontId="124" fillId="0" borderId="78"/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10" fontId="23" fillId="72" borderId="82" applyNumberFormat="0" applyBorder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84" fillId="82" borderId="79" applyNumberFormat="0" applyProtection="0">
      <alignment horizontal="left" vertical="top" indent="1"/>
    </xf>
    <xf numFmtId="194" fontId="124" fillId="0" borderId="47">
      <alignment horizontal="right"/>
    </xf>
    <xf numFmtId="4" fontId="23" fillId="83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63" borderId="75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107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4" fontId="45" fillId="68" borderId="81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100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4" fontId="82" fillId="72" borderId="75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73" borderId="82"/>
    <xf numFmtId="0" fontId="23" fillId="48" borderId="28" applyNumberFormat="0" applyFont="0" applyAlignment="0" applyProtection="0"/>
    <xf numFmtId="4" fontId="23" fillId="82" borderId="28" applyNumberFormat="0" applyProtection="0">
      <alignment vertical="center"/>
    </xf>
    <xf numFmtId="4" fontId="23" fillId="88" borderId="3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55" borderId="79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35" fillId="56" borderId="79" applyNumberFormat="0" applyProtection="0">
      <alignment horizontal="right" vertical="center"/>
    </xf>
    <xf numFmtId="4" fontId="40" fillId="5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89" borderId="28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5" applyNumberFormat="0" applyProtection="0">
      <alignment horizontal="left" vertical="center" indent="1"/>
    </xf>
    <xf numFmtId="0" fontId="70" fillId="49" borderId="28" applyNumberFormat="0" applyAlignment="0" applyProtection="0"/>
    <xf numFmtId="4" fontId="35" fillId="56" borderId="79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0" fontId="90" fillId="67" borderId="37">
      <protection locked="0"/>
    </xf>
    <xf numFmtId="4" fontId="23" fillId="95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3" fontId="124" fillId="0" borderId="78"/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88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23" fillId="73" borderId="82"/>
    <xf numFmtId="0" fontId="3" fillId="69" borderId="79" applyNumberFormat="0" applyProtection="0">
      <alignment horizontal="left" vertical="center" indent="1"/>
    </xf>
    <xf numFmtId="4" fontId="40" fillId="54" borderId="75" applyNumberFormat="0" applyProtection="0">
      <alignment vertical="center"/>
    </xf>
    <xf numFmtId="4" fontId="45" fillId="68" borderId="81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3" fillId="54" borderId="28" applyNumberFormat="0" applyProtection="0">
      <alignment vertical="center"/>
    </xf>
    <xf numFmtId="4" fontId="23" fillId="102" borderId="28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0" fontId="23" fillId="70" borderId="59" applyNumberFormat="0">
      <protection locked="0"/>
    </xf>
    <xf numFmtId="4" fontId="85" fillId="108" borderId="79" applyNumberFormat="0" applyProtection="0">
      <alignment vertical="center"/>
    </xf>
    <xf numFmtId="4" fontId="23" fillId="86" borderId="28" applyNumberFormat="0" applyProtection="0">
      <alignment horizontal="right" vertical="center"/>
    </xf>
    <xf numFmtId="0" fontId="127" fillId="0" borderId="49" applyFill="0" applyBorder="0" applyProtection="0">
      <alignment horizontal="left" vertical="top"/>
    </xf>
    <xf numFmtId="4" fontId="40" fillId="58" borderId="7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3" fontId="124" fillId="0" borderId="78"/>
    <xf numFmtId="4" fontId="23" fillId="85" borderId="28" applyNumberFormat="0" applyProtection="0">
      <alignment horizontal="right" vertical="center"/>
    </xf>
    <xf numFmtId="4" fontId="87" fillId="109" borderId="3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0" fillId="7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40" fillId="87" borderId="79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35" fillId="63" borderId="79" applyNumberFormat="0" applyProtection="0">
      <alignment horizontal="right" vertical="center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10" fontId="23" fillId="72" borderId="82" applyNumberFormat="0" applyBorder="0" applyAlignment="0" applyProtection="0"/>
    <xf numFmtId="0" fontId="23" fillId="71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40" fillId="90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0" fontId="120" fillId="0" borderId="83" applyFill="0" applyProtection="0">
      <alignment horizontal="right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46" fillId="69" borderId="79" applyNumberFormat="0" applyProtection="0">
      <alignment horizontal="right" vertical="center"/>
    </xf>
    <xf numFmtId="0" fontId="23" fillId="73" borderId="82"/>
    <xf numFmtId="4" fontId="45" fillId="68" borderId="81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33" fillId="54" borderId="79" applyNumberFormat="0" applyProtection="0">
      <alignment vertical="center"/>
    </xf>
    <xf numFmtId="0" fontId="23" fillId="71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9" fontId="2" fillId="0" borderId="0" applyFont="0" applyFill="0" applyBorder="0" applyAlignment="0" applyProtection="0"/>
    <xf numFmtId="4" fontId="45" fillId="68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0" fontId="23" fillId="104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0" fontId="23" fillId="71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4" fontId="36" fillId="82" borderId="79" applyNumberFormat="0" applyProtection="0">
      <alignment vertical="center"/>
    </xf>
    <xf numFmtId="0" fontId="23" fillId="71" borderId="79" applyNumberFormat="0" applyProtection="0">
      <alignment horizontal="left" vertical="top" indent="1"/>
    </xf>
    <xf numFmtId="4" fontId="40" fillId="87" borderId="79" applyNumberFormat="0" applyProtection="0">
      <alignment horizontal="right" vertical="center"/>
    </xf>
    <xf numFmtId="0" fontId="40" fillId="108" borderId="85" applyNumberFormat="0" applyFont="0" applyAlignment="0" applyProtection="0"/>
    <xf numFmtId="0" fontId="3" fillId="66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8" fillId="100" borderId="75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33" fillId="54" borderId="79" applyNumberFormat="0" applyProtection="0">
      <alignment vertical="center"/>
    </xf>
    <xf numFmtId="4" fontId="40" fillId="0" borderId="79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8" borderId="75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6" fillId="99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54" borderId="75" applyNumberFormat="0" applyProtection="0">
      <alignment vertical="center"/>
    </xf>
    <xf numFmtId="0" fontId="57" fillId="79" borderId="28" applyNumberFormat="0" applyAlignment="0" applyProtection="0"/>
    <xf numFmtId="4" fontId="23" fillId="102" borderId="3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23" fillId="73" borderId="82"/>
    <xf numFmtId="4" fontId="23" fillId="82" borderId="28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35" fillId="69" borderId="79" applyNumberFormat="0" applyProtection="0">
      <alignment vertical="center"/>
    </xf>
    <xf numFmtId="0" fontId="23" fillId="71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33" fillId="65" borderId="5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40" fillId="54" borderId="75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70" borderId="59" applyNumberFormat="0">
      <protection locked="0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68" borderId="79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88" fillId="100" borderId="75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5" applyNumberFormat="0" applyProtection="0">
      <alignment horizontal="left" vertical="center" indent="1"/>
    </xf>
    <xf numFmtId="0" fontId="146" fillId="125" borderId="56" applyBorder="0" applyProtection="0">
      <alignment horizontal="centerContinuous" vertical="center"/>
    </xf>
    <xf numFmtId="189" fontId="145" fillId="0" borderId="56" applyBorder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40" fillId="91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40" fillId="64" borderId="75" applyNumberFormat="0" applyProtection="0">
      <alignment horizontal="right" vertical="center"/>
    </xf>
    <xf numFmtId="4" fontId="85" fillId="104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0" fontId="57" fillId="79" borderId="28" applyNumberFormat="0" applyAlignment="0" applyProtection="0"/>
    <xf numFmtId="0" fontId="23" fillId="102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3" fillId="66" borderId="81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4" fontId="40" fillId="72" borderId="75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120" fillId="0" borderId="83" applyFill="0" applyProtection="0">
      <alignment horizontal="right"/>
    </xf>
    <xf numFmtId="4" fontId="23" fillId="94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87" fillId="109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4" fontId="45" fillId="68" borderId="81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23" fillId="73" borderId="82"/>
    <xf numFmtId="0" fontId="23" fillId="107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0" fontId="84" fillId="82" borderId="79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5" fillId="54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23" fillId="48" borderId="28" applyNumberFormat="0" applyFont="0" applyAlignment="0" applyProtection="0"/>
    <xf numFmtId="4" fontId="23" fillId="85" borderId="28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57" fillId="79" borderId="28" applyNumberFormat="0" applyAlignment="0" applyProtection="0"/>
    <xf numFmtId="0" fontId="3" fillId="55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4" fontId="40" fillId="72" borderId="75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40" fillId="88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6" fillId="69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72" borderId="79" applyNumberFormat="0" applyProtection="0">
      <alignment horizontal="left" vertical="center" indent="1"/>
    </xf>
    <xf numFmtId="4" fontId="33" fillId="54" borderId="79" applyNumberFormat="0" applyProtection="0">
      <alignment vertical="center"/>
    </xf>
    <xf numFmtId="4" fontId="35" fillId="69" borderId="79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78" fillId="79" borderId="75" applyNumberFormat="0" applyAlignment="0" applyProtection="0"/>
    <xf numFmtId="4" fontId="40" fillId="54" borderId="75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2" fillId="54" borderId="75" applyNumberFormat="0" applyProtection="0">
      <alignment vertical="center"/>
    </xf>
    <xf numFmtId="4" fontId="34" fillId="54" borderId="79" applyNumberFormat="0" applyProtection="0">
      <alignment vertical="center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5" fillId="56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36" fillId="98" borderId="5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194" fontId="124" fillId="0" borderId="47">
      <alignment horizontal="right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23" fillId="70" borderId="59" applyNumberFormat="0">
      <protection locked="0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83" fillId="72" borderId="82" applyNumberFormat="0" applyProtection="0">
      <alignment vertical="center"/>
    </xf>
    <xf numFmtId="4" fontId="40" fillId="72" borderId="75" applyNumberFormat="0" applyProtection="0">
      <alignment horizontal="left" vertical="center" indent="1"/>
    </xf>
    <xf numFmtId="4" fontId="85" fillId="104" borderId="79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vertical="center"/>
    </xf>
    <xf numFmtId="4" fontId="40" fillId="72" borderId="75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90" fillId="67" borderId="37">
      <protection locked="0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7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35" fillId="69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72" borderId="75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36" fillId="82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46" fillId="69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0" fontId="14" fillId="71" borderId="80" applyBorder="0"/>
    <xf numFmtId="4" fontId="41" fillId="69" borderId="79" applyNumberFormat="0" applyProtection="0">
      <alignment vertical="center"/>
    </xf>
    <xf numFmtId="4" fontId="23" fillId="101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4" fontId="35" fillId="60" borderId="79" applyNumberFormat="0" applyProtection="0">
      <alignment horizontal="right" vertical="center"/>
    </xf>
    <xf numFmtId="4" fontId="40" fillId="100" borderId="75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3" fillId="106" borderId="7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23" fillId="73" borderId="82"/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3" fillId="54" borderId="79" applyNumberFormat="0" applyProtection="0">
      <alignment vertical="center"/>
    </xf>
    <xf numFmtId="4" fontId="23" fillId="95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33" fillId="65" borderId="58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0" fontId="23" fillId="107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4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35" fillId="56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23" fillId="70" borderId="59" applyNumberFormat="0">
      <protection locked="0"/>
    </xf>
    <xf numFmtId="0" fontId="3" fillId="84" borderId="75" applyNumberFormat="0" applyProtection="0">
      <alignment horizontal="left" vertical="center" indent="1"/>
    </xf>
    <xf numFmtId="0" fontId="121" fillId="104" borderId="84" applyNumberFormat="0" applyAlignment="0" applyProtection="0"/>
    <xf numFmtId="4" fontId="23" fillId="95" borderId="28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40" fillId="72" borderId="75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78" fillId="79" borderId="75" applyNumberFormat="0" applyAlignment="0" applyProtection="0"/>
    <xf numFmtId="4" fontId="23" fillId="88" borderId="3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140" fillId="104" borderId="75" applyNumberFormat="0" applyAlignment="0" applyProtection="0"/>
    <xf numFmtId="4" fontId="40" fillId="0" borderId="75" applyNumberFormat="0" applyProtection="0">
      <alignment horizontal="right"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72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189" fontId="145" fillId="0" borderId="77" applyBorder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194" fontId="124" fillId="0" borderId="47">
      <alignment horizontal="right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8" fontId="3" fillId="0" borderId="73" applyFont="0" applyFill="0" applyBorder="0" applyProtection="0">
      <alignment horizontal="right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40" fillId="108" borderId="85" applyNumberFormat="0" applyFont="0" applyAlignment="0" applyProtection="0"/>
    <xf numFmtId="4" fontId="40" fillId="72" borderId="79" applyNumberFormat="0" applyProtection="0">
      <alignment horizontal="left" vertical="center" indent="1"/>
    </xf>
    <xf numFmtId="4" fontId="46" fillId="69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14" fillId="71" borderId="80" applyBorder="0"/>
    <xf numFmtId="4" fontId="35" fillId="6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35" fillId="61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35" fillId="58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0" fontId="85" fillId="108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0" fontId="40" fillId="68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0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40" fillId="72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1" fillId="69" borderId="79" applyNumberFormat="0" applyProtection="0">
      <alignment vertical="center"/>
    </xf>
    <xf numFmtId="4" fontId="88" fillId="101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46" fillId="69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0" fontId="49" fillId="0" borderId="60" applyNumberFormat="0" applyFill="0" applyProtection="0">
      <alignment horizontal="center"/>
    </xf>
    <xf numFmtId="4" fontId="23" fillId="90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23" fillId="70" borderId="59" applyNumberFormat="0">
      <protection locked="0"/>
    </xf>
    <xf numFmtId="4" fontId="40" fillId="103" borderId="75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0" fontId="68" fillId="0" borderId="32" applyNumberFormat="0" applyFill="0" applyAlignment="0" applyProtection="0"/>
    <xf numFmtId="4" fontId="40" fillId="54" borderId="75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40" fillId="0" borderId="75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4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23" fillId="73" borderId="82"/>
    <xf numFmtId="0" fontId="36" fillId="54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83" fillId="67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78" fillId="79" borderId="75" applyNumberFormat="0" applyAlignment="0" applyProtection="0"/>
    <xf numFmtId="4" fontId="36" fillId="82" borderId="79" applyNumberFormat="0" applyProtection="0">
      <alignment vertical="center"/>
    </xf>
    <xf numFmtId="0" fontId="36" fillId="54" borderId="79" applyNumberFormat="0" applyProtection="0">
      <alignment horizontal="left" vertical="top" indent="1"/>
    </xf>
    <xf numFmtId="4" fontId="40" fillId="87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0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0" borderId="75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0" fontId="127" fillId="0" borderId="49" applyFill="0" applyBorder="0" applyProtection="0">
      <alignment horizontal="left" vertical="top"/>
    </xf>
    <xf numFmtId="3" fontId="124" fillId="0" borderId="78"/>
    <xf numFmtId="0" fontId="23" fillId="101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135" fillId="116" borderId="84" applyNumberFormat="0" applyAlignment="0" applyProtection="0"/>
    <xf numFmtId="4" fontId="89" fillId="70" borderId="28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40" fillId="9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0" fontId="90" fillId="67" borderId="37">
      <protection locked="0"/>
    </xf>
    <xf numFmtId="49" fontId="92" fillId="110" borderId="37"/>
    <xf numFmtId="0" fontId="40" fillId="68" borderId="79" applyNumberFormat="0" applyProtection="0">
      <alignment horizontal="left" vertical="top" indent="1"/>
    </xf>
    <xf numFmtId="4" fontId="33" fillId="66" borderId="79" applyNumberFormat="0" applyProtection="0">
      <alignment horizontal="left" vertical="center" indent="1"/>
    </xf>
    <xf numFmtId="4" fontId="35" fillId="61" borderId="79" applyNumberFormat="0" applyProtection="0">
      <alignment horizontal="right" vertical="center"/>
    </xf>
    <xf numFmtId="0" fontId="23" fillId="73" borderId="82"/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73" borderId="82"/>
    <xf numFmtId="4" fontId="113" fillId="54" borderId="79" applyNumberFormat="0" applyProtection="0">
      <alignment vertical="center"/>
    </xf>
    <xf numFmtId="4" fontId="40" fillId="94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57" fillId="79" borderId="28" applyNumberFormat="0" applyAlignment="0" applyProtection="0"/>
    <xf numFmtId="4" fontId="23" fillId="9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55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23" fillId="70" borderId="59" applyNumberFormat="0">
      <protection locked="0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70" borderId="59" applyNumberFormat="0">
      <protection locked="0"/>
    </xf>
    <xf numFmtId="4" fontId="33" fillId="66" borderId="81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23" fillId="73" borderId="82"/>
    <xf numFmtId="4" fontId="23" fillId="102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68" fillId="0" borderId="32" applyNumberFormat="0" applyFill="0" applyAlignment="0" applyProtection="0"/>
    <xf numFmtId="4" fontId="40" fillId="103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3" fillId="4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6" fillId="99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36" fillId="98" borderId="58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23" fillId="71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64" borderId="75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36" fillId="54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" fillId="0" borderId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92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35" fillId="56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23" fillId="73" borderId="82"/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33" fillId="66" borderId="81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40" fillId="72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4" fontId="40" fillId="58" borderId="75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23" fillId="86" borderId="28" applyNumberFormat="0" applyProtection="0">
      <alignment horizontal="right" vertical="center"/>
    </xf>
    <xf numFmtId="0" fontId="23" fillId="48" borderId="28" applyNumberFormat="0" applyFont="0" applyAlignment="0" applyProtection="0"/>
    <xf numFmtId="4" fontId="40" fillId="85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40" fillId="0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48" borderId="28" applyNumberFormat="0" applyFont="0" applyAlignment="0" applyProtection="0"/>
    <xf numFmtId="4" fontId="23" fillId="5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5" fillId="69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2" fillId="0" borderId="38" applyNumberFormat="0" applyFill="0" applyAlignment="0" applyProtection="0"/>
    <xf numFmtId="0" fontId="23" fillId="104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23" fillId="89" borderId="28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23" fillId="73" borderId="82"/>
    <xf numFmtId="0" fontId="40" fillId="68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0" fontId="36" fillId="54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35" fillId="54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71" borderId="79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23" fillId="102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35" fillId="57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4" fontId="89" fillId="70" borderId="28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23" fillId="73" borderId="82"/>
    <xf numFmtId="0" fontId="23" fillId="101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40" fillId="97" borderId="75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23" fillId="73" borderId="82"/>
    <xf numFmtId="4" fontId="23" fillId="101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35" fillId="56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194" fontId="124" fillId="0" borderId="47">
      <alignment horizontal="right"/>
    </xf>
    <xf numFmtId="4" fontId="40" fillId="88" borderId="79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3" fillId="107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68" fillId="0" borderId="32" applyNumberFormat="0" applyFill="0" applyAlignment="0" applyProtection="0"/>
    <xf numFmtId="0" fontId="40" fillId="68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4" fontId="82" fillId="100" borderId="75" applyNumberFormat="0" applyProtection="0">
      <alignment horizontal="right" vertical="center"/>
    </xf>
    <xf numFmtId="0" fontId="23" fillId="70" borderId="59" applyNumberFormat="0">
      <protection locked="0"/>
    </xf>
    <xf numFmtId="0" fontId="23" fillId="101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54" borderId="75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70" fillId="49" borderId="28" applyNumberFormat="0" applyAlignment="0" applyProtection="0"/>
    <xf numFmtId="0" fontId="23" fillId="70" borderId="59" applyNumberFormat="0">
      <protection locked="0"/>
    </xf>
    <xf numFmtId="0" fontId="23" fillId="70" borderId="59" applyNumberFormat="0">
      <protection locked="0"/>
    </xf>
    <xf numFmtId="0" fontId="57" fillId="79" borderId="28" applyNumberFormat="0" applyAlignment="0" applyProtection="0"/>
    <xf numFmtId="0" fontId="23" fillId="104" borderId="28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40" fillId="102" borderId="79" applyNumberFormat="0" applyProtection="0">
      <alignment horizontal="right" vertical="center"/>
    </xf>
    <xf numFmtId="4" fontId="40" fillId="54" borderId="7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35" fillId="59" borderId="79" applyNumberFormat="0" applyProtection="0">
      <alignment horizontal="right" vertical="center"/>
    </xf>
    <xf numFmtId="4" fontId="36" fillId="82" borderId="79" applyNumberFormat="0" applyProtection="0">
      <alignment vertical="center"/>
    </xf>
    <xf numFmtId="0" fontId="40" fillId="108" borderId="85" applyNumberFormat="0" applyFont="0" applyAlignment="0" applyProtection="0"/>
    <xf numFmtId="0" fontId="85" fillId="102" borderId="79" applyNumberFormat="0" applyProtection="0">
      <alignment horizontal="left" vertical="top" indent="1"/>
    </xf>
    <xf numFmtId="4" fontId="40" fillId="0" borderId="79" applyNumberFormat="0" applyProtection="0">
      <alignment horizontal="left" vertical="center" indent="1"/>
    </xf>
    <xf numFmtId="0" fontId="3" fillId="0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4" fontId="41" fillId="69" borderId="79" applyNumberFormat="0" applyProtection="0">
      <alignment vertical="center"/>
    </xf>
    <xf numFmtId="4" fontId="46" fillId="69" borderId="79" applyNumberFormat="0" applyProtection="0">
      <alignment horizontal="right" vertical="center"/>
    </xf>
    <xf numFmtId="4" fontId="45" fillId="68" borderId="81" applyNumberFormat="0" applyProtection="0">
      <alignment horizontal="left" vertical="center" indent="1"/>
    </xf>
    <xf numFmtId="4" fontId="35" fillId="59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3" fillId="66" borderId="81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83" fillId="67" borderId="28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0" fontId="23" fillId="48" borderId="28" applyNumberFormat="0" applyFont="0" applyAlignment="0" applyProtection="0"/>
    <xf numFmtId="4" fontId="40" fillId="88" borderId="79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82" fillId="100" borderId="75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35" fillId="5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4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88" borderId="79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0" borderId="59" applyNumberFormat="0">
      <protection locked="0"/>
    </xf>
    <xf numFmtId="0" fontId="3" fillId="55" borderId="79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56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0" fontId="23" fillId="70" borderId="59" applyNumberFormat="0">
      <protection locked="0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84" fillId="82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40" fillId="72" borderId="75" applyNumberFormat="0" applyProtection="0">
      <alignment vertical="center"/>
    </xf>
    <xf numFmtId="4" fontId="36" fillId="82" borderId="79" applyNumberFormat="0" applyProtection="0">
      <alignment vertical="center"/>
    </xf>
    <xf numFmtId="0" fontId="14" fillId="71" borderId="80" applyBorder="0"/>
    <xf numFmtId="0" fontId="23" fillId="107" borderId="28" applyNumberFormat="0" applyProtection="0">
      <alignment horizontal="left" vertical="center" indent="1"/>
    </xf>
    <xf numFmtId="4" fontId="35" fillId="69" borderId="79" applyNumberFormat="0" applyProtection="0">
      <alignment horizontal="right" vertical="center"/>
    </xf>
    <xf numFmtId="0" fontId="23" fillId="107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40" fillId="8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23" fillId="107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4" fontId="2" fillId="0" borderId="0" applyFont="0" applyFill="0" applyBorder="0" applyAlignment="0" applyProtection="0"/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4" fontId="83" fillId="72" borderId="82" applyNumberFormat="0" applyProtection="0">
      <alignment vertical="center"/>
    </xf>
    <xf numFmtId="4" fontId="33" fillId="66" borderId="79" applyNumberFormat="0" applyProtection="0">
      <alignment horizontal="left" vertical="center" indent="1"/>
    </xf>
    <xf numFmtId="4" fontId="35" fillId="6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35" fillId="64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35" fillId="69" borderId="79" applyNumberFormat="0" applyProtection="0">
      <alignment horizontal="right" vertical="center"/>
    </xf>
    <xf numFmtId="4" fontId="33" fillId="66" borderId="81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23" fillId="73" borderId="82"/>
    <xf numFmtId="0" fontId="121" fillId="104" borderId="84" applyNumberFormat="0" applyAlignment="0" applyProtection="0"/>
    <xf numFmtId="0" fontId="120" fillId="0" borderId="83" applyFill="0" applyProtection="0">
      <alignment horizontal="right"/>
    </xf>
    <xf numFmtId="0" fontId="135" fillId="116" borderId="84" applyNumberFormat="0" applyAlignment="0" applyProtection="0"/>
    <xf numFmtId="4" fontId="23" fillId="94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23" fillId="70" borderId="59" applyNumberFormat="0">
      <protection locked="0"/>
    </xf>
    <xf numFmtId="4" fontId="41" fillId="69" borderId="79" applyNumberFormat="0" applyProtection="0">
      <alignment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23" fillId="73" borderId="82"/>
    <xf numFmtId="0" fontId="36" fillId="54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" fillId="0" borderId="0"/>
    <xf numFmtId="0" fontId="36" fillId="0" borderId="76" applyNumberFormat="0" applyFill="0" applyAlignment="0" applyProtection="0"/>
    <xf numFmtId="4" fontId="23" fillId="90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0" fontId="40" fillId="108" borderId="85" applyNumberFormat="0" applyFont="0" applyAlignment="0" applyProtection="0"/>
    <xf numFmtId="0" fontId="23" fillId="48" borderId="28" applyNumberFormat="0" applyFont="0" applyAlignment="0" applyProtection="0"/>
    <xf numFmtId="4" fontId="36" fillId="54" borderId="79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0" fontId="23" fillId="48" borderId="28" applyNumberFormat="0" applyFont="0" applyAlignment="0" applyProtection="0"/>
    <xf numFmtId="4" fontId="23" fillId="54" borderId="28" applyNumberFormat="0" applyProtection="0">
      <alignment horizontal="left" vertical="center" indent="1"/>
    </xf>
    <xf numFmtId="4" fontId="82" fillId="54" borderId="75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83" fillId="72" borderId="82" applyNumberFormat="0" applyProtection="0">
      <alignment vertical="center"/>
    </xf>
    <xf numFmtId="4" fontId="40" fillId="72" borderId="75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23" fillId="101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23" fillId="104" borderId="28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35" fillId="60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34" fillId="54" borderId="79" applyNumberFormat="0" applyProtection="0">
      <alignment vertical="center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33" fillId="66" borderId="79" applyNumberFormat="0" applyProtection="0">
      <alignment horizontal="left" vertical="center" indent="1"/>
    </xf>
    <xf numFmtId="0" fontId="85" fillId="102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87" fillId="109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90" fillId="67" borderId="37">
      <protection locked="0"/>
    </xf>
    <xf numFmtId="4" fontId="33" fillId="66" borderId="79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0" fontId="23" fillId="105" borderId="28" applyNumberFormat="0" applyProtection="0">
      <alignment horizontal="left" vertical="center" indent="1"/>
    </xf>
    <xf numFmtId="4" fontId="35" fillId="58" borderId="79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0" fontId="23" fillId="70" borderId="59" applyNumberFormat="0">
      <protection locked="0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45" fillId="68" borderId="81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68" fillId="0" borderId="32" applyNumberFormat="0" applyFill="0" applyAlignment="0" applyProtection="0"/>
    <xf numFmtId="0" fontId="70" fillId="49" borderId="28" applyNumberFormat="0" applyAlignment="0" applyProtection="0"/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87" borderId="79" applyNumberFormat="0" applyProtection="0">
      <alignment horizontal="right" vertical="center"/>
    </xf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6" fillId="54" borderId="79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23" fillId="73" borderId="82"/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10" fontId="23" fillId="72" borderId="82" applyNumberFormat="0" applyBorder="0" applyAlignment="0" applyProtection="0"/>
    <xf numFmtId="4" fontId="23" fillId="83" borderId="28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4" fontId="40" fillId="72" borderId="79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55" borderId="79" applyNumberFormat="0" applyProtection="0">
      <alignment horizontal="left" vertical="top" indent="1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103" borderId="75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4" fontId="35" fillId="58" borderId="79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3" fillId="85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23" fillId="71" borderId="79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6" fillId="98" borderId="5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97" borderId="75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40" fillId="97" borderId="75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36" fillId="99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5" fillId="68" borderId="81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5" fillId="64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87" fillId="109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59" fillId="77" borderId="55" applyNumberFormat="0" applyAlignment="0" applyProtection="0"/>
    <xf numFmtId="4" fontId="23" fillId="95" borderId="28" applyNumberFormat="0" applyProtection="0">
      <alignment horizontal="right" vertical="center"/>
    </xf>
    <xf numFmtId="0" fontId="59" fillId="77" borderId="55" applyNumberFormat="0" applyAlignment="0" applyProtection="0"/>
    <xf numFmtId="0" fontId="3" fillId="84" borderId="75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146" fillId="125" borderId="77" applyBorder="0" applyProtection="0">
      <alignment horizontal="centerContinuous" vertical="center"/>
    </xf>
    <xf numFmtId="4" fontId="23" fillId="83" borderId="28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3" borderId="82"/>
    <xf numFmtId="0" fontId="3" fillId="69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0" fontId="23" fillId="73" borderId="82"/>
    <xf numFmtId="4" fontId="40" fillId="102" borderId="79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4" fontId="40" fillId="100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40" fillId="100" borderId="7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0" fontId="3" fillId="106" borderId="75" applyNumberFormat="0" applyProtection="0">
      <alignment horizontal="left" vertical="center" indent="1"/>
    </xf>
    <xf numFmtId="4" fontId="40" fillId="97" borderId="75" applyNumberFormat="0" applyProtection="0">
      <alignment horizontal="right" vertical="center"/>
    </xf>
    <xf numFmtId="4" fontId="40" fillId="100" borderId="75" applyNumberFormat="0" applyProtection="0">
      <alignment horizontal="left" vertical="center" indent="1"/>
    </xf>
    <xf numFmtId="0" fontId="59" fillId="77" borderId="55" applyNumberFormat="0" applyAlignment="0" applyProtection="0"/>
    <xf numFmtId="0" fontId="59" fillId="77" borderId="55" applyNumberFormat="0" applyAlignment="0" applyProtection="0"/>
    <xf numFmtId="0" fontId="36" fillId="54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106" borderId="75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73" borderId="82"/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23" fillId="70" borderId="59" applyNumberFormat="0">
      <protection locked="0"/>
    </xf>
    <xf numFmtId="0" fontId="23" fillId="70" borderId="59" applyNumberFormat="0">
      <protection locked="0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49" fillId="0" borderId="60" applyNumberFormat="0" applyFill="0" applyProtection="0">
      <alignment horizontal="center"/>
    </xf>
    <xf numFmtId="4" fontId="40" fillId="102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4" fontId="40" fillId="56" borderId="75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0" fontId="3" fillId="68" borderId="79" applyNumberFormat="0" applyProtection="0">
      <alignment horizontal="left" vertical="top" indent="1"/>
    </xf>
    <xf numFmtId="4" fontId="85" fillId="104" borderId="79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4" fontId="35" fillId="69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40" fillId="0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120" fillId="0" borderId="83" applyFill="0" applyProtection="0">
      <alignment horizontal="right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8" fontId="3" fillId="0" borderId="73" applyFont="0" applyFill="0" applyBorder="0" applyProtection="0">
      <alignment horizontal="right"/>
    </xf>
    <xf numFmtId="0" fontId="122" fillId="120" borderId="55" applyNumberFormat="0" applyAlignment="0" applyProtection="0"/>
    <xf numFmtId="0" fontId="122" fillId="120" borderId="55" applyNumberFormat="0" applyAlignment="0" applyProtection="0"/>
    <xf numFmtId="0" fontId="23" fillId="73" borderId="82"/>
    <xf numFmtId="0" fontId="40" fillId="68" borderId="79" applyNumberFormat="0" applyProtection="0">
      <alignment horizontal="left" vertical="top" indent="1"/>
    </xf>
    <xf numFmtId="0" fontId="23" fillId="73" borderId="82"/>
    <xf numFmtId="4" fontId="82" fillId="10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82" fillId="72" borderId="75" applyNumberFormat="0" applyProtection="0">
      <alignment vertical="center"/>
    </xf>
    <xf numFmtId="4" fontId="40" fillId="72" borderId="75" applyNumberFormat="0" applyProtection="0">
      <alignment vertical="center"/>
    </xf>
    <xf numFmtId="4" fontId="85" fillId="108" borderId="79" applyNumberFormat="0" applyProtection="0">
      <alignment vertical="center"/>
    </xf>
    <xf numFmtId="4" fontId="40" fillId="72" borderId="75" applyNumberFormat="0" applyProtection="0">
      <alignment vertical="center"/>
    </xf>
    <xf numFmtId="0" fontId="23" fillId="70" borderId="59" applyNumberFormat="0">
      <protection locked="0"/>
    </xf>
    <xf numFmtId="0" fontId="23" fillId="70" borderId="59" applyNumberFormat="0">
      <protection locked="0"/>
    </xf>
    <xf numFmtId="4" fontId="88" fillId="101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0" fontId="3" fillId="4" borderId="75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4" fontId="23" fillId="85" borderId="28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0" fontId="84" fillId="82" borderId="79" applyNumberFormat="0" applyProtection="0">
      <alignment horizontal="left" vertical="top" indent="1"/>
    </xf>
    <xf numFmtId="4" fontId="40" fillId="54" borderId="75" applyNumberFormat="0" applyProtection="0">
      <alignment horizontal="left" vertical="center" indent="1"/>
    </xf>
    <xf numFmtId="10" fontId="23" fillId="72" borderId="82" applyNumberFormat="0" applyBorder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4" fontId="23" fillId="54" borderId="28" applyNumberFormat="0" applyProtection="0">
      <alignment horizontal="left" vertical="center" indent="1"/>
    </xf>
    <xf numFmtId="0" fontId="136" fillId="0" borderId="68">
      <alignment horizontal="right"/>
    </xf>
    <xf numFmtId="0" fontId="136" fillId="0" borderId="68">
      <alignment horizontal="left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83" fillId="54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5" applyNumberFormat="0" applyProtection="0">
      <alignment vertical="center"/>
    </xf>
    <xf numFmtId="4" fontId="23" fillId="82" borderId="28" applyNumberFormat="0" applyProtection="0">
      <alignment vertical="center"/>
    </xf>
    <xf numFmtId="0" fontId="78" fillId="79" borderId="75" applyNumberFormat="0" applyAlignment="0" applyProtection="0"/>
    <xf numFmtId="0" fontId="78" fillId="79" borderId="75" applyNumberForma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3" fillId="69" borderId="79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2" fillId="0" borderId="0"/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40" fillId="104" borderId="75" applyNumberFormat="0" applyAlignment="0" applyProtection="0"/>
    <xf numFmtId="0" fontId="140" fillId="104" borderId="75" applyNumberFormat="0" applyAlignment="0" applyProtection="0"/>
    <xf numFmtId="189" fontId="145" fillId="0" borderId="77" applyBorder="0" applyProtection="0">
      <alignment horizontal="right" vertical="center"/>
    </xf>
    <xf numFmtId="0" fontId="81" fillId="0" borderId="68">
      <alignment horizontal="center"/>
    </xf>
    <xf numFmtId="0" fontId="81" fillId="0" borderId="68">
      <alignment horizontal="center"/>
    </xf>
    <xf numFmtId="0" fontId="81" fillId="0" borderId="68">
      <alignment horizont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3" fontId="124" fillId="0" borderId="78"/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0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63" borderId="75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80" fillId="121" borderId="71" applyNumberFormat="0" applyFont="0" applyAlignment="0" applyProtection="0"/>
    <xf numFmtId="4" fontId="23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4" fontId="23" fillId="0" borderId="28" applyNumberFormat="0" applyProtection="0">
      <alignment horizontal="right"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3" fontId="124" fillId="0" borderId="78"/>
    <xf numFmtId="0" fontId="23" fillId="101" borderId="79" applyNumberFormat="0" applyProtection="0">
      <alignment horizontal="left" vertical="top" indent="1"/>
    </xf>
    <xf numFmtId="0" fontId="59" fillId="77" borderId="55" applyNumberFormat="0" applyAlignment="0" applyProtection="0"/>
    <xf numFmtId="0" fontId="23" fillId="101" borderId="79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0" borderId="68">
      <alignment horizontal="right"/>
    </xf>
    <xf numFmtId="4" fontId="88" fillId="101" borderId="79" applyNumberFormat="0" applyProtection="0">
      <alignment horizontal="right" vertical="center"/>
    </xf>
    <xf numFmtId="0" fontId="23" fillId="73" borderId="82"/>
    <xf numFmtId="4" fontId="23" fillId="83" borderId="2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85" fillId="104" borderId="79" applyNumberFormat="0" applyProtection="0">
      <alignment horizontal="left" vertical="center" indent="1"/>
    </xf>
    <xf numFmtId="0" fontId="3" fillId="4" borderId="7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73" borderId="82"/>
    <xf numFmtId="4" fontId="88" fillId="101" borderId="79" applyNumberFormat="0" applyProtection="0">
      <alignment horizontal="right" vertical="center"/>
    </xf>
    <xf numFmtId="0" fontId="23" fillId="73" borderId="82"/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8" fontId="3" fillId="0" borderId="73" applyFont="0" applyFill="0" applyBorder="0" applyProtection="0">
      <alignment horizontal="right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42" fillId="0" borderId="74" applyNumberFormat="0" applyFill="0" applyAlignment="0" applyProtection="0"/>
    <xf numFmtId="0" fontId="42" fillId="0" borderId="74" applyNumberFormat="0" applyFill="0" applyAlignment="0" applyProtection="0"/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10" fontId="23" fillId="72" borderId="82" applyNumberFormat="0" applyBorder="0" applyAlignment="0" applyProtection="0"/>
    <xf numFmtId="4" fontId="23" fillId="94" borderId="28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0" fontId="120" fillId="0" borderId="83" applyFill="0" applyProtection="0">
      <alignment horizontal="right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0" fontId="23" fillId="73" borderId="82"/>
    <xf numFmtId="4" fontId="45" fillId="68" borderId="81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33" fillId="54" borderId="79" applyNumberFormat="0" applyProtection="0">
      <alignment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4" fontId="23" fillId="9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0" borderId="75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4" fontId="40" fillId="100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5" fillId="64" borderId="79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3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40" fillId="103" borderId="7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97" borderId="75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5" fillId="68" borderId="81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4" fontId="33" fillId="65" borderId="5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23" fillId="70" borderId="59" applyNumberFormat="0">
      <protection locked="0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120" fillId="0" borderId="83" applyFill="0" applyProtection="0">
      <alignment horizontal="right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121" fillId="104" borderId="84" applyNumberFormat="0" applyAlignment="0" applyProtection="0"/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35" fillId="54" borderId="79" applyNumberFormat="0" applyProtection="0">
      <alignment horizontal="left" vertical="center" indent="1"/>
    </xf>
    <xf numFmtId="0" fontId="121" fillId="104" borderId="84" applyNumberFormat="0" applyAlignment="0" applyProtection="0"/>
    <xf numFmtId="0" fontId="40" fillId="72" borderId="79" applyNumberFormat="0" applyProtection="0">
      <alignment horizontal="left" vertical="top" indent="1"/>
    </xf>
    <xf numFmtId="0" fontId="121" fillId="104" borderId="84" applyNumberFormat="0" applyAlignment="0" applyProtection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10" fontId="23" fillId="72" borderId="82" applyNumberFormat="0" applyBorder="0" applyAlignment="0" applyProtection="0"/>
    <xf numFmtId="4" fontId="36" fillId="82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0" fontId="120" fillId="0" borderId="83" applyFill="0" applyProtection="0">
      <alignment horizontal="right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8" fontId="3" fillId="0" borderId="73" applyFont="0" applyFill="0" applyBorder="0" applyProtection="0">
      <alignment horizontal="right"/>
    </xf>
    <xf numFmtId="0" fontId="32" fillId="0" borderId="38" applyNumberFormat="0" applyFill="0" applyAlignment="0" applyProtection="0"/>
    <xf numFmtId="4" fontId="89" fillId="70" borderId="28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3" fillId="0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33" fillId="66" borderId="79" applyNumberFormat="0" applyProtection="0">
      <alignment horizontal="left" vertical="center" indent="1"/>
    </xf>
    <xf numFmtId="4" fontId="41" fillId="69" borderId="79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82" fillId="100" borderId="7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72" borderId="75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5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82" fillId="72" borderId="75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5" applyNumberFormat="0" applyProtection="0">
      <alignment vertical="center"/>
    </xf>
    <xf numFmtId="4" fontId="88" fillId="101" borderId="79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23" fillId="107" borderId="79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5" fillId="66" borderId="79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40" fillId="63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40" fillId="93" borderId="75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40" fillId="91" borderId="75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7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7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40" fillId="57" borderId="7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135" fillId="116" borderId="84" applyNumberFormat="0" applyAlignment="0" applyProtection="0"/>
    <xf numFmtId="0" fontId="135" fillId="116" borderId="84" applyNumberFormat="0" applyAlignment="0" applyProtection="0"/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28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83" fillId="54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5" applyNumberFormat="0" applyProtection="0">
      <alignment vertical="center"/>
    </xf>
    <xf numFmtId="4" fontId="23" fillId="82" borderId="28" applyNumberFormat="0" applyProtection="0">
      <alignment vertical="center"/>
    </xf>
    <xf numFmtId="0" fontId="36" fillId="54" borderId="79" applyNumberFormat="0" applyProtection="0">
      <alignment horizontal="left" vertical="top" indent="1"/>
    </xf>
    <xf numFmtId="4" fontId="35" fillId="58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0" fontId="78" fillId="79" borderId="75" applyNumberFormat="0" applyAlignment="0" applyProtection="0"/>
    <xf numFmtId="0" fontId="78" fillId="79" borderId="75" applyNumberFormat="0" applyAlignment="0" applyProtection="0"/>
    <xf numFmtId="4" fontId="36" fillId="54" borderId="79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40" fillId="104" borderId="75" applyNumberFormat="0" applyAlignment="0" applyProtection="0"/>
    <xf numFmtId="0" fontId="140" fillId="104" borderId="75" applyNumberFormat="0" applyAlignment="0" applyProtection="0"/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3" fontId="124" fillId="0" borderId="2"/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90" fillId="67" borderId="37">
      <protection locked="0"/>
    </xf>
    <xf numFmtId="49" fontId="92" fillId="110" borderId="37"/>
    <xf numFmtId="0" fontId="127" fillId="0" borderId="49" applyFill="0" applyBorder="0" applyProtection="0">
      <alignment horizontal="left" vertical="top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3" fontId="124" fillId="0" borderId="78"/>
    <xf numFmtId="4" fontId="40" fillId="87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0" fontId="3" fillId="55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113" fillId="54" borderId="79" applyNumberFormat="0" applyProtection="0">
      <alignment vertical="center"/>
    </xf>
    <xf numFmtId="4" fontId="88" fillId="101" borderId="79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9" applyNumberFormat="0" applyProtection="0">
      <alignment horizontal="right" vertical="center"/>
    </xf>
    <xf numFmtId="0" fontId="85" fillId="102" borderId="79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85" fillId="108" borderId="79" applyNumberFormat="0" applyProtection="0">
      <alignment horizontal="left" vertical="top" indent="1"/>
    </xf>
    <xf numFmtId="0" fontId="23" fillId="107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6" fillId="69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1" fillId="69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1" fillId="69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58" borderId="7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4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0" fillId="63" borderId="75" applyNumberFormat="0" applyProtection="0">
      <alignment horizontal="right" vertical="center"/>
    </xf>
    <xf numFmtId="0" fontId="40" fillId="108" borderId="85" applyNumberFormat="0" applyFont="0" applyAlignment="0" applyProtection="0"/>
    <xf numFmtId="0" fontId="40" fillId="108" borderId="85" applyNumberFormat="0" applyFont="0" applyAlignment="0" applyProtection="0"/>
    <xf numFmtId="0" fontId="135" fillId="116" borderId="84" applyNumberFormat="0" applyAlignment="0" applyProtection="0"/>
    <xf numFmtId="0" fontId="135" fillId="116" borderId="84" applyNumberFormat="0" applyAlignment="0" applyProtection="0"/>
    <xf numFmtId="4" fontId="40" fillId="54" borderId="7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93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121" fillId="104" borderId="84" applyNumberFormat="0" applyAlignment="0" applyProtection="0"/>
    <xf numFmtId="0" fontId="121" fillId="104" borderId="84" applyNumberFormat="0" applyAlignment="0" applyProtection="0"/>
    <xf numFmtId="0" fontId="120" fillId="0" borderId="83" applyFill="0" applyProtection="0">
      <alignment horizontal="right"/>
    </xf>
    <xf numFmtId="4" fontId="23" fillId="94" borderId="28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6" fillId="69" borderId="79" applyNumberFormat="0" applyProtection="0">
      <alignment horizontal="right" vertical="center"/>
    </xf>
    <xf numFmtId="4" fontId="45" fillId="68" borderId="81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4" fontId="41" fillId="69" borderId="79" applyNumberFormat="0" applyProtection="0">
      <alignment horizontal="right" vertical="center"/>
    </xf>
    <xf numFmtId="4" fontId="35" fillId="69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33" fillId="66" borderId="81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4" fontId="35" fillId="62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5" fillId="59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58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5" fillId="54" borderId="79" applyNumberFormat="0" applyProtection="0">
      <alignment horizontal="left" vertical="center" indent="1"/>
    </xf>
    <xf numFmtId="4" fontId="34" fillId="54" borderId="79" applyNumberFormat="0" applyProtection="0">
      <alignment vertical="center"/>
    </xf>
    <xf numFmtId="4" fontId="33" fillId="54" borderId="79" applyNumberFormat="0" applyProtection="0">
      <alignment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44" fontId="2" fillId="0" borderId="0" applyFont="0" applyFill="0" applyBorder="0" applyAlignment="0" applyProtection="0"/>
    <xf numFmtId="4" fontId="23" fillId="9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40" fillId="64" borderId="75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194" fontId="124" fillId="0" borderId="47">
      <alignment horizontal="right"/>
    </xf>
    <xf numFmtId="0" fontId="3" fillId="66" borderId="79" applyNumberFormat="0" applyProtection="0">
      <alignment horizontal="left" vertical="center" indent="1"/>
    </xf>
    <xf numFmtId="0" fontId="135" fillId="116" borderId="84" applyNumberFormat="0" applyAlignment="0" applyProtection="0"/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96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3" fontId="2" fillId="0" borderId="0" applyFont="0" applyFill="0" applyBorder="0" applyAlignment="0" applyProtection="0"/>
    <xf numFmtId="0" fontId="127" fillId="0" borderId="49" applyFill="0" applyBorder="0" applyProtection="0">
      <alignment horizontal="left" vertical="top"/>
    </xf>
    <xf numFmtId="4" fontId="40" fillId="92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194" fontId="124" fillId="0" borderId="47">
      <alignment horizontal="right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0" fontId="36" fillId="54" borderId="79" applyNumberFormat="0" applyProtection="0">
      <alignment horizontal="left" vertical="top" indent="1"/>
    </xf>
    <xf numFmtId="4" fontId="36" fillId="54" borderId="79" applyNumberFormat="0" applyProtection="0">
      <alignment horizontal="left" vertical="center" indent="1"/>
    </xf>
    <xf numFmtId="0" fontId="140" fillId="104" borderId="75" applyNumberFormat="0" applyAlignment="0" applyProtection="0"/>
    <xf numFmtId="0" fontId="140" fillId="104" borderId="75" applyNumberFormat="0" applyAlignment="0" applyProtection="0"/>
    <xf numFmtId="4" fontId="36" fillId="54" borderId="79" applyNumberFormat="0" applyProtection="0">
      <alignment horizontal="left" vertical="center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40" fillId="108" borderId="85" applyNumberFormat="0" applyFont="0" applyAlignment="0" applyProtection="0"/>
    <xf numFmtId="0" fontId="135" fillId="116" borderId="84" applyNumberFormat="0" applyAlignment="0" applyProtection="0"/>
    <xf numFmtId="4" fontId="41" fillId="69" borderId="79" applyNumberFormat="0" applyProtection="0">
      <alignment horizontal="right" vertical="center"/>
    </xf>
    <xf numFmtId="4" fontId="33" fillId="66" borderId="81" applyNumberFormat="0" applyProtection="0">
      <alignment horizontal="left" vertical="center" indent="1"/>
    </xf>
    <xf numFmtId="4" fontId="35" fillId="69" borderId="79" applyNumberFormat="0" applyProtection="0">
      <alignment vertical="center"/>
    </xf>
    <xf numFmtId="0" fontId="14" fillId="71" borderId="80" applyBorder="0"/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4" fontId="35" fillId="6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35" fillId="57" borderId="79" applyNumberFormat="0" applyProtection="0">
      <alignment horizontal="right" vertical="center"/>
    </xf>
    <xf numFmtId="4" fontId="35" fillId="56" borderId="79" applyNumberFormat="0" applyProtection="0">
      <alignment horizontal="right" vertical="center"/>
    </xf>
    <xf numFmtId="4" fontId="34" fillId="54" borderId="79" applyNumberFormat="0" applyProtection="0">
      <alignment vertical="center"/>
    </xf>
    <xf numFmtId="4" fontId="33" fillId="54" borderId="79" applyNumberFormat="0" applyProtection="0">
      <alignment vertical="center"/>
    </xf>
    <xf numFmtId="0" fontId="36" fillId="0" borderId="76" applyNumberFormat="0" applyFill="0" applyAlignment="0" applyProtection="0"/>
    <xf numFmtId="0" fontId="36" fillId="0" borderId="76" applyNumberFormat="0" applyFill="0" applyAlignment="0" applyProtection="0"/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3" fillId="68" borderId="79" applyNumberFormat="0" applyProtection="0">
      <alignment horizontal="left" vertical="top" indent="1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36" fillId="82" borderId="79" applyNumberFormat="0" applyProtection="0">
      <alignment vertical="center"/>
    </xf>
    <xf numFmtId="4" fontId="113" fillId="54" borderId="79" applyNumberFormat="0" applyProtection="0">
      <alignment vertical="center"/>
    </xf>
    <xf numFmtId="3" fontId="124" fillId="0" borderId="78"/>
    <xf numFmtId="4" fontId="113" fillId="54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0" fontId="36" fillId="54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0" fontId="36" fillId="0" borderId="76" applyNumberFormat="0" applyFill="0" applyAlignment="0" applyProtection="0"/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88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1" fillId="69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35" fillId="6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4" fontId="40" fillId="95" borderId="79" applyNumberFormat="0" applyProtection="0">
      <alignment horizontal="right" vertical="center"/>
    </xf>
    <xf numFmtId="4" fontId="35" fillId="6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35" fillId="60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4" fontId="35" fillId="5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85" borderId="79" applyNumberFormat="0" applyProtection="0">
      <alignment horizontal="right" vertical="center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96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40" fillId="94" borderId="79" applyNumberFormat="0" applyProtection="0">
      <alignment horizontal="right" vertical="center"/>
    </xf>
    <xf numFmtId="0" fontId="121" fillId="104" borderId="84" applyNumberFormat="0" applyAlignment="0" applyProtection="0"/>
    <xf numFmtId="0" fontId="3" fillId="66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40" fillId="108" borderId="85" applyNumberFormat="0" applyFont="0" applyAlignment="0" applyProtection="0"/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90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3" fontId="124" fillId="0" borderId="78"/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90" borderId="79" applyNumberFormat="0" applyProtection="0">
      <alignment horizontal="right" vertical="center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40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27" fillId="0" borderId="49" applyFill="0" applyBorder="0" applyProtection="0">
      <alignment horizontal="left" vertical="top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3" fontId="124" fillId="0" borderId="78"/>
    <xf numFmtId="0" fontId="40" fillId="72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0" fontId="3" fillId="68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2" fillId="101" borderId="79" applyNumberFormat="0" applyProtection="0">
      <alignment horizontal="right" vertical="center"/>
    </xf>
    <xf numFmtId="0" fontId="40" fillId="72" borderId="79" applyNumberFormat="0" applyProtection="0">
      <alignment horizontal="left" vertical="top" indent="1"/>
    </xf>
    <xf numFmtId="0" fontId="40" fillId="72" borderId="79" applyNumberFormat="0" applyProtection="0">
      <alignment horizontal="left" vertical="top" indent="1"/>
    </xf>
    <xf numFmtId="4" fontId="113" fillId="54" borderId="79" applyNumberFormat="0" applyProtection="0">
      <alignment vertical="center"/>
    </xf>
    <xf numFmtId="4" fontId="113" fillId="54" borderId="79" applyNumberFormat="0" applyProtection="0">
      <alignment vertical="center"/>
    </xf>
    <xf numFmtId="4" fontId="36" fillId="82" borderId="79" applyNumberFormat="0" applyProtection="0">
      <alignment vertical="center"/>
    </xf>
    <xf numFmtId="0" fontId="3" fillId="69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140" fillId="104" borderId="75" applyNumberFormat="0" applyAlignment="0" applyProtection="0"/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4" fontId="40" fillId="102" borderId="79" applyNumberFormat="0" applyProtection="0">
      <alignment horizontal="left" vertical="center" indent="1"/>
    </xf>
    <xf numFmtId="0" fontId="136" fillId="0" borderId="68">
      <alignment horizontal="right"/>
    </xf>
    <xf numFmtId="0" fontId="136" fillId="0" borderId="68">
      <alignment horizontal="left"/>
    </xf>
    <xf numFmtId="0" fontId="3" fillId="55" borderId="79" applyNumberFormat="0" applyProtection="0">
      <alignment horizontal="left" vertical="center" indent="1"/>
    </xf>
    <xf numFmtId="4" fontId="40" fillId="102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81" fillId="0" borderId="68">
      <alignment horizontal="center"/>
    </xf>
    <xf numFmtId="49" fontId="92" fillId="110" borderId="37"/>
    <xf numFmtId="0" fontId="90" fillId="67" borderId="37">
      <protection locked="0"/>
    </xf>
    <xf numFmtId="0" fontId="3" fillId="55" borderId="79" applyNumberFormat="0" applyProtection="0">
      <alignment horizontal="left" vertical="top" indent="1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5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7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8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89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35" fillId="61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0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2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35" fillId="63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4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5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35" fillId="6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96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4" fontId="40" fillId="102" borderId="79" applyNumberFormat="0" applyProtection="0">
      <alignment horizontal="right" vertical="center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35" fillId="69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33" fillId="66" borderId="81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4" fontId="40" fillId="72" borderId="79" applyNumberFormat="0" applyProtection="0">
      <alignment horizontal="left" vertical="center" indent="1"/>
    </xf>
    <xf numFmtId="0" fontId="40" fillId="72" borderId="79" applyNumberFormat="0" applyProtection="0">
      <alignment horizontal="left" vertical="top" indent="1"/>
    </xf>
    <xf numFmtId="4" fontId="40" fillId="72" borderId="79" applyNumberFormat="0" applyProtection="0">
      <alignment horizontal="left" vertical="center" indent="1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40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4" fontId="40" fillId="102" borderId="79" applyNumberFormat="0" applyProtection="0">
      <alignment horizontal="left" vertical="center" indent="1"/>
    </xf>
    <xf numFmtId="0" fontId="36" fillId="0" borderId="76" applyNumberFormat="0" applyFill="0" applyAlignment="0" applyProtection="0"/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102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6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4" fontId="40" fillId="72" borderId="79" applyNumberFormat="0" applyProtection="0">
      <alignment vertical="center"/>
    </xf>
    <xf numFmtId="0" fontId="59" fillId="77" borderId="55" applyNumberFormat="0" applyAlignment="0" applyProtection="0"/>
    <xf numFmtId="4" fontId="82" fillId="72" borderId="79" applyNumberFormat="0" applyProtection="0">
      <alignment vertical="center"/>
    </xf>
    <xf numFmtId="0" fontId="59" fillId="77" borderId="55" applyNumberFormat="0" applyAlignment="0" applyProtection="0"/>
    <xf numFmtId="4" fontId="82" fillId="72" borderId="79" applyNumberFormat="0" applyProtection="0">
      <alignment vertical="center"/>
    </xf>
    <xf numFmtId="4" fontId="40" fillId="102" borderId="79" applyNumberFormat="0" applyProtection="0">
      <alignment horizontal="left" vertical="center" indent="1"/>
    </xf>
    <xf numFmtId="4" fontId="40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4" fontId="36" fillId="54" borderId="79" applyNumberFormat="0" applyProtection="0">
      <alignment horizontal="left" vertical="center" indent="1"/>
    </xf>
    <xf numFmtId="0" fontId="36" fillId="54" borderId="79" applyNumberFormat="0" applyProtection="0">
      <alignment horizontal="left" vertical="top" indent="1"/>
    </xf>
    <xf numFmtId="4" fontId="82" fillId="101" borderId="79" applyNumberFormat="0" applyProtection="0">
      <alignment horizontal="right" vertical="center"/>
    </xf>
    <xf numFmtId="4" fontId="36" fillId="54" borderId="79" applyNumberFormat="0" applyProtection="0">
      <alignment horizontal="left" vertical="center" indent="1"/>
    </xf>
    <xf numFmtId="0" fontId="3" fillId="55" borderId="79" applyNumberFormat="0" applyProtection="0">
      <alignment horizontal="left" vertical="top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4" fontId="40" fillId="95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" fontId="82" fillId="72" borderId="79" applyNumberFormat="0" applyProtection="0">
      <alignment vertical="center"/>
    </xf>
    <xf numFmtId="0" fontId="3" fillId="66" borderId="79" applyNumberFormat="0" applyProtection="0">
      <alignment horizontal="left" vertical="center" indent="1"/>
    </xf>
    <xf numFmtId="4" fontId="82" fillId="101" borderId="79" applyNumberFormat="0" applyProtection="0">
      <alignment horizontal="right" vertical="center"/>
    </xf>
    <xf numFmtId="189" fontId="145" fillId="0" borderId="77" applyBorder="0" applyProtection="0">
      <alignment horizontal="right" vertical="center"/>
    </xf>
    <xf numFmtId="0" fontId="146" fillId="125" borderId="77" applyBorder="0" applyProtection="0">
      <alignment horizontal="centerContinuous" vertical="center"/>
    </xf>
    <xf numFmtId="0" fontId="3" fillId="55" borderId="79" applyNumberFormat="0" applyProtection="0">
      <alignment horizontal="left" vertical="top" indent="1"/>
    </xf>
    <xf numFmtId="0" fontId="3" fillId="55" borderId="79" applyNumberFormat="0" applyProtection="0">
      <alignment horizontal="left" vertical="top" indent="1"/>
    </xf>
    <xf numFmtId="0" fontId="136" fillId="0" borderId="68">
      <alignment horizontal="right"/>
    </xf>
    <xf numFmtId="4" fontId="82" fillId="101" borderId="79" applyNumberFormat="0" applyProtection="0">
      <alignment horizontal="right" vertical="center"/>
    </xf>
    <xf numFmtId="4" fontId="82" fillId="101" borderId="79" applyNumberFormat="0" applyProtection="0">
      <alignment horizontal="right" vertical="center"/>
    </xf>
    <xf numFmtId="0" fontId="3" fillId="68" borderId="79" applyNumberFormat="0" applyProtection="0">
      <alignment horizontal="left" vertical="top" indent="1"/>
    </xf>
    <xf numFmtId="0" fontId="59" fillId="77" borderId="55" applyNumberFormat="0" applyAlignment="0" applyProtection="0"/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0" fontId="40" fillId="68" borderId="79" applyNumberFormat="0" applyProtection="0">
      <alignment horizontal="left" vertical="top" indent="1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88" fillId="101" borderId="79" applyNumberFormat="0" applyProtection="0">
      <alignment horizontal="right" vertical="center"/>
    </xf>
    <xf numFmtId="4" fontId="33" fillId="66" borderId="79" applyNumberFormat="0" applyProtection="0">
      <alignment horizontal="left" vertical="center" indent="1"/>
    </xf>
    <xf numFmtId="0" fontId="3" fillId="68" borderId="79" applyNumberFormat="0" applyProtection="0">
      <alignment horizontal="left" vertical="top" indent="1"/>
    </xf>
    <xf numFmtId="0" fontId="3" fillId="66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center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23" fillId="73" borderId="82"/>
    <xf numFmtId="4" fontId="40" fillId="102" borderId="79" applyNumberFormat="0" applyProtection="0">
      <alignment horizontal="left" vertical="center" indent="1"/>
    </xf>
    <xf numFmtId="0" fontId="135" fillId="116" borderId="84" applyNumberFormat="0" applyAlignment="0" applyProtection="0"/>
    <xf numFmtId="10" fontId="23" fillId="72" borderId="82" applyNumberFormat="0" applyBorder="0" applyAlignment="0" applyProtection="0"/>
    <xf numFmtId="0" fontId="40" fillId="108" borderId="85" applyNumberFormat="0" applyFont="0" applyAlignment="0" applyProtection="0"/>
    <xf numFmtId="0" fontId="3" fillId="69" borderId="79" applyNumberFormat="0" applyProtection="0">
      <alignment horizontal="left" vertical="top" indent="1"/>
    </xf>
    <xf numFmtId="4" fontId="35" fillId="66" borderId="79" applyNumberFormat="0" applyProtection="0">
      <alignment horizontal="right" vertical="center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4" fontId="40" fillId="102" borderId="79" applyNumberFormat="0" applyProtection="0">
      <alignment horizontal="right" vertical="center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0" fontId="3" fillId="69" borderId="79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2" fillId="72" borderId="79" applyNumberFormat="0" applyProtection="0">
      <alignment vertical="center"/>
    </xf>
    <xf numFmtId="4" fontId="40" fillId="72" borderId="79" applyNumberFormat="0" applyProtection="0">
      <alignment horizontal="left" vertical="center" indent="1"/>
    </xf>
    <xf numFmtId="4" fontId="82" fillId="72" borderId="79" applyNumberFormat="0" applyProtection="0">
      <alignment vertical="center"/>
    </xf>
    <xf numFmtId="4" fontId="82" fillId="72" borderId="79" applyNumberFormat="0" applyProtection="0">
      <alignment vertical="center"/>
    </xf>
    <xf numFmtId="0" fontId="3" fillId="69" borderId="79" applyNumberFormat="0" applyProtection="0">
      <alignment horizontal="left" vertical="top" indent="1"/>
    </xf>
    <xf numFmtId="0" fontId="23" fillId="101" borderId="79" applyNumberFormat="0" applyProtection="0">
      <alignment horizontal="left" vertical="top" indent="1"/>
    </xf>
    <xf numFmtId="0" fontId="84" fillId="82" borderId="79" applyNumberFormat="0" applyProtection="0">
      <alignment horizontal="left" vertical="top" indent="1"/>
    </xf>
    <xf numFmtId="0" fontId="30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9" fillId="70" borderId="28" applyNumberFormat="0" applyProtection="0">
      <alignment horizontal="right" vertical="center"/>
    </xf>
    <xf numFmtId="0" fontId="53" fillId="32" borderId="0" applyNumberFormat="0" applyBorder="0" applyAlignment="0" applyProtection="0"/>
    <xf numFmtId="0" fontId="30" fillId="77" borderId="0" applyNumberFormat="0" applyBorder="0" applyAlignment="0" applyProtection="0"/>
    <xf numFmtId="4" fontId="88" fillId="100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4" fillId="0" borderId="88">
      <alignment horizontal="right"/>
    </xf>
    <xf numFmtId="44" fontId="3" fillId="0" borderId="0" applyFont="0" applyFill="0" applyBorder="0" applyAlignment="0" applyProtection="0"/>
    <xf numFmtId="4" fontId="23" fillId="102" borderId="35" applyNumberFormat="0" applyProtection="0">
      <alignment horizontal="left" vertical="center" indent="1"/>
    </xf>
    <xf numFmtId="0" fontId="3" fillId="106" borderId="75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5" fillId="108" borderId="79" applyNumberFormat="0" applyProtection="0">
      <alignment vertical="center"/>
    </xf>
    <xf numFmtId="0" fontId="3" fillId="0" borderId="0"/>
    <xf numFmtId="49" fontId="92" fillId="110" borderId="86"/>
    <xf numFmtId="4" fontId="23" fillId="83" borderId="28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40" fillId="0" borderId="79" applyNumberFormat="0" applyProtection="0">
      <alignment horizontal="left" vertical="center" indent="1"/>
    </xf>
    <xf numFmtId="0" fontId="3" fillId="0" borderId="0"/>
    <xf numFmtId="4" fontId="40" fillId="72" borderId="7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2" fillId="100" borderId="75" applyNumberFormat="0" applyProtection="0">
      <alignment horizontal="right" vertical="center"/>
    </xf>
    <xf numFmtId="0" fontId="3" fillId="103" borderId="7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0" fillId="76" borderId="0" applyNumberFormat="0" applyBorder="0" applyAlignment="0" applyProtection="0"/>
    <xf numFmtId="4" fontId="3" fillId="71" borderId="3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3" fillId="20" borderId="0" applyNumberFormat="0" applyBorder="0" applyAlignment="0" applyProtection="0"/>
    <xf numFmtId="43" fontId="3" fillId="0" borderId="0" applyFont="0" applyFill="0" applyBorder="0" applyAlignment="0" applyProtection="0"/>
    <xf numFmtId="0" fontId="53" fillId="24" borderId="0" applyNumberFormat="0" applyBorder="0" applyAlignment="0" applyProtection="0"/>
    <xf numFmtId="0" fontId="23" fillId="101" borderId="28" applyNumberFormat="0" applyProtection="0">
      <alignment horizontal="left" vertical="center" indent="1"/>
    </xf>
    <xf numFmtId="0" fontId="53" fillId="12" borderId="0" applyNumberFormat="0" applyBorder="0" applyAlignment="0" applyProtection="0"/>
    <xf numFmtId="189" fontId="145" fillId="0" borderId="77" applyBorder="0" applyProtection="0">
      <alignment horizontal="right" vertical="center"/>
    </xf>
    <xf numFmtId="0" fontId="146" fillId="125" borderId="77" applyBorder="0" applyProtection="0">
      <alignment horizontal="centerContinuous" vertical="center"/>
    </xf>
    <xf numFmtId="0" fontId="3" fillId="4" borderId="7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23" fillId="71" borderId="79" applyNumberFormat="0" applyProtection="0">
      <alignment horizontal="left" vertical="top" indent="1"/>
    </xf>
    <xf numFmtId="0" fontId="23" fillId="102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3" fillId="103" borderId="75" applyNumberFormat="0" applyProtection="0">
      <alignment horizontal="left" vertical="center" indent="1"/>
    </xf>
    <xf numFmtId="4" fontId="40" fillId="54" borderId="7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3" fillId="83" borderId="28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53" fillId="16" borderId="0" applyNumberFormat="0" applyBorder="0" applyAlignment="0" applyProtection="0"/>
    <xf numFmtId="43" fontId="3" fillId="0" borderId="0" applyFont="0" applyFill="0" applyBorder="0" applyAlignment="0" applyProtection="0"/>
    <xf numFmtId="0" fontId="23" fillId="102" borderId="79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75" borderId="0" applyNumberFormat="0" applyBorder="0" applyAlignment="0" applyProtection="0"/>
    <xf numFmtId="4" fontId="85" fillId="104" borderId="79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101" borderId="79" applyNumberFormat="0" applyProtection="0">
      <alignment horizontal="left" vertical="top" indent="1"/>
    </xf>
    <xf numFmtId="0" fontId="3" fillId="84" borderId="75" applyNumberFormat="0" applyProtection="0">
      <alignment horizontal="left" vertical="center" indent="1"/>
    </xf>
    <xf numFmtId="0" fontId="146" fillId="125" borderId="77" applyBorder="0" applyProtection="0">
      <alignment horizontal="centerContinuous" vertical="center"/>
    </xf>
    <xf numFmtId="189" fontId="145" fillId="0" borderId="77" applyBorder="0" applyProtection="0">
      <alignment horizontal="right" vertical="center"/>
    </xf>
    <xf numFmtId="0" fontId="30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5" applyNumberFormat="0" applyProtection="0">
      <alignment horizontal="left" vertical="center" indent="1"/>
    </xf>
    <xf numFmtId="0" fontId="23" fillId="101" borderId="79" applyNumberFormat="0" applyProtection="0">
      <alignment horizontal="left" vertical="top" indent="1"/>
    </xf>
    <xf numFmtId="0" fontId="23" fillId="71" borderId="79" applyNumberFormat="0" applyProtection="0">
      <alignment horizontal="left" vertical="top" indent="1"/>
    </xf>
    <xf numFmtId="0" fontId="3" fillId="106" borderId="75" applyNumberFormat="0" applyProtection="0">
      <alignment horizontal="left" vertical="center" indent="1"/>
    </xf>
    <xf numFmtId="4" fontId="82" fillId="54" borderId="75" applyNumberFormat="0" applyProtection="0">
      <alignment vertical="center"/>
    </xf>
    <xf numFmtId="0" fontId="85" fillId="108" borderId="79" applyNumberFormat="0" applyProtection="0">
      <alignment horizontal="left" vertical="top" indent="1"/>
    </xf>
    <xf numFmtId="0" fontId="53" fillId="16" borderId="0" applyNumberFormat="0" applyBorder="0" applyAlignment="0" applyProtection="0"/>
    <xf numFmtId="0" fontId="53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5" borderId="28" applyNumberFormat="0" applyProtection="0">
      <alignment horizontal="left" vertical="center" indent="1"/>
    </xf>
    <xf numFmtId="4" fontId="40" fillId="72" borderId="75" applyNumberFormat="0" applyProtection="0">
      <alignment vertical="center"/>
    </xf>
    <xf numFmtId="0" fontId="30" fillId="38" borderId="0" applyNumberFormat="0" applyBorder="0" applyAlignment="0" applyProtection="0"/>
    <xf numFmtId="44" fontId="1" fillId="0" borderId="0" applyFont="0" applyFill="0" applyBorder="0" applyAlignment="0" applyProtection="0"/>
    <xf numFmtId="0" fontId="53" fillId="20" borderId="0" applyNumberFormat="0" applyBorder="0" applyAlignment="0" applyProtection="0"/>
    <xf numFmtId="0" fontId="3" fillId="84" borderId="75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3" fillId="107" borderId="79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0" borderId="0"/>
    <xf numFmtId="4" fontId="23" fillId="83" borderId="28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0" fillId="121" borderId="10" applyNumberFormat="0" applyFont="0" applyAlignment="0" applyProtection="0"/>
    <xf numFmtId="0" fontId="30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104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5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23" fillId="102" borderId="79" applyNumberFormat="0" applyProtection="0">
      <alignment horizontal="left" vertical="top" indent="1"/>
    </xf>
    <xf numFmtId="4" fontId="82" fillId="72" borderId="75" applyNumberFormat="0" applyProtection="0">
      <alignment vertical="center"/>
    </xf>
    <xf numFmtId="0" fontId="3" fillId="0" borderId="0"/>
    <xf numFmtId="0" fontId="30" fillId="78" borderId="0" applyNumberFormat="0" applyBorder="0" applyAlignment="0" applyProtection="0"/>
    <xf numFmtId="0" fontId="30" fillId="75" borderId="0" applyNumberFormat="0" applyBorder="0" applyAlignment="0" applyProtection="0"/>
    <xf numFmtId="0" fontId="53" fillId="12" borderId="0" applyNumberFormat="0" applyBorder="0" applyAlignment="0" applyProtection="0"/>
    <xf numFmtId="4" fontId="40" fillId="72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5" applyNumberFormat="0" applyProtection="0">
      <alignment horizontal="left" vertical="center" indent="1"/>
    </xf>
    <xf numFmtId="0" fontId="30" fillId="76" borderId="0" applyNumberFormat="0" applyBorder="0" applyAlignment="0" applyProtection="0"/>
    <xf numFmtId="0" fontId="23" fillId="107" borderId="79" applyNumberFormat="0" applyProtection="0">
      <alignment horizontal="left" vertical="top" indent="1"/>
    </xf>
    <xf numFmtId="0" fontId="3" fillId="0" borderId="75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3" fillId="54" borderId="28" applyNumberFormat="0" applyProtection="0">
      <alignment vertical="center"/>
    </xf>
    <xf numFmtId="0" fontId="3" fillId="84" borderId="75" applyNumberFormat="0" applyProtection="0">
      <alignment horizontal="left" vertical="center" indent="1"/>
    </xf>
    <xf numFmtId="0" fontId="3" fillId="84" borderId="75" applyNumberFormat="0" applyProtection="0">
      <alignment horizontal="left" vertical="center" indent="1"/>
    </xf>
    <xf numFmtId="0" fontId="53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5" fillId="0" borderId="56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74" borderId="0" applyNumberFormat="0" applyBorder="0" applyAlignment="0" applyProtection="0"/>
    <xf numFmtId="0" fontId="30" fillId="38" borderId="0" applyNumberFormat="0" applyBorder="0" applyAlignment="0" applyProtection="0"/>
    <xf numFmtId="0" fontId="3" fillId="0" borderId="0"/>
    <xf numFmtId="4" fontId="83" fillId="67" borderId="28" applyNumberFormat="0" applyProtection="0">
      <alignment horizontal="right" vertical="center"/>
    </xf>
    <xf numFmtId="0" fontId="90" fillId="67" borderId="86">
      <protection locked="0"/>
    </xf>
    <xf numFmtId="4" fontId="23" fillId="102" borderId="28" applyNumberFormat="0" applyProtection="0">
      <alignment horizontal="right" vertical="center"/>
    </xf>
    <xf numFmtId="0" fontId="86" fillId="0" borderId="0"/>
    <xf numFmtId="0" fontId="3" fillId="106" borderId="75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79" borderId="89" applyNumberFormat="0" applyAlignment="0" applyProtection="0"/>
    <xf numFmtId="0" fontId="57" fillId="79" borderId="89" applyNumberFormat="0" applyAlignment="0" applyProtection="0"/>
    <xf numFmtId="0" fontId="70" fillId="49" borderId="89" applyNumberFormat="0" applyAlignment="0" applyProtection="0"/>
    <xf numFmtId="0" fontId="70" fillId="49" borderId="89" applyNumberForma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83" fillId="54" borderId="89" applyNumberFormat="0" applyProtection="0">
      <alignment vertical="center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83" fillId="67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87" fillId="109" borderId="90" applyNumberFormat="0" applyProtection="0">
      <alignment horizontal="left" vertical="center" indent="1"/>
    </xf>
    <xf numFmtId="4" fontId="89" fillId="70" borderId="89" applyNumberFormat="0" applyProtection="0">
      <alignment horizontal="right" vertical="center"/>
    </xf>
    <xf numFmtId="0" fontId="32" fillId="0" borderId="92" applyNumberFormat="0" applyFill="0" applyAlignment="0" applyProtection="0"/>
    <xf numFmtId="0" fontId="32" fillId="0" borderId="92" applyNumberFormat="0" applyFill="0" applyAlignment="0" applyProtection="0"/>
    <xf numFmtId="0" fontId="3" fillId="84" borderId="34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0" fillId="88" borderId="20" applyNumberFormat="0" applyProtection="0">
      <alignment horizontal="right" vertical="center"/>
    </xf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40" fillId="108" borderId="94" applyNumberFormat="0" applyFont="0" applyAlignment="0" applyProtection="0"/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63" borderId="34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40" fillId="54" borderId="34" applyNumberFormat="0" applyProtection="0">
      <alignment vertical="center"/>
    </xf>
    <xf numFmtId="4" fontId="82" fillId="54" borderId="34" applyNumberFormat="0" applyProtection="0">
      <alignment vertical="center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40" fillId="54" borderId="34" applyNumberFormat="0" applyProtection="0">
      <alignment vertical="center"/>
    </xf>
    <xf numFmtId="0" fontId="85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64" borderId="34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4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85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85" fillId="10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40" fillId="72" borderId="20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40" fillId="72" borderId="34" applyNumberFormat="0" applyProtection="0">
      <alignment vertical="center"/>
    </xf>
    <xf numFmtId="4" fontId="35" fillId="62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3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14" fillId="71" borderId="24" applyBorder="0"/>
    <xf numFmtId="4" fontId="35" fillId="69" borderId="20" applyNumberFormat="0" applyProtection="0">
      <alignment vertical="center"/>
    </xf>
    <xf numFmtId="4" fontId="40" fillId="100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100" borderId="91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99" borderId="34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82" fillId="54" borderId="34" applyNumberFormat="0" applyProtection="0">
      <alignment vertical="center"/>
    </xf>
    <xf numFmtId="4" fontId="40" fillId="54" borderId="34" applyNumberFormat="0" applyProtection="0">
      <alignment vertical="center"/>
    </xf>
    <xf numFmtId="4" fontId="33" fillId="54" borderId="20" applyNumberFormat="0" applyProtection="0">
      <alignment vertical="center"/>
    </xf>
    <xf numFmtId="4" fontId="40" fillId="0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78" fillId="79" borderId="34" applyNumberFormat="0" applyAlignment="0" applyProtection="0"/>
    <xf numFmtId="0" fontId="78" fillId="79" borderId="34" applyNumberFormat="0" applyAlignment="0" applyProtection="0"/>
    <xf numFmtId="4" fontId="35" fillId="64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0" fontId="78" fillId="79" borderId="34" applyNumberFormat="0" applyAlignment="0" applyProtection="0"/>
    <xf numFmtId="4" fontId="36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5" fillId="59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88" fillId="100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61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40" fillId="0" borderId="34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9" fontId="92" fillId="110" borderId="86"/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0" fontId="127" fillId="0" borderId="87" applyFill="0" applyBorder="0" applyProtection="0">
      <alignment horizontal="left" vertical="top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14" fillId="71" borderId="24" applyBorder="0"/>
    <xf numFmtId="0" fontId="3" fillId="0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100" borderId="91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85" fillId="108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4" fontId="35" fillId="69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35" fillId="58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40" fillId="97" borderId="34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88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40" fillId="10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0" fontId="23" fillId="48" borderId="89" applyNumberFormat="0" applyFont="0" applyAlignment="0" applyProtection="0"/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54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4" fontId="23" fillId="0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135" fillId="116" borderId="93" applyNumberFormat="0" applyAlignment="0" applyProtection="0"/>
    <xf numFmtId="0" fontId="135" fillId="116" borderId="93" applyNumberFormat="0" applyAlignment="0" applyProtection="0"/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35" fillId="116" borderId="93" applyNumberFormat="0" applyAlignment="0" applyProtection="0"/>
    <xf numFmtId="0" fontId="135" fillId="116" borderId="93" applyNumberFormat="0" applyAlignment="0" applyProtection="0"/>
    <xf numFmtId="0" fontId="121" fillId="104" borderId="93" applyNumberFormat="0" applyAlignment="0" applyProtection="0"/>
    <xf numFmtId="0" fontId="121" fillId="104" borderId="93" applyNumberFormat="0" applyAlignment="0" applyProtection="0"/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4" fontId="45" fillId="68" borderId="25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9" fontId="92" fillId="110" borderId="86"/>
    <xf numFmtId="0" fontId="3" fillId="69" borderId="20" applyNumberFormat="0" applyProtection="0">
      <alignment horizontal="left" vertical="center" indent="1"/>
    </xf>
    <xf numFmtId="0" fontId="90" fillId="67" borderId="86">
      <protection locked="0"/>
    </xf>
    <xf numFmtId="0" fontId="23" fillId="102" borderId="20" applyNumberFormat="0" applyProtection="0">
      <alignment horizontal="left" vertical="top" indent="1"/>
    </xf>
    <xf numFmtId="4" fontId="35" fillId="69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4" fontId="40" fillId="103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35" fillId="63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82" fillId="54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90" fillId="67" borderId="86">
      <protection locked="0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5" fillId="68" borderId="25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72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40" fillId="63" borderId="34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1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9" fontId="92" fillId="110" borderId="86"/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5" fillId="57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82" fillId="54" borderId="34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85" fillId="108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90" fillId="67" borderId="86">
      <protection locked="0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85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40" fillId="72" borderId="20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34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57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57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5" fillId="56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4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3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135" fillId="116" borderId="93" applyNumberFormat="0" applyAlignment="0" applyProtection="0"/>
    <xf numFmtId="0" fontId="135" fillId="116" borderId="93" applyNumberFormat="0" applyAlignment="0" applyProtection="0"/>
    <xf numFmtId="0" fontId="36" fillId="54" borderId="20" applyNumberFormat="0" applyProtection="0">
      <alignment horizontal="left" vertical="top" indent="1"/>
    </xf>
    <xf numFmtId="4" fontId="40" fillId="88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5" fillId="69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82" fillId="72" borderId="34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4" fontId="35" fillId="69" borderId="20" applyNumberFormat="0" applyProtection="0">
      <alignment vertical="center"/>
    </xf>
    <xf numFmtId="0" fontId="23" fillId="102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121" fillId="104" borderId="93" applyNumberFormat="0" applyAlignment="0" applyProtection="0"/>
    <xf numFmtId="4" fontId="40" fillId="101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54" borderId="34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4" fontId="40" fillId="100" borderId="91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4" fontId="36" fillId="99" borderId="34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5" fillId="68" borderId="25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9" fontId="92" fillId="110" borderId="86"/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36" fillId="99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94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5" fillId="64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0" borderId="91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135" fillId="116" borderId="93" applyNumberFormat="0" applyAlignment="0" applyProtection="0"/>
    <xf numFmtId="4" fontId="40" fillId="93" borderId="34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4" fillId="54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120" fillId="0" borderId="46" applyFill="0" applyProtection="0">
      <alignment horizontal="right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3" fillId="0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49" fontId="92" fillId="110" borderId="86"/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35" fillId="116" borderId="93" applyNumberFormat="0" applyAlignment="0" applyProtection="0"/>
    <xf numFmtId="0" fontId="135" fillId="116" borderId="93" applyNumberFormat="0" applyAlignment="0" applyProtection="0"/>
    <xf numFmtId="4" fontId="40" fillId="54" borderId="34" applyNumberFormat="0" applyProtection="0">
      <alignment horizontal="left" vertical="center" indent="1"/>
    </xf>
    <xf numFmtId="194" fontId="124" fillId="0" borderId="88">
      <alignment horizontal="right"/>
    </xf>
    <xf numFmtId="4" fontId="40" fillId="5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vertical="center"/>
    </xf>
    <xf numFmtId="4" fontId="3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6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66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1" fillId="69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6" fillId="0" borderId="95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127" fillId="0" borderId="87" applyFill="0" applyBorder="0" applyProtection="0">
      <alignment horizontal="left" vertical="top"/>
    </xf>
    <xf numFmtId="0" fontId="3" fillId="68" borderId="20" applyNumberFormat="0" applyProtection="0">
      <alignment horizontal="left" vertical="top" indent="1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3" fontId="124" fillId="0" borderId="43"/>
    <xf numFmtId="0" fontId="3" fillId="68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78" fillId="79" borderId="34" applyNumberFormat="0" applyAlignment="0" applyProtection="0"/>
    <xf numFmtId="4" fontId="46" fillId="69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58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95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35" fillId="116" borderId="93" applyNumberFormat="0" applyAlignment="0" applyProtection="0"/>
    <xf numFmtId="0" fontId="135" fillId="116" borderId="93" applyNumberFormat="0" applyAlignment="0" applyProtection="0"/>
    <xf numFmtId="0" fontId="3" fillId="68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120" fillId="0" borderId="46" applyFill="0" applyProtection="0">
      <alignment horizontal="right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4" fontId="35" fillId="64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61" borderId="34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90" fillId="67" borderId="86">
      <protection locked="0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194" fontId="124" fillId="0" borderId="88">
      <alignment horizontal="right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6" fillId="0" borderId="95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9" fontId="92" fillId="110" borderId="86"/>
    <xf numFmtId="0" fontId="3" fillId="68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35" fillId="69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88" fillId="100" borderId="34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0" fontId="23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78" fillId="79" borderId="34" applyNumberFormat="0" applyAlignment="0" applyProtection="0"/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94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9" fontId="92" fillId="110" borderId="86"/>
    <xf numFmtId="4" fontId="40" fillId="54" borderId="34" applyNumberFormat="0" applyProtection="0">
      <alignment vertical="center"/>
    </xf>
    <xf numFmtId="4" fontId="40" fillId="72" borderId="20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40" fillId="8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6" fillId="0" borderId="95" applyNumberFormat="0" applyFill="0" applyAlignment="0" applyProtection="0"/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58" borderId="34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120" fillId="0" borderId="46" applyFill="0" applyProtection="0">
      <alignment horizontal="right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4" fontId="113" fillId="54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23" fillId="102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121" fillId="104" borderId="93" applyNumberFormat="0" applyAlignment="0" applyProtection="0"/>
    <xf numFmtId="4" fontId="113" fillId="54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135" fillId="116" borderId="93" applyNumberFormat="0" applyAlignment="0" applyProtection="0"/>
    <xf numFmtId="0" fontId="135" fillId="116" borderId="93" applyNumberFormat="0" applyAlignment="0" applyProtection="0"/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84" fillId="82" borderId="20" applyNumberFormat="0" applyProtection="0">
      <alignment horizontal="left" vertical="top" indent="1"/>
    </xf>
    <xf numFmtId="194" fontId="124" fillId="0" borderId="88">
      <alignment horizontal="right"/>
    </xf>
    <xf numFmtId="4" fontId="40" fillId="63" borderId="34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5" fillId="68" borderId="25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82" fillId="72" borderId="34" applyNumberFormat="0" applyProtection="0">
      <alignment vertical="center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55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89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0" fontId="90" fillId="67" borderId="86">
      <protection locked="0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88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4" fontId="45" fillId="68" borderId="25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4" fontId="85" fillId="108" borderId="20" applyNumberFormat="0" applyProtection="0">
      <alignment vertical="center"/>
    </xf>
    <xf numFmtId="0" fontId="127" fillId="0" borderId="87" applyFill="0" applyBorder="0" applyProtection="0">
      <alignment horizontal="left" vertical="top"/>
    </xf>
    <xf numFmtId="4" fontId="40" fillId="58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3" fontId="124" fillId="0" borderId="43"/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87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63" borderId="20" applyNumberFormat="0" applyProtection="0">
      <alignment horizontal="right" vertical="center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35" fillId="116" borderId="93" applyNumberFormat="0" applyAlignment="0" applyProtection="0"/>
    <xf numFmtId="0" fontId="135" fillId="116" borderId="93" applyNumberFormat="0" applyAlignment="0" applyProtection="0"/>
    <xf numFmtId="0" fontId="23" fillId="71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90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120" fillId="0" borderId="46" applyFill="0" applyProtection="0">
      <alignment horizontal="right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4" fontId="45" fillId="68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40" fillId="108" borderId="94" applyNumberFormat="0" applyFont="0" applyAlignment="0" applyProtection="0"/>
    <xf numFmtId="0" fontId="3" fillId="66" borderId="20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4" fontId="40" fillId="0" borderId="20" applyNumberFormat="0" applyProtection="0">
      <alignment horizontal="left" vertical="center" indent="1"/>
    </xf>
    <xf numFmtId="4" fontId="40" fillId="58" borderId="34" applyNumberFormat="0" applyProtection="0">
      <alignment horizontal="right" vertical="center"/>
    </xf>
    <xf numFmtId="4" fontId="36" fillId="99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35" fillId="69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58" borderId="34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40" fillId="91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40" fillId="64" borderId="34" applyNumberFormat="0" applyProtection="0">
      <alignment horizontal="right" vertical="center"/>
    </xf>
    <xf numFmtId="4" fontId="85" fillId="10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0" fontId="120" fillId="0" borderId="46" applyFill="0" applyProtection="0">
      <alignment horizontal="right"/>
    </xf>
    <xf numFmtId="0" fontId="3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5" fillId="68" borderId="25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0" fontId="84" fillId="82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72" borderId="34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5" fillId="69" borderId="20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78" fillId="79" borderId="34" applyNumberFormat="0" applyAlignment="0" applyProtection="0"/>
    <xf numFmtId="4" fontId="40" fillId="54" borderId="34" applyNumberFormat="0" applyProtection="0">
      <alignment horizontal="left" vertical="center" indent="1"/>
    </xf>
    <xf numFmtId="4" fontId="82" fillId="54" borderId="34" applyNumberFormat="0" applyProtection="0">
      <alignment vertical="center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100" borderId="91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194" fontId="124" fillId="0" borderId="88">
      <alignment horizontal="right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90" fillId="67" borderId="86">
      <protection locked="0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5" fillId="69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14" fillId="71" borderId="24" applyBorder="0"/>
    <xf numFmtId="4" fontId="41" fillId="69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60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23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121" fillId="104" borderId="93" applyNumberFormat="0" applyAlignment="0" applyProtection="0"/>
    <xf numFmtId="4" fontId="40" fillId="72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91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78" fillId="79" borderId="34" applyNumberFormat="0" applyAlignment="0" applyProtection="0"/>
    <xf numFmtId="4" fontId="35" fillId="69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140" fillId="104" borderId="34" applyNumberFormat="0" applyAlignment="0" applyProtection="0"/>
    <xf numFmtId="4" fontId="40" fillId="0" borderId="34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194" fontId="124" fillId="0" borderId="88">
      <alignment horizontal="right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0" fontId="40" fillId="108" borderId="94" applyNumberFormat="0" applyFont="0" applyAlignment="0" applyProtection="0"/>
    <xf numFmtId="4" fontId="40" fillId="72" borderId="20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14" fillId="71" borderId="24" applyBorder="0"/>
    <xf numFmtId="4" fontId="35" fillId="6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5" fillId="61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85" fillId="10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1" fillId="69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103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78" fillId="79" borderId="34" applyNumberFormat="0" applyAlignment="0" applyProtection="0"/>
    <xf numFmtId="4" fontId="36" fillId="8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0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127" fillId="0" borderId="87" applyFill="0" applyBorder="0" applyProtection="0">
      <alignment horizontal="left" vertical="top"/>
    </xf>
    <xf numFmtId="3" fontId="124" fillId="0" borderId="43"/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135" fillId="116" borderId="93" applyNumberFormat="0" applyAlignment="0" applyProtection="0"/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100" borderId="91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90" fillId="67" borderId="86">
      <protection locked="0"/>
    </xf>
    <xf numFmtId="49" fontId="92" fillId="110" borderId="86"/>
    <xf numFmtId="0" fontId="40" fillId="68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35" fillId="61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40" fillId="94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6" fillId="99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0" borderId="91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57" borderId="34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5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127" fillId="0" borderId="87" applyFill="0" applyBorder="0" applyProtection="0">
      <alignment horizontal="left" vertical="top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35" fillId="69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35" fillId="57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0" borderId="91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194" fontId="124" fillId="0" borderId="88">
      <alignment horizontal="right"/>
    </xf>
    <xf numFmtId="4" fontId="40" fillId="88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97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82" fillId="100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103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0" fontId="40" fillId="108" borderId="94" applyNumberFormat="0" applyFont="0" applyAlignment="0" applyProtection="0"/>
    <xf numFmtId="0" fontId="85" fillId="102" borderId="20" applyNumberFormat="0" applyProtection="0">
      <alignment horizontal="left" vertical="top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41" fillId="69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88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35" fillId="57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84" fillId="82" borderId="20" applyNumberFormat="0" applyProtection="0">
      <alignment horizontal="left" vertical="top" indent="1"/>
    </xf>
    <xf numFmtId="4" fontId="40" fillId="72" borderId="34" applyNumberFormat="0" applyProtection="0">
      <alignment vertical="center"/>
    </xf>
    <xf numFmtId="4" fontId="36" fillId="82" borderId="20" applyNumberFormat="0" applyProtection="0">
      <alignment vertical="center"/>
    </xf>
    <xf numFmtId="0" fontId="14" fillId="71" borderId="24" applyBorder="0"/>
    <xf numFmtId="4" fontId="35" fillId="69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8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35" fillId="6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5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0" fontId="121" fillId="104" borderId="93" applyNumberFormat="0" applyAlignment="0" applyProtection="0"/>
    <xf numFmtId="0" fontId="120" fillId="0" borderId="46" applyFill="0" applyProtection="0">
      <alignment horizontal="right"/>
    </xf>
    <xf numFmtId="0" fontId="135" fillId="116" borderId="93" applyNumberFormat="0" applyAlignment="0" applyProtection="0"/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6" fillId="0" borderId="95" applyNumberFormat="0" applyFill="0" applyAlignment="0" applyProtection="0"/>
    <xf numFmtId="0" fontId="40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0" fontId="40" fillId="108" borderId="94" applyNumberFormat="0" applyFont="0" applyAlignment="0" applyProtection="0"/>
    <xf numFmtId="4" fontId="36" fillId="54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54" borderId="34" applyNumberFormat="0" applyProtection="0">
      <alignment vertical="center"/>
    </xf>
    <xf numFmtId="4" fontId="40" fillId="57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72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60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85" fillId="102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90" fillId="67" borderId="86">
      <protection locked="0"/>
    </xf>
    <xf numFmtId="4" fontId="33" fillId="66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35" fillId="58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4" fontId="40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90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35" fillId="5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64" borderId="34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6" fillId="99" borderId="34" applyNumberFormat="0" applyProtection="0">
      <alignment horizontal="left" vertical="center" indent="1"/>
    </xf>
    <xf numFmtId="4" fontId="45" fillId="68" borderId="25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40" fillId="97" borderId="34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4" fontId="85" fillId="104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120" fillId="0" borderId="46" applyFill="0" applyProtection="0">
      <alignment horizontal="right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40" fillId="68" borderId="20" applyNumberFormat="0" applyProtection="0">
      <alignment horizontal="left" vertical="top" indent="1"/>
    </xf>
    <xf numFmtId="4" fontId="82" fillId="10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82" fillId="72" borderId="34" applyNumberFormat="0" applyProtection="0">
      <alignment vertical="center"/>
    </xf>
    <xf numFmtId="4" fontId="40" fillId="72" borderId="34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0" fontId="135" fillId="116" borderId="93" applyNumberFormat="0" applyAlignment="0" applyProtection="0"/>
    <xf numFmtId="0" fontId="135" fillId="116" borderId="93" applyNumberFormat="0" applyAlignment="0" applyProtection="0"/>
    <xf numFmtId="4" fontId="40" fillId="54" borderId="34" applyNumberFormat="0" applyProtection="0">
      <alignment horizontal="left" vertical="center" indent="1"/>
    </xf>
    <xf numFmtId="194" fontId="124" fillId="0" borderId="88">
      <alignment horizontal="right"/>
    </xf>
    <xf numFmtId="4" fontId="40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vertical="center"/>
    </xf>
    <xf numFmtId="0" fontId="78" fillId="79" borderId="34" applyNumberFormat="0" applyAlignment="0" applyProtection="0"/>
    <xf numFmtId="0" fontId="78" fillId="79" borderId="34" applyNumberFormat="0" applyAlignment="0" applyProtection="0"/>
    <xf numFmtId="0" fontId="3" fillId="69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27" fillId="0" borderId="87" applyFill="0" applyBorder="0" applyProtection="0">
      <alignment horizontal="left" vertical="top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3" fontId="124" fillId="0" borderId="43"/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5" fillId="104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35" fillId="116" borderId="93" applyNumberFormat="0" applyAlignment="0" applyProtection="0"/>
    <xf numFmtId="0" fontId="135" fillId="116" borderId="93" applyNumberFormat="0" applyAlignment="0" applyProtection="0"/>
    <xf numFmtId="4" fontId="35" fillId="61" borderId="20" applyNumberFormat="0" applyProtection="0">
      <alignment horizontal="right" vertical="center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120" fillId="0" borderId="46" applyFill="0" applyProtection="0">
      <alignment horizontal="right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59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97" borderId="34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120" fillId="0" borderId="46" applyFill="0" applyProtection="0">
      <alignment horizontal="right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121" fillId="104" borderId="93" applyNumberFormat="0" applyAlignment="0" applyProtection="0"/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121" fillId="104" borderId="93" applyNumberFormat="0" applyAlignment="0" applyProtection="0"/>
    <xf numFmtId="0" fontId="40" fillId="72" borderId="20" applyNumberFormat="0" applyProtection="0">
      <alignment horizontal="left" vertical="top" indent="1"/>
    </xf>
    <xf numFmtId="0" fontId="121" fillId="104" borderId="93" applyNumberFormat="0" applyAlignment="0" applyProtection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120" fillId="0" borderId="46" applyFill="0" applyProtection="0">
      <alignment horizontal="right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40" fillId="68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63" borderId="34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93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35" fillId="116" borderId="93" applyNumberFormat="0" applyAlignment="0" applyProtection="0"/>
    <xf numFmtId="0" fontId="135" fillId="116" borderId="93" applyNumberFormat="0" applyAlignment="0" applyProtection="0"/>
    <xf numFmtId="4" fontId="40" fillId="54" borderId="34" applyNumberFormat="0" applyProtection="0">
      <alignment horizontal="left" vertical="center" indent="1"/>
    </xf>
    <xf numFmtId="194" fontId="124" fillId="0" borderId="88">
      <alignment horizontal="right"/>
    </xf>
    <xf numFmtId="4" fontId="40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0" fontId="78" fillId="79" borderId="34" applyNumberFormat="0" applyAlignment="0" applyProtection="0"/>
    <xf numFmtId="0" fontId="78" fillId="79" borderId="34" applyNumberFormat="0" applyAlignment="0" applyProtection="0"/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90" fillId="67" borderId="86">
      <protection locked="0"/>
    </xf>
    <xf numFmtId="49" fontId="92" fillId="110" borderId="86"/>
    <xf numFmtId="0" fontId="127" fillId="0" borderId="87" applyFill="0" applyBorder="0" applyProtection="0">
      <alignment horizontal="left" vertical="top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3" fontId="124" fillId="0" borderId="43"/>
    <xf numFmtId="4" fontId="40" fillId="87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85" fillId="102" borderId="20" applyNumberFormat="0" applyProtection="0">
      <alignment horizontal="left" vertical="top" indent="1"/>
    </xf>
    <xf numFmtId="0" fontId="85" fillId="108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58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40" fillId="108" borderId="94" applyNumberFormat="0" applyFont="0" applyAlignment="0" applyProtection="0"/>
    <xf numFmtId="0" fontId="40" fillId="108" borderId="94" applyNumberFormat="0" applyFont="0" applyAlignment="0" applyProtection="0"/>
    <xf numFmtId="0" fontId="135" fillId="116" borderId="93" applyNumberFormat="0" applyAlignment="0" applyProtection="0"/>
    <xf numFmtId="0" fontId="135" fillId="116" borderId="93" applyNumberFormat="0" applyAlignment="0" applyProtection="0"/>
    <xf numFmtId="4" fontId="40" fillId="54" borderId="34" applyNumberFormat="0" applyProtection="0">
      <alignment horizontal="left" vertical="center" indent="1"/>
    </xf>
    <xf numFmtId="4" fontId="40" fillId="93" borderId="34" applyNumberFormat="0" applyProtection="0">
      <alignment horizontal="right" vertical="center"/>
    </xf>
    <xf numFmtId="0" fontId="121" fillId="104" borderId="93" applyNumberFormat="0" applyAlignment="0" applyProtection="0"/>
    <xf numFmtId="0" fontId="121" fillId="104" borderId="93" applyNumberFormat="0" applyAlignment="0" applyProtection="0"/>
    <xf numFmtId="0" fontId="120" fillId="0" borderId="46" applyFill="0" applyProtection="0">
      <alignment horizontal="right"/>
    </xf>
    <xf numFmtId="4" fontId="40" fillId="64" borderId="34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64" borderId="34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194" fontId="124" fillId="0" borderId="88">
      <alignment horizontal="right"/>
    </xf>
    <xf numFmtId="0" fontId="3" fillId="66" borderId="20" applyNumberFormat="0" applyProtection="0">
      <alignment horizontal="left" vertical="center" indent="1"/>
    </xf>
    <xf numFmtId="0" fontId="135" fillId="116" borderId="93" applyNumberFormat="0" applyAlignment="0" applyProtection="0"/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127" fillId="0" borderId="87" applyFill="0" applyBorder="0" applyProtection="0">
      <alignment horizontal="left" vertical="top"/>
    </xf>
    <xf numFmtId="4" fontId="40" fillId="92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194" fontId="124" fillId="0" borderId="88">
      <alignment horizontal="right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40" fillId="108" borderId="94" applyNumberFormat="0" applyFont="0" applyAlignment="0" applyProtection="0"/>
    <xf numFmtId="0" fontId="135" fillId="116" borderId="93" applyNumberFormat="0" applyAlignment="0" applyProtection="0"/>
    <xf numFmtId="4" fontId="41" fillId="69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6" fillId="0" borderId="95" applyNumberFormat="0" applyFill="0" applyAlignment="0" applyProtection="0"/>
    <xf numFmtId="0" fontId="36" fillId="0" borderId="95" applyNumberFormat="0" applyFill="0" applyAlignment="0" applyProtection="0"/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127" fillId="0" borderId="87" applyFill="0" applyBorder="0" applyProtection="0">
      <alignment horizontal="left" vertical="top"/>
    </xf>
    <xf numFmtId="0" fontId="36" fillId="0" borderId="95" applyNumberFormat="0" applyFill="0" applyAlignment="0" applyProtection="0"/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0" fontId="121" fillId="104" borderId="93" applyNumberFormat="0" applyAlignment="0" applyProtection="0"/>
    <xf numFmtId="0" fontId="3" fillId="66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40" fillId="108" borderId="94" applyNumberFormat="0" applyFont="0" applyAlignment="0" applyProtection="0"/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3" fontId="124" fillId="0" borderId="43"/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27" fillId="0" borderId="87" applyFill="0" applyBorder="0" applyProtection="0">
      <alignment horizontal="left" vertical="top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3" fontId="124" fillId="0" borderId="43"/>
    <xf numFmtId="0" fontId="40" fillId="72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9" fontId="92" fillId="110" borderId="86"/>
    <xf numFmtId="0" fontId="90" fillId="67" borderId="86">
      <protection locked="0"/>
    </xf>
    <xf numFmtId="0" fontId="3" fillId="55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36" fillId="0" borderId="95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135" fillId="116" borderId="93" applyNumberFormat="0" applyAlignment="0" applyProtection="0"/>
    <xf numFmtId="0" fontId="40" fillId="108" borderId="94" applyNumberFormat="0" applyFont="0" applyAlignment="0" applyProtection="0"/>
    <xf numFmtId="0" fontId="3" fillId="69" borderId="20" applyNumberFormat="0" applyProtection="0">
      <alignment horizontal="left" vertical="top" indent="1"/>
    </xf>
    <xf numFmtId="4" fontId="35" fillId="66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3" fillId="92" borderId="89" applyNumberFormat="0" applyProtection="0">
      <alignment horizontal="right" vertical="center"/>
    </xf>
    <xf numFmtId="4" fontId="23" fillId="98" borderId="90" applyNumberFormat="0" applyProtection="0">
      <alignment horizontal="left" vertical="center" indent="1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0" fontId="23" fillId="107" borderId="89" applyNumberFormat="0" applyProtection="0">
      <alignment horizontal="left" vertical="center" indent="1"/>
    </xf>
    <xf numFmtId="4" fontId="23" fillId="0" borderId="89" applyNumberFormat="0" applyProtection="0">
      <alignment horizontal="right" vertical="center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2" borderId="89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82" borderId="89" applyNumberFormat="0" applyProtection="0">
      <alignment vertical="center"/>
    </xf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2" fillId="0" borderId="92" applyNumberFormat="0" applyFill="0" applyAlignment="0" applyProtection="0"/>
    <xf numFmtId="0" fontId="32" fillId="0" borderId="92" applyNumberFormat="0" applyFill="0" applyAlignment="0" applyProtection="0"/>
    <xf numFmtId="4" fontId="89" fillId="70" borderId="89" applyNumberFormat="0" applyProtection="0">
      <alignment horizontal="right" vertical="center"/>
    </xf>
    <xf numFmtId="4" fontId="87" fillId="109" borderId="90" applyNumberFormat="0" applyProtection="0">
      <alignment horizontal="left" vertical="center" indent="1"/>
    </xf>
    <xf numFmtId="0" fontId="30" fillId="38" borderId="0" applyNumberFormat="0" applyBorder="0" applyAlignment="0" applyProtection="0"/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83" fillId="67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4" fontId="23" fillId="0" borderId="89" applyNumberFormat="0" applyProtection="0">
      <alignment horizontal="right" vertical="center"/>
    </xf>
    <xf numFmtId="0" fontId="30" fillId="78" borderId="0" applyNumberFormat="0" applyBorder="0" applyAlignment="0" applyProtection="0"/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55" fillId="48" borderId="0" applyNumberFormat="0" applyBorder="0" applyAlignment="0" applyProtection="0"/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57" fillId="79" borderId="89" applyNumberFormat="0" applyAlignment="0" applyProtection="0"/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3" fillId="104" borderId="89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0" fontId="64" fillId="0" borderId="30" applyNumberFormat="0" applyFill="0" applyAlignment="0" applyProtection="0"/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0" fontId="66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89" applyNumberFormat="0" applyAlignment="0" applyProtection="0"/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0" fontId="72" fillId="0" borderId="33" applyNumberFormat="0" applyFill="0" applyAlignment="0" applyProtection="0"/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0" fontId="3" fillId="0" borderId="0"/>
    <xf numFmtId="4" fontId="23" fillId="98" borderId="90" applyNumberFormat="0" applyProtection="0">
      <alignment horizontal="left" vertical="center" indent="1"/>
    </xf>
    <xf numFmtId="4" fontId="23" fillId="96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0" fontId="23" fillId="48" borderId="89" applyNumberFormat="0" applyFont="0" applyAlignment="0" applyProtection="0"/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0" fontId="81" fillId="0" borderId="68">
      <alignment horizont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83" fillId="54" borderId="89" applyNumberFormat="0" applyProtection="0">
      <alignment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83" fillId="54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70" fillId="49" borderId="89" applyNumberFormat="0" applyAlignment="0" applyProtection="0"/>
    <xf numFmtId="0" fontId="70" fillId="49" borderId="89" applyNumberFormat="0" applyAlignment="0" applyProtection="0"/>
    <xf numFmtId="0" fontId="57" fillId="79" borderId="89" applyNumberFormat="0" applyAlignment="0" applyProtection="0"/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83" fillId="67" borderId="89" applyNumberFormat="0" applyProtection="0">
      <alignment horizontal="right" vertical="center"/>
    </xf>
    <xf numFmtId="4" fontId="87" fillId="109" borderId="90" applyNumberFormat="0" applyProtection="0">
      <alignment horizontal="left" vertical="center" indent="1"/>
    </xf>
    <xf numFmtId="4" fontId="89" fillId="70" borderId="89" applyNumberFormat="0" applyProtection="0">
      <alignment horizontal="right" vertical="center"/>
    </xf>
    <xf numFmtId="0" fontId="32" fillId="0" borderId="92" applyNumberFormat="0" applyFill="0" applyAlignment="0" applyProtection="0"/>
    <xf numFmtId="0" fontId="95" fillId="0" borderId="0" applyNumberFormat="0" applyFill="0" applyBorder="0" applyAlignment="0" applyProtection="0"/>
    <xf numFmtId="0" fontId="23" fillId="104" borderId="89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3" fillId="0" borderId="89" applyNumberFormat="0" applyProtection="0">
      <alignment horizontal="right" vertical="center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102" borderId="9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3" fillId="71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4" fontId="23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0" fontId="2" fillId="0" borderId="0"/>
    <xf numFmtId="4" fontId="23" fillId="96" borderId="89" applyNumberFormat="0" applyProtection="0">
      <alignment horizontal="right" vertical="center"/>
    </xf>
    <xf numFmtId="0" fontId="2" fillId="0" borderId="0"/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54" borderId="89" applyNumberFormat="0" applyProtection="0">
      <alignment horizontal="left" vertical="center" indent="1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23" fillId="48" borderId="89" applyNumberFormat="0" applyFont="0" applyAlignment="0" applyProtection="0"/>
    <xf numFmtId="0" fontId="57" fillId="79" borderId="89" applyNumberFormat="0" applyAlignment="0" applyProtection="0"/>
    <xf numFmtId="194" fontId="124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48" borderId="89" applyNumberFormat="0" applyFont="0" applyAlignment="0" applyProtection="0"/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82" borderId="89" applyNumberFormat="0" applyProtection="0">
      <alignment vertical="center"/>
    </xf>
    <xf numFmtId="4" fontId="23" fillId="54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5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6" borderId="89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8" borderId="90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89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0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2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4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5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6" borderId="89" applyNumberFormat="0" applyProtection="0">
      <alignment horizontal="right" vertical="center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98" borderId="90" applyNumberFormat="0" applyProtection="0">
      <alignment horizontal="left" vertical="center" indent="1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2" borderId="89" applyNumberFormat="0" applyProtection="0">
      <alignment horizontal="right" vertical="center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4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4" fontId="23" fillId="0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0" fontId="81" fillId="0" borderId="68">
      <alignment horizontal="center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0" fontId="127" fillId="0" borderId="3" applyFill="0" applyBorder="0" applyProtection="0">
      <alignment horizontal="left" vertical="top"/>
    </xf>
    <xf numFmtId="8" fontId="3" fillId="0" borderId="97" applyFont="0" applyFill="0" applyBorder="0" applyProtection="0">
      <alignment horizontal="right"/>
    </xf>
    <xf numFmtId="0" fontId="136" fillId="0" borderId="68">
      <alignment horizontal="right"/>
    </xf>
    <xf numFmtId="0" fontId="136" fillId="0" borderId="68">
      <alignment horizontal="left"/>
    </xf>
    <xf numFmtId="0" fontId="81" fillId="0" borderId="68">
      <alignment horizontal="center"/>
    </xf>
    <xf numFmtId="0" fontId="136" fillId="0" borderId="68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3" fillId="54" borderId="89" applyNumberFormat="0" applyProtection="0">
      <alignment vertical="center"/>
    </xf>
    <xf numFmtId="4" fontId="23" fillId="83" borderId="89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23" fillId="101" borderId="90" applyNumberFormat="0" applyProtection="0">
      <alignment horizontal="left" vertical="center" indent="1"/>
    </xf>
    <xf numFmtId="4" fontId="23" fillId="102" borderId="90" applyNumberFormat="0" applyProtection="0">
      <alignment horizontal="left" vertical="center" indent="1"/>
    </xf>
    <xf numFmtId="4" fontId="83" fillId="67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89" fillId="70" borderId="89" applyNumberFormat="0" applyProtection="0">
      <alignment horizontal="right" vertical="center"/>
    </xf>
    <xf numFmtId="4" fontId="23" fillId="83" borderId="89" applyNumberFormat="0" applyProtection="0">
      <alignment horizontal="left" vertical="center" indent="1"/>
    </xf>
    <xf numFmtId="4" fontId="23" fillId="102" borderId="89" applyNumberFormat="0" applyProtection="0">
      <alignment horizontal="right" vertical="center"/>
    </xf>
    <xf numFmtId="0" fontId="23" fillId="104" borderId="89" applyNumberFormat="0" applyProtection="0">
      <alignment horizontal="left" vertical="center" indent="1"/>
    </xf>
    <xf numFmtId="0" fontId="23" fillId="105" borderId="89" applyNumberFormat="0" applyProtection="0">
      <alignment horizontal="left" vertical="center" indent="1"/>
    </xf>
    <xf numFmtId="0" fontId="23" fillId="107" borderId="89" applyNumberFormat="0" applyProtection="0">
      <alignment horizontal="left" vertical="center" indent="1"/>
    </xf>
    <xf numFmtId="0" fontId="23" fillId="101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4" fontId="23" fillId="83" borderId="89" applyNumberFormat="0" applyProtection="0">
      <alignment horizontal="left" vertical="center" indent="1"/>
    </xf>
    <xf numFmtId="0" fontId="23" fillId="70" borderId="101" applyNumberFormat="0">
      <protection locked="0"/>
    </xf>
    <xf numFmtId="4" fontId="33" fillId="65" borderId="100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79" borderId="102" applyNumberFormat="0" applyAlignment="0" applyProtection="0"/>
    <xf numFmtId="4" fontId="40" fillId="54" borderId="102" applyNumberFormat="0" applyProtection="0">
      <alignment vertical="center"/>
    </xf>
    <xf numFmtId="4" fontId="40" fillId="54" borderId="102" applyNumberFormat="0" applyProtection="0">
      <alignment vertical="center"/>
    </xf>
    <xf numFmtId="4" fontId="40" fillId="54" borderId="102" applyNumberFormat="0" applyProtection="0">
      <alignment vertical="center"/>
    </xf>
    <xf numFmtId="4" fontId="82" fillId="54" borderId="102" applyNumberFormat="0" applyProtection="0">
      <alignment vertical="center"/>
    </xf>
    <xf numFmtId="4" fontId="40" fillId="54" borderId="102" applyNumberFormat="0" applyProtection="0">
      <alignment horizontal="left" vertical="center" indent="1"/>
    </xf>
    <xf numFmtId="4" fontId="40" fillId="54" borderId="102" applyNumberFormat="0" applyProtection="0">
      <alignment horizontal="left" vertical="center" indent="1"/>
    </xf>
    <xf numFmtId="4" fontId="40" fillId="54" borderId="102" applyNumberFormat="0" applyProtection="0">
      <alignment horizontal="left" vertical="center" indent="1"/>
    </xf>
    <xf numFmtId="4" fontId="40" fillId="54" borderId="102" applyNumberFormat="0" applyProtection="0">
      <alignment horizontal="left" vertical="center" indent="1"/>
    </xf>
    <xf numFmtId="4" fontId="40" fillId="54" borderId="102" applyNumberFormat="0" applyProtection="0">
      <alignment horizontal="left" vertical="center" indent="1"/>
    </xf>
    <xf numFmtId="4" fontId="40" fillId="5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40" fillId="57" borderId="102" applyNumberFormat="0" applyProtection="0">
      <alignment horizontal="right" vertical="center"/>
    </xf>
    <xf numFmtId="4" fontId="40" fillId="57" borderId="102" applyNumberFormat="0" applyProtection="0">
      <alignment horizontal="right" vertical="center"/>
    </xf>
    <xf numFmtId="4" fontId="40" fillId="57" borderId="102" applyNumberFormat="0" applyProtection="0">
      <alignment horizontal="right" vertical="center"/>
    </xf>
    <xf numFmtId="4" fontId="40" fillId="58" borderId="102" applyNumberFormat="0" applyProtection="0">
      <alignment horizontal="right" vertical="center"/>
    </xf>
    <xf numFmtId="4" fontId="40" fillId="58" borderId="102" applyNumberFormat="0" applyProtection="0">
      <alignment horizontal="right" vertical="center"/>
    </xf>
    <xf numFmtId="4" fontId="40" fillId="58" borderId="102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40" fillId="56" borderId="102" applyNumberFormat="0" applyProtection="0">
      <alignment horizontal="right" vertical="center"/>
    </xf>
    <xf numFmtId="4" fontId="40" fillId="56" borderId="102" applyNumberFormat="0" applyProtection="0">
      <alignment horizontal="right" vertical="center"/>
    </xf>
    <xf numFmtId="4" fontId="40" fillId="56" borderId="102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23" fillId="88" borderId="103" applyNumberFormat="0" applyProtection="0">
      <alignment horizontal="right" vertical="center"/>
    </xf>
    <xf numFmtId="4" fontId="40" fillId="61" borderId="102" applyNumberFormat="0" applyProtection="0">
      <alignment horizontal="right" vertical="center"/>
    </xf>
    <xf numFmtId="4" fontId="40" fillId="61" borderId="102" applyNumberFormat="0" applyProtection="0">
      <alignment horizontal="right" vertical="center"/>
    </xf>
    <xf numFmtId="4" fontId="40" fillId="61" borderId="102" applyNumberFormat="0" applyProtection="0">
      <alignment horizontal="right" vertical="center"/>
    </xf>
    <xf numFmtId="4" fontId="40" fillId="91" borderId="102" applyNumberFormat="0" applyProtection="0">
      <alignment horizontal="right" vertical="center"/>
    </xf>
    <xf numFmtId="4" fontId="40" fillId="91" borderId="102" applyNumberFormat="0" applyProtection="0">
      <alignment horizontal="right" vertical="center"/>
    </xf>
    <xf numFmtId="4" fontId="40" fillId="91" borderId="102" applyNumberFormat="0" applyProtection="0">
      <alignment horizontal="right" vertical="center"/>
    </xf>
    <xf numFmtId="4" fontId="40" fillId="93" borderId="102" applyNumberFormat="0" applyProtection="0">
      <alignment horizontal="right" vertical="center"/>
    </xf>
    <xf numFmtId="4" fontId="40" fillId="93" borderId="102" applyNumberFormat="0" applyProtection="0">
      <alignment horizontal="right" vertical="center"/>
    </xf>
    <xf numFmtId="4" fontId="40" fillId="93" borderId="102" applyNumberFormat="0" applyProtection="0">
      <alignment horizontal="right" vertical="center"/>
    </xf>
    <xf numFmtId="4" fontId="40" fillId="64" borderId="102" applyNumberFormat="0" applyProtection="0">
      <alignment horizontal="right" vertical="center"/>
    </xf>
    <xf numFmtId="4" fontId="40" fillId="64" borderId="102" applyNumberFormat="0" applyProtection="0">
      <alignment horizontal="right" vertical="center"/>
    </xf>
    <xf numFmtId="4" fontId="40" fillId="64" borderId="102" applyNumberFormat="0" applyProtection="0">
      <alignment horizontal="right" vertical="center"/>
    </xf>
    <xf numFmtId="4" fontId="40" fillId="63" borderId="102" applyNumberFormat="0" applyProtection="0">
      <alignment horizontal="right" vertical="center"/>
    </xf>
    <xf numFmtId="4" fontId="40" fillId="63" borderId="102" applyNumberFormat="0" applyProtection="0">
      <alignment horizontal="right" vertical="center"/>
    </xf>
    <xf numFmtId="4" fontId="40" fillId="63" borderId="102" applyNumberFormat="0" applyProtection="0">
      <alignment horizontal="right" vertical="center"/>
    </xf>
    <xf numFmtId="4" fontId="40" fillId="97" borderId="102" applyNumberFormat="0" applyProtection="0">
      <alignment horizontal="right" vertical="center"/>
    </xf>
    <xf numFmtId="4" fontId="40" fillId="97" borderId="102" applyNumberFormat="0" applyProtection="0">
      <alignment horizontal="right" vertical="center"/>
    </xf>
    <xf numFmtId="4" fontId="40" fillId="97" borderId="102" applyNumberFormat="0" applyProtection="0">
      <alignment horizontal="right" vertical="center"/>
    </xf>
    <xf numFmtId="4" fontId="36" fillId="99" borderId="102" applyNumberFormat="0" applyProtection="0">
      <alignment horizontal="left" vertical="center" indent="1"/>
    </xf>
    <xf numFmtId="4" fontId="36" fillId="98" borderId="100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33" fillId="65" borderId="100" applyNumberFormat="0" applyProtection="0">
      <alignment horizontal="left" vertical="center" indent="1"/>
    </xf>
    <xf numFmtId="4" fontId="23" fillId="98" borderId="103" applyNumberFormat="0" applyProtection="0">
      <alignment horizontal="left" vertical="center" indent="1"/>
    </xf>
    <xf numFmtId="4" fontId="40" fillId="100" borderId="104" applyNumberFormat="0" applyProtection="0">
      <alignment horizontal="left" vertical="center" indent="1"/>
    </xf>
    <xf numFmtId="4" fontId="40" fillId="100" borderId="104" applyNumberFormat="0" applyProtection="0">
      <alignment horizontal="left" vertical="center" indent="1"/>
    </xf>
    <xf numFmtId="4" fontId="40" fillId="100" borderId="104" applyNumberFormat="0" applyProtection="0">
      <alignment horizontal="left" vertical="center" indent="1"/>
    </xf>
    <xf numFmtId="4" fontId="3" fillId="71" borderId="103" applyNumberFormat="0" applyProtection="0">
      <alignment horizontal="left" vertical="center" indent="1"/>
    </xf>
    <xf numFmtId="4" fontId="3" fillId="71" borderId="103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40" fillId="100" borderId="102" applyNumberFormat="0" applyProtection="0">
      <alignment horizontal="left" vertical="center" indent="1"/>
    </xf>
    <xf numFmtId="4" fontId="40" fillId="100" borderId="102" applyNumberFormat="0" applyProtection="0">
      <alignment horizontal="left" vertical="center" indent="1"/>
    </xf>
    <xf numFmtId="4" fontId="40" fillId="100" borderId="102" applyNumberFormat="0" applyProtection="0">
      <alignment horizontal="left" vertical="center" indent="1"/>
    </xf>
    <xf numFmtId="4" fontId="40" fillId="100" borderId="102" applyNumberFormat="0" applyProtection="0">
      <alignment horizontal="left" vertical="center" indent="1"/>
    </xf>
    <xf numFmtId="4" fontId="40" fillId="100" borderId="102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1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40" fillId="103" borderId="102" applyNumberFormat="0" applyProtection="0">
      <alignment horizontal="left" vertical="center" indent="1"/>
    </xf>
    <xf numFmtId="4" fontId="40" fillId="103" borderId="102" applyNumberFormat="0" applyProtection="0">
      <alignment horizontal="left" vertical="center" indent="1"/>
    </xf>
    <xf numFmtId="4" fontId="40" fillId="103" borderId="102" applyNumberFormat="0" applyProtection="0">
      <alignment horizontal="left" vertical="center" indent="1"/>
    </xf>
    <xf numFmtId="4" fontId="40" fillId="103" borderId="102" applyNumberFormat="0" applyProtection="0">
      <alignment horizontal="left" vertical="center" indent="1"/>
    </xf>
    <xf numFmtId="4" fontId="40" fillId="103" borderId="102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4" fontId="23" fillId="102" borderId="103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3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106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23" fillId="70" borderId="101" applyNumberFormat="0">
      <protection locked="0"/>
    </xf>
    <xf numFmtId="0" fontId="23" fillId="70" borderId="101" applyNumberFormat="0">
      <protection locked="0"/>
    </xf>
    <xf numFmtId="0" fontId="23" fillId="70" borderId="101" applyNumberFormat="0">
      <protection locked="0"/>
    </xf>
    <xf numFmtId="0" fontId="23" fillId="70" borderId="101" applyNumberFormat="0">
      <protection locked="0"/>
    </xf>
    <xf numFmtId="4" fontId="40" fillId="72" borderId="102" applyNumberFormat="0" applyProtection="0">
      <alignment vertical="center"/>
    </xf>
    <xf numFmtId="4" fontId="40" fillId="72" borderId="102" applyNumberFormat="0" applyProtection="0">
      <alignment vertical="center"/>
    </xf>
    <xf numFmtId="4" fontId="40" fillId="72" borderId="102" applyNumberFormat="0" applyProtection="0">
      <alignment vertical="center"/>
    </xf>
    <xf numFmtId="4" fontId="82" fillId="72" borderId="102" applyNumberFormat="0" applyProtection="0">
      <alignment vertical="center"/>
    </xf>
    <xf numFmtId="4" fontId="40" fillId="72" borderId="102" applyNumberFormat="0" applyProtection="0">
      <alignment horizontal="left" vertical="center" indent="1"/>
    </xf>
    <xf numFmtId="4" fontId="40" fillId="72" borderId="102" applyNumberFormat="0" applyProtection="0">
      <alignment horizontal="left" vertical="center" indent="1"/>
    </xf>
    <xf numFmtId="4" fontId="40" fillId="72" borderId="102" applyNumberFormat="0" applyProtection="0">
      <alignment horizontal="left" vertical="center" indent="1"/>
    </xf>
    <xf numFmtId="4" fontId="40" fillId="72" borderId="102" applyNumberFormat="0" applyProtection="0">
      <alignment horizontal="left" vertical="center" indent="1"/>
    </xf>
    <xf numFmtId="4" fontId="40" fillId="72" borderId="102" applyNumberFormat="0" applyProtection="0">
      <alignment horizontal="left" vertical="center" indent="1"/>
    </xf>
    <xf numFmtId="4" fontId="40" fillId="72" borderId="102" applyNumberFormat="0" applyProtection="0">
      <alignment horizontal="left" vertical="center" indent="1"/>
    </xf>
    <xf numFmtId="4" fontId="40" fillId="0" borderId="102" applyNumberFormat="0" applyProtection="0">
      <alignment horizontal="right" vertical="center"/>
    </xf>
    <xf numFmtId="4" fontId="40" fillId="0" borderId="102" applyNumberFormat="0" applyProtection="0">
      <alignment horizontal="right" vertical="center"/>
    </xf>
    <xf numFmtId="4" fontId="40" fillId="0" borderId="102" applyNumberFormat="0" applyProtection="0">
      <alignment horizontal="right" vertical="center"/>
    </xf>
    <xf numFmtId="4" fontId="82" fillId="100" borderId="102" applyNumberFormat="0" applyProtection="0">
      <alignment horizontal="right" vertical="center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0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0" fontId="3" fillId="84" borderId="102" applyNumberFormat="0" applyProtection="0">
      <alignment horizontal="left" vertical="center" indent="1"/>
    </xf>
    <xf numFmtId="4" fontId="88" fillId="100" borderId="102" applyNumberFormat="0" applyProtection="0">
      <alignment horizontal="right" vertical="center"/>
    </xf>
    <xf numFmtId="0" fontId="32" fillId="0" borderId="105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10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165" fontId="4" fillId="0" borderId="0" xfId="1" applyNumberFormat="1" applyFont="1" applyFill="1" applyBorder="1"/>
    <xf numFmtId="164" fontId="4" fillId="0" borderId="0" xfId="2" applyNumberFormat="1" applyFont="1" applyFill="1" applyBorder="1"/>
    <xf numFmtId="165" fontId="4" fillId="0" borderId="0" xfId="1" applyNumberFormat="1" applyFont="1" applyBorder="1"/>
    <xf numFmtId="165" fontId="4" fillId="0" borderId="0" xfId="1" applyNumberFormat="1" applyFont="1" applyFill="1" applyBorder="1" applyAlignment="1">
      <alignment vertical="top"/>
    </xf>
    <xf numFmtId="0" fontId="25" fillId="0" borderId="0" xfId="0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177" fontId="4" fillId="0" borderId="0" xfId="2012" applyNumberFormat="1" applyFont="1" applyAlignment="1">
      <alignment horizontal="right"/>
    </xf>
    <xf numFmtId="0" fontId="4" fillId="0" borderId="0" xfId="2012" applyFont="1"/>
    <xf numFmtId="177" fontId="4" fillId="0" borderId="0" xfId="2012" quotePrefix="1" applyNumberFormat="1" applyFont="1" applyAlignment="1">
      <alignment horizontal="right"/>
    </xf>
    <xf numFmtId="176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/>
    <xf numFmtId="177" fontId="5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3" applyNumberFormat="1" applyFont="1" applyBorder="1" applyAlignment="1">
      <alignment horizontal="right"/>
    </xf>
    <xf numFmtId="0" fontId="4" fillId="0" borderId="0" xfId="1965" applyFont="1"/>
    <xf numFmtId="0" fontId="4" fillId="0" borderId="0" xfId="1604" applyFont="1"/>
    <xf numFmtId="0" fontId="4" fillId="0" borderId="77" xfId="4" applyFont="1" applyBorder="1" applyAlignment="1">
      <alignment horizontal="center"/>
    </xf>
    <xf numFmtId="0" fontId="5" fillId="0" borderId="0" xfId="4" applyFont="1"/>
    <xf numFmtId="0" fontId="4" fillId="0" borderId="0" xfId="4" applyFont="1" applyAlignment="1">
      <alignment horizontal="center"/>
    </xf>
    <xf numFmtId="164" fontId="5" fillId="0" borderId="0" xfId="21" quotePrefix="1" applyNumberFormat="1" applyFont="1" applyFill="1" applyBorder="1" applyAlignment="1">
      <alignment horizontal="right"/>
    </xf>
    <xf numFmtId="168" fontId="5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5" fillId="0" borderId="0" xfId="4" quotePrefix="1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1" applyNumberFormat="1" applyFont="1" applyFill="1" applyBorder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164" fontId="5" fillId="0" borderId="4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88" xfId="2" applyNumberFormat="1" applyFont="1" applyFill="1" applyBorder="1" applyAlignment="1">
      <alignment vertical="center"/>
    </xf>
    <xf numFmtId="165" fontId="4" fillId="0" borderId="88" xfId="1" applyNumberFormat="1" applyFont="1" applyFill="1" applyBorder="1" applyAlignment="1">
      <alignment vertical="center"/>
    </xf>
    <xf numFmtId="165" fontId="4" fillId="0" borderId="0" xfId="2408" applyNumberFormat="1" applyFont="1" applyBorder="1" applyAlignment="1">
      <alignment vertical="center"/>
    </xf>
    <xf numFmtId="0" fontId="4" fillId="0" borderId="109" xfId="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88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50" xfId="2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5" fillId="0" borderId="88" xfId="2" applyNumberFormat="1" applyFont="1" applyFill="1" applyBorder="1" applyAlignment="1">
      <alignment vertical="center"/>
    </xf>
    <xf numFmtId="0" fontId="4" fillId="0" borderId="109" xfId="0" applyFont="1" applyBorder="1" applyAlignment="1">
      <alignment horizontal="center" vertical="center"/>
    </xf>
    <xf numFmtId="0" fontId="10" fillId="0" borderId="7" xfId="1604" applyFont="1" applyBorder="1" applyAlignment="1">
      <alignment horizontal="center"/>
    </xf>
    <xf numFmtId="37" fontId="4" fillId="0" borderId="0" xfId="0" applyNumberFormat="1" applyFont="1" applyAlignment="1">
      <alignment vertical="center"/>
    </xf>
    <xf numFmtId="37" fontId="4" fillId="0" borderId="9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111" xfId="0" applyNumberFormat="1" applyFont="1" applyBorder="1" applyAlignment="1">
      <alignment horizontal="center" vertical="center"/>
    </xf>
    <xf numFmtId="37" fontId="5" fillId="0" borderId="112" xfId="0" applyNumberFormat="1" applyFont="1" applyBorder="1" applyAlignment="1">
      <alignment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12" xfId="0" quotePrefix="1" applyNumberFormat="1" applyFont="1" applyBorder="1" applyAlignment="1">
      <alignment horizontal="center" vertical="center"/>
    </xf>
    <xf numFmtId="37" fontId="5" fillId="0" borderId="113" xfId="0" quotePrefix="1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1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88" xfId="12" applyNumberFormat="1" applyFont="1" applyBorder="1" applyAlignment="1">
      <alignment horizontal="center" vertical="center"/>
    </xf>
    <xf numFmtId="37" fontId="5" fillId="0" borderId="8" xfId="0" quotePrefix="1" applyNumberFormat="1" applyFont="1" applyBorder="1" applyAlignment="1">
      <alignment horizontal="center" vertical="center"/>
    </xf>
    <xf numFmtId="37" fontId="5" fillId="0" borderId="115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51" xfId="12" applyNumberFormat="1" applyFont="1" applyBorder="1" applyAlignment="1">
      <alignment horizontal="center" vertical="center"/>
    </xf>
    <xf numFmtId="37" fontId="5" fillId="0" borderId="110" xfId="0" applyNumberFormat="1" applyFont="1" applyBorder="1" applyAlignment="1">
      <alignment horizontal="center" vertical="center"/>
    </xf>
    <xf numFmtId="37" fontId="4" fillId="0" borderId="114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4" fillId="0" borderId="88" xfId="12" applyNumberFormat="1" applyFont="1" applyBorder="1" applyAlignment="1">
      <alignment horizontal="center" vertical="center"/>
    </xf>
    <xf numFmtId="37" fontId="4" fillId="0" borderId="8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114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88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164" fontId="5" fillId="0" borderId="50" xfId="2" applyNumberFormat="1" applyFont="1" applyBorder="1" applyAlignment="1">
      <alignment vertical="center"/>
    </xf>
    <xf numFmtId="37" fontId="4" fillId="0" borderId="8" xfId="0" applyNumberFormat="1" applyFont="1" applyBorder="1" applyAlignment="1">
      <alignment horizontal="center" vertical="center"/>
    </xf>
    <xf numFmtId="37" fontId="4" fillId="0" borderId="115" xfId="0" applyNumberFormat="1" applyFont="1" applyBorder="1" applyAlignment="1">
      <alignment vertical="center"/>
    </xf>
    <xf numFmtId="37" fontId="4" fillId="0" borderId="51" xfId="1" applyNumberFormat="1" applyFont="1" applyBorder="1" applyAlignment="1">
      <alignment vertical="center"/>
    </xf>
    <xf numFmtId="0" fontId="5" fillId="0" borderId="98" xfId="0" applyFont="1" applyBorder="1" applyAlignment="1">
      <alignment horizontal="center" vertical="center"/>
    </xf>
    <xf numFmtId="37" fontId="4" fillId="0" borderId="110" xfId="0" applyNumberFormat="1" applyFont="1" applyBorder="1" applyAlignment="1">
      <alignment vertical="center"/>
    </xf>
    <xf numFmtId="37" fontId="4" fillId="0" borderId="7" xfId="0" applyNumberFormat="1" applyFont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7" fontId="12" fillId="0" borderId="7" xfId="0" applyNumberFormat="1" applyFont="1" applyBorder="1" applyAlignment="1">
      <alignment horizontal="left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52" xfId="0" applyNumberFormat="1" applyFont="1" applyBorder="1" applyAlignment="1">
      <alignment vertical="center"/>
    </xf>
    <xf numFmtId="37" fontId="4" fillId="0" borderId="9" xfId="0" applyNumberFormat="1" applyFont="1" applyBorder="1" applyAlignment="1">
      <alignment horizontal="left" vertical="center"/>
    </xf>
    <xf numFmtId="168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37" fontId="4" fillId="0" borderId="7" xfId="0" applyNumberFormat="1" applyFont="1" applyBorder="1" applyAlignment="1">
      <alignment horizontal="center"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5" fontId="4" fillId="0" borderId="109" xfId="4" applyNumberFormat="1" applyFont="1" applyBorder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4" fontId="4" fillId="3" borderId="109" xfId="21" applyNumberFormat="1" applyFont="1" applyFill="1" applyBorder="1" applyAlignment="1" applyProtection="1">
      <alignment horizontal="center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65" fontId="4" fillId="2" borderId="109" xfId="1" applyNumberFormat="1" applyFont="1" applyFill="1" applyBorder="1" applyAlignment="1" applyProtection="1">
      <alignment vertical="center"/>
      <protection locked="0"/>
    </xf>
    <xf numFmtId="10" fontId="4" fillId="3" borderId="109" xfId="3853" applyNumberFormat="1" applyFont="1" applyFill="1" applyBorder="1" applyAlignment="1">
      <alignment vertical="center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4" fillId="0" borderId="9" xfId="6107" applyFont="1" applyBorder="1"/>
    <xf numFmtId="0" fontId="5" fillId="0" borderId="0" xfId="0" applyFont="1" applyAlignment="1">
      <alignment horizontal="center" vertical="center"/>
    </xf>
    <xf numFmtId="15" fontId="4" fillId="0" borderId="109" xfId="0" applyNumberFormat="1" applyFont="1" applyBorder="1" applyAlignment="1">
      <alignment horizontal="center" vertical="center"/>
    </xf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4" fillId="0" borderId="107" xfId="2" applyNumberFormat="1" applyFont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164" fontId="4" fillId="0" borderId="108" xfId="2" applyNumberFormat="1" applyFont="1" applyBorder="1" applyAlignment="1" applyProtection="1">
      <alignment vertical="center"/>
      <protection locked="0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Border="1" applyAlignment="1">
      <alignment horizontal="right" vertical="center"/>
    </xf>
    <xf numFmtId="164" fontId="4" fillId="3" borderId="109" xfId="2" applyNumberFormat="1" applyFont="1" applyFill="1" applyBorder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44" xfId="2" applyNumberFormat="1" applyFont="1" applyBorder="1" applyAlignment="1" applyProtection="1">
      <alignment vertical="center"/>
    </xf>
    <xf numFmtId="164" fontId="4" fillId="0" borderId="0" xfId="2" applyNumberFormat="1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0" fontId="4" fillId="3" borderId="1" xfId="3" applyNumberFormat="1" applyFont="1" applyFill="1" applyBorder="1" applyAlignment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109" xfId="3" applyNumberFormat="1" applyFont="1" applyFill="1" applyBorder="1" applyAlignment="1">
      <alignment horizontal="right" vertical="center"/>
    </xf>
    <xf numFmtId="10" fontId="4" fillId="0" borderId="0" xfId="0" applyNumberFormat="1" applyFont="1" applyAlignment="1">
      <alignment vertical="center"/>
    </xf>
    <xf numFmtId="10" fontId="4" fillId="0" borderId="109" xfId="3" applyNumberFormat="1" applyFont="1" applyBorder="1" applyAlignment="1">
      <alignment horizontal="right" vertical="center"/>
    </xf>
    <xf numFmtId="164" fontId="4" fillId="0" borderId="44" xfId="0" applyNumberFormat="1" applyFont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4" fillId="3" borderId="109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109" xfId="3" applyNumberFormat="1" applyFont="1" applyBorder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4" fillId="2" borderId="109" xfId="3" applyNumberFormat="1" applyFont="1" applyFill="1" applyBorder="1" applyAlignment="1">
      <alignment horizontal="right" vertical="center"/>
    </xf>
    <xf numFmtId="166" fontId="4" fillId="0" borderId="1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5" fontId="4" fillId="0" borderId="77" xfId="4" applyNumberFormat="1" applyFont="1" applyBorder="1" applyAlignment="1">
      <alignment horizontal="center"/>
    </xf>
    <xf numFmtId="10" fontId="4" fillId="0" borderId="0" xfId="3" quotePrefix="1" applyNumberFormat="1" applyFont="1" applyBorder="1" applyAlignment="1">
      <alignment horizontal="right"/>
    </xf>
    <xf numFmtId="0" fontId="5" fillId="0" borderId="111" xfId="4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0" fontId="4" fillId="0" borderId="0" xfId="2012" applyNumberFormat="1" applyFont="1" applyAlignment="1">
      <alignment horizontal="right"/>
    </xf>
    <xf numFmtId="177" fontId="4" fillId="0" borderId="0" xfId="2012" applyNumberFormat="1" applyFont="1"/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4" fillId="0" borderId="45" xfId="2012" applyFont="1" applyBorder="1" applyAlignment="1">
      <alignment horizont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0" fontId="4" fillId="0" borderId="0" xfId="1965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1965" applyFont="1" applyAlignment="1">
      <alignment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2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65" fontId="4" fillId="0" borderId="120" xfId="1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64" fontId="4" fillId="0" borderId="0" xfId="2" applyNumberFormat="1" applyFont="1" applyBorder="1" applyAlignment="1">
      <alignment horizontal="right"/>
    </xf>
    <xf numFmtId="0" fontId="4" fillId="0" borderId="0" xfId="2012" applyFont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horizontal="right" vertical="center"/>
    </xf>
    <xf numFmtId="177" fontId="4" fillId="0" borderId="0" xfId="2012" applyNumberFormat="1" applyFont="1" applyAlignment="1">
      <alignment vertical="center"/>
    </xf>
    <xf numFmtId="177" fontId="4" fillId="0" borderId="43" xfId="2012" applyNumberFormat="1" applyFont="1" applyBorder="1" applyAlignment="1" applyProtection="1">
      <alignment horizontal="right" vertical="center"/>
      <protection locked="0"/>
    </xf>
    <xf numFmtId="10" fontId="4" fillId="0" borderId="0" xfId="2012" applyNumberFormat="1" applyFont="1" applyAlignment="1">
      <alignment horizontal="right" vertical="center"/>
    </xf>
    <xf numFmtId="177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10" fontId="4" fillId="0" borderId="109" xfId="3" quotePrefix="1" applyNumberFormat="1" applyFont="1" applyBorder="1" applyAlignment="1">
      <alignment horizontal="right" vertical="center"/>
    </xf>
    <xf numFmtId="177" fontId="5" fillId="0" borderId="43" xfId="2012" quotePrefix="1" applyNumberFormat="1" applyFont="1" applyBorder="1" applyAlignment="1">
      <alignment horizontal="right" vertical="center"/>
    </xf>
    <xf numFmtId="10" fontId="4" fillId="0" borderId="1" xfId="2012" quotePrefix="1" applyNumberFormat="1" applyFont="1" applyBorder="1" applyAlignment="1">
      <alignment horizontal="right" vertical="center"/>
    </xf>
    <xf numFmtId="0" fontId="12" fillId="0" borderId="0" xfId="2012" applyFont="1" applyAlignment="1">
      <alignment vertical="center"/>
    </xf>
    <xf numFmtId="10" fontId="12" fillId="0" borderId="43" xfId="2012" applyNumberFormat="1" applyFont="1" applyBorder="1" applyAlignment="1">
      <alignment horizontal="right" vertical="center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164" fontId="4" fillId="2" borderId="109" xfId="2012" applyNumberFormat="1" applyFont="1" applyFill="1" applyBorder="1" applyAlignment="1" applyProtection="1">
      <alignment horizontal="right" vertical="center"/>
      <protection locked="0"/>
    </xf>
    <xf numFmtId="10" fontId="5" fillId="0" borderId="0" xfId="61" applyNumberFormat="1" applyFont="1" applyBorder="1" applyAlignment="1">
      <alignment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5" fontId="4" fillId="2" borderId="77" xfId="2408" applyNumberFormat="1" applyFont="1" applyFill="1" applyBorder="1" applyAlignment="1" applyProtection="1">
      <alignment horizontal="right" vertical="center"/>
      <protection locked="0"/>
    </xf>
    <xf numFmtId="164" fontId="4" fillId="0" borderId="96" xfId="21" applyNumberFormat="1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164" fontId="4" fillId="0" borderId="96" xfId="21" applyNumberFormat="1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5" fontId="4" fillId="2" borderId="77" xfId="2408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8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165" fontId="4" fillId="0" borderId="77" xfId="2408" applyNumberFormat="1" applyFont="1" applyFill="1" applyBorder="1" applyAlignment="1" applyProtection="1">
      <alignment horizontal="right" vertical="center"/>
    </xf>
    <xf numFmtId="164" fontId="4" fillId="0" borderId="44" xfId="21" applyNumberFormat="1" applyFont="1" applyFill="1" applyBorder="1" applyAlignment="1" applyProtection="1">
      <alignment horizontal="right" vertical="center"/>
    </xf>
    <xf numFmtId="9" fontId="4" fillId="3" borderId="109" xfId="3" applyFont="1" applyFill="1" applyBorder="1" applyAlignment="1">
      <alignment horizontal="right" vertical="center"/>
    </xf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20" xfId="1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2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2" applyNumberFormat="1" applyFont="1" applyAlignment="1" applyProtection="1">
      <alignment horizontal="right" vertical="center"/>
      <protection locked="0"/>
    </xf>
    <xf numFmtId="5" fontId="4" fillId="0" borderId="0" xfId="2012" applyNumberFormat="1" applyFont="1" applyAlignment="1" applyProtection="1">
      <alignment horizontal="right"/>
      <protection locked="0"/>
    </xf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4" fillId="0" borderId="0" xfId="0" applyNumberFormat="1" applyFont="1" applyAlignment="1">
      <alignment horizontal="left" vertical="center"/>
    </xf>
    <xf numFmtId="37" fontId="5" fillId="0" borderId="88" xfId="12" applyNumberFormat="1" applyFont="1" applyBorder="1" applyAlignment="1">
      <alignment horizontal="left" vertical="center"/>
    </xf>
    <xf numFmtId="37" fontId="5" fillId="0" borderId="0" xfId="0" applyNumberFormat="1" applyFont="1" applyAlignment="1">
      <alignment horizontal="right" vertical="center"/>
    </xf>
    <xf numFmtId="37" fontId="5" fillId="0" borderId="8" xfId="0" applyNumberFormat="1" applyFont="1" applyBorder="1" applyAlignment="1">
      <alignment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5" fillId="0" borderId="51" xfId="0" applyFont="1" applyBorder="1" applyAlignment="1">
      <alignment horizontal="center" vertical="center"/>
    </xf>
    <xf numFmtId="0" fontId="7" fillId="0" borderId="0" xfId="4" applyFont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8" fillId="0" borderId="0" xfId="2012" applyFont="1" applyAlignment="1">
      <alignment horizontal="center"/>
    </xf>
    <xf numFmtId="0" fontId="8" fillId="0" borderId="0" xfId="1965" applyFont="1"/>
    <xf numFmtId="0" fontId="8" fillId="0" borderId="0" xfId="2012" applyFont="1"/>
    <xf numFmtId="0" fontId="7" fillId="0" borderId="0" xfId="2012" applyFont="1"/>
    <xf numFmtId="0" fontId="156" fillId="0" borderId="7" xfId="1604" applyFont="1" applyBorder="1" applyAlignment="1">
      <alignment horizontal="center"/>
    </xf>
    <xf numFmtId="0" fontId="8" fillId="0" borderId="0" xfId="0" applyFont="1"/>
    <xf numFmtId="164" fontId="7" fillId="0" borderId="0" xfId="48" applyNumberFormat="1" applyFont="1"/>
    <xf numFmtId="165" fontId="157" fillId="0" borderId="0" xfId="22" applyNumberFormat="1" applyFont="1" applyBorder="1" applyAlignment="1">
      <alignment vertical="center"/>
    </xf>
    <xf numFmtId="165" fontId="157" fillId="0" borderId="0" xfId="22" applyNumberFormat="1" applyFont="1" applyBorder="1"/>
    <xf numFmtId="164" fontId="8" fillId="0" borderId="0" xfId="48" applyNumberFormat="1" applyFont="1" applyAlignment="1">
      <alignment vertical="center"/>
    </xf>
    <xf numFmtId="10" fontId="155" fillId="0" borderId="0" xfId="61" applyNumberFormat="1" applyFont="1" applyBorder="1" applyAlignment="1" applyProtection="1">
      <alignment vertical="center"/>
    </xf>
    <xf numFmtId="10" fontId="155" fillId="0" borderId="0" xfId="61" applyNumberFormat="1" applyFont="1" applyBorder="1" applyProtection="1"/>
    <xf numFmtId="164" fontId="8" fillId="0" borderId="0" xfId="48" applyNumberFormat="1" applyFont="1" applyBorder="1" applyAlignment="1">
      <alignment horizontal="right" vertical="center"/>
    </xf>
    <xf numFmtId="164" fontId="7" fillId="0" borderId="0" xfId="48" applyNumberFormat="1" applyFont="1" applyBorder="1" applyAlignment="1">
      <alignment horizontal="right"/>
    </xf>
    <xf numFmtId="10" fontId="7" fillId="0" borderId="0" xfId="1043" applyNumberFormat="1" applyFont="1" applyBorder="1" applyAlignment="1">
      <alignment horizontal="right"/>
    </xf>
    <xf numFmtId="10" fontId="4" fillId="2" borderId="0" xfId="2012" applyNumberFormat="1" applyFont="1" applyFill="1" applyAlignment="1">
      <alignment vertical="center"/>
    </xf>
    <xf numFmtId="0" fontId="5" fillId="0" borderId="99" xfId="4" applyFont="1" applyBorder="1" applyAlignment="1">
      <alignment horizontal="center"/>
    </xf>
    <xf numFmtId="0" fontId="5" fillId="0" borderId="4" xfId="4" applyFont="1" applyBorder="1" applyAlignment="1">
      <alignment horizontal="left" indent="2"/>
    </xf>
    <xf numFmtId="0" fontId="7" fillId="0" borderId="0" xfId="2012" applyFont="1" applyAlignment="1">
      <alignment vertical="center"/>
    </xf>
    <xf numFmtId="41" fontId="5" fillId="0" borderId="0" xfId="21" applyNumberFormat="1" applyFont="1" applyBorder="1" applyAlignment="1">
      <alignment horizontal="left"/>
    </xf>
    <xf numFmtId="0" fontId="4" fillId="0" borderId="120" xfId="0" applyFont="1" applyBorder="1" applyAlignment="1">
      <alignment horizontal="center" vertical="center"/>
    </xf>
    <xf numFmtId="164" fontId="5" fillId="0" borderId="119" xfId="2" applyNumberFormat="1" applyFont="1" applyBorder="1" applyAlignment="1">
      <alignment vertical="center"/>
    </xf>
    <xf numFmtId="43" fontId="4" fillId="2" borderId="0" xfId="2408" applyFont="1" applyFill="1" applyBorder="1" applyAlignment="1" applyProtection="1">
      <alignment horizontal="center" vertical="center"/>
    </xf>
    <xf numFmtId="165" fontId="5" fillId="2" borderId="77" xfId="2408" applyNumberFormat="1" applyFont="1" applyFill="1" applyBorder="1" applyAlignment="1" applyProtection="1">
      <alignment horizontal="center" vertical="center"/>
    </xf>
    <xf numFmtId="0" fontId="4" fillId="0" borderId="4" xfId="4" applyFont="1" applyBorder="1" applyAlignment="1">
      <alignment horizontal="left"/>
    </xf>
    <xf numFmtId="164" fontId="4" fillId="2" borderId="109" xfId="21" applyNumberFormat="1" applyFont="1" applyFill="1" applyBorder="1" applyAlignment="1" applyProtection="1">
      <alignment vertical="center"/>
      <protection locked="0"/>
    </xf>
    <xf numFmtId="166" fontId="4" fillId="0" borderId="120" xfId="3" applyNumberFormat="1" applyFont="1" applyFill="1" applyBorder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164" fontId="4" fillId="0" borderId="0" xfId="48" applyNumberFormat="1" applyFont="1" applyAlignment="1">
      <alignment vertical="center"/>
    </xf>
    <xf numFmtId="164" fontId="4" fillId="0" borderId="0" xfId="48" applyNumberFormat="1" applyFont="1" applyBorder="1" applyAlignment="1">
      <alignment horizontal="right" vertical="center"/>
    </xf>
    <xf numFmtId="10" fontId="4" fillId="0" borderId="1" xfId="1043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4" fontId="4" fillId="0" borderId="1" xfId="21" applyNumberFormat="1" applyFont="1" applyFill="1" applyBorder="1" applyAlignment="1" applyProtection="1">
      <alignment horizontal="right" vertical="center"/>
    </xf>
    <xf numFmtId="164" fontId="4" fillId="0" borderId="0" xfId="21" applyNumberFormat="1" applyFont="1" applyFill="1" applyBorder="1" applyAlignment="1" applyProtection="1">
      <alignment horizontal="right"/>
    </xf>
    <xf numFmtId="164" fontId="5" fillId="0" borderId="122" xfId="21" applyNumberFormat="1" applyFont="1" applyFill="1" applyBorder="1" applyAlignment="1" applyProtection="1">
      <alignment horizontal="right" vertical="center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111" borderId="1" xfId="21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>
      <alignment vertical="center"/>
    </xf>
    <xf numFmtId="170" fontId="4" fillId="0" borderId="9" xfId="3" applyNumberFormat="1" applyFont="1" applyBorder="1" applyAlignment="1">
      <alignment horizontal="right" vertical="center"/>
    </xf>
    <xf numFmtId="164" fontId="4" fillId="0" borderId="119" xfId="0" applyNumberFormat="1" applyFont="1" applyBorder="1" applyAlignment="1">
      <alignment vertical="center"/>
    </xf>
    <xf numFmtId="10" fontId="4" fillId="0" borderId="120" xfId="3" applyNumberFormat="1" applyFont="1" applyBorder="1" applyAlignment="1">
      <alignment horizontal="right" vertical="center"/>
    </xf>
    <xf numFmtId="0" fontId="4" fillId="0" borderId="120" xfId="0" applyFont="1" applyBorder="1" applyAlignment="1">
      <alignment horizontal="center" vertical="center" wrapText="1"/>
    </xf>
    <xf numFmtId="164" fontId="4" fillId="111" borderId="0" xfId="2" applyNumberFormat="1" applyFont="1" applyFill="1" applyAlignment="1">
      <alignment horizontal="right" vertical="center"/>
    </xf>
    <xf numFmtId="9" fontId="4" fillId="2" borderId="120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120" xfId="3" applyNumberFormat="1" applyFont="1" applyFill="1" applyBorder="1" applyAlignment="1">
      <alignment horizontal="right" vertical="center"/>
    </xf>
    <xf numFmtId="166" fontId="4" fillId="0" borderId="120" xfId="3" applyNumberFormat="1" applyFont="1" applyBorder="1" applyAlignment="1">
      <alignment horizontal="right" vertical="center"/>
    </xf>
    <xf numFmtId="166" fontId="4" fillId="2" borderId="120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4" fillId="2" borderId="120" xfId="2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120" xfId="3" applyNumberFormat="1" applyFont="1" applyFill="1" applyBorder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4" fillId="111" borderId="0" xfId="2408" applyNumberFormat="1" applyFont="1" applyFill="1" applyBorder="1" applyAlignment="1" applyProtection="1">
      <alignment horizontal="right" vertical="center"/>
    </xf>
    <xf numFmtId="165" fontId="4" fillId="111" borderId="120" xfId="2408" applyNumberFormat="1" applyFont="1" applyFill="1" applyBorder="1" applyAlignment="1" applyProtection="1">
      <alignment horizontal="right" vertical="center"/>
    </xf>
    <xf numFmtId="37" fontId="4" fillId="0" borderId="0" xfId="0" applyNumberFormat="1" applyFont="1" applyAlignment="1">
      <alignment horizontal="center"/>
    </xf>
    <xf numFmtId="37" fontId="158" fillId="0" borderId="0" xfId="0" applyNumberFormat="1" applyFont="1"/>
    <xf numFmtId="43" fontId="158" fillId="0" borderId="0" xfId="1" applyFont="1" applyFill="1"/>
    <xf numFmtId="165" fontId="158" fillId="0" borderId="0" xfId="1" applyNumberFormat="1" applyFont="1" applyFill="1"/>
    <xf numFmtId="165" fontId="4" fillId="0" borderId="0" xfId="1" applyNumberFormat="1" applyFont="1" applyFill="1" applyAlignment="1"/>
    <xf numFmtId="165" fontId="158" fillId="0" borderId="0" xfId="1" applyNumberFormat="1" applyFont="1" applyFill="1" applyBorder="1" applyAlignment="1">
      <alignment vertical="top"/>
    </xf>
    <xf numFmtId="43" fontId="159" fillId="0" borderId="0" xfId="1" applyFont="1" applyFill="1" applyBorder="1" applyAlignment="1">
      <alignment horizontal="right"/>
    </xf>
    <xf numFmtId="37" fontId="4" fillId="0" borderId="7" xfId="4" applyNumberFormat="1" applyFont="1" applyBorder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Alignment="1">
      <alignment vertical="top"/>
    </xf>
    <xf numFmtId="37" fontId="4" fillId="0" borderId="7" xfId="4" applyNumberFormat="1" applyFont="1" applyBorder="1" applyAlignment="1">
      <alignment horizontal="center" vertical="top"/>
    </xf>
    <xf numFmtId="168" fontId="4" fillId="0" borderId="7" xfId="4" applyNumberFormat="1" applyFont="1" applyBorder="1" applyAlignment="1">
      <alignment horizontal="center" wrapText="1"/>
    </xf>
    <xf numFmtId="37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center"/>
    </xf>
    <xf numFmtId="0" fontId="2" fillId="0" borderId="0" xfId="57"/>
    <xf numFmtId="0" fontId="161" fillId="0" borderId="0" xfId="57" applyFont="1" applyAlignment="1">
      <alignment horizontal="centerContinuous" vertical="center"/>
    </xf>
    <xf numFmtId="0" fontId="161" fillId="0" borderId="0" xfId="57" applyFont="1" applyAlignment="1">
      <alignment horizontal="centerContinuous" vertical="justify"/>
    </xf>
    <xf numFmtId="0" fontId="27" fillId="0" borderId="0" xfId="57" applyFont="1" applyAlignment="1">
      <alignment horizontal="centerContinuous" vertical="justify"/>
    </xf>
    <xf numFmtId="0" fontId="161" fillId="0" borderId="0" xfId="57" applyFont="1" applyAlignment="1">
      <alignment horizontal="centerContinuous"/>
    </xf>
    <xf numFmtId="0" fontId="13" fillId="0" borderId="0" xfId="0" applyFont="1"/>
    <xf numFmtId="0" fontId="25" fillId="0" borderId="0" xfId="57" applyFont="1"/>
    <xf numFmtId="0" fontId="114" fillId="0" borderId="0" xfId="57" quotePrefix="1" applyFont="1" applyAlignment="1">
      <alignment horizontal="center"/>
    </xf>
    <xf numFmtId="0" fontId="114" fillId="0" borderId="0" xfId="57" applyFont="1"/>
    <xf numFmtId="0" fontId="4" fillId="0" borderId="120" xfId="0" applyFont="1" applyBorder="1" applyAlignment="1">
      <alignment horizontal="center"/>
    </xf>
    <xf numFmtId="0" fontId="114" fillId="0" borderId="0" xfId="57" applyFont="1" applyAlignment="1">
      <alignment horizontal="center"/>
    </xf>
    <xf numFmtId="0" fontId="27" fillId="0" borderId="0" xfId="57" applyFont="1" applyAlignment="1">
      <alignment horizontal="center"/>
    </xf>
    <xf numFmtId="0" fontId="25" fillId="0" borderId="0" xfId="57" applyFont="1" applyAlignment="1">
      <alignment horizontal="center"/>
    </xf>
    <xf numFmtId="0" fontId="25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5" fillId="0" borderId="0" xfId="9" applyNumberFormat="1" applyFont="1"/>
    <xf numFmtId="165" fontId="25" fillId="0" borderId="0" xfId="1497" applyNumberFormat="1" applyFont="1"/>
    <xf numFmtId="165" fontId="25" fillId="0" borderId="0" xfId="1497" applyNumberFormat="1" applyFont="1" applyBorder="1"/>
    <xf numFmtId="0" fontId="27" fillId="0" borderId="0" xfId="57" applyFont="1" applyAlignment="1">
      <alignment horizontal="left"/>
    </xf>
    <xf numFmtId="165" fontId="25" fillId="0" borderId="0" xfId="1" applyNumberFormat="1" applyFont="1"/>
    <xf numFmtId="165" fontId="25" fillId="0" borderId="120" xfId="1" applyNumberFormat="1" applyFont="1" applyBorder="1"/>
    <xf numFmtId="175" fontId="27" fillId="0" borderId="1" xfId="2" applyNumberFormat="1" applyFont="1" applyBorder="1"/>
    <xf numFmtId="0" fontId="25" fillId="0" borderId="0" xfId="57" applyFont="1" applyAlignment="1">
      <alignment horizontal="left"/>
    </xf>
    <xf numFmtId="43" fontId="25" fillId="0" borderId="0" xfId="57" applyNumberFormat="1" applyFont="1"/>
    <xf numFmtId="0" fontId="163" fillId="0" borderId="0" xfId="57" applyFont="1" applyAlignment="1">
      <alignment horizontal="center"/>
    </xf>
    <xf numFmtId="0" fontId="4" fillId="0" borderId="0" xfId="57" applyFont="1"/>
    <xf numFmtId="0" fontId="4" fillId="0" borderId="0" xfId="6107" applyFont="1" applyAlignment="1">
      <alignment horizontal="center" vertical="center"/>
    </xf>
    <xf numFmtId="0" fontId="164" fillId="0" borderId="9" xfId="0" applyFont="1" applyBorder="1" applyAlignment="1">
      <alignment horizontal="center"/>
    </xf>
    <xf numFmtId="0" fontId="0" fillId="0" borderId="9" xfId="0" applyBorder="1"/>
    <xf numFmtId="0" fontId="4" fillId="0" borderId="8" xfId="4" applyFont="1" applyBorder="1" applyAlignment="1">
      <alignment horizontal="center"/>
    </xf>
    <xf numFmtId="0" fontId="5" fillId="0" borderId="117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wrapText="1"/>
    </xf>
    <xf numFmtId="0" fontId="165" fillId="0" borderId="0" xfId="0" applyFont="1" applyAlignment="1">
      <alignment horizontal="center"/>
    </xf>
    <xf numFmtId="0" fontId="5" fillId="0" borderId="113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5" fillId="0" borderId="120" xfId="4" applyFont="1" applyBorder="1" applyAlignment="1">
      <alignment horizontal="center"/>
    </xf>
    <xf numFmtId="0" fontId="165" fillId="0" borderId="120" xfId="0" applyFont="1" applyBorder="1" applyAlignment="1">
      <alignment horizontal="center"/>
    </xf>
    <xf numFmtId="0" fontId="5" fillId="0" borderId="2" xfId="4" applyFont="1" applyBorder="1"/>
    <xf numFmtId="10" fontId="5" fillId="0" borderId="0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41" fontId="5" fillId="0" borderId="0" xfId="21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75" fontId="5" fillId="0" borderId="0" xfId="4" applyNumberFormat="1" applyFont="1" applyAlignment="1">
      <alignment vertical="center"/>
    </xf>
    <xf numFmtId="175" fontId="4" fillId="0" borderId="0" xfId="4" applyNumberFormat="1" applyFont="1" applyAlignment="1">
      <alignment vertical="center"/>
    </xf>
    <xf numFmtId="164" fontId="4" fillId="0" borderId="1" xfId="48" applyNumberFormat="1" applyFont="1" applyBorder="1" applyAlignment="1">
      <alignment horizontal="right" vertical="center"/>
    </xf>
    <xf numFmtId="0" fontId="5" fillId="0" borderId="9" xfId="4" applyFont="1" applyBorder="1"/>
    <xf numFmtId="0" fontId="5" fillId="0" borderId="123" xfId="4" applyFont="1" applyBorder="1"/>
    <xf numFmtId="44" fontId="5" fillId="0" borderId="9" xfId="4" applyNumberFormat="1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75" fontId="4" fillId="0" borderId="0" xfId="48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120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4" fillId="0" borderId="120" xfId="1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203" fontId="4" fillId="0" borderId="0" xfId="0" applyNumberFormat="1" applyFont="1"/>
    <xf numFmtId="41" fontId="5" fillId="0" borderId="0" xfId="21" applyNumberFormat="1" applyFont="1" applyBorder="1" applyAlignment="1">
      <alignment horizontal="center"/>
    </xf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2" applyNumberFormat="1" applyFont="1" applyBorder="1"/>
    <xf numFmtId="175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120" xfId="2030" applyNumberFormat="1" applyFont="1" applyFill="1" applyBorder="1"/>
    <xf numFmtId="165" fontId="5" fillId="0" borderId="0" xfId="22" applyNumberFormat="1" applyFont="1" applyFill="1" applyBorder="1"/>
    <xf numFmtId="164" fontId="4" fillId="0" borderId="1" xfId="48" applyNumberFormat="1" applyFont="1" applyBorder="1" applyAlignment="1">
      <alignment horizontal="right"/>
    </xf>
    <xf numFmtId="165" fontId="5" fillId="0" borderId="9" xfId="22" applyNumberFormat="1" applyFont="1" applyBorder="1"/>
    <xf numFmtId="165" fontId="5" fillId="0" borderId="9" xfId="22" applyNumberFormat="1" applyFont="1" applyFill="1" applyBorder="1"/>
    <xf numFmtId="0" fontId="5" fillId="0" borderId="9" xfId="4" applyFont="1" applyBorder="1" applyAlignment="1">
      <alignment horizontal="center"/>
    </xf>
    <xf numFmtId="0" fontId="5" fillId="0" borderId="121" xfId="4" applyFont="1" applyBorder="1"/>
    <xf numFmtId="0" fontId="5" fillId="0" borderId="116" xfId="4" applyFont="1" applyBorder="1"/>
    <xf numFmtId="164" fontId="5" fillId="0" borderId="1" xfId="21" applyNumberFormat="1" applyFont="1" applyBorder="1" applyAlignment="1" applyProtection="1">
      <alignment horizontal="right" vertical="center"/>
      <protection locked="0"/>
    </xf>
    <xf numFmtId="10" fontId="5" fillId="2" borderId="0" xfId="2012" applyNumberFormat="1" applyFont="1" applyFill="1" applyAlignment="1">
      <alignment horizontal="right" vertical="center"/>
    </xf>
    <xf numFmtId="10" fontId="5" fillId="0" borderId="0" xfId="2012" applyNumberFormat="1" applyFont="1" applyAlignment="1">
      <alignment horizontal="right" vertical="center"/>
    </xf>
    <xf numFmtId="10" fontId="5" fillId="0" borderId="0" xfId="1043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4" xfId="2012" applyNumberFormat="1" applyFont="1" applyBorder="1" applyAlignment="1" applyProtection="1">
      <alignment horizontal="right" vertical="center"/>
      <protection locked="0"/>
    </xf>
    <xf numFmtId="164" fontId="5" fillId="0" borderId="53" xfId="2012" applyNumberFormat="1" applyFont="1" applyBorder="1" applyAlignment="1" applyProtection="1">
      <alignment horizontal="right" vertical="center"/>
      <protection locked="0"/>
    </xf>
    <xf numFmtId="0" fontId="4" fillId="0" borderId="125" xfId="0" applyFont="1" applyBorder="1" applyAlignment="1">
      <alignment horizontal="center" vertical="center"/>
    </xf>
    <xf numFmtId="15" fontId="4" fillId="0" borderId="125" xfId="0" applyNumberFormat="1" applyFont="1" applyBorder="1" applyAlignment="1">
      <alignment horizontal="center" vertical="center"/>
    </xf>
    <xf numFmtId="165" fontId="4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165" fontId="5" fillId="3" borderId="125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5" fontId="4" fillId="3" borderId="125" xfId="1" applyNumberFormat="1" applyFont="1" applyFill="1" applyBorder="1" applyAlignment="1" applyProtection="1">
      <alignment vertical="center"/>
      <protection locked="0"/>
    </xf>
    <xf numFmtId="10" fontId="4" fillId="2" borderId="125" xfId="0" applyNumberFormat="1" applyFont="1" applyFill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165" fontId="4" fillId="0" borderId="125" xfId="1" applyNumberFormat="1" applyFont="1" applyFill="1" applyBorder="1" applyAlignment="1" applyProtection="1">
      <alignment vertical="center"/>
      <protection locked="0"/>
    </xf>
    <xf numFmtId="164" fontId="5" fillId="0" borderId="39" xfId="2" applyNumberFormat="1" applyFont="1" applyFill="1" applyBorder="1" applyAlignment="1">
      <alignment horizontal="right" vertical="center"/>
    </xf>
    <xf numFmtId="165" fontId="4" fillId="2" borderId="125" xfId="1" applyNumberFormat="1" applyFont="1" applyFill="1" applyBorder="1" applyAlignment="1" applyProtection="1">
      <alignment horizontal="right" vertical="center"/>
    </xf>
    <xf numFmtId="164" fontId="4" fillId="0" borderId="119" xfId="2" applyNumberFormat="1" applyFont="1" applyBorder="1" applyAlignment="1">
      <alignment horizontal="right" vertical="center"/>
    </xf>
    <xf numFmtId="165" fontId="4" fillId="2" borderId="125" xfId="1" applyNumberFormat="1" applyFont="1" applyFill="1" applyBorder="1" applyAlignment="1">
      <alignment vertical="center"/>
    </xf>
    <xf numFmtId="164" fontId="4" fillId="0" borderId="119" xfId="2" applyNumberFormat="1" applyFont="1" applyBorder="1" applyAlignment="1">
      <alignment vertical="center"/>
    </xf>
    <xf numFmtId="10" fontId="4" fillId="0" borderId="39" xfId="2" applyNumberFormat="1" applyFont="1" applyBorder="1" applyAlignment="1">
      <alignment horizontal="right" vertical="center"/>
    </xf>
    <xf numFmtId="0" fontId="5" fillId="0" borderId="112" xfId="0" quotePrefix="1" applyFont="1" applyBorder="1" applyAlignment="1">
      <alignment horizontal="center"/>
    </xf>
    <xf numFmtId="0" fontId="5" fillId="0" borderId="125" xfId="0" applyFont="1" applyBorder="1" applyAlignment="1">
      <alignment horizontal="center" vertical="center"/>
    </xf>
    <xf numFmtId="165" fontId="4" fillId="0" borderId="126" xfId="1" applyNumberFormat="1" applyFont="1" applyFill="1" applyBorder="1" applyAlignment="1">
      <alignment vertical="center"/>
    </xf>
    <xf numFmtId="165" fontId="4" fillId="0" borderId="127" xfId="1" applyNumberFormat="1" applyFont="1" applyFill="1" applyBorder="1" applyAlignment="1">
      <alignment vertical="center"/>
    </xf>
    <xf numFmtId="165" fontId="4" fillId="0" borderId="125" xfId="1" applyNumberFormat="1" applyFont="1" applyFill="1" applyBorder="1" applyAlignment="1">
      <alignment vertical="center"/>
    </xf>
    <xf numFmtId="0" fontId="166" fillId="0" borderId="124" xfId="0" applyFont="1" applyBorder="1" applyAlignment="1">
      <alignment horizontal="center"/>
    </xf>
    <xf numFmtId="164" fontId="5" fillId="0" borderId="39" xfId="2" applyNumberFormat="1" applyFont="1" applyFill="1" applyBorder="1" applyAlignment="1">
      <alignment vertical="center"/>
    </xf>
    <xf numFmtId="165" fontId="4" fillId="0" borderId="128" xfId="1" applyNumberFormat="1" applyFont="1" applyFill="1" applyBorder="1" applyAlignment="1">
      <alignment vertical="center"/>
    </xf>
    <xf numFmtId="165" fontId="4" fillId="0" borderId="125" xfId="1" applyNumberFormat="1" applyFont="1" applyFill="1" applyBorder="1"/>
    <xf numFmtId="0" fontId="166" fillId="0" borderId="7" xfId="0" applyFont="1" applyBorder="1" applyAlignment="1">
      <alignment horizontal="center"/>
    </xf>
    <xf numFmtId="0" fontId="5" fillId="0" borderId="118" xfId="0" quotePrefix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5" fontId="5" fillId="0" borderId="0" xfId="1" applyNumberFormat="1" applyFont="1" applyFill="1" applyBorder="1"/>
    <xf numFmtId="164" fontId="5" fillId="0" borderId="129" xfId="2" applyNumberFormat="1" applyFont="1" applyFill="1" applyBorder="1" applyAlignment="1">
      <alignment vertical="center"/>
    </xf>
    <xf numFmtId="0" fontId="167" fillId="0" borderId="0" xfId="0" applyFont="1" applyAlignment="1">
      <alignment horizontal="center"/>
    </xf>
    <xf numFmtId="165" fontId="5" fillId="0" borderId="88" xfId="1" applyNumberFormat="1" applyFont="1" applyFill="1" applyBorder="1" applyAlignment="1">
      <alignment vertical="center"/>
    </xf>
    <xf numFmtId="164" fontId="5" fillId="0" borderId="124" xfId="2" applyNumberFormat="1" applyFont="1" applyFill="1" applyBorder="1" applyAlignment="1">
      <alignment vertical="center"/>
    </xf>
    <xf numFmtId="37" fontId="5" fillId="0" borderId="0" xfId="12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7" fontId="5" fillId="0" borderId="9" xfId="12" applyNumberFormat="1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/>
    </xf>
    <xf numFmtId="37" fontId="4" fillId="0" borderId="0" xfId="12" applyNumberFormat="1" applyFont="1" applyAlignment="1">
      <alignment horizontal="center" vertical="center"/>
    </xf>
    <xf numFmtId="37" fontId="4" fillId="0" borderId="6" xfId="12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4" fillId="0" borderId="125" xfId="1" applyNumberFormat="1" applyFont="1" applyFill="1" applyBorder="1" applyAlignment="1"/>
    <xf numFmtId="165" fontId="4" fillId="0" borderId="125" xfId="1" applyNumberFormat="1" applyFont="1" applyFill="1" applyBorder="1" applyAlignment="1">
      <alignment vertical="top"/>
    </xf>
    <xf numFmtId="164" fontId="5" fillId="0" borderId="39" xfId="2" applyNumberFormat="1" applyFont="1" applyBorder="1"/>
    <xf numFmtId="0" fontId="10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" fontId="168" fillId="0" borderId="0" xfId="1" applyNumberFormat="1" applyFont="1" applyFill="1" applyBorder="1" applyAlignment="1">
      <alignment horizontal="center" vertical="center"/>
    </xf>
    <xf numFmtId="165" fontId="168" fillId="0" borderId="0" xfId="1" applyNumberFormat="1" applyFont="1" applyFill="1" applyBorder="1" applyAlignment="1">
      <alignment horizontal="left" vertical="top"/>
    </xf>
    <xf numFmtId="0" fontId="168" fillId="0" borderId="7" xfId="0" applyFont="1" applyBorder="1" applyAlignment="1">
      <alignment horizontal="center" vertical="center"/>
    </xf>
    <xf numFmtId="0" fontId="168" fillId="0" borderId="7" xfId="0" applyFont="1" applyBorder="1" applyAlignment="1">
      <alignment horizontal="center"/>
    </xf>
    <xf numFmtId="164" fontId="5" fillId="2" borderId="0" xfId="2" applyNumberFormat="1" applyFont="1" applyFill="1" applyAlignment="1">
      <alignment horizontal="right" vertical="center"/>
    </xf>
    <xf numFmtId="165" fontId="5" fillId="111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125" xfId="1" applyNumberFormat="1" applyFont="1" applyFill="1" applyBorder="1" applyAlignment="1" applyProtection="1">
      <alignment horizontal="right" vertical="center"/>
    </xf>
    <xf numFmtId="164" fontId="5" fillId="0" borderId="119" xfId="2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125" xfId="1" applyNumberFormat="1" applyFont="1" applyFill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39" xfId="2" applyNumberFormat="1" applyFont="1" applyBorder="1" applyAlignment="1">
      <alignment horizontal="right" vertical="center"/>
    </xf>
    <xf numFmtId="10" fontId="5" fillId="2" borderId="109" xfId="4" applyNumberFormat="1" applyFont="1" applyFill="1" applyBorder="1" applyAlignment="1" applyProtection="1">
      <alignment horizontal="right" vertical="center"/>
      <protection locked="0"/>
    </xf>
    <xf numFmtId="164" fontId="5" fillId="2" borderId="0" xfId="21" applyNumberFormat="1" applyFont="1" applyFill="1" applyAlignment="1" applyProtection="1">
      <alignment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65" fontId="5" fillId="2" borderId="77" xfId="2408" applyNumberFormat="1" applyFont="1" applyFill="1" applyBorder="1" applyAlignment="1" applyProtection="1">
      <alignment horizontal="right" vertical="center"/>
      <protection locked="0"/>
    </xf>
    <xf numFmtId="164" fontId="5" fillId="0" borderId="96" xfId="21" applyNumberFormat="1" applyFont="1" applyFill="1" applyBorder="1" applyAlignment="1" applyProtection="1">
      <alignment horizontal="right" vertical="center"/>
    </xf>
    <xf numFmtId="164" fontId="5" fillId="0" borderId="39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77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77" xfId="2408" applyNumberFormat="1" applyFont="1" applyFill="1" applyBorder="1" applyAlignment="1" applyProtection="1">
      <alignment horizontal="right" vertical="center"/>
    </xf>
    <xf numFmtId="164" fontId="5" fillId="0" borderId="44" xfId="21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0" fontId="12" fillId="0" borderId="0" xfId="0" quotePrefix="1" applyFont="1" applyAlignment="1">
      <alignment horizontal="center" vertical="center"/>
    </xf>
    <xf numFmtId="0" fontId="27" fillId="0" borderId="125" xfId="0" applyFont="1" applyBorder="1" applyAlignment="1">
      <alignment horizontal="center" vertical="center"/>
    </xf>
    <xf numFmtId="10" fontId="4" fillId="3" borderId="0" xfId="3" applyNumberFormat="1" applyFont="1" applyFill="1" applyBorder="1"/>
    <xf numFmtId="165" fontId="25" fillId="0" borderId="0" xfId="1" applyNumberFormat="1" applyFont="1" applyAlignment="1">
      <alignment vertical="center"/>
    </xf>
    <xf numFmtId="10" fontId="25" fillId="0" borderId="0" xfId="3" applyNumberFormat="1" applyFont="1" applyAlignment="1">
      <alignment vertical="center"/>
    </xf>
    <xf numFmtId="201" fontId="25" fillId="0" borderId="0" xfId="3" applyNumberFormat="1" applyFont="1" applyAlignment="1">
      <alignment vertical="center"/>
    </xf>
    <xf numFmtId="10" fontId="4" fillId="3" borderId="125" xfId="3" applyNumberFormat="1" applyFont="1" applyFill="1" applyBorder="1"/>
    <xf numFmtId="165" fontId="25" fillId="0" borderId="0" xfId="1" applyNumberFormat="1" applyFont="1" applyFill="1" applyBorder="1" applyAlignment="1">
      <alignment vertical="center"/>
    </xf>
    <xf numFmtId="165" fontId="25" fillId="0" borderId="125" xfId="1" applyNumberFormat="1" applyFont="1" applyFill="1" applyBorder="1" applyAlignment="1">
      <alignment vertical="center"/>
    </xf>
    <xf numFmtId="204" fontId="25" fillId="0" borderId="0" xfId="2" applyNumberFormat="1" applyFont="1" applyAlignment="1">
      <alignment vertical="center"/>
    </xf>
    <xf numFmtId="204" fontId="4" fillId="0" borderId="0" xfId="2" applyNumberFormat="1" applyFont="1" applyFill="1" applyAlignment="1">
      <alignment vertical="center"/>
    </xf>
    <xf numFmtId="205" fontId="25" fillId="0" borderId="0" xfId="0" applyNumberFormat="1" applyFont="1" applyAlignment="1">
      <alignment vertical="center"/>
    </xf>
    <xf numFmtId="205" fontId="4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109" xfId="21" applyNumberFormat="1" applyFont="1" applyFill="1" applyBorder="1" applyAlignment="1" applyProtection="1">
      <alignment vertical="center"/>
      <protection locked="0"/>
    </xf>
    <xf numFmtId="164" fontId="5" fillId="2" borderId="109" xfId="2012" applyNumberFormat="1" applyFont="1" applyFill="1" applyBorder="1" applyAlignment="1" applyProtection="1">
      <alignment horizontal="right" vertical="center"/>
      <protection locked="0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4" fontId="5" fillId="2" borderId="0" xfId="2" applyNumberFormat="1" applyFont="1" applyFill="1" applyAlignment="1">
      <alignment horizontal="center" vertical="center"/>
    </xf>
    <xf numFmtId="0" fontId="7" fillId="0" borderId="0" xfId="1965" applyFont="1"/>
    <xf numFmtId="165" fontId="5" fillId="2" borderId="53" xfId="1" applyNumberFormat="1" applyFont="1" applyFill="1" applyBorder="1" applyAlignment="1">
      <alignment horizontal="center" vertical="center"/>
    </xf>
    <xf numFmtId="164" fontId="5" fillId="0" borderId="0" xfId="48" applyNumberFormat="1" applyFont="1" applyAlignment="1">
      <alignment vertical="center"/>
    </xf>
    <xf numFmtId="164" fontId="5" fillId="0" borderId="0" xfId="48" applyNumberFormat="1" applyFont="1" applyBorder="1" applyAlignment="1">
      <alignment horizontal="right" vertical="center"/>
    </xf>
    <xf numFmtId="164" fontId="5" fillId="2" borderId="120" xfId="2" applyNumberFormat="1" applyFont="1" applyFill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5" fillId="0" borderId="125" xfId="55" applyFont="1" applyBorder="1" applyAlignment="1">
      <alignment horizontal="center" vertical="center"/>
    </xf>
    <xf numFmtId="0" fontId="4" fillId="0" borderId="0" xfId="55" applyFont="1" applyAlignment="1">
      <alignment horizontal="left" vertical="center"/>
    </xf>
    <xf numFmtId="1" fontId="4" fillId="0" borderId="0" xfId="55" applyNumberFormat="1" applyFont="1" applyAlignment="1">
      <alignment horizontal="center" vertical="center"/>
    </xf>
    <xf numFmtId="10" fontId="4" fillId="3" borderId="107" xfId="3" applyNumberFormat="1" applyFont="1" applyFill="1" applyBorder="1"/>
    <xf numFmtId="0" fontId="4" fillId="0" borderId="125" xfId="55" applyFont="1" applyBorder="1" applyAlignment="1">
      <alignment horizontal="left" vertical="center"/>
    </xf>
    <xf numFmtId="1" fontId="4" fillId="0" borderId="125" xfId="55" applyNumberFormat="1" applyFont="1" applyBorder="1" applyAlignment="1">
      <alignment horizontal="center" vertical="center"/>
    </xf>
    <xf numFmtId="10" fontId="25" fillId="0" borderId="0" xfId="3" applyNumberFormat="1" applyFont="1" applyBorder="1" applyAlignment="1">
      <alignment vertical="center"/>
    </xf>
    <xf numFmtId="204" fontId="25" fillId="0" borderId="0" xfId="2" applyNumberFormat="1" applyFont="1" applyBorder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164" fontId="5" fillId="2" borderId="0" xfId="21" applyNumberFormat="1" applyFont="1" applyFill="1" applyBorder="1" applyAlignment="1" applyProtection="1">
      <alignment horizontal="right" vertical="center"/>
    </xf>
    <xf numFmtId="0" fontId="167" fillId="0" borderId="124" xfId="0" applyFont="1" applyBorder="1" applyAlignment="1">
      <alignment horizontal="center"/>
    </xf>
    <xf numFmtId="168" fontId="5" fillId="0" borderId="114" xfId="0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37" fontId="7" fillId="0" borderId="0" xfId="0" applyNumberFormat="1" applyFont="1" applyAlignment="1">
      <alignment horizontal="left" vertical="center"/>
    </xf>
    <xf numFmtId="0" fontId="5" fillId="0" borderId="6" xfId="0" quotePrefix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37" fontId="4" fillId="0" borderId="118" xfId="12" applyNumberFormat="1" applyFont="1" applyBorder="1" applyAlignment="1">
      <alignment horizontal="center" vertical="center"/>
    </xf>
    <xf numFmtId="164" fontId="4" fillId="0" borderId="4" xfId="2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37" fontId="4" fillId="0" borderId="4" xfId="0" applyNumberFormat="1" applyFont="1" applyBorder="1" applyAlignment="1">
      <alignment vertical="center"/>
    </xf>
    <xf numFmtId="165" fontId="4" fillId="0" borderId="0" xfId="1" applyNumberFormat="1" applyFont="1" applyFill="1" applyBorder="1" applyAlignment="1"/>
    <xf numFmtId="37" fontId="5" fillId="0" borderId="7" xfId="4" applyNumberFormat="1" applyFont="1" applyBorder="1" applyAlignment="1">
      <alignment horizontal="center"/>
    </xf>
    <xf numFmtId="0" fontId="166" fillId="0" borderId="4" xfId="0" applyFont="1" applyBorder="1" applyAlignment="1">
      <alignment horizontal="center"/>
    </xf>
    <xf numFmtId="0" fontId="166" fillId="0" borderId="12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7" fontId="4" fillId="0" borderId="5" xfId="12" applyNumberFormat="1" applyFont="1" applyBorder="1" applyAlignment="1">
      <alignment horizontal="center" vertical="center"/>
    </xf>
    <xf numFmtId="164" fontId="4" fillId="0" borderId="5" xfId="2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vertical="center"/>
    </xf>
    <xf numFmtId="37" fontId="4" fillId="0" borderId="5" xfId="0" applyNumberFormat="1" applyFont="1" applyBorder="1" applyAlignment="1">
      <alignment vertical="center"/>
    </xf>
    <xf numFmtId="164" fontId="5" fillId="0" borderId="5" xfId="2" applyNumberFormat="1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168" fontId="4" fillId="0" borderId="0" xfId="4" applyNumberFormat="1" applyFont="1" applyAlignment="1">
      <alignment horizontal="center" vertical="center"/>
    </xf>
    <xf numFmtId="0" fontId="9" fillId="0" borderId="0" xfId="2012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0" fontId="8" fillId="127" borderId="0" xfId="3" applyNumberFormat="1" applyFont="1" applyFill="1" applyBorder="1"/>
    <xf numFmtId="0" fontId="25" fillId="0" borderId="125" xfId="0" applyFont="1" applyBorder="1" applyAlignment="1">
      <alignment vertical="center"/>
    </xf>
    <xf numFmtId="10" fontId="8" fillId="127" borderId="125" xfId="3" applyNumberFormat="1" applyFont="1" applyFill="1" applyBorder="1"/>
    <xf numFmtId="0" fontId="25" fillId="127" borderId="0" xfId="0" applyFont="1" applyFill="1" applyAlignment="1">
      <alignment horizontal="center" vertical="center"/>
    </xf>
    <xf numFmtId="0" fontId="25" fillId="127" borderId="0" xfId="0" applyFont="1" applyFill="1" applyAlignment="1">
      <alignment vertical="center"/>
    </xf>
    <xf numFmtId="165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0" xfId="2" applyNumberFormat="1" applyFont="1" applyBorder="1"/>
    <xf numFmtId="44" fontId="25" fillId="0" borderId="0" xfId="9" applyFont="1"/>
    <xf numFmtId="43" fontId="25" fillId="0" borderId="120" xfId="1497" applyFont="1" applyBorder="1"/>
    <xf numFmtId="44" fontId="27" fillId="0" borderId="0" xfId="2" applyFont="1" applyBorder="1"/>
    <xf numFmtId="44" fontId="27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25" fillId="0" borderId="0" xfId="2" applyFont="1" applyFill="1" applyAlignment="1">
      <alignment horizontal="right" vertical="center"/>
    </xf>
    <xf numFmtId="43" fontId="25" fillId="0" borderId="0" xfId="1" applyFont="1" applyFill="1" applyAlignment="1">
      <alignment horizontal="right" vertical="center"/>
    </xf>
    <xf numFmtId="43" fontId="25" fillId="0" borderId="125" xfId="1" applyFont="1" applyFill="1" applyBorder="1" applyAlignment="1">
      <alignment horizontal="right" vertical="center"/>
    </xf>
    <xf numFmtId="44" fontId="25" fillId="0" borderId="0" xfId="2" applyFont="1" applyAlignment="1">
      <alignment horizontal="center" vertical="center"/>
    </xf>
    <xf numFmtId="44" fontId="25" fillId="0" borderId="0" xfId="2" applyFont="1" applyAlignment="1">
      <alignment horizontal="right" vertical="center"/>
    </xf>
    <xf numFmtId="43" fontId="25" fillId="0" borderId="0" xfId="1" applyFont="1" applyAlignment="1">
      <alignment horizontal="center" vertical="center"/>
    </xf>
    <xf numFmtId="43" fontId="25" fillId="0" borderId="0" xfId="1" applyFont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43" fontId="25" fillId="0" borderId="125" xfId="1" applyFont="1" applyBorder="1" applyAlignment="1">
      <alignment horizontal="center" vertical="center"/>
    </xf>
    <xf numFmtId="43" fontId="25" fillId="0" borderId="125" xfId="1" applyFont="1" applyBorder="1" applyAlignment="1">
      <alignment horizontal="right" vertical="center"/>
    </xf>
    <xf numFmtId="43" fontId="4" fillId="0" borderId="125" xfId="1" applyFont="1" applyFill="1" applyBorder="1" applyAlignment="1">
      <alignment horizontal="right" vertical="center"/>
    </xf>
    <xf numFmtId="43" fontId="25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25" fillId="0" borderId="0" xfId="1" applyFont="1" applyBorder="1" applyAlignment="1">
      <alignment horizontal="right" vertical="center"/>
    </xf>
    <xf numFmtId="43" fontId="5" fillId="0" borderId="125" xfId="1" applyFont="1" applyFill="1" applyBorder="1" applyAlignment="1">
      <alignment horizontal="right" vertical="center"/>
    </xf>
    <xf numFmtId="0" fontId="25" fillId="0" borderId="0" xfId="57" quotePrefix="1" applyFont="1"/>
    <xf numFmtId="0" fontId="5" fillId="0" borderId="6" xfId="4" applyFont="1" applyBorder="1" applyAlignment="1">
      <alignment horizontal="center"/>
    </xf>
    <xf numFmtId="0" fontId="5" fillId="0" borderId="126" xfId="4" applyFont="1" applyBorder="1" applyAlignment="1">
      <alignment horizontal="center"/>
    </xf>
    <xf numFmtId="10" fontId="5" fillId="0" borderId="88" xfId="61" applyNumberFormat="1" applyFont="1" applyBorder="1" applyAlignment="1">
      <alignment horizontal="center"/>
    </xf>
    <xf numFmtId="164" fontId="4" fillId="0" borderId="88" xfId="48" applyNumberFormat="1" applyFont="1" applyFill="1" applyBorder="1" applyAlignment="1">
      <alignment horizontal="right" vertical="center"/>
    </xf>
    <xf numFmtId="164" fontId="4" fillId="0" borderId="88" xfId="4" applyNumberFormat="1" applyFont="1" applyBorder="1" applyAlignment="1">
      <alignment horizontal="right" vertical="center"/>
    </xf>
    <xf numFmtId="165" fontId="5" fillId="0" borderId="88" xfId="1" applyNumberFormat="1" applyFont="1" applyFill="1" applyBorder="1" applyAlignment="1">
      <alignment horizontal="right" vertical="center"/>
    </xf>
    <xf numFmtId="165" fontId="4" fillId="0" borderId="126" xfId="1" applyNumberFormat="1" applyFont="1" applyFill="1" applyBorder="1" applyAlignment="1">
      <alignment horizontal="right" vertical="center"/>
    </xf>
    <xf numFmtId="165" fontId="4" fillId="0" borderId="88" xfId="1" applyNumberFormat="1" applyFont="1" applyFill="1" applyBorder="1" applyAlignment="1">
      <alignment horizontal="right" vertical="center"/>
    </xf>
    <xf numFmtId="164" fontId="4" fillId="0" borderId="88" xfId="2" applyNumberFormat="1" applyFont="1" applyFill="1" applyBorder="1" applyAlignment="1">
      <alignment horizontal="right" vertical="center"/>
    </xf>
    <xf numFmtId="164" fontId="4" fillId="0" borderId="88" xfId="4" applyNumberFormat="1" applyFont="1" applyBorder="1" applyAlignment="1">
      <alignment vertical="center"/>
    </xf>
    <xf numFmtId="175" fontId="5" fillId="0" borderId="88" xfId="4" applyNumberFormat="1" applyFont="1" applyBorder="1" applyAlignment="1">
      <alignment vertical="center"/>
    </xf>
    <xf numFmtId="164" fontId="4" fillId="0" borderId="50" xfId="48" applyNumberFormat="1" applyFont="1" applyBorder="1" applyAlignment="1">
      <alignment horizontal="right" vertical="center"/>
    </xf>
    <xf numFmtId="0" fontId="5" fillId="0" borderId="51" xfId="4" applyFont="1" applyBorder="1"/>
    <xf numFmtId="175" fontId="4" fillId="0" borderId="88" xfId="48" applyNumberFormat="1" applyFont="1" applyFill="1" applyBorder="1" applyAlignment="1">
      <alignment horizontal="right"/>
    </xf>
    <xf numFmtId="175" fontId="4" fillId="0" borderId="88" xfId="4" applyNumberFormat="1" applyFont="1" applyBorder="1" applyAlignment="1">
      <alignment horizontal="right"/>
    </xf>
    <xf numFmtId="167" fontId="5" fillId="0" borderId="88" xfId="1" applyNumberFormat="1" applyFont="1" applyFill="1" applyBorder="1" applyAlignment="1">
      <alignment horizontal="right"/>
    </xf>
    <xf numFmtId="165" fontId="4" fillId="0" borderId="88" xfId="1" applyNumberFormat="1" applyFont="1" applyBorder="1" applyAlignment="1">
      <alignment horizontal="right"/>
    </xf>
    <xf numFmtId="167" fontId="4" fillId="0" borderId="126" xfId="1" applyNumberFormat="1" applyFont="1" applyFill="1" applyBorder="1" applyAlignment="1">
      <alignment horizontal="right"/>
    </xf>
    <xf numFmtId="165" fontId="4" fillId="0" borderId="88" xfId="1" applyNumberFormat="1" applyFont="1" applyFill="1" applyBorder="1" applyAlignment="1">
      <alignment horizontal="right"/>
    </xf>
    <xf numFmtId="175" fontId="5" fillId="0" borderId="88" xfId="2" applyNumberFormat="1" applyFont="1" applyFill="1" applyBorder="1" applyAlignment="1">
      <alignment horizontal="right"/>
    </xf>
    <xf numFmtId="167" fontId="4" fillId="0" borderId="88" xfId="1" applyNumberFormat="1" applyFont="1" applyFill="1" applyBorder="1" applyAlignment="1">
      <alignment horizontal="right"/>
    </xf>
    <xf numFmtId="165" fontId="4" fillId="0" borderId="88" xfId="1" applyNumberFormat="1" applyFont="1" applyBorder="1"/>
    <xf numFmtId="175" fontId="5" fillId="0" borderId="50" xfId="2" applyNumberFormat="1" applyFont="1" applyFill="1" applyBorder="1"/>
    <xf numFmtId="175" fontId="5" fillId="0" borderId="88" xfId="22" applyNumberFormat="1" applyFont="1" applyBorder="1"/>
    <xf numFmtId="165" fontId="4" fillId="0" borderId="126" xfId="2030" applyNumberFormat="1" applyFont="1" applyFill="1" applyBorder="1"/>
    <xf numFmtId="164" fontId="4" fillId="0" borderId="50" xfId="48" applyNumberFormat="1" applyFont="1" applyBorder="1" applyAlignment="1">
      <alignment horizontal="right"/>
    </xf>
    <xf numFmtId="165" fontId="5" fillId="0" borderId="51" xfId="22" applyNumberFormat="1" applyFont="1" applyBorder="1"/>
    <xf numFmtId="164" fontId="5" fillId="0" borderId="88" xfId="2" applyNumberFormat="1" applyFont="1" applyFill="1" applyBorder="1" applyAlignment="1">
      <alignment horizontal="right" vertical="center"/>
    </xf>
    <xf numFmtId="164" fontId="5" fillId="0" borderId="50" xfId="48" applyNumberFormat="1" applyFont="1" applyBorder="1" applyAlignment="1">
      <alignment horizontal="right" vertical="center"/>
    </xf>
    <xf numFmtId="164" fontId="5" fillId="0" borderId="50" xfId="48" applyNumberFormat="1" applyFont="1" applyBorder="1" applyAlignment="1">
      <alignment horizontal="right"/>
    </xf>
    <xf numFmtId="0" fontId="161" fillId="0" borderId="0" xfId="57" applyFont="1" applyAlignment="1">
      <alignment horizontal="center" vertical="justify"/>
    </xf>
    <xf numFmtId="0" fontId="161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</cellXfs>
  <cellStyles count="38102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0" xr:uid="{00000000-0005-0000-0000-0000FE940000}"/>
    <cellStyle name="Comma 16" xfId="1452" xr:uid="{00000000-0005-0000-0000-0000ED050000}"/>
    <cellStyle name="Comma 164" xfId="38096" xr:uid="{7AB220A9-AC52-49D8-99B2-8E0F9AC44F2C}"/>
    <cellStyle name="Comma 165" xfId="38097" xr:uid="{E07A24B8-7FFD-4AF8-BC5B-CB73E4B5710D}"/>
    <cellStyle name="Comma 166" xfId="38098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1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9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1841C509-B417-47AA-874F-C99BD465EED2}"/>
  </tableStyles>
  <colors>
    <mruColors>
      <color rgb="FF0000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9AD4F57-F83D-4215-8902-6D3675497746}"/>
            </a:ext>
          </a:extLst>
        </xdr:cNvPr>
        <xdr:cNvSpPr>
          <a:spLocks noChangeShapeType="1"/>
        </xdr:cNvSpPr>
      </xdr:nvSpPr>
      <xdr:spPr bwMode="auto">
        <a:xfrm>
          <a:off x="1900239" y="18532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397B083-816F-48AF-80C5-BC25BC67E79B}"/>
            </a:ext>
          </a:extLst>
        </xdr:cNvPr>
        <xdr:cNvSpPr>
          <a:spLocks noChangeShapeType="1"/>
        </xdr:cNvSpPr>
      </xdr:nvSpPr>
      <xdr:spPr bwMode="auto">
        <a:xfrm>
          <a:off x="1757367" y="208851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C770CEA-2AE2-40D2-8325-3982CBC0FAEF}"/>
            </a:ext>
          </a:extLst>
        </xdr:cNvPr>
        <xdr:cNvSpPr>
          <a:spLocks noChangeShapeType="1"/>
        </xdr:cNvSpPr>
      </xdr:nvSpPr>
      <xdr:spPr bwMode="auto">
        <a:xfrm>
          <a:off x="1900239" y="27727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4A3189C-E1F5-412E-A4AA-D64F425BC953}"/>
            </a:ext>
          </a:extLst>
        </xdr:cNvPr>
        <xdr:cNvSpPr>
          <a:spLocks noChangeShapeType="1"/>
        </xdr:cNvSpPr>
      </xdr:nvSpPr>
      <xdr:spPr bwMode="auto">
        <a:xfrm>
          <a:off x="1900239" y="27727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08944A9-DDDA-4811-AD04-FAB2A86E180B}"/>
            </a:ext>
          </a:extLst>
        </xdr:cNvPr>
        <xdr:cNvSpPr>
          <a:spLocks noChangeShapeType="1"/>
        </xdr:cNvSpPr>
      </xdr:nvSpPr>
      <xdr:spPr bwMode="auto">
        <a:xfrm>
          <a:off x="1757367" y="300799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6031C10-31D3-466B-B541-AEFA496B6020}"/>
            </a:ext>
          </a:extLst>
        </xdr:cNvPr>
        <xdr:cNvSpPr>
          <a:spLocks noChangeShapeType="1"/>
        </xdr:cNvSpPr>
      </xdr:nvSpPr>
      <xdr:spPr bwMode="auto">
        <a:xfrm>
          <a:off x="1900239" y="18303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2D9E77-BF0E-4FE1-B935-7D6B18D24F62}"/>
            </a:ext>
          </a:extLst>
        </xdr:cNvPr>
        <xdr:cNvSpPr>
          <a:spLocks noChangeShapeType="1"/>
        </xdr:cNvSpPr>
      </xdr:nvSpPr>
      <xdr:spPr bwMode="auto">
        <a:xfrm>
          <a:off x="1757367" y="206565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A449B5F-D079-4F0E-B893-7A30555EC5A1}"/>
            </a:ext>
          </a:extLst>
        </xdr:cNvPr>
        <xdr:cNvSpPr>
          <a:spLocks noChangeShapeType="1"/>
        </xdr:cNvSpPr>
      </xdr:nvSpPr>
      <xdr:spPr bwMode="auto">
        <a:xfrm>
          <a:off x="1900239" y="27301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A45DC7-F833-4B5C-B69F-9ABEA0554942}"/>
            </a:ext>
          </a:extLst>
        </xdr:cNvPr>
        <xdr:cNvSpPr>
          <a:spLocks noChangeShapeType="1"/>
        </xdr:cNvSpPr>
      </xdr:nvSpPr>
      <xdr:spPr bwMode="auto">
        <a:xfrm>
          <a:off x="1900239" y="27301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D57E9BA4-1F13-484A-8946-CB1ED1A8DC26}"/>
            </a:ext>
          </a:extLst>
        </xdr:cNvPr>
        <xdr:cNvSpPr>
          <a:spLocks noChangeShapeType="1"/>
        </xdr:cNvSpPr>
      </xdr:nvSpPr>
      <xdr:spPr bwMode="auto">
        <a:xfrm>
          <a:off x="1757367" y="296544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9646-451E-4BC7-A3F5-67259C947FE7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416" bestFit="1" customWidth="1"/>
    <col min="2" max="2" width="76.6328125" style="416" customWidth="1"/>
    <col min="3" max="3" width="1.6328125" style="416" customWidth="1"/>
    <col min="4" max="4" width="20.81640625" style="416" customWidth="1"/>
    <col min="5" max="5" width="1.54296875" style="416" customWidth="1"/>
    <col min="6" max="6" width="40.6328125" style="416" customWidth="1"/>
    <col min="7" max="7" width="4.81640625" style="416" customWidth="1"/>
    <col min="8" max="16384" width="9.1796875" style="416"/>
  </cols>
  <sheetData>
    <row r="2" spans="1:8" ht="17.5">
      <c r="B2" s="716" t="s">
        <v>345</v>
      </c>
      <c r="C2" s="716"/>
      <c r="D2" s="716"/>
      <c r="E2" s="716"/>
      <c r="F2" s="716"/>
    </row>
    <row r="3" spans="1:8" ht="17.5">
      <c r="B3" s="417" t="s">
        <v>346</v>
      </c>
      <c r="C3" s="418"/>
      <c r="D3" s="419"/>
      <c r="E3" s="419"/>
      <c r="F3" s="419"/>
    </row>
    <row r="4" spans="1:8" ht="17.5" customHeight="1">
      <c r="B4" s="717" t="s">
        <v>609</v>
      </c>
      <c r="C4" s="717"/>
      <c r="D4" s="717"/>
      <c r="E4" s="717"/>
      <c r="F4" s="717"/>
    </row>
    <row r="5" spans="1:8" ht="17.5">
      <c r="B5" s="420" t="s">
        <v>354</v>
      </c>
      <c r="C5" s="418"/>
      <c r="D5" s="418"/>
      <c r="E5" s="418"/>
      <c r="F5" s="418"/>
    </row>
    <row r="6" spans="1:8" ht="15.5">
      <c r="B6" s="718" t="s">
        <v>1</v>
      </c>
      <c r="C6" s="718"/>
      <c r="D6" s="718"/>
      <c r="E6" s="718"/>
      <c r="F6" s="718"/>
      <c r="G6" s="421"/>
      <c r="H6" s="421"/>
    </row>
    <row r="7" spans="1:8" ht="15.5">
      <c r="B7" s="422"/>
      <c r="C7" s="422"/>
      <c r="D7" s="423"/>
      <c r="E7" s="424"/>
      <c r="F7" s="422"/>
      <c r="G7" s="422"/>
    </row>
    <row r="8" spans="1:8" ht="15.5">
      <c r="A8" s="2" t="s">
        <v>2</v>
      </c>
      <c r="G8" s="2" t="s">
        <v>2</v>
      </c>
    </row>
    <row r="9" spans="1:8" ht="15.5">
      <c r="A9" s="425" t="s">
        <v>14</v>
      </c>
      <c r="B9" s="426" t="s">
        <v>16</v>
      </c>
      <c r="C9" s="426"/>
      <c r="D9" s="426" t="s">
        <v>22</v>
      </c>
      <c r="E9" s="427"/>
      <c r="F9" s="426" t="s">
        <v>6</v>
      </c>
      <c r="G9" s="425" t="s">
        <v>14</v>
      </c>
    </row>
    <row r="10" spans="1:8" ht="15.5">
      <c r="A10" s="2"/>
      <c r="B10" s="422"/>
      <c r="C10" s="422"/>
      <c r="D10" s="428"/>
      <c r="E10" s="428"/>
      <c r="F10" s="428"/>
      <c r="G10" s="2"/>
    </row>
    <row r="11" spans="1:8" ht="15.5">
      <c r="A11" s="2">
        <v>1</v>
      </c>
      <c r="B11" s="424" t="s">
        <v>573</v>
      </c>
      <c r="C11" s="424"/>
      <c r="D11" s="428"/>
      <c r="E11" s="428"/>
      <c r="F11" s="428"/>
      <c r="G11" s="2">
        <v>1</v>
      </c>
    </row>
    <row r="12" spans="1:8" ht="15.5">
      <c r="A12" s="2">
        <f>A11+1</f>
        <v>2</v>
      </c>
      <c r="B12" s="424"/>
      <c r="C12" s="424"/>
      <c r="D12" s="428"/>
      <c r="E12" s="428"/>
      <c r="F12" s="428"/>
      <c r="G12" s="2">
        <f>G11+1</f>
        <v>2</v>
      </c>
    </row>
    <row r="13" spans="1:8" ht="31">
      <c r="A13" s="2">
        <f t="shared" ref="A13:A21" si="0">A12+1</f>
        <v>3</v>
      </c>
      <c r="B13" s="429" t="s">
        <v>347</v>
      </c>
      <c r="C13" s="430"/>
      <c r="D13" s="665">
        <f>'Pg2 App XII C2 Comparison'!G28</f>
        <v>0.21628647935267509</v>
      </c>
      <c r="E13" s="431"/>
      <c r="F13" s="428" t="s">
        <v>348</v>
      </c>
      <c r="G13" s="2">
        <f t="shared" ref="G13:G21" si="1">G12+1</f>
        <v>3</v>
      </c>
    </row>
    <row r="14" spans="1:8" ht="15.5">
      <c r="A14" s="2">
        <f t="shared" si="0"/>
        <v>4</v>
      </c>
      <c r="B14" s="422"/>
      <c r="C14" s="428"/>
      <c r="D14" s="431"/>
      <c r="E14" s="431"/>
      <c r="F14" s="428"/>
      <c r="G14" s="2">
        <f t="shared" si="1"/>
        <v>4</v>
      </c>
    </row>
    <row r="15" spans="1:8" ht="15.5">
      <c r="A15" s="2">
        <f t="shared" si="0"/>
        <v>5</v>
      </c>
      <c r="B15" s="422" t="s">
        <v>349</v>
      </c>
      <c r="C15" s="428"/>
      <c r="D15" s="666">
        <f>'Pg13 App XII C2 Int Calc'!G101</f>
        <v>9.0448996195207423E-2</v>
      </c>
      <c r="E15" s="432"/>
      <c r="F15" s="428" t="s">
        <v>634</v>
      </c>
      <c r="G15" s="2">
        <f t="shared" si="1"/>
        <v>5</v>
      </c>
    </row>
    <row r="16" spans="1:8" ht="15.5">
      <c r="A16" s="2">
        <f t="shared" si="0"/>
        <v>6</v>
      </c>
      <c r="B16" s="422"/>
      <c r="C16" s="428"/>
      <c r="D16" s="433"/>
      <c r="E16" s="433"/>
      <c r="F16" s="428"/>
      <c r="G16" s="2">
        <f t="shared" si="1"/>
        <v>6</v>
      </c>
    </row>
    <row r="17" spans="1:7" ht="15.5">
      <c r="A17" s="2">
        <f t="shared" si="0"/>
        <v>7</v>
      </c>
      <c r="B17" s="434" t="s">
        <v>350</v>
      </c>
      <c r="C17" s="427"/>
      <c r="D17" s="667">
        <f>D13+D15</f>
        <v>0.3067354755478825</v>
      </c>
      <c r="E17" s="431"/>
      <c r="F17" s="428" t="s">
        <v>351</v>
      </c>
      <c r="G17" s="2">
        <f t="shared" si="1"/>
        <v>7</v>
      </c>
    </row>
    <row r="18" spans="1:7" ht="15.5">
      <c r="A18" s="2">
        <f t="shared" si="0"/>
        <v>8</v>
      </c>
      <c r="B18" s="422"/>
      <c r="C18" s="428"/>
      <c r="D18" s="435"/>
      <c r="E18" s="422"/>
      <c r="F18" s="422"/>
      <c r="G18" s="2">
        <f t="shared" si="1"/>
        <v>8</v>
      </c>
    </row>
    <row r="19" spans="1:7" ht="15.5">
      <c r="A19" s="2">
        <f t="shared" si="0"/>
        <v>9</v>
      </c>
      <c r="B19" s="11" t="s">
        <v>249</v>
      </c>
      <c r="C19" s="428"/>
      <c r="D19" s="436">
        <v>12</v>
      </c>
      <c r="E19" s="422"/>
      <c r="F19" s="422"/>
      <c r="G19" s="2">
        <f t="shared" si="1"/>
        <v>9</v>
      </c>
    </row>
    <row r="20" spans="1:7" ht="15.5">
      <c r="A20" s="2">
        <f t="shared" si="0"/>
        <v>10</v>
      </c>
      <c r="B20" s="422"/>
      <c r="C20" s="428"/>
      <c r="D20" s="435"/>
      <c r="E20" s="422"/>
      <c r="F20" s="422"/>
      <c r="G20" s="2">
        <f t="shared" si="1"/>
        <v>10</v>
      </c>
    </row>
    <row r="21" spans="1:7" ht="16" thickBot="1">
      <c r="A21" s="2">
        <f t="shared" si="0"/>
        <v>11</v>
      </c>
      <c r="B21" s="434" t="s">
        <v>352</v>
      </c>
      <c r="C21" s="422"/>
      <c r="D21" s="437">
        <f>D17/12</f>
        <v>2.5561289628990208E-2</v>
      </c>
      <c r="E21" s="422"/>
      <c r="F21" s="428" t="s">
        <v>353</v>
      </c>
      <c r="G21" s="2">
        <f t="shared" si="1"/>
        <v>11</v>
      </c>
    </row>
    <row r="22" spans="1:7" ht="16" thickTop="1">
      <c r="A22" s="2"/>
      <c r="B22" s="438"/>
      <c r="C22" s="422"/>
      <c r="D22" s="439"/>
      <c r="E22" s="422"/>
      <c r="F22" s="422"/>
      <c r="G22" s="422"/>
    </row>
    <row r="23" spans="1:7" ht="15.5">
      <c r="B23" s="422"/>
      <c r="C23" s="422"/>
      <c r="D23" s="422"/>
      <c r="E23" s="422"/>
      <c r="F23" s="422"/>
      <c r="G23" s="422"/>
    </row>
    <row r="24" spans="1:7" ht="17">
      <c r="A24" s="440">
        <v>1</v>
      </c>
      <c r="B24" s="441" t="s">
        <v>658</v>
      </c>
      <c r="C24" s="422"/>
      <c r="D24" s="422"/>
      <c r="E24" s="422"/>
      <c r="F24" s="422"/>
      <c r="G24" s="422"/>
    </row>
    <row r="25" spans="1:7" ht="15.5">
      <c r="B25" s="441" t="s">
        <v>662</v>
      </c>
      <c r="C25" s="422"/>
      <c r="D25" s="422"/>
      <c r="E25" s="422"/>
      <c r="F25" s="422"/>
      <c r="G25" s="422"/>
    </row>
    <row r="26" spans="1:7" ht="15.5">
      <c r="B26" s="685" t="s">
        <v>659</v>
      </c>
      <c r="C26" s="422"/>
      <c r="D26" s="422"/>
      <c r="E26" s="422"/>
      <c r="F26" s="422"/>
      <c r="G26" s="422"/>
    </row>
    <row r="27" spans="1:7" ht="15.5">
      <c r="B27" s="422" t="s">
        <v>660</v>
      </c>
      <c r="C27" s="422"/>
      <c r="D27" s="422"/>
      <c r="E27" s="422"/>
      <c r="F27" s="422"/>
      <c r="G27" s="422"/>
    </row>
    <row r="28" spans="1:7" ht="15.5">
      <c r="B28" s="441"/>
      <c r="C28" s="422"/>
      <c r="D28" s="422"/>
      <c r="E28" s="422"/>
      <c r="F28" s="422"/>
      <c r="G28" s="422"/>
    </row>
    <row r="29" spans="1:7" ht="17">
      <c r="A29" s="440"/>
      <c r="B29" s="422"/>
      <c r="C29" s="422"/>
      <c r="D29" s="422"/>
      <c r="E29" s="422"/>
      <c r="F29" s="422"/>
      <c r="G29" s="422"/>
    </row>
    <row r="30" spans="1:7" ht="15.5">
      <c r="B30" s="422"/>
      <c r="C30" s="422"/>
      <c r="D30" s="422"/>
      <c r="E30" s="422"/>
      <c r="F30" s="422"/>
      <c r="G30" s="422"/>
    </row>
    <row r="31" spans="1:7" ht="15.5">
      <c r="B31" s="422"/>
      <c r="C31" s="422"/>
      <c r="D31" s="422"/>
      <c r="E31" s="422"/>
      <c r="F31" s="422"/>
      <c r="G31" s="422"/>
    </row>
    <row r="32" spans="1:7" ht="15.5">
      <c r="B32" s="422"/>
      <c r="C32" s="422"/>
      <c r="D32" s="422"/>
      <c r="E32" s="422"/>
      <c r="F32" s="422"/>
      <c r="G32" s="422"/>
    </row>
    <row r="33" spans="2:7" ht="15.5">
      <c r="B33" s="422"/>
      <c r="C33" s="422"/>
      <c r="D33" s="422"/>
      <c r="E33" s="422"/>
      <c r="F33" s="422"/>
      <c r="G33" s="422"/>
    </row>
    <row r="34" spans="2:7" ht="15.5">
      <c r="B34" s="422"/>
      <c r="C34" s="422"/>
      <c r="D34" s="422"/>
      <c r="E34" s="422"/>
      <c r="F34" s="422"/>
      <c r="G34" s="422"/>
    </row>
    <row r="35" spans="2:7" ht="15.5">
      <c r="B35" s="422"/>
      <c r="C35" s="422"/>
      <c r="D35" s="422"/>
      <c r="E35" s="422"/>
      <c r="F35" s="422"/>
      <c r="G35" s="422"/>
    </row>
    <row r="36" spans="2:7" ht="15.5">
      <c r="B36" s="422"/>
      <c r="C36" s="422"/>
      <c r="D36" s="422"/>
      <c r="E36" s="422"/>
      <c r="F36" s="422"/>
      <c r="G36" s="422"/>
    </row>
    <row r="37" spans="2:7" ht="15.5">
      <c r="B37" s="422"/>
      <c r="C37" s="422"/>
      <c r="D37" s="422"/>
      <c r="E37" s="422"/>
      <c r="F37" s="422"/>
      <c r="G37" s="422"/>
    </row>
    <row r="38" spans="2:7" ht="15.5">
      <c r="B38" s="422"/>
      <c r="C38" s="422"/>
      <c r="D38" s="422"/>
      <c r="E38" s="422"/>
      <c r="F38" s="422"/>
      <c r="G38" s="422"/>
    </row>
    <row r="39" spans="2:7" ht="15.5">
      <c r="B39" s="422"/>
      <c r="C39" s="422"/>
      <c r="D39" s="422"/>
      <c r="E39" s="422"/>
      <c r="F39" s="422"/>
      <c r="G39" s="422"/>
    </row>
    <row r="40" spans="2:7" ht="15.5">
      <c r="B40" s="422"/>
      <c r="C40" s="422"/>
      <c r="D40" s="422"/>
      <c r="E40" s="422"/>
      <c r="F40" s="422"/>
      <c r="G40" s="422"/>
    </row>
    <row r="41" spans="2:7" ht="15.5">
      <c r="B41" s="422"/>
      <c r="C41" s="422"/>
      <c r="D41" s="422"/>
      <c r="E41" s="422"/>
      <c r="F41" s="422"/>
      <c r="G41" s="422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8168-0D33-4D5E-A0F2-5475B8B9F536}">
  <sheetPr>
    <pageSetUpPr fitToPage="1"/>
  </sheetPr>
  <dimension ref="A1:M58"/>
  <sheetViews>
    <sheetView zoomScale="80" zoomScaleNormal="80" workbookViewId="0"/>
  </sheetViews>
  <sheetFormatPr defaultColWidth="8.81640625" defaultRowHeight="15.5"/>
  <cols>
    <col min="1" max="1" width="5.1796875" style="79" customWidth="1"/>
    <col min="2" max="2" width="70.54296875" style="1" customWidth="1"/>
    <col min="3" max="3" width="16.54296875" style="1" customWidth="1"/>
    <col min="4" max="4" width="1.54296875" style="1" customWidth="1"/>
    <col min="5" max="5" width="21.36328125" style="1" bestFit="1" customWidth="1"/>
    <col min="6" max="6" width="1.54296875" style="1" customWidth="1"/>
    <col min="7" max="7" width="14.6328125" style="1" customWidth="1"/>
    <col min="8" max="8" width="40.54296875" style="1" customWidth="1"/>
    <col min="9" max="9" width="5.1796875" style="79" customWidth="1"/>
    <col min="10" max="16384" width="8.81640625" style="1"/>
  </cols>
  <sheetData>
    <row r="1" spans="1:11">
      <c r="A1" s="442"/>
      <c r="B1" s="50"/>
      <c r="C1" s="50"/>
      <c r="D1" s="50"/>
      <c r="E1" s="50"/>
      <c r="F1" s="50"/>
      <c r="G1" s="50"/>
      <c r="H1" s="50"/>
      <c r="I1" s="442"/>
    </row>
    <row r="2" spans="1:11">
      <c r="A2" s="442"/>
      <c r="B2" s="719" t="s">
        <v>12</v>
      </c>
      <c r="C2" s="719"/>
      <c r="D2" s="719"/>
      <c r="E2" s="719"/>
      <c r="F2" s="719"/>
      <c r="G2" s="719"/>
      <c r="H2" s="719"/>
      <c r="I2" s="50"/>
    </row>
    <row r="3" spans="1:11">
      <c r="B3" s="719" t="s">
        <v>339</v>
      </c>
      <c r="C3" s="719"/>
      <c r="D3" s="719"/>
      <c r="E3" s="719"/>
      <c r="F3" s="719"/>
      <c r="G3" s="719"/>
      <c r="H3" s="719"/>
      <c r="I3" s="59"/>
    </row>
    <row r="4" spans="1:11">
      <c r="B4" s="719" t="s">
        <v>610</v>
      </c>
      <c r="C4" s="719"/>
      <c r="D4" s="719"/>
      <c r="E4" s="719"/>
      <c r="F4" s="719"/>
      <c r="G4" s="719"/>
      <c r="H4" s="719"/>
      <c r="I4" s="59"/>
    </row>
    <row r="5" spans="1:11">
      <c r="B5" s="719" t="s">
        <v>354</v>
      </c>
      <c r="C5" s="719"/>
      <c r="D5" s="719"/>
      <c r="E5" s="719"/>
      <c r="F5" s="719"/>
      <c r="G5" s="719"/>
      <c r="H5" s="719"/>
      <c r="I5" s="59"/>
    </row>
    <row r="6" spans="1:11">
      <c r="B6" s="720" t="s">
        <v>1</v>
      </c>
      <c r="C6" s="719"/>
      <c r="D6" s="719"/>
      <c r="E6" s="719"/>
      <c r="F6" s="719"/>
      <c r="G6" s="719"/>
      <c r="H6" s="719"/>
      <c r="I6" s="59"/>
    </row>
    <row r="7" spans="1:11">
      <c r="A7" s="442"/>
      <c r="B7" s="50"/>
      <c r="C7" s="40"/>
      <c r="D7" s="40"/>
      <c r="E7" s="40"/>
      <c r="F7" s="40"/>
      <c r="G7" s="40"/>
      <c r="H7" s="40"/>
      <c r="I7" s="442"/>
    </row>
    <row r="8" spans="1:11" ht="16" thickBot="1">
      <c r="A8" s="442"/>
      <c r="B8" s="50"/>
      <c r="C8" s="443" t="s">
        <v>355</v>
      </c>
      <c r="D8" s="444"/>
      <c r="E8" s="443" t="s">
        <v>356</v>
      </c>
      <c r="F8" s="444"/>
      <c r="G8" s="443" t="s">
        <v>357</v>
      </c>
      <c r="H8" s="40"/>
      <c r="I8" s="442"/>
    </row>
    <row r="9" spans="1:11" ht="60">
      <c r="A9" s="445" t="s">
        <v>2</v>
      </c>
      <c r="B9" s="446"/>
      <c r="C9" s="447" t="s">
        <v>572</v>
      </c>
      <c r="D9" s="50"/>
      <c r="E9" s="448" t="s">
        <v>653</v>
      </c>
      <c r="F9" s="449"/>
      <c r="G9" s="450" t="s">
        <v>358</v>
      </c>
      <c r="H9" s="451"/>
      <c r="I9" s="452" t="s">
        <v>2</v>
      </c>
    </row>
    <row r="10" spans="1:11">
      <c r="A10" s="259" t="s">
        <v>14</v>
      </c>
      <c r="B10" s="453" t="s">
        <v>251</v>
      </c>
      <c r="C10" s="453" t="s">
        <v>22</v>
      </c>
      <c r="D10" s="453"/>
      <c r="E10" s="453" t="s">
        <v>22</v>
      </c>
      <c r="F10" s="453"/>
      <c r="G10" s="454" t="s">
        <v>359</v>
      </c>
      <c r="H10" s="453" t="s">
        <v>6</v>
      </c>
      <c r="I10" s="260" t="s">
        <v>14</v>
      </c>
    </row>
    <row r="11" spans="1:11">
      <c r="A11" s="259"/>
      <c r="B11" s="455"/>
      <c r="C11" s="456"/>
      <c r="D11" s="457"/>
      <c r="E11" s="457"/>
      <c r="F11" s="457"/>
      <c r="G11" s="457"/>
      <c r="H11" s="456"/>
      <c r="I11" s="260"/>
    </row>
    <row r="12" spans="1:11">
      <c r="A12" s="259">
        <v>1</v>
      </c>
      <c r="B12" s="12" t="s">
        <v>106</v>
      </c>
      <c r="C12" s="458">
        <f>'Pg3 Rev App XII C2'!C11</f>
        <v>0</v>
      </c>
      <c r="D12" s="458"/>
      <c r="E12" s="458">
        <f>'Pg4 As Filed App XII C2 FERC'!C12</f>
        <v>0</v>
      </c>
      <c r="F12" s="458"/>
      <c r="G12" s="458">
        <f>C12-E12</f>
        <v>0</v>
      </c>
      <c r="H12" s="2" t="s">
        <v>360</v>
      </c>
      <c r="I12" s="260">
        <f>A12</f>
        <v>1</v>
      </c>
      <c r="K12" s="322"/>
    </row>
    <row r="13" spans="1:11">
      <c r="A13" s="259">
        <f>A12+1</f>
        <v>2</v>
      </c>
      <c r="B13" s="11"/>
      <c r="C13" s="459"/>
      <c r="D13" s="459"/>
      <c r="E13" s="459"/>
      <c r="F13" s="459"/>
      <c r="G13" s="459"/>
      <c r="H13" s="50"/>
      <c r="I13" s="260">
        <f>I12+1</f>
        <v>2</v>
      </c>
    </row>
    <row r="14" spans="1:11">
      <c r="A14" s="259">
        <f t="shared" ref="A14:A29" si="0">A13+1</f>
        <v>3</v>
      </c>
      <c r="B14" s="12" t="s">
        <v>107</v>
      </c>
      <c r="C14" s="630">
        <f>'Pg3 Rev App XII C2'!C13</f>
        <v>816.57611339681307</v>
      </c>
      <c r="D14" s="460" t="s">
        <v>361</v>
      </c>
      <c r="E14" s="631">
        <f>'Pg4 As Filed App XII C2 FERC'!C14</f>
        <v>816.3598269174604</v>
      </c>
      <c r="F14" s="461"/>
      <c r="G14" s="662">
        <f>C14-E14</f>
        <v>0.21628647935267509</v>
      </c>
      <c r="H14" s="2" t="s">
        <v>362</v>
      </c>
      <c r="I14" s="260">
        <f t="shared" ref="I14:I29" si="1">I13+1</f>
        <v>3</v>
      </c>
      <c r="K14" s="323"/>
    </row>
    <row r="15" spans="1:11">
      <c r="A15" s="259">
        <f t="shared" si="0"/>
        <v>4</v>
      </c>
      <c r="B15" s="11"/>
      <c r="C15" s="459"/>
      <c r="D15" s="459"/>
      <c r="E15" s="459"/>
      <c r="F15" s="459"/>
      <c r="G15" s="459"/>
      <c r="H15" s="463"/>
      <c r="I15" s="260">
        <f t="shared" si="1"/>
        <v>4</v>
      </c>
    </row>
    <row r="16" spans="1:11">
      <c r="A16" s="259">
        <f t="shared" si="0"/>
        <v>5</v>
      </c>
      <c r="B16" s="12" t="s">
        <v>108</v>
      </c>
      <c r="C16" s="321">
        <f>'Pg3 Rev App XII C2'!C15</f>
        <v>86.807849169600004</v>
      </c>
      <c r="D16" s="320"/>
      <c r="E16" s="321">
        <f>'Pg4 As Filed App XII C2 FERC'!C16</f>
        <v>86.807849169600004</v>
      </c>
      <c r="F16" s="320"/>
      <c r="G16" s="321">
        <f>C16-E16</f>
        <v>0</v>
      </c>
      <c r="H16" s="2" t="s">
        <v>363</v>
      </c>
      <c r="I16" s="260">
        <f t="shared" si="1"/>
        <v>5</v>
      </c>
      <c r="K16" s="323"/>
    </row>
    <row r="17" spans="1:13">
      <c r="A17" s="259">
        <f t="shared" si="0"/>
        <v>6</v>
      </c>
      <c r="B17" s="35"/>
      <c r="C17" s="320"/>
      <c r="D17" s="320"/>
      <c r="E17" s="320"/>
      <c r="F17" s="320"/>
      <c r="G17" s="320"/>
      <c r="H17" s="317"/>
      <c r="I17" s="260">
        <f t="shared" si="1"/>
        <v>6</v>
      </c>
      <c r="K17" s="323"/>
    </row>
    <row r="18" spans="1:13">
      <c r="A18" s="259">
        <f t="shared" si="0"/>
        <v>7</v>
      </c>
      <c r="B18" s="464" t="s">
        <v>364</v>
      </c>
      <c r="C18" s="319">
        <f>'Pg3 Rev App XII C2'!C17</f>
        <v>903.38396256641306</v>
      </c>
      <c r="D18" s="460"/>
      <c r="E18" s="319">
        <f>'Pg4 As Filed App XII C2 FERC'!C18</f>
        <v>903.16767608706039</v>
      </c>
      <c r="F18" s="461"/>
      <c r="G18" s="319">
        <f>C18-E18</f>
        <v>0.21628647935267509</v>
      </c>
      <c r="H18" s="53" t="str">
        <f>"Sum Lines "&amp;A12&amp;", "&amp;A14&amp;", "&amp;A16</f>
        <v>Sum Lines 1, 3, 5</v>
      </c>
      <c r="I18" s="260">
        <f t="shared" si="1"/>
        <v>7</v>
      </c>
      <c r="K18" s="323"/>
    </row>
    <row r="19" spans="1:13">
      <c r="A19" s="259">
        <f t="shared" si="0"/>
        <v>8</v>
      </c>
      <c r="B19" s="35"/>
      <c r="C19" s="459"/>
      <c r="D19" s="459"/>
      <c r="E19" s="459"/>
      <c r="F19" s="459"/>
      <c r="G19" s="459"/>
      <c r="H19" s="361"/>
      <c r="I19" s="260">
        <f t="shared" si="1"/>
        <v>8</v>
      </c>
    </row>
    <row r="20" spans="1:13">
      <c r="A20" s="259">
        <f t="shared" si="0"/>
        <v>9</v>
      </c>
      <c r="B20" s="12" t="s">
        <v>238</v>
      </c>
      <c r="C20" s="320">
        <f>'Pg3 Rev App XII C2'!C19</f>
        <v>0</v>
      </c>
      <c r="D20" s="460"/>
      <c r="E20" s="632">
        <f>'Pg4 As Filed App XII C2 FERC'!C20</f>
        <v>0</v>
      </c>
      <c r="F20" s="461"/>
      <c r="G20" s="462">
        <f>C20-E20</f>
        <v>0</v>
      </c>
      <c r="H20" s="2" t="s">
        <v>365</v>
      </c>
      <c r="I20" s="260">
        <f t="shared" si="1"/>
        <v>9</v>
      </c>
    </row>
    <row r="21" spans="1:13">
      <c r="A21" s="259">
        <f t="shared" si="0"/>
        <v>10</v>
      </c>
      <c r="B21" s="12"/>
      <c r="C21" s="459"/>
      <c r="D21" s="459"/>
      <c r="E21" s="459"/>
      <c r="F21" s="459"/>
      <c r="G21" s="459"/>
      <c r="H21" s="466"/>
      <c r="I21" s="260">
        <f t="shared" si="1"/>
        <v>10</v>
      </c>
    </row>
    <row r="22" spans="1:13">
      <c r="A22" s="259">
        <f t="shared" si="0"/>
        <v>11</v>
      </c>
      <c r="B22" s="12" t="s">
        <v>109</v>
      </c>
      <c r="C22" s="321">
        <f>'Pg3 Rev App XII C2'!C21</f>
        <v>0</v>
      </c>
      <c r="D22" s="320"/>
      <c r="E22" s="321">
        <f>'Pg4 As Filed App XII C2 FERC'!C22</f>
        <v>0</v>
      </c>
      <c r="F22" s="320"/>
      <c r="G22" s="321">
        <f>C22-E22</f>
        <v>0</v>
      </c>
      <c r="H22" s="2" t="s">
        <v>366</v>
      </c>
      <c r="I22" s="260">
        <f t="shared" si="1"/>
        <v>11</v>
      </c>
    </row>
    <row r="23" spans="1:13">
      <c r="A23" s="259">
        <f t="shared" si="0"/>
        <v>12</v>
      </c>
      <c r="B23" s="35"/>
      <c r="C23" s="69"/>
      <c r="D23" s="69"/>
      <c r="E23" s="69"/>
      <c r="F23" s="69"/>
      <c r="G23" s="69"/>
      <c r="H23" s="53"/>
      <c r="I23" s="260">
        <f t="shared" si="1"/>
        <v>12</v>
      </c>
    </row>
    <row r="24" spans="1:13">
      <c r="A24" s="259">
        <f t="shared" si="0"/>
        <v>13</v>
      </c>
      <c r="B24" s="35" t="s">
        <v>252</v>
      </c>
      <c r="C24" s="268">
        <f>'Pg3 Rev App XII C2'!C23</f>
        <v>903.38396256641306</v>
      </c>
      <c r="D24" s="460"/>
      <c r="E24" s="268">
        <f>'Pg4 As Filed App XII C2 FERC'!C24</f>
        <v>903.16767608706039</v>
      </c>
      <c r="F24" s="461"/>
      <c r="G24" s="268">
        <f>C24-E24</f>
        <v>0.21628647935267509</v>
      </c>
      <c r="H24" s="53" t="str">
        <f>"Sum Lines "&amp;A18&amp;", "&amp;A20&amp;", "&amp;A22</f>
        <v>Sum Lines 7, 9, 11</v>
      </c>
      <c r="I24" s="260">
        <f t="shared" si="1"/>
        <v>13</v>
      </c>
      <c r="K24" s="323"/>
    </row>
    <row r="25" spans="1:13">
      <c r="A25" s="259">
        <f t="shared" si="0"/>
        <v>14</v>
      </c>
      <c r="B25" s="340"/>
      <c r="C25" s="81"/>
      <c r="D25" s="81"/>
      <c r="E25" s="81"/>
      <c r="F25" s="81"/>
      <c r="G25" s="81"/>
      <c r="H25" s="53"/>
      <c r="I25" s="260">
        <f t="shared" si="1"/>
        <v>14</v>
      </c>
      <c r="K25" s="323"/>
    </row>
    <row r="26" spans="1:13">
      <c r="A26" s="259">
        <f t="shared" si="0"/>
        <v>15</v>
      </c>
      <c r="B26" s="12" t="s">
        <v>253</v>
      </c>
      <c r="C26" s="269">
        <f>'Pg3 Rev App XII C2'!C25</f>
        <v>0</v>
      </c>
      <c r="D26" s="81"/>
      <c r="E26" s="269">
        <f>'Pg4 As Filed App XII C2 FERC'!C26</f>
        <v>0</v>
      </c>
      <c r="F26" s="81"/>
      <c r="G26" s="269">
        <f>C26-E26</f>
        <v>0</v>
      </c>
      <c r="H26" s="2" t="s">
        <v>367</v>
      </c>
      <c r="I26" s="260">
        <f t="shared" si="1"/>
        <v>15</v>
      </c>
      <c r="K26" s="323"/>
    </row>
    <row r="27" spans="1:13">
      <c r="A27" s="259">
        <f t="shared" si="0"/>
        <v>16</v>
      </c>
      <c r="B27" s="40"/>
      <c r="C27" s="468"/>
      <c r="D27" s="468"/>
      <c r="E27" s="468"/>
      <c r="F27" s="468"/>
      <c r="G27" s="469"/>
      <c r="H27" s="53"/>
      <c r="I27" s="260">
        <f t="shared" si="1"/>
        <v>16</v>
      </c>
    </row>
    <row r="28" spans="1:13" ht="16" thickBot="1">
      <c r="A28" s="259">
        <f t="shared" si="0"/>
        <v>17</v>
      </c>
      <c r="B28" s="464" t="s">
        <v>254</v>
      </c>
      <c r="C28" s="470">
        <f>'Pg3 Rev App XII C2'!C27</f>
        <v>903.38396256641306</v>
      </c>
      <c r="D28" s="460"/>
      <c r="E28" s="470">
        <f>'Pg4 As Filed App XII C2 FERC'!C28</f>
        <v>903.16767608706039</v>
      </c>
      <c r="F28" s="461"/>
      <c r="G28" s="663">
        <f>C28-E28</f>
        <v>0.21628647935267509</v>
      </c>
      <c r="H28" s="53" t="str">
        <f>"Line "&amp;A24&amp;" + Line "&amp;A26</f>
        <v>Line 13 + Line 15</v>
      </c>
      <c r="I28" s="260">
        <f t="shared" si="1"/>
        <v>17</v>
      </c>
      <c r="L28" s="322"/>
      <c r="M28" s="324"/>
    </row>
    <row r="29" spans="1:13" ht="16.5" thickTop="1" thickBot="1">
      <c r="A29" s="259">
        <f t="shared" si="0"/>
        <v>18</v>
      </c>
      <c r="B29" s="471"/>
      <c r="C29" s="472"/>
      <c r="D29" s="471"/>
      <c r="E29" s="471"/>
      <c r="F29" s="471"/>
      <c r="G29" s="471"/>
      <c r="H29" s="471"/>
      <c r="I29" s="260">
        <f t="shared" si="1"/>
        <v>18</v>
      </c>
    </row>
    <row r="31" spans="1:13" ht="16" thickBot="1">
      <c r="A31" s="442"/>
      <c r="B31" s="163"/>
      <c r="C31" s="473"/>
      <c r="D31" s="473"/>
      <c r="E31" s="473"/>
      <c r="F31" s="473"/>
      <c r="G31" s="473"/>
      <c r="H31" s="473"/>
      <c r="I31" s="442"/>
    </row>
    <row r="32" spans="1:13" ht="60.5">
      <c r="A32" s="445" t="s">
        <v>2</v>
      </c>
      <c r="B32" s="50"/>
      <c r="C32" s="474" t="str">
        <f>C9</f>
        <v>Revised - Appendix XII Cycle 2</v>
      </c>
      <c r="D32" s="50"/>
      <c r="E32" s="475" t="str">
        <f>E9</f>
        <v>As Filed - Appendix XII Cycle 2 ER20-209, ER22-133 and ER24-175</v>
      </c>
      <c r="F32" s="50"/>
      <c r="G32" s="50" t="str">
        <f>G9</f>
        <v>Difference</v>
      </c>
      <c r="H32" s="50"/>
      <c r="I32" s="452" t="s">
        <v>2</v>
      </c>
    </row>
    <row r="33" spans="1:10">
      <c r="A33" s="259" t="s">
        <v>14</v>
      </c>
      <c r="B33" s="453" t="s">
        <v>255</v>
      </c>
      <c r="C33" s="453" t="str">
        <f>C10</f>
        <v>Amounts</v>
      </c>
      <c r="D33" s="453"/>
      <c r="E33" s="453" t="str">
        <f>E10</f>
        <v>Amounts</v>
      </c>
      <c r="F33" s="453"/>
      <c r="G33" s="453" t="str">
        <f>G10</f>
        <v>Incr (Decr)</v>
      </c>
      <c r="H33" s="453" t="str">
        <f>H10</f>
        <v>Reference</v>
      </c>
      <c r="I33" s="260" t="s">
        <v>14</v>
      </c>
    </row>
    <row r="34" spans="1:10">
      <c r="A34" s="259">
        <f>A29+1</f>
        <v>19</v>
      </c>
      <c r="B34" s="40"/>
      <c r="C34" s="456"/>
      <c r="D34" s="457"/>
      <c r="E34" s="457"/>
      <c r="F34" s="457"/>
      <c r="G34" s="457"/>
      <c r="H34" s="456"/>
      <c r="I34" s="260">
        <f>I29+1</f>
        <v>19</v>
      </c>
    </row>
    <row r="35" spans="1:10">
      <c r="A35" s="259">
        <f>A34+1</f>
        <v>20</v>
      </c>
      <c r="B35" s="12" t="str">
        <f>B12</f>
        <v>Section 1 - Direct Maintenance Expense Cost Component</v>
      </c>
      <c r="C35" s="476">
        <f>'Pg3 Rev App XII C2'!C34</f>
        <v>0</v>
      </c>
      <c r="D35" s="476"/>
      <c r="E35" s="476">
        <f>'Pg4 As Filed App XII C2 FERC'!C35</f>
        <v>0</v>
      </c>
      <c r="F35" s="476"/>
      <c r="G35" s="476">
        <f>C35-E35</f>
        <v>0</v>
      </c>
      <c r="H35" s="2" t="s">
        <v>368</v>
      </c>
      <c r="I35" s="260">
        <f>I34+1</f>
        <v>20</v>
      </c>
    </row>
    <row r="36" spans="1:10">
      <c r="A36" s="259">
        <f t="shared" ref="A36:A54" si="2">A35+1</f>
        <v>21</v>
      </c>
      <c r="B36" s="11"/>
      <c r="C36" s="477"/>
      <c r="D36" s="477"/>
      <c r="E36" s="477"/>
      <c r="F36" s="477"/>
      <c r="G36" s="477"/>
      <c r="H36" s="41"/>
      <c r="I36" s="260">
        <f t="shared" ref="I36:I54" si="3">I35+1</f>
        <v>21</v>
      </c>
    </row>
    <row r="37" spans="1:10">
      <c r="A37" s="259">
        <f t="shared" si="2"/>
        <v>22</v>
      </c>
      <c r="B37" s="12" t="str">
        <f>B14</f>
        <v>Section 2 - Non-Direct Expense Cost Component</v>
      </c>
      <c r="C37" s="478">
        <f>'Pg3 Rev App XII C2'!C36</f>
        <v>68.048009449734423</v>
      </c>
      <c r="D37" s="460" t="s">
        <v>361</v>
      </c>
      <c r="E37" s="479">
        <f>'Pg4 As Filed App XII C2 FERC'!C37</f>
        <v>68.029985576455033</v>
      </c>
      <c r="F37" s="461"/>
      <c r="G37" s="480">
        <f>C37-E37</f>
        <v>1.8023873279389591E-2</v>
      </c>
      <c r="H37" s="2" t="s">
        <v>369</v>
      </c>
      <c r="I37" s="260">
        <f t="shared" si="3"/>
        <v>22</v>
      </c>
    </row>
    <row r="38" spans="1:10">
      <c r="A38" s="259">
        <f t="shared" si="2"/>
        <v>23</v>
      </c>
      <c r="B38" s="11"/>
      <c r="C38" s="250"/>
      <c r="D38" s="481"/>
      <c r="E38" s="481"/>
      <c r="F38" s="481"/>
      <c r="G38" s="481"/>
      <c r="H38" s="482"/>
      <c r="I38" s="260">
        <f t="shared" si="3"/>
        <v>23</v>
      </c>
    </row>
    <row r="39" spans="1:10">
      <c r="A39" s="259">
        <f t="shared" si="2"/>
        <v>24</v>
      </c>
      <c r="B39" s="12" t="str">
        <f>B16</f>
        <v>Section 3 - Cost Component Containing Other Specific Expenses</v>
      </c>
      <c r="C39" s="483">
        <f>'Pg3 Rev App XII C2'!C38</f>
        <v>7.2339874308000001</v>
      </c>
      <c r="D39" s="460"/>
      <c r="E39" s="483">
        <f>'Pg4 As Filed App XII C2 FERC'!C39</f>
        <v>7.2339874308000001</v>
      </c>
      <c r="F39" s="484"/>
      <c r="G39" s="485">
        <f>C39-E39</f>
        <v>0</v>
      </c>
      <c r="H39" s="2" t="s">
        <v>370</v>
      </c>
      <c r="I39" s="260">
        <f t="shared" si="3"/>
        <v>24</v>
      </c>
    </row>
    <row r="40" spans="1:10">
      <c r="A40" s="259">
        <f t="shared" si="2"/>
        <v>25</v>
      </c>
      <c r="B40" s="35"/>
      <c r="C40" s="481"/>
      <c r="D40" s="481"/>
      <c r="E40" s="481"/>
      <c r="F40" s="481"/>
      <c r="G40" s="481"/>
      <c r="H40" s="317"/>
      <c r="I40" s="260">
        <f t="shared" si="3"/>
        <v>25</v>
      </c>
    </row>
    <row r="41" spans="1:10">
      <c r="A41" s="259">
        <f t="shared" si="2"/>
        <v>26</v>
      </c>
      <c r="B41" s="464" t="s">
        <v>371</v>
      </c>
      <c r="C41" s="486">
        <f>'Pg3 Rev App XII C2'!C40</f>
        <v>75.281996880534422</v>
      </c>
      <c r="D41" s="460" t="s">
        <v>361</v>
      </c>
      <c r="E41" s="487">
        <f>'Pg4 As Filed App XII C2 FERC'!C41</f>
        <v>75.263973007255032</v>
      </c>
      <c r="F41" s="461"/>
      <c r="G41" s="488">
        <f>C41-E41</f>
        <v>1.8023873279389591E-2</v>
      </c>
      <c r="H41" s="53" t="str">
        <f>"Sum Lines "&amp;A35&amp;", "&amp;A37&amp;", "&amp;A39</f>
        <v>Sum Lines 20, 22, 24</v>
      </c>
      <c r="I41" s="260">
        <f t="shared" si="3"/>
        <v>26</v>
      </c>
    </row>
    <row r="42" spans="1:10">
      <c r="A42" s="259">
        <f t="shared" si="2"/>
        <v>27</v>
      </c>
      <c r="B42" s="40"/>
      <c r="C42" s="250"/>
      <c r="D42" s="481"/>
      <c r="E42" s="481"/>
      <c r="F42" s="481"/>
      <c r="G42" s="481"/>
      <c r="H42" s="463"/>
      <c r="I42" s="260">
        <f t="shared" si="3"/>
        <v>27</v>
      </c>
    </row>
    <row r="43" spans="1:10">
      <c r="A43" s="259">
        <f t="shared" si="2"/>
        <v>28</v>
      </c>
      <c r="B43" s="12" t="str">
        <f>LEFT(B20,45)</f>
        <v>Section 4 - True-Up Adjustment Cost Component</v>
      </c>
      <c r="C43" s="484">
        <f>'Pg3 Rev App XII C2'!C42</f>
        <v>0</v>
      </c>
      <c r="D43" s="460"/>
      <c r="E43" s="489">
        <f>'Pg4 As Filed App XII C2 FERC'!C43</f>
        <v>0</v>
      </c>
      <c r="F43" s="461"/>
      <c r="G43" s="480">
        <f>C43-E43</f>
        <v>0</v>
      </c>
      <c r="H43" s="2" t="s">
        <v>372</v>
      </c>
      <c r="I43" s="260">
        <f t="shared" si="3"/>
        <v>28</v>
      </c>
      <c r="J43" s="490"/>
    </row>
    <row r="44" spans="1:10">
      <c r="A44" s="259">
        <f t="shared" si="2"/>
        <v>29</v>
      </c>
      <c r="B44" s="12"/>
      <c r="C44" s="250"/>
      <c r="D44" s="481"/>
      <c r="E44" s="481"/>
      <c r="F44" s="481"/>
      <c r="G44" s="481"/>
      <c r="H44" s="491"/>
      <c r="I44" s="260">
        <f t="shared" si="3"/>
        <v>29</v>
      </c>
    </row>
    <row r="45" spans="1:10">
      <c r="A45" s="259">
        <f t="shared" si="2"/>
        <v>30</v>
      </c>
      <c r="B45" s="12" t="str">
        <f>B22</f>
        <v>Section 5 - Interest True-Up Adjustment Cost Component</v>
      </c>
      <c r="C45" s="484">
        <f>'Pg3 Rev App XII C2'!C44</f>
        <v>0</v>
      </c>
      <c r="D45" s="484"/>
      <c r="E45" s="484">
        <f>'Pg4 As Filed App XII C2 FERC'!C45</f>
        <v>0</v>
      </c>
      <c r="F45" s="484"/>
      <c r="G45" s="484">
        <f>C45-E45</f>
        <v>0</v>
      </c>
      <c r="H45" s="2" t="s">
        <v>373</v>
      </c>
      <c r="I45" s="260">
        <f t="shared" si="3"/>
        <v>30</v>
      </c>
    </row>
    <row r="46" spans="1:10">
      <c r="A46" s="259">
        <f t="shared" si="2"/>
        <v>31</v>
      </c>
      <c r="B46" s="35"/>
      <c r="C46" s="8"/>
      <c r="D46" s="6"/>
      <c r="E46" s="6"/>
      <c r="F46" s="6"/>
      <c r="G46" s="6"/>
      <c r="H46" s="341"/>
      <c r="I46" s="260">
        <f t="shared" si="3"/>
        <v>31</v>
      </c>
    </row>
    <row r="47" spans="1:10">
      <c r="A47" s="259">
        <f t="shared" si="2"/>
        <v>32</v>
      </c>
      <c r="B47" s="12" t="str">
        <f>B26</f>
        <v>Other Adjustments</v>
      </c>
      <c r="C47" s="483">
        <f>'Pg3 Rev App XII C2'!C46</f>
        <v>0</v>
      </c>
      <c r="D47" s="484"/>
      <c r="E47" s="483">
        <f>'Pg4 As Filed App XII C2 FERC'!C47</f>
        <v>0</v>
      </c>
      <c r="F47" s="484"/>
      <c r="G47" s="483">
        <f>C47-E47</f>
        <v>0</v>
      </c>
      <c r="H47" s="2" t="s">
        <v>374</v>
      </c>
      <c r="I47" s="260">
        <f t="shared" si="3"/>
        <v>32</v>
      </c>
    </row>
    <row r="48" spans="1:10">
      <c r="A48" s="259">
        <f t="shared" si="2"/>
        <v>33</v>
      </c>
      <c r="B48" s="35"/>
      <c r="C48" s="8"/>
      <c r="D48" s="6"/>
      <c r="E48" s="6"/>
      <c r="F48" s="6"/>
      <c r="G48" s="6"/>
      <c r="H48" s="341"/>
      <c r="I48" s="260">
        <f t="shared" si="3"/>
        <v>33</v>
      </c>
    </row>
    <row r="49" spans="1:9">
      <c r="A49" s="259">
        <f t="shared" si="2"/>
        <v>34</v>
      </c>
      <c r="B49" s="35" t="s">
        <v>256</v>
      </c>
      <c r="C49" s="492">
        <f>'Pg3 Rev App XII C2'!C48</f>
        <v>75.281996880534422</v>
      </c>
      <c r="D49" s="460" t="s">
        <v>361</v>
      </c>
      <c r="E49" s="493">
        <f>'Pg4 As Filed App XII C2 FERC'!C49</f>
        <v>75.263973007255032</v>
      </c>
      <c r="F49" s="461"/>
      <c r="G49" s="492">
        <f>C49-E49</f>
        <v>1.8023873279389591E-2</v>
      </c>
      <c r="H49" s="53" t="str">
        <f>"Sum Lines "&amp;A41&amp;", "&amp;A43&amp;", "&amp;A45&amp;", "&amp;A47</f>
        <v>Sum Lines 26, 28, 30, 32</v>
      </c>
      <c r="I49" s="260">
        <f t="shared" si="3"/>
        <v>34</v>
      </c>
    </row>
    <row r="50" spans="1:9">
      <c r="A50" s="259">
        <f t="shared" si="2"/>
        <v>35</v>
      </c>
      <c r="B50" s="40"/>
      <c r="C50" s="494"/>
      <c r="D50" s="495"/>
      <c r="E50" s="495"/>
      <c r="F50" s="495"/>
      <c r="G50" s="495"/>
      <c r="H50" s="496"/>
      <c r="I50" s="260">
        <f t="shared" si="3"/>
        <v>35</v>
      </c>
    </row>
    <row r="51" spans="1:9">
      <c r="A51" s="259">
        <f t="shared" si="2"/>
        <v>36</v>
      </c>
      <c r="B51" s="11" t="s">
        <v>249</v>
      </c>
      <c r="C51" s="498">
        <f>'Pg3 Rev App XII C2'!C50</f>
        <v>12</v>
      </c>
      <c r="D51" s="497"/>
      <c r="E51" s="498">
        <f>'Pg4 As Filed App XII C2 FERC'!C51</f>
        <v>12</v>
      </c>
      <c r="F51" s="497"/>
      <c r="G51" s="498">
        <f>C51-E51</f>
        <v>0</v>
      </c>
      <c r="H51" s="2" t="s">
        <v>608</v>
      </c>
      <c r="I51" s="260">
        <f t="shared" si="3"/>
        <v>36</v>
      </c>
    </row>
    <row r="52" spans="1:9">
      <c r="A52" s="259">
        <f t="shared" si="2"/>
        <v>37</v>
      </c>
      <c r="B52" s="40"/>
      <c r="C52" s="494"/>
      <c r="D52" s="495"/>
      <c r="E52" s="495"/>
      <c r="F52" s="495"/>
      <c r="G52" s="495"/>
      <c r="H52" s="499"/>
      <c r="I52" s="260">
        <f t="shared" si="3"/>
        <v>37</v>
      </c>
    </row>
    <row r="53" spans="1:9" ht="16" thickBot="1">
      <c r="A53" s="259">
        <f t="shared" si="2"/>
        <v>38</v>
      </c>
      <c r="B53" s="464" t="str">
        <f>B28</f>
        <v>Total Annual Costs</v>
      </c>
      <c r="C53" s="500">
        <f>'Pg3 Rev App XII C2'!C52</f>
        <v>903.38396256641306</v>
      </c>
      <c r="D53" s="460"/>
      <c r="E53" s="500">
        <f>'Pg4 As Filed App XII C2 FERC'!C53</f>
        <v>903.16767608706039</v>
      </c>
      <c r="F53" s="461"/>
      <c r="G53" s="663">
        <f>C53-E53</f>
        <v>0.21628647935267509</v>
      </c>
      <c r="H53" s="2" t="s">
        <v>375</v>
      </c>
      <c r="I53" s="260">
        <f t="shared" si="3"/>
        <v>38</v>
      </c>
    </row>
    <row r="54" spans="1:9" ht="16.5" thickTop="1" thickBot="1">
      <c r="A54" s="259">
        <f t="shared" si="2"/>
        <v>39</v>
      </c>
      <c r="B54" s="471"/>
      <c r="C54" s="501"/>
      <c r="D54" s="502"/>
      <c r="E54" s="502"/>
      <c r="F54" s="502"/>
      <c r="G54" s="502"/>
      <c r="H54" s="503"/>
      <c r="I54" s="260">
        <f t="shared" si="3"/>
        <v>39</v>
      </c>
    </row>
    <row r="57" spans="1:9">
      <c r="A57" s="460" t="s">
        <v>361</v>
      </c>
      <c r="B57" s="60" t="s">
        <v>661</v>
      </c>
    </row>
    <row r="58" spans="1:9">
      <c r="B58" s="5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4D08-1AF8-489B-8B08-472905569D6B}">
  <sheetPr>
    <pageSetUpPr fitToPage="1"/>
  </sheetPr>
  <dimension ref="A1:J57"/>
  <sheetViews>
    <sheetView zoomScale="80" zoomScaleNormal="80" workbookViewId="0"/>
  </sheetViews>
  <sheetFormatPr defaultColWidth="8.81640625" defaultRowHeight="15.5"/>
  <cols>
    <col min="1" max="1" width="5.1796875" style="79" customWidth="1"/>
    <col min="2" max="2" width="76.453125" style="1" customWidth="1"/>
    <col min="3" max="3" width="16.08984375" style="1" customWidth="1"/>
    <col min="4" max="4" width="2" style="1" bestFit="1" customWidth="1"/>
    <col min="5" max="5" width="55.81640625" style="1" customWidth="1"/>
    <col min="6" max="6" width="5.1796875" style="79" customWidth="1"/>
    <col min="7" max="16384" width="8.81640625" style="1"/>
  </cols>
  <sheetData>
    <row r="1" spans="1:8">
      <c r="A1" s="442"/>
      <c r="B1" s="50"/>
      <c r="C1" s="50"/>
      <c r="D1" s="50"/>
      <c r="E1" s="50"/>
      <c r="F1" s="442"/>
    </row>
    <row r="2" spans="1:8">
      <c r="A2" s="442"/>
      <c r="B2" s="719" t="s">
        <v>12</v>
      </c>
      <c r="C2" s="719"/>
      <c r="D2" s="719"/>
      <c r="E2" s="719"/>
      <c r="F2" s="50"/>
    </row>
    <row r="3" spans="1:8">
      <c r="B3" s="719" t="s">
        <v>339</v>
      </c>
      <c r="C3" s="719"/>
      <c r="D3" s="719"/>
      <c r="E3" s="719"/>
      <c r="F3" s="59"/>
    </row>
    <row r="4" spans="1:8">
      <c r="B4" s="719" t="s">
        <v>341</v>
      </c>
      <c r="C4" s="719"/>
      <c r="D4" s="719"/>
      <c r="E4" s="719"/>
      <c r="F4" s="59"/>
    </row>
    <row r="5" spans="1:8">
      <c r="A5" s="442"/>
      <c r="B5" s="721" t="s">
        <v>392</v>
      </c>
      <c r="C5" s="721"/>
      <c r="D5" s="721"/>
      <c r="E5" s="721"/>
      <c r="F5" s="442"/>
    </row>
    <row r="6" spans="1:8">
      <c r="B6" s="720" t="s">
        <v>1</v>
      </c>
      <c r="C6" s="719"/>
      <c r="D6" s="719"/>
      <c r="E6" s="719"/>
      <c r="F6" s="59"/>
    </row>
    <row r="7" spans="1:8" ht="16" thickBot="1">
      <c r="A7" s="442"/>
      <c r="B7" s="50"/>
      <c r="C7" s="40"/>
      <c r="D7" s="471"/>
      <c r="E7" s="40"/>
      <c r="F7" s="442"/>
    </row>
    <row r="8" spans="1:8">
      <c r="A8" s="259" t="s">
        <v>2</v>
      </c>
      <c r="B8" s="249"/>
      <c r="C8" s="686"/>
      <c r="D8" s="50"/>
      <c r="E8" s="451"/>
      <c r="F8" s="260" t="s">
        <v>2</v>
      </c>
    </row>
    <row r="9" spans="1:8">
      <c r="A9" s="259" t="s">
        <v>14</v>
      </c>
      <c r="B9" s="358" t="s">
        <v>251</v>
      </c>
      <c r="C9" s="687" t="s">
        <v>22</v>
      </c>
      <c r="D9" s="453"/>
      <c r="E9" s="453" t="s">
        <v>6</v>
      </c>
      <c r="F9" s="260" t="s">
        <v>14</v>
      </c>
    </row>
    <row r="10" spans="1:8">
      <c r="A10" s="259"/>
      <c r="B10" s="504"/>
      <c r="C10" s="688"/>
      <c r="D10" s="457"/>
      <c r="E10" s="456"/>
      <c r="F10" s="260"/>
    </row>
    <row r="11" spans="1:8">
      <c r="A11" s="259">
        <v>1</v>
      </c>
      <c r="B11" s="366" t="s">
        <v>106</v>
      </c>
      <c r="C11" s="689">
        <v>0</v>
      </c>
      <c r="D11" s="458"/>
      <c r="E11" s="317" t="s">
        <v>376</v>
      </c>
      <c r="F11" s="260">
        <f>A11</f>
        <v>1</v>
      </c>
      <c r="H11" s="322"/>
    </row>
    <row r="12" spans="1:8">
      <c r="A12" s="259">
        <f>A11+1</f>
        <v>2</v>
      </c>
      <c r="B12" s="325"/>
      <c r="C12" s="690"/>
      <c r="D12" s="459"/>
      <c r="E12" s="50"/>
      <c r="F12" s="260">
        <f>F11+1</f>
        <v>2</v>
      </c>
    </row>
    <row r="13" spans="1:8">
      <c r="A13" s="259">
        <f t="shared" ref="A13:A28" si="0">A12+1</f>
        <v>3</v>
      </c>
      <c r="B13" s="366" t="s">
        <v>107</v>
      </c>
      <c r="C13" s="691">
        <f>'Pg5 Rev Sec.2-Non-Dir Exp'!E35</f>
        <v>816.57611339681307</v>
      </c>
      <c r="D13" s="460" t="s">
        <v>361</v>
      </c>
      <c r="E13" s="317" t="s">
        <v>575</v>
      </c>
      <c r="F13" s="260">
        <f t="shared" ref="F13:F28" si="1">F12+1</f>
        <v>3</v>
      </c>
      <c r="H13" s="323"/>
    </row>
    <row r="14" spans="1:8">
      <c r="A14" s="259">
        <f t="shared" si="0"/>
        <v>4</v>
      </c>
      <c r="B14" s="325"/>
      <c r="C14" s="690"/>
      <c r="D14" s="459"/>
      <c r="E14" s="463"/>
      <c r="F14" s="260">
        <f t="shared" si="1"/>
        <v>4</v>
      </c>
    </row>
    <row r="15" spans="1:8">
      <c r="A15" s="259">
        <f t="shared" si="0"/>
        <v>5</v>
      </c>
      <c r="B15" s="12" t="s">
        <v>108</v>
      </c>
      <c r="C15" s="692">
        <v>86.807849169600004</v>
      </c>
      <c r="D15" s="320"/>
      <c r="E15" s="317" t="s">
        <v>377</v>
      </c>
      <c r="F15" s="260">
        <f t="shared" si="1"/>
        <v>5</v>
      </c>
      <c r="H15" s="323"/>
    </row>
    <row r="16" spans="1:8">
      <c r="A16" s="259">
        <f t="shared" si="0"/>
        <v>6</v>
      </c>
      <c r="B16" s="35"/>
      <c r="C16" s="693"/>
      <c r="D16" s="320"/>
      <c r="E16" s="317"/>
      <c r="F16" s="260">
        <f t="shared" si="1"/>
        <v>6</v>
      </c>
      <c r="H16" s="323"/>
    </row>
    <row r="17" spans="1:10">
      <c r="A17" s="259">
        <f t="shared" si="0"/>
        <v>7</v>
      </c>
      <c r="B17" s="359" t="s">
        <v>275</v>
      </c>
      <c r="C17" s="694">
        <f>C11+C13+C15</f>
        <v>903.38396256641306</v>
      </c>
      <c r="D17" s="460"/>
      <c r="E17" s="53" t="s">
        <v>378</v>
      </c>
      <c r="F17" s="260">
        <f t="shared" si="1"/>
        <v>7</v>
      </c>
      <c r="H17" s="323"/>
    </row>
    <row r="18" spans="1:10">
      <c r="A18" s="259">
        <f t="shared" si="0"/>
        <v>8</v>
      </c>
      <c r="B18" s="52"/>
      <c r="C18" s="690"/>
      <c r="D18" s="459"/>
      <c r="E18" s="361"/>
      <c r="F18" s="260">
        <f t="shared" si="1"/>
        <v>8</v>
      </c>
    </row>
    <row r="19" spans="1:10">
      <c r="A19" s="259">
        <f t="shared" si="0"/>
        <v>9</v>
      </c>
      <c r="B19" s="366" t="s">
        <v>238</v>
      </c>
      <c r="C19" s="693">
        <v>0</v>
      </c>
      <c r="D19" s="320"/>
      <c r="E19" s="317" t="s">
        <v>379</v>
      </c>
      <c r="F19" s="260">
        <f t="shared" si="1"/>
        <v>9</v>
      </c>
    </row>
    <row r="20" spans="1:10">
      <c r="A20" s="259">
        <f t="shared" si="0"/>
        <v>10</v>
      </c>
      <c r="B20" s="366"/>
      <c r="C20" s="690"/>
      <c r="D20" s="459"/>
      <c r="E20" s="466"/>
      <c r="F20" s="260">
        <f t="shared" si="1"/>
        <v>10</v>
      </c>
    </row>
    <row r="21" spans="1:10">
      <c r="A21" s="259">
        <f t="shared" si="0"/>
        <v>11</v>
      </c>
      <c r="B21" s="366" t="s">
        <v>109</v>
      </c>
      <c r="C21" s="692">
        <v>0</v>
      </c>
      <c r="D21" s="320"/>
      <c r="E21" s="53" t="s">
        <v>380</v>
      </c>
      <c r="F21" s="260">
        <f t="shared" si="1"/>
        <v>11</v>
      </c>
    </row>
    <row r="22" spans="1:10">
      <c r="A22" s="259">
        <f t="shared" si="0"/>
        <v>12</v>
      </c>
      <c r="B22" s="35"/>
      <c r="C22" s="695"/>
      <c r="D22" s="69"/>
      <c r="E22" s="53"/>
      <c r="F22" s="260">
        <f t="shared" si="1"/>
        <v>12</v>
      </c>
    </row>
    <row r="23" spans="1:10">
      <c r="A23" s="259">
        <f t="shared" si="0"/>
        <v>13</v>
      </c>
      <c r="B23" s="35" t="s">
        <v>252</v>
      </c>
      <c r="C23" s="72">
        <f>C17+C19+C21</f>
        <v>903.38396256641306</v>
      </c>
      <c r="D23" s="460"/>
      <c r="E23" s="53" t="s">
        <v>381</v>
      </c>
      <c r="F23" s="260">
        <f t="shared" si="1"/>
        <v>13</v>
      </c>
      <c r="H23" s="323"/>
    </row>
    <row r="24" spans="1:10">
      <c r="A24" s="259">
        <f t="shared" si="0"/>
        <v>14</v>
      </c>
      <c r="B24" s="340"/>
      <c r="C24" s="73"/>
      <c r="D24" s="81"/>
      <c r="E24" s="53"/>
      <c r="F24" s="260">
        <f t="shared" si="1"/>
        <v>14</v>
      </c>
      <c r="H24" s="323"/>
    </row>
    <row r="25" spans="1:10">
      <c r="A25" s="259">
        <f t="shared" si="0"/>
        <v>15</v>
      </c>
      <c r="B25" s="12" t="s">
        <v>253</v>
      </c>
      <c r="C25" s="531">
        <v>0</v>
      </c>
      <c r="D25" s="81"/>
      <c r="E25" s="53" t="s">
        <v>273</v>
      </c>
      <c r="F25" s="260">
        <f t="shared" si="1"/>
        <v>15</v>
      </c>
      <c r="H25" s="323"/>
    </row>
    <row r="26" spans="1:10">
      <c r="A26" s="259">
        <f t="shared" si="0"/>
        <v>16</v>
      </c>
      <c r="B26" s="40"/>
      <c r="C26" s="696"/>
      <c r="D26" s="468"/>
      <c r="E26" s="53"/>
      <c r="F26" s="260">
        <f t="shared" si="1"/>
        <v>16</v>
      </c>
    </row>
    <row r="27" spans="1:10" ht="16" thickBot="1">
      <c r="A27" s="259">
        <f t="shared" si="0"/>
        <v>17</v>
      </c>
      <c r="B27" s="359" t="s">
        <v>254</v>
      </c>
      <c r="C27" s="697">
        <f>C23+C25</f>
        <v>903.38396256641306</v>
      </c>
      <c r="D27" s="460"/>
      <c r="E27" s="53" t="s">
        <v>382</v>
      </c>
      <c r="F27" s="260">
        <f t="shared" si="1"/>
        <v>17</v>
      </c>
      <c r="I27" s="322"/>
      <c r="J27" s="324"/>
    </row>
    <row r="28" spans="1:10" ht="16.5" thickTop="1" thickBot="1">
      <c r="A28" s="259">
        <f t="shared" si="0"/>
        <v>18</v>
      </c>
      <c r="B28" s="505"/>
      <c r="C28" s="698"/>
      <c r="D28" s="471"/>
      <c r="E28" s="471"/>
      <c r="F28" s="260">
        <f t="shared" si="1"/>
        <v>18</v>
      </c>
    </row>
    <row r="30" spans="1:10" ht="16" thickBot="1">
      <c r="A30" s="442"/>
      <c r="B30" s="163"/>
      <c r="C30" s="473"/>
      <c r="D30" s="473"/>
      <c r="E30" s="473"/>
      <c r="F30" s="442"/>
    </row>
    <row r="31" spans="1:10">
      <c r="A31" s="259" t="s">
        <v>2</v>
      </c>
      <c r="B31" s="34"/>
      <c r="C31" s="686"/>
      <c r="D31" s="50"/>
      <c r="E31" s="50"/>
      <c r="F31" s="260" t="s">
        <v>2</v>
      </c>
    </row>
    <row r="32" spans="1:10">
      <c r="A32" s="259" t="s">
        <v>14</v>
      </c>
      <c r="B32" s="358" t="s">
        <v>255</v>
      </c>
      <c r="C32" s="687" t="str">
        <f>C9</f>
        <v>Amounts</v>
      </c>
      <c r="D32" s="453"/>
      <c r="E32" s="453" t="str">
        <f>E9</f>
        <v>Reference</v>
      </c>
      <c r="F32" s="260" t="s">
        <v>14</v>
      </c>
    </row>
    <row r="33" spans="1:6">
      <c r="A33" s="259">
        <f>A28+1</f>
        <v>19</v>
      </c>
      <c r="B33" s="33"/>
      <c r="C33" s="688"/>
      <c r="D33" s="457"/>
      <c r="E33" s="456"/>
      <c r="F33" s="260">
        <f>F28+1</f>
        <v>19</v>
      </c>
    </row>
    <row r="34" spans="1:6">
      <c r="A34" s="259">
        <f>A33+1</f>
        <v>20</v>
      </c>
      <c r="B34" s="366" t="str">
        <f>B11</f>
        <v>Section 1 - Direct Maintenance Expense Cost Component</v>
      </c>
      <c r="C34" s="699">
        <f>C11/12</f>
        <v>0</v>
      </c>
      <c r="D34" s="476"/>
      <c r="E34" s="317" t="s">
        <v>383</v>
      </c>
      <c r="F34" s="260">
        <f>F33+1</f>
        <v>20</v>
      </c>
    </row>
    <row r="35" spans="1:6">
      <c r="A35" s="259">
        <f t="shared" ref="A35:A53" si="2">A34+1</f>
        <v>21</v>
      </c>
      <c r="B35" s="325"/>
      <c r="C35" s="700"/>
      <c r="D35" s="477"/>
      <c r="E35" s="41"/>
      <c r="F35" s="260">
        <f t="shared" ref="F35:F53" si="3">F34+1</f>
        <v>21</v>
      </c>
    </row>
    <row r="36" spans="1:6">
      <c r="A36" s="259">
        <f t="shared" si="2"/>
        <v>22</v>
      </c>
      <c r="B36" s="366" t="str">
        <f>B13</f>
        <v>Section 2 - Non-Direct Expense Cost Component</v>
      </c>
      <c r="C36" s="701">
        <f>C13/12</f>
        <v>68.048009449734423</v>
      </c>
      <c r="D36" s="460" t="s">
        <v>361</v>
      </c>
      <c r="E36" s="317" t="s">
        <v>384</v>
      </c>
      <c r="F36" s="260">
        <f t="shared" si="3"/>
        <v>22</v>
      </c>
    </row>
    <row r="37" spans="1:6">
      <c r="A37" s="259">
        <f t="shared" si="2"/>
        <v>23</v>
      </c>
      <c r="B37" s="325"/>
      <c r="C37" s="702"/>
      <c r="D37" s="481"/>
      <c r="E37" s="482"/>
      <c r="F37" s="260">
        <f t="shared" si="3"/>
        <v>23</v>
      </c>
    </row>
    <row r="38" spans="1:6">
      <c r="A38" s="259">
        <f t="shared" si="2"/>
        <v>24</v>
      </c>
      <c r="B38" s="366" t="str">
        <f>B15</f>
        <v>Section 3 - Cost Component Containing Other Specific Expenses</v>
      </c>
      <c r="C38" s="703">
        <f>C15/12</f>
        <v>7.2339874308000001</v>
      </c>
      <c r="D38" s="484"/>
      <c r="E38" s="317" t="s">
        <v>385</v>
      </c>
      <c r="F38" s="260">
        <f t="shared" si="3"/>
        <v>24</v>
      </c>
    </row>
    <row r="39" spans="1:6">
      <c r="A39" s="259">
        <f t="shared" si="2"/>
        <v>25</v>
      </c>
      <c r="B39" s="52"/>
      <c r="C39" s="704"/>
      <c r="D39" s="481"/>
      <c r="E39" s="317"/>
      <c r="F39" s="260">
        <f t="shared" si="3"/>
        <v>25</v>
      </c>
    </row>
    <row r="40" spans="1:6">
      <c r="A40" s="259">
        <f t="shared" si="2"/>
        <v>26</v>
      </c>
      <c r="B40" s="359" t="s">
        <v>276</v>
      </c>
      <c r="C40" s="705">
        <f>C34+C36+C38</f>
        <v>75.281996880534422</v>
      </c>
      <c r="D40" s="460" t="s">
        <v>361</v>
      </c>
      <c r="E40" s="53" t="s">
        <v>386</v>
      </c>
      <c r="F40" s="260">
        <f t="shared" si="3"/>
        <v>26</v>
      </c>
    </row>
    <row r="41" spans="1:6">
      <c r="A41" s="259">
        <f t="shared" si="2"/>
        <v>27</v>
      </c>
      <c r="B41" s="33"/>
      <c r="C41" s="702"/>
      <c r="D41" s="481"/>
      <c r="E41" s="463"/>
      <c r="F41" s="260">
        <f t="shared" si="3"/>
        <v>27</v>
      </c>
    </row>
    <row r="42" spans="1:6">
      <c r="A42" s="259">
        <f t="shared" si="2"/>
        <v>28</v>
      </c>
      <c r="B42" s="366" t="str">
        <f>LEFT(B19,45)</f>
        <v>Section 4 - True-Up Adjustment Cost Component</v>
      </c>
      <c r="C42" s="706">
        <f>C19/12</f>
        <v>0</v>
      </c>
      <c r="D42" s="484"/>
      <c r="E42" s="317" t="s">
        <v>387</v>
      </c>
      <c r="F42" s="260">
        <f t="shared" si="3"/>
        <v>28</v>
      </c>
    </row>
    <row r="43" spans="1:6">
      <c r="A43" s="259">
        <f t="shared" si="2"/>
        <v>29</v>
      </c>
      <c r="B43" s="366"/>
      <c r="C43" s="702"/>
      <c r="D43" s="481"/>
      <c r="E43" s="491"/>
      <c r="F43" s="260">
        <f t="shared" si="3"/>
        <v>29</v>
      </c>
    </row>
    <row r="44" spans="1:6">
      <c r="A44" s="259">
        <f t="shared" si="2"/>
        <v>30</v>
      </c>
      <c r="B44" s="366" t="str">
        <f>B21</f>
        <v>Section 5 - Interest True-Up Adjustment Cost Component</v>
      </c>
      <c r="C44" s="706">
        <f>C21/12</f>
        <v>0</v>
      </c>
      <c r="D44" s="484"/>
      <c r="E44" s="53" t="s">
        <v>388</v>
      </c>
      <c r="F44" s="260">
        <f t="shared" si="3"/>
        <v>30</v>
      </c>
    </row>
    <row r="45" spans="1:6">
      <c r="A45" s="259">
        <f t="shared" si="2"/>
        <v>31</v>
      </c>
      <c r="B45" s="52"/>
      <c r="C45" s="707"/>
      <c r="D45" s="6"/>
      <c r="E45" s="341"/>
      <c r="F45" s="260">
        <f t="shared" si="3"/>
        <v>31</v>
      </c>
    </row>
    <row r="46" spans="1:6">
      <c r="A46" s="259">
        <f t="shared" si="2"/>
        <v>32</v>
      </c>
      <c r="B46" s="12" t="str">
        <f>B25</f>
        <v>Other Adjustments</v>
      </c>
      <c r="C46" s="703">
        <f>C25/12</f>
        <v>0</v>
      </c>
      <c r="D46" s="484"/>
      <c r="E46" s="53" t="s">
        <v>389</v>
      </c>
      <c r="F46" s="260">
        <f t="shared" si="3"/>
        <v>32</v>
      </c>
    </row>
    <row r="47" spans="1:6">
      <c r="A47" s="259">
        <f t="shared" si="2"/>
        <v>33</v>
      </c>
      <c r="B47" s="35"/>
      <c r="C47" s="707"/>
      <c r="D47" s="6"/>
      <c r="E47" s="341"/>
      <c r="F47" s="260">
        <f t="shared" si="3"/>
        <v>33</v>
      </c>
    </row>
    <row r="48" spans="1:6" ht="16" thickBot="1">
      <c r="A48" s="259">
        <f t="shared" si="2"/>
        <v>34</v>
      </c>
      <c r="B48" s="35" t="s">
        <v>256</v>
      </c>
      <c r="C48" s="708">
        <f>C40+C42+C44+C46</f>
        <v>75.281996880534422</v>
      </c>
      <c r="D48" s="460" t="s">
        <v>361</v>
      </c>
      <c r="E48" s="53" t="s">
        <v>390</v>
      </c>
      <c r="F48" s="260">
        <f t="shared" si="3"/>
        <v>34</v>
      </c>
    </row>
    <row r="49" spans="1:6" ht="16" thickTop="1">
      <c r="A49" s="259">
        <f t="shared" si="2"/>
        <v>35</v>
      </c>
      <c r="B49" s="33"/>
      <c r="C49" s="709"/>
      <c r="D49" s="495"/>
      <c r="E49" s="496"/>
      <c r="F49" s="260">
        <f t="shared" si="3"/>
        <v>35</v>
      </c>
    </row>
    <row r="50" spans="1:6">
      <c r="A50" s="259">
        <f t="shared" si="2"/>
        <v>36</v>
      </c>
      <c r="B50" s="325" t="s">
        <v>249</v>
      </c>
      <c r="C50" s="710">
        <v>12</v>
      </c>
      <c r="D50" s="497"/>
      <c r="E50" s="496"/>
      <c r="F50" s="260">
        <f t="shared" si="3"/>
        <v>36</v>
      </c>
    </row>
    <row r="51" spans="1:6">
      <c r="A51" s="259">
        <f t="shared" si="2"/>
        <v>37</v>
      </c>
      <c r="B51" s="33"/>
      <c r="C51" s="709"/>
      <c r="D51" s="495"/>
      <c r="E51" s="499"/>
      <c r="F51" s="260">
        <f t="shared" si="3"/>
        <v>37</v>
      </c>
    </row>
    <row r="52" spans="1:6" ht="16" thickBot="1">
      <c r="A52" s="259">
        <f t="shared" si="2"/>
        <v>38</v>
      </c>
      <c r="B52" s="359" t="str">
        <f>B27</f>
        <v>Total Annual Costs</v>
      </c>
      <c r="C52" s="711">
        <f>C48*C50</f>
        <v>903.38396256641306</v>
      </c>
      <c r="D52" s="460"/>
      <c r="E52" s="53" t="s">
        <v>391</v>
      </c>
      <c r="F52" s="260">
        <f t="shared" si="3"/>
        <v>38</v>
      </c>
    </row>
    <row r="53" spans="1:6" ht="16.5" thickTop="1" thickBot="1">
      <c r="A53" s="259">
        <f t="shared" si="2"/>
        <v>39</v>
      </c>
      <c r="B53" s="471"/>
      <c r="C53" s="712"/>
      <c r="D53" s="502"/>
      <c r="E53" s="503"/>
      <c r="F53" s="260">
        <f t="shared" si="3"/>
        <v>39</v>
      </c>
    </row>
    <row r="56" spans="1:6">
      <c r="A56" s="460" t="s">
        <v>361</v>
      </c>
      <c r="B56" s="5" t="str">
        <f>'Pg2 App XII C2 Comparison'!B57</f>
        <v>Items in BOLD have changed to correct the over-allocation of "Duplicate Charges (Company Energy Use)" Credit in FERC Account no. 929.</v>
      </c>
    </row>
    <row r="57" spans="1:6">
      <c r="B57" s="5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3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D971-2BDD-433E-8117-5E013BEFB23B}">
  <sheetPr>
    <pageSetUpPr fitToPage="1"/>
  </sheetPr>
  <dimension ref="A1:J58"/>
  <sheetViews>
    <sheetView zoomScale="80" zoomScaleNormal="80" workbookViewId="0"/>
  </sheetViews>
  <sheetFormatPr defaultColWidth="8.81640625" defaultRowHeight="15.5"/>
  <cols>
    <col min="1" max="1" width="5.1796875" style="79" customWidth="1"/>
    <col min="2" max="2" width="76.453125" style="1" customWidth="1"/>
    <col min="3" max="3" width="21.1796875" style="1" customWidth="1"/>
    <col min="4" max="4" width="2" style="1" bestFit="1" customWidth="1"/>
    <col min="5" max="5" width="55.81640625" style="1" customWidth="1"/>
    <col min="6" max="6" width="5.1796875" style="79" customWidth="1"/>
    <col min="7" max="16384" width="8.81640625" style="1"/>
  </cols>
  <sheetData>
    <row r="1" spans="1:8">
      <c r="A1" s="633" t="s">
        <v>646</v>
      </c>
    </row>
    <row r="2" spans="1:8">
      <c r="A2" s="442"/>
      <c r="B2" s="50"/>
      <c r="C2" s="50"/>
      <c r="D2" s="50"/>
      <c r="E2" s="50"/>
      <c r="F2" s="442"/>
    </row>
    <row r="3" spans="1:8">
      <c r="A3" s="442"/>
      <c r="B3" s="719" t="s">
        <v>12</v>
      </c>
      <c r="C3" s="719"/>
      <c r="D3" s="719"/>
      <c r="E3" s="719"/>
      <c r="F3" s="50"/>
    </row>
    <row r="4" spans="1:8">
      <c r="B4" s="719" t="s">
        <v>339</v>
      </c>
      <c r="C4" s="719"/>
      <c r="D4" s="719"/>
      <c r="E4" s="719"/>
      <c r="F4" s="59"/>
    </row>
    <row r="5" spans="1:8">
      <c r="B5" s="719" t="s">
        <v>341</v>
      </c>
      <c r="C5" s="719"/>
      <c r="D5" s="719"/>
      <c r="E5" s="719"/>
      <c r="F5" s="59"/>
    </row>
    <row r="6" spans="1:8">
      <c r="A6" s="442"/>
      <c r="B6" s="721" t="s">
        <v>392</v>
      </c>
      <c r="C6" s="721"/>
      <c r="D6" s="721"/>
      <c r="E6" s="721"/>
      <c r="F6" s="442"/>
    </row>
    <row r="7" spans="1:8">
      <c r="B7" s="720" t="s">
        <v>1</v>
      </c>
      <c r="C7" s="719"/>
      <c r="D7" s="719"/>
      <c r="E7" s="719"/>
      <c r="F7" s="59"/>
    </row>
    <row r="8" spans="1:8" ht="16" thickBot="1">
      <c r="A8" s="442"/>
      <c r="B8" s="50"/>
      <c r="C8" s="40"/>
      <c r="D8" s="471"/>
      <c r="E8" s="40"/>
      <c r="F8" s="442"/>
    </row>
    <row r="9" spans="1:8">
      <c r="A9" s="259" t="s">
        <v>2</v>
      </c>
      <c r="B9" s="249"/>
      <c r="C9" s="686"/>
      <c r="D9" s="50"/>
      <c r="E9" s="451"/>
      <c r="F9" s="260" t="s">
        <v>2</v>
      </c>
    </row>
    <row r="10" spans="1:8">
      <c r="A10" s="259" t="s">
        <v>14</v>
      </c>
      <c r="B10" s="358" t="s">
        <v>251</v>
      </c>
      <c r="C10" s="687" t="s">
        <v>22</v>
      </c>
      <c r="D10" s="453"/>
      <c r="E10" s="453" t="s">
        <v>6</v>
      </c>
      <c r="F10" s="260" t="s">
        <v>14</v>
      </c>
    </row>
    <row r="11" spans="1:8">
      <c r="A11" s="259"/>
      <c r="B11" s="504"/>
      <c r="C11" s="688"/>
      <c r="D11" s="457"/>
      <c r="E11" s="456"/>
      <c r="F11" s="260"/>
    </row>
    <row r="12" spans="1:8">
      <c r="A12" s="259">
        <v>1</v>
      </c>
      <c r="B12" s="366" t="s">
        <v>106</v>
      </c>
      <c r="C12" s="689">
        <v>0</v>
      </c>
      <c r="D12" s="458"/>
      <c r="E12" s="317" t="s">
        <v>376</v>
      </c>
      <c r="F12" s="260">
        <f>A12</f>
        <v>1</v>
      </c>
      <c r="H12" s="322"/>
    </row>
    <row r="13" spans="1:8">
      <c r="A13" s="259">
        <f>A12+1</f>
        <v>2</v>
      </c>
      <c r="B13" s="325"/>
      <c r="C13" s="690"/>
      <c r="D13" s="459"/>
      <c r="E13" s="50"/>
      <c r="F13" s="260">
        <f>F12+1</f>
        <v>2</v>
      </c>
    </row>
    <row r="14" spans="1:8">
      <c r="A14" s="259">
        <f t="shared" ref="A14:A29" si="0">A13+1</f>
        <v>3</v>
      </c>
      <c r="B14" s="366" t="s">
        <v>107</v>
      </c>
      <c r="C14" s="691">
        <v>816.3598269174604</v>
      </c>
      <c r="D14" s="460" t="s">
        <v>361</v>
      </c>
      <c r="E14" s="317" t="s">
        <v>575</v>
      </c>
      <c r="F14" s="260">
        <f t="shared" ref="F14:F29" si="1">F13+1</f>
        <v>3</v>
      </c>
      <c r="H14" s="323"/>
    </row>
    <row r="15" spans="1:8">
      <c r="A15" s="259">
        <f t="shared" si="0"/>
        <v>4</v>
      </c>
      <c r="B15" s="325"/>
      <c r="C15" s="690"/>
      <c r="D15" s="459"/>
      <c r="E15" s="463"/>
      <c r="F15" s="260">
        <f t="shared" si="1"/>
        <v>4</v>
      </c>
    </row>
    <row r="16" spans="1:8">
      <c r="A16" s="259">
        <f t="shared" si="0"/>
        <v>5</v>
      </c>
      <c r="B16" s="12" t="s">
        <v>108</v>
      </c>
      <c r="C16" s="692">
        <v>86.807849169600004</v>
      </c>
      <c r="D16" s="320"/>
      <c r="E16" s="317" t="s">
        <v>377</v>
      </c>
      <c r="F16" s="260">
        <f t="shared" si="1"/>
        <v>5</v>
      </c>
      <c r="H16" s="323"/>
    </row>
    <row r="17" spans="1:10">
      <c r="A17" s="259">
        <f t="shared" si="0"/>
        <v>6</v>
      </c>
      <c r="B17" s="35"/>
      <c r="C17" s="693"/>
      <c r="D17" s="320"/>
      <c r="E17" s="317"/>
      <c r="F17" s="260">
        <f t="shared" si="1"/>
        <v>6</v>
      </c>
      <c r="H17" s="323"/>
    </row>
    <row r="18" spans="1:10">
      <c r="A18" s="259">
        <f t="shared" si="0"/>
        <v>7</v>
      </c>
      <c r="B18" s="359" t="s">
        <v>275</v>
      </c>
      <c r="C18" s="713">
        <f>C12+C14+C16</f>
        <v>903.16767608706039</v>
      </c>
      <c r="D18" s="460" t="s">
        <v>361</v>
      </c>
      <c r="E18" s="53" t="s">
        <v>378</v>
      </c>
      <c r="F18" s="260">
        <f t="shared" si="1"/>
        <v>7</v>
      </c>
      <c r="H18" s="323"/>
    </row>
    <row r="19" spans="1:10">
      <c r="A19" s="259">
        <f t="shared" si="0"/>
        <v>8</v>
      </c>
      <c r="B19" s="52"/>
      <c r="C19" s="690"/>
      <c r="D19" s="459"/>
      <c r="E19" s="361"/>
      <c r="F19" s="260">
        <f t="shared" si="1"/>
        <v>8</v>
      </c>
    </row>
    <row r="20" spans="1:10">
      <c r="A20" s="259">
        <f t="shared" si="0"/>
        <v>9</v>
      </c>
      <c r="B20" s="366" t="s">
        <v>238</v>
      </c>
      <c r="C20" s="693">
        <v>0</v>
      </c>
      <c r="D20" s="320"/>
      <c r="E20" s="317" t="s">
        <v>379</v>
      </c>
      <c r="F20" s="260">
        <f t="shared" si="1"/>
        <v>9</v>
      </c>
    </row>
    <row r="21" spans="1:10">
      <c r="A21" s="259">
        <f t="shared" si="0"/>
        <v>10</v>
      </c>
      <c r="B21" s="366"/>
      <c r="C21" s="690"/>
      <c r="D21" s="459"/>
      <c r="E21" s="466"/>
      <c r="F21" s="260">
        <f t="shared" si="1"/>
        <v>10</v>
      </c>
    </row>
    <row r="22" spans="1:10">
      <c r="A22" s="259">
        <f t="shared" si="0"/>
        <v>11</v>
      </c>
      <c r="B22" s="366" t="s">
        <v>109</v>
      </c>
      <c r="C22" s="692">
        <v>0</v>
      </c>
      <c r="D22" s="320"/>
      <c r="E22" s="53" t="s">
        <v>380</v>
      </c>
      <c r="F22" s="260">
        <f t="shared" si="1"/>
        <v>11</v>
      </c>
    </row>
    <row r="23" spans="1:10">
      <c r="A23" s="259">
        <f t="shared" si="0"/>
        <v>12</v>
      </c>
      <c r="B23" s="35"/>
      <c r="C23" s="695"/>
      <c r="D23" s="69"/>
      <c r="E23" s="53"/>
      <c r="F23" s="260">
        <f t="shared" si="1"/>
        <v>12</v>
      </c>
    </row>
    <row r="24" spans="1:10">
      <c r="A24" s="259">
        <f t="shared" si="0"/>
        <v>13</v>
      </c>
      <c r="B24" s="35" t="s">
        <v>252</v>
      </c>
      <c r="C24" s="84">
        <f>C18+C20+C22</f>
        <v>903.16767608706039</v>
      </c>
      <c r="D24" s="460" t="s">
        <v>361</v>
      </c>
      <c r="E24" s="53" t="s">
        <v>381</v>
      </c>
      <c r="F24" s="260">
        <f t="shared" si="1"/>
        <v>13</v>
      </c>
      <c r="H24" s="323"/>
    </row>
    <row r="25" spans="1:10">
      <c r="A25" s="259">
        <f t="shared" si="0"/>
        <v>14</v>
      </c>
      <c r="B25" s="340"/>
      <c r="C25" s="73"/>
      <c r="D25" s="81"/>
      <c r="E25" s="53"/>
      <c r="F25" s="260">
        <f t="shared" si="1"/>
        <v>14</v>
      </c>
      <c r="H25" s="323"/>
    </row>
    <row r="26" spans="1:10">
      <c r="A26" s="259">
        <f t="shared" si="0"/>
        <v>15</v>
      </c>
      <c r="B26" s="12" t="s">
        <v>253</v>
      </c>
      <c r="C26" s="531">
        <v>0</v>
      </c>
      <c r="D26" s="81"/>
      <c r="E26" s="53" t="s">
        <v>273</v>
      </c>
      <c r="F26" s="260">
        <f t="shared" si="1"/>
        <v>15</v>
      </c>
      <c r="H26" s="323"/>
    </row>
    <row r="27" spans="1:10">
      <c r="A27" s="259">
        <f t="shared" si="0"/>
        <v>16</v>
      </c>
      <c r="B27" s="40"/>
      <c r="C27" s="696"/>
      <c r="D27" s="468"/>
      <c r="E27" s="53"/>
      <c r="F27" s="260">
        <f t="shared" si="1"/>
        <v>16</v>
      </c>
    </row>
    <row r="28" spans="1:10" ht="16" thickBot="1">
      <c r="A28" s="259">
        <f t="shared" si="0"/>
        <v>17</v>
      </c>
      <c r="B28" s="359" t="s">
        <v>254</v>
      </c>
      <c r="C28" s="714">
        <f>C24+C26</f>
        <v>903.16767608706039</v>
      </c>
      <c r="D28" s="460" t="s">
        <v>361</v>
      </c>
      <c r="E28" s="53" t="s">
        <v>382</v>
      </c>
      <c r="F28" s="260">
        <f t="shared" si="1"/>
        <v>17</v>
      </c>
      <c r="I28" s="322"/>
      <c r="J28" s="324"/>
    </row>
    <row r="29" spans="1:10" ht="16.5" thickTop="1" thickBot="1">
      <c r="A29" s="259">
        <f t="shared" si="0"/>
        <v>18</v>
      </c>
      <c r="B29" s="505"/>
      <c r="C29" s="698"/>
      <c r="D29" s="471"/>
      <c r="E29" s="471"/>
      <c r="F29" s="260">
        <f t="shared" si="1"/>
        <v>18</v>
      </c>
    </row>
    <row r="31" spans="1:10" ht="16" thickBot="1">
      <c r="A31" s="442"/>
      <c r="B31" s="163"/>
      <c r="C31" s="473"/>
      <c r="D31" s="473"/>
      <c r="E31" s="473"/>
      <c r="F31" s="442"/>
    </row>
    <row r="32" spans="1:10">
      <c r="A32" s="259" t="s">
        <v>2</v>
      </c>
      <c r="B32" s="34"/>
      <c r="C32" s="686"/>
      <c r="D32" s="50"/>
      <c r="E32" s="50"/>
      <c r="F32" s="260" t="s">
        <v>2</v>
      </c>
    </row>
    <row r="33" spans="1:6">
      <c r="A33" s="259" t="s">
        <v>14</v>
      </c>
      <c r="B33" s="358" t="s">
        <v>255</v>
      </c>
      <c r="C33" s="687" t="str">
        <f>C10</f>
        <v>Amounts</v>
      </c>
      <c r="D33" s="453"/>
      <c r="E33" s="453" t="str">
        <f>E10</f>
        <v>Reference</v>
      </c>
      <c r="F33" s="260" t="s">
        <v>14</v>
      </c>
    </row>
    <row r="34" spans="1:6">
      <c r="A34" s="259">
        <f>A29+1</f>
        <v>19</v>
      </c>
      <c r="B34" s="33"/>
      <c r="C34" s="688"/>
      <c r="D34" s="457"/>
      <c r="E34" s="456"/>
      <c r="F34" s="260">
        <f>F29+1</f>
        <v>19</v>
      </c>
    </row>
    <row r="35" spans="1:6">
      <c r="A35" s="259">
        <f>A34+1</f>
        <v>20</v>
      </c>
      <c r="B35" s="366" t="str">
        <f>B12</f>
        <v>Section 1 - Direct Maintenance Expense Cost Component</v>
      </c>
      <c r="C35" s="699">
        <f>C12/12</f>
        <v>0</v>
      </c>
      <c r="D35" s="476"/>
      <c r="E35" s="317" t="s">
        <v>383</v>
      </c>
      <c r="F35" s="260">
        <f>F34+1</f>
        <v>20</v>
      </c>
    </row>
    <row r="36" spans="1:6">
      <c r="A36" s="259">
        <f t="shared" ref="A36:A54" si="2">A35+1</f>
        <v>21</v>
      </c>
      <c r="B36" s="325"/>
      <c r="C36" s="700"/>
      <c r="D36" s="477"/>
      <c r="E36" s="41"/>
      <c r="F36" s="260">
        <f t="shared" ref="F36:F54" si="3">F35+1</f>
        <v>21</v>
      </c>
    </row>
    <row r="37" spans="1:6">
      <c r="A37" s="259">
        <f t="shared" si="2"/>
        <v>22</v>
      </c>
      <c r="B37" s="366" t="str">
        <f>B14</f>
        <v>Section 2 - Non-Direct Expense Cost Component</v>
      </c>
      <c r="C37" s="701">
        <f>C14/12</f>
        <v>68.029985576455033</v>
      </c>
      <c r="D37" s="460" t="s">
        <v>361</v>
      </c>
      <c r="E37" s="317" t="s">
        <v>384</v>
      </c>
      <c r="F37" s="260">
        <f t="shared" si="3"/>
        <v>22</v>
      </c>
    </row>
    <row r="38" spans="1:6">
      <c r="A38" s="259">
        <f t="shared" si="2"/>
        <v>23</v>
      </c>
      <c r="B38" s="325"/>
      <c r="C38" s="702"/>
      <c r="D38" s="481"/>
      <c r="E38" s="482"/>
      <c r="F38" s="260">
        <f t="shared" si="3"/>
        <v>23</v>
      </c>
    </row>
    <row r="39" spans="1:6">
      <c r="A39" s="259">
        <f t="shared" si="2"/>
        <v>24</v>
      </c>
      <c r="B39" s="366" t="str">
        <f>B16</f>
        <v>Section 3 - Cost Component Containing Other Specific Expenses</v>
      </c>
      <c r="C39" s="703">
        <f>C16/12</f>
        <v>7.2339874308000001</v>
      </c>
      <c r="D39" s="484"/>
      <c r="E39" s="317" t="s">
        <v>385</v>
      </c>
      <c r="F39" s="260">
        <f t="shared" si="3"/>
        <v>24</v>
      </c>
    </row>
    <row r="40" spans="1:6">
      <c r="A40" s="259">
        <f t="shared" si="2"/>
        <v>25</v>
      </c>
      <c r="B40" s="52"/>
      <c r="C40" s="704"/>
      <c r="D40" s="481"/>
      <c r="E40" s="317"/>
      <c r="F40" s="260">
        <f t="shared" si="3"/>
        <v>25</v>
      </c>
    </row>
    <row r="41" spans="1:6">
      <c r="A41" s="259">
        <f t="shared" si="2"/>
        <v>26</v>
      </c>
      <c r="B41" s="359" t="s">
        <v>276</v>
      </c>
      <c r="C41" s="705">
        <f>C35+C37+C39</f>
        <v>75.263973007255032</v>
      </c>
      <c r="D41" s="460" t="s">
        <v>361</v>
      </c>
      <c r="E41" s="53" t="s">
        <v>386</v>
      </c>
      <c r="F41" s="260">
        <f t="shared" si="3"/>
        <v>26</v>
      </c>
    </row>
    <row r="42" spans="1:6">
      <c r="A42" s="259">
        <f t="shared" si="2"/>
        <v>27</v>
      </c>
      <c r="B42" s="33"/>
      <c r="C42" s="702"/>
      <c r="D42" s="481"/>
      <c r="E42" s="463"/>
      <c r="F42" s="260">
        <f t="shared" si="3"/>
        <v>27</v>
      </c>
    </row>
    <row r="43" spans="1:6">
      <c r="A43" s="259">
        <f t="shared" si="2"/>
        <v>28</v>
      </c>
      <c r="B43" s="366" t="str">
        <f>LEFT(B20,45)</f>
        <v>Section 4 - True-Up Adjustment Cost Component</v>
      </c>
      <c r="C43" s="706">
        <f>C20/12</f>
        <v>0</v>
      </c>
      <c r="D43" s="484"/>
      <c r="E43" s="317" t="s">
        <v>387</v>
      </c>
      <c r="F43" s="260">
        <f t="shared" si="3"/>
        <v>28</v>
      </c>
    </row>
    <row r="44" spans="1:6">
      <c r="A44" s="259">
        <f t="shared" si="2"/>
        <v>29</v>
      </c>
      <c r="B44" s="366"/>
      <c r="C44" s="702"/>
      <c r="D44" s="481"/>
      <c r="E44" s="491"/>
      <c r="F44" s="260">
        <f t="shared" si="3"/>
        <v>29</v>
      </c>
    </row>
    <row r="45" spans="1:6">
      <c r="A45" s="259">
        <f t="shared" si="2"/>
        <v>30</v>
      </c>
      <c r="B45" s="366" t="str">
        <f>B22</f>
        <v>Section 5 - Interest True-Up Adjustment Cost Component</v>
      </c>
      <c r="C45" s="706">
        <f>C22/12</f>
        <v>0</v>
      </c>
      <c r="D45" s="484"/>
      <c r="E45" s="53" t="s">
        <v>388</v>
      </c>
      <c r="F45" s="260">
        <f t="shared" si="3"/>
        <v>30</v>
      </c>
    </row>
    <row r="46" spans="1:6">
      <c r="A46" s="259">
        <f t="shared" si="2"/>
        <v>31</v>
      </c>
      <c r="B46" s="52"/>
      <c r="C46" s="707"/>
      <c r="D46" s="6"/>
      <c r="E46" s="341"/>
      <c r="F46" s="260">
        <f t="shared" si="3"/>
        <v>31</v>
      </c>
    </row>
    <row r="47" spans="1:6">
      <c r="A47" s="259">
        <f t="shared" si="2"/>
        <v>32</v>
      </c>
      <c r="B47" s="12" t="str">
        <f>B26</f>
        <v>Other Adjustments</v>
      </c>
      <c r="C47" s="703">
        <f>C26/12</f>
        <v>0</v>
      </c>
      <c r="D47" s="484"/>
      <c r="E47" s="53" t="s">
        <v>389</v>
      </c>
      <c r="F47" s="260">
        <f t="shared" si="3"/>
        <v>32</v>
      </c>
    </row>
    <row r="48" spans="1:6">
      <c r="A48" s="259">
        <f t="shared" si="2"/>
        <v>33</v>
      </c>
      <c r="B48" s="35"/>
      <c r="C48" s="707"/>
      <c r="D48" s="6"/>
      <c r="E48" s="341"/>
      <c r="F48" s="260">
        <f t="shared" si="3"/>
        <v>33</v>
      </c>
    </row>
    <row r="49" spans="1:6" ht="16" thickBot="1">
      <c r="A49" s="259">
        <f t="shared" si="2"/>
        <v>34</v>
      </c>
      <c r="B49" s="35" t="s">
        <v>256</v>
      </c>
      <c r="C49" s="708">
        <f>C41+C43+C45+C47</f>
        <v>75.263973007255032</v>
      </c>
      <c r="D49" s="460" t="s">
        <v>361</v>
      </c>
      <c r="E49" s="53" t="s">
        <v>390</v>
      </c>
      <c r="F49" s="260">
        <f t="shared" si="3"/>
        <v>34</v>
      </c>
    </row>
    <row r="50" spans="1:6" ht="16" thickTop="1">
      <c r="A50" s="259">
        <f t="shared" si="2"/>
        <v>35</v>
      </c>
      <c r="B50" s="33"/>
      <c r="C50" s="709"/>
      <c r="D50" s="495"/>
      <c r="E50" s="496"/>
      <c r="F50" s="260">
        <f t="shared" si="3"/>
        <v>35</v>
      </c>
    </row>
    <row r="51" spans="1:6">
      <c r="A51" s="259">
        <f t="shared" si="2"/>
        <v>36</v>
      </c>
      <c r="B51" s="325" t="s">
        <v>249</v>
      </c>
      <c r="C51" s="710">
        <v>12</v>
      </c>
      <c r="D51" s="497"/>
      <c r="E51" s="496"/>
      <c r="F51" s="260">
        <f t="shared" si="3"/>
        <v>36</v>
      </c>
    </row>
    <row r="52" spans="1:6">
      <c r="A52" s="259">
        <f t="shared" si="2"/>
        <v>37</v>
      </c>
      <c r="B52" s="33"/>
      <c r="C52" s="709"/>
      <c r="D52" s="495"/>
      <c r="E52" s="499"/>
      <c r="F52" s="260">
        <f t="shared" si="3"/>
        <v>37</v>
      </c>
    </row>
    <row r="53" spans="1:6" ht="16" thickBot="1">
      <c r="A53" s="259">
        <f t="shared" si="2"/>
        <v>38</v>
      </c>
      <c r="B53" s="359" t="str">
        <f>B28</f>
        <v>Total Annual Costs</v>
      </c>
      <c r="C53" s="715">
        <f>C49*C51</f>
        <v>903.16767608706039</v>
      </c>
      <c r="D53" s="460" t="s">
        <v>361</v>
      </c>
      <c r="E53" s="53" t="s">
        <v>391</v>
      </c>
      <c r="F53" s="260">
        <f t="shared" si="3"/>
        <v>38</v>
      </c>
    </row>
    <row r="54" spans="1:6" ht="16.5" thickTop="1" thickBot="1">
      <c r="A54" s="259">
        <f t="shared" si="2"/>
        <v>39</v>
      </c>
      <c r="B54" s="471"/>
      <c r="C54" s="712"/>
      <c r="D54" s="502"/>
      <c r="E54" s="503"/>
      <c r="F54" s="260">
        <f t="shared" si="3"/>
        <v>39</v>
      </c>
    </row>
    <row r="57" spans="1:6">
      <c r="A57" s="460" t="s">
        <v>361</v>
      </c>
      <c r="B57" s="5" t="s">
        <v>574</v>
      </c>
    </row>
    <row r="58" spans="1:6">
      <c r="B58" s="5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57" orientation="portrait" r:id="rId1"/>
  <headerFooter scaleWithDoc="0" alignWithMargins="0">
    <oddHeader>&amp;C&amp;"Times New Roman,Bold"&amp;7AS FILED SUMMARY OF COST COMPONENTS WITH FERC AUDIT ADJ INCL IN APPENDIX XII CYCLE 6 (ER24-175)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DDB9-1330-4290-BFB2-AACD6FDFBADC}">
  <dimension ref="A1:J161"/>
  <sheetViews>
    <sheetView zoomScale="80" zoomScaleNormal="80" workbookViewId="0"/>
  </sheetViews>
  <sheetFormatPr defaultColWidth="8.81640625" defaultRowHeight="15.5"/>
  <cols>
    <col min="1" max="1" width="5.1796875" style="76" customWidth="1"/>
    <col min="2" max="2" width="85" style="1" customWidth="1"/>
    <col min="3" max="3" width="10.453125" style="1" customWidth="1"/>
    <col min="4" max="4" width="1.54296875" style="1" customWidth="1"/>
    <col min="5" max="5" width="16.81640625" style="1" customWidth="1"/>
    <col min="6" max="6" width="1.54296875" style="1" customWidth="1"/>
    <col min="7" max="7" width="43.453125" style="1" customWidth="1"/>
    <col min="8" max="8" width="5.1796875" style="79" customWidth="1"/>
    <col min="9" max="9" width="8.81640625" style="1"/>
    <col min="10" max="10" width="9.81640625" style="1" bestFit="1" customWidth="1"/>
    <col min="11" max="16384" width="8.81640625" style="1"/>
  </cols>
  <sheetData>
    <row r="1" spans="1:8">
      <c r="A1" s="261"/>
      <c r="B1" s="18"/>
      <c r="C1" s="18"/>
      <c r="D1" s="18"/>
      <c r="E1" s="37"/>
      <c r="F1" s="37"/>
      <c r="G1" s="37"/>
      <c r="H1" s="258"/>
    </row>
    <row r="2" spans="1:8">
      <c r="A2" s="261"/>
      <c r="B2" s="723" t="s">
        <v>12</v>
      </c>
      <c r="C2" s="723"/>
      <c r="D2" s="723"/>
      <c r="E2" s="723"/>
      <c r="F2" s="723"/>
      <c r="G2" s="723"/>
      <c r="H2" s="258"/>
    </row>
    <row r="3" spans="1:8">
      <c r="B3" s="723" t="s">
        <v>339</v>
      </c>
      <c r="C3" s="723"/>
      <c r="D3" s="723"/>
      <c r="E3" s="723"/>
      <c r="F3" s="723"/>
      <c r="G3" s="723"/>
      <c r="H3" s="261"/>
    </row>
    <row r="4" spans="1:8">
      <c r="B4" s="723" t="s">
        <v>342</v>
      </c>
      <c r="C4" s="723"/>
      <c r="D4" s="723"/>
      <c r="E4" s="723"/>
      <c r="F4" s="723"/>
      <c r="G4" s="723"/>
      <c r="H4" s="261"/>
    </row>
    <row r="5" spans="1:8">
      <c r="B5" s="724" t="s">
        <v>393</v>
      </c>
      <c r="C5" s="724"/>
      <c r="D5" s="724"/>
      <c r="E5" s="724"/>
      <c r="F5" s="724"/>
      <c r="G5" s="724"/>
      <c r="H5" s="261"/>
    </row>
    <row r="6" spans="1:8">
      <c r="B6" s="725" t="s">
        <v>1</v>
      </c>
      <c r="C6" s="725"/>
      <c r="D6" s="725"/>
      <c r="E6" s="725"/>
      <c r="F6" s="725"/>
      <c r="G6" s="725"/>
      <c r="H6" s="266"/>
    </row>
    <row r="7" spans="1:8">
      <c r="A7" s="262"/>
      <c r="B7" s="17"/>
      <c r="C7" s="17"/>
      <c r="D7" s="17"/>
      <c r="E7" s="17"/>
      <c r="F7" s="17"/>
      <c r="G7" s="37"/>
      <c r="H7" s="258"/>
    </row>
    <row r="8" spans="1:8">
      <c r="A8" s="263" t="s">
        <v>2</v>
      </c>
      <c r="B8" s="18"/>
      <c r="C8" s="18"/>
      <c r="D8" s="18"/>
      <c r="E8" s="17"/>
      <c r="F8" s="17"/>
      <c r="G8" s="18"/>
      <c r="H8" s="263" t="s">
        <v>2</v>
      </c>
    </row>
    <row r="9" spans="1:8">
      <c r="A9" s="263" t="s">
        <v>14</v>
      </c>
      <c r="B9" s="18"/>
      <c r="C9" s="18"/>
      <c r="D9" s="18"/>
      <c r="E9" s="255" t="s">
        <v>22</v>
      </c>
      <c r="F9" s="21"/>
      <c r="G9" s="255" t="s">
        <v>6</v>
      </c>
      <c r="H9" s="263" t="s">
        <v>14</v>
      </c>
    </row>
    <row r="10" spans="1:8">
      <c r="A10" s="263"/>
      <c r="B10" s="18"/>
      <c r="C10" s="18"/>
      <c r="D10" s="18"/>
      <c r="E10" s="17"/>
      <c r="F10" s="21"/>
      <c r="G10" s="17"/>
      <c r="H10" s="263"/>
    </row>
    <row r="11" spans="1:8">
      <c r="A11" s="263">
        <v>1</v>
      </c>
      <c r="B11" s="20" t="s">
        <v>110</v>
      </c>
      <c r="C11" s="20"/>
      <c r="D11" s="20"/>
      <c r="E11" s="37"/>
      <c r="F11" s="37"/>
      <c r="G11" s="17"/>
      <c r="H11" s="263">
        <f>A11</f>
        <v>1</v>
      </c>
    </row>
    <row r="12" spans="1:8">
      <c r="A12" s="263">
        <f>A11+1</f>
        <v>2</v>
      </c>
      <c r="B12" s="22" t="s">
        <v>257</v>
      </c>
      <c r="C12" s="274"/>
      <c r="D12" s="274"/>
      <c r="E12" s="275">
        <f>E55</f>
        <v>7.0223145485159948E-3</v>
      </c>
      <c r="G12" s="16" t="s">
        <v>394</v>
      </c>
      <c r="H12" s="263">
        <f>H11+1</f>
        <v>2</v>
      </c>
    </row>
    <row r="13" spans="1:8">
      <c r="A13" s="263">
        <f t="shared" ref="A13:A35" si="0">A12+1</f>
        <v>3</v>
      </c>
      <c r="B13" s="18"/>
      <c r="C13" s="265"/>
      <c r="D13" s="265"/>
      <c r="E13" s="276"/>
      <c r="F13" s="21"/>
      <c r="G13" s="16"/>
      <c r="H13" s="263">
        <f t="shared" ref="H13:H35" si="1">H12+1</f>
        <v>3</v>
      </c>
    </row>
    <row r="14" spans="1:8">
      <c r="A14" s="263">
        <f t="shared" si="0"/>
        <v>4</v>
      </c>
      <c r="B14" s="22" t="s">
        <v>260</v>
      </c>
      <c r="C14" s="274"/>
      <c r="D14" s="274"/>
      <c r="E14" s="507">
        <f>E60</f>
        <v>7.6516389682354221E-3</v>
      </c>
      <c r="F14" s="460" t="s">
        <v>361</v>
      </c>
      <c r="G14" s="16" t="s">
        <v>395</v>
      </c>
      <c r="H14" s="263">
        <f t="shared" si="1"/>
        <v>4</v>
      </c>
    </row>
    <row r="15" spans="1:8">
      <c r="A15" s="263">
        <f t="shared" si="0"/>
        <v>5</v>
      </c>
      <c r="B15" s="37"/>
      <c r="C15" s="262"/>
      <c r="D15" s="262"/>
      <c r="E15" s="277"/>
      <c r="F15" s="252"/>
      <c r="G15" s="16"/>
      <c r="H15" s="263">
        <f t="shared" si="1"/>
        <v>5</v>
      </c>
    </row>
    <row r="16" spans="1:8">
      <c r="A16" s="263">
        <f t="shared" si="0"/>
        <v>6</v>
      </c>
      <c r="B16" s="37" t="s">
        <v>261</v>
      </c>
      <c r="C16" s="262"/>
      <c r="D16" s="262"/>
      <c r="E16" s="357">
        <f>E65</f>
        <v>9.4231292520771549E-3</v>
      </c>
      <c r="F16" s="252"/>
      <c r="G16" s="16" t="s">
        <v>396</v>
      </c>
      <c r="H16" s="263">
        <f t="shared" si="1"/>
        <v>6</v>
      </c>
    </row>
    <row r="17" spans="1:8">
      <c r="A17" s="263">
        <f t="shared" si="0"/>
        <v>7</v>
      </c>
      <c r="B17" s="37"/>
      <c r="C17" s="262"/>
      <c r="D17" s="262"/>
      <c r="E17" s="277"/>
      <c r="F17" s="252"/>
      <c r="G17" s="16"/>
      <c r="H17" s="263">
        <f t="shared" si="1"/>
        <v>7</v>
      </c>
    </row>
    <row r="18" spans="1:8">
      <c r="A18" s="263">
        <f t="shared" si="0"/>
        <v>8</v>
      </c>
      <c r="B18" s="22" t="s">
        <v>262</v>
      </c>
      <c r="C18" s="274"/>
      <c r="D18" s="274"/>
      <c r="E18" s="275">
        <f>E70</f>
        <v>2.9224899574743963E-4</v>
      </c>
      <c r="F18" s="251"/>
      <c r="G18" s="16" t="s">
        <v>397</v>
      </c>
      <c r="H18" s="263">
        <f t="shared" si="1"/>
        <v>8</v>
      </c>
    </row>
    <row r="19" spans="1:8">
      <c r="A19" s="263">
        <f t="shared" si="0"/>
        <v>9</v>
      </c>
      <c r="B19" s="18"/>
      <c r="C19" s="265"/>
      <c r="D19" s="265"/>
      <c r="E19" s="276"/>
      <c r="F19" s="21"/>
      <c r="G19" s="16"/>
      <c r="H19" s="263">
        <f t="shared" si="1"/>
        <v>9</v>
      </c>
    </row>
    <row r="20" spans="1:8">
      <c r="A20" s="263">
        <f t="shared" si="0"/>
        <v>10</v>
      </c>
      <c r="B20" s="22" t="s">
        <v>263</v>
      </c>
      <c r="C20" s="265"/>
      <c r="D20" s="265"/>
      <c r="E20" s="275">
        <f>E83</f>
        <v>1.8451961016779969E-3</v>
      </c>
      <c r="F20" s="21"/>
      <c r="G20" s="16" t="s">
        <v>398</v>
      </c>
      <c r="H20" s="263">
        <f t="shared" si="1"/>
        <v>10</v>
      </c>
    </row>
    <row r="21" spans="1:8">
      <c r="A21" s="263">
        <f t="shared" si="0"/>
        <v>11</v>
      </c>
      <c r="B21" s="18"/>
      <c r="C21" s="265"/>
      <c r="D21" s="265"/>
      <c r="E21" s="276"/>
      <c r="F21" s="21"/>
      <c r="G21" s="16"/>
      <c r="H21" s="263">
        <f t="shared" si="1"/>
        <v>11</v>
      </c>
    </row>
    <row r="22" spans="1:8">
      <c r="A22" s="263">
        <f t="shared" si="0"/>
        <v>12</v>
      </c>
      <c r="B22" s="22" t="s">
        <v>300</v>
      </c>
      <c r="C22" s="274"/>
      <c r="D22" s="274"/>
      <c r="E22" s="275">
        <f>E100</f>
        <v>3.7013805583043266E-3</v>
      </c>
      <c r="F22" s="251"/>
      <c r="G22" s="16" t="s">
        <v>399</v>
      </c>
      <c r="H22" s="263">
        <f t="shared" si="1"/>
        <v>12</v>
      </c>
    </row>
    <row r="23" spans="1:8">
      <c r="A23" s="263">
        <f t="shared" si="0"/>
        <v>13</v>
      </c>
      <c r="B23" s="326"/>
      <c r="C23" s="267"/>
      <c r="D23" s="267"/>
      <c r="E23" s="278"/>
      <c r="F23" s="32"/>
      <c r="G23" s="16"/>
      <c r="H23" s="263">
        <f t="shared" si="1"/>
        <v>13</v>
      </c>
    </row>
    <row r="24" spans="1:8">
      <c r="A24" s="263">
        <f t="shared" si="0"/>
        <v>14</v>
      </c>
      <c r="B24" s="22" t="s">
        <v>264</v>
      </c>
      <c r="C24" s="274"/>
      <c r="D24" s="274"/>
      <c r="E24" s="279">
        <f>SUM(E12:E22)</f>
        <v>2.9935908424558334E-2</v>
      </c>
      <c r="F24" s="460"/>
      <c r="G24" s="16" t="s">
        <v>400</v>
      </c>
      <c r="H24" s="263">
        <f t="shared" si="1"/>
        <v>14</v>
      </c>
    </row>
    <row r="25" spans="1:8">
      <c r="A25" s="263">
        <f t="shared" si="0"/>
        <v>15</v>
      </c>
      <c r="B25" s="18"/>
      <c r="C25" s="265"/>
      <c r="D25" s="265"/>
      <c r="E25" s="280"/>
      <c r="F25" s="23"/>
      <c r="G25" s="16"/>
      <c r="H25" s="263">
        <f t="shared" si="1"/>
        <v>15</v>
      </c>
    </row>
    <row r="26" spans="1:8">
      <c r="A26" s="263">
        <f t="shared" si="0"/>
        <v>16</v>
      </c>
      <c r="B26" s="37" t="s">
        <v>274</v>
      </c>
      <c r="C26" s="281">
        <v>1.0277E-2</v>
      </c>
      <c r="D26" s="265"/>
      <c r="E26" s="282">
        <f>E24*C26</f>
        <v>3.0765133087918596E-4</v>
      </c>
      <c r="F26" s="248"/>
      <c r="G26" s="16" t="s">
        <v>401</v>
      </c>
      <c r="H26" s="263">
        <f t="shared" si="1"/>
        <v>16</v>
      </c>
    </row>
    <row r="27" spans="1:8">
      <c r="A27" s="263">
        <f t="shared" si="0"/>
        <v>17</v>
      </c>
      <c r="B27" s="18"/>
      <c r="C27" s="265"/>
      <c r="D27" s="265"/>
      <c r="E27" s="283"/>
      <c r="F27" s="31"/>
      <c r="G27" s="16"/>
      <c r="H27" s="263">
        <f t="shared" si="1"/>
        <v>17</v>
      </c>
    </row>
    <row r="28" spans="1:8" ht="16" thickBot="1">
      <c r="A28" s="263">
        <f t="shared" si="0"/>
        <v>18</v>
      </c>
      <c r="B28" s="18" t="s">
        <v>265</v>
      </c>
      <c r="C28" s="265"/>
      <c r="D28" s="265"/>
      <c r="E28" s="284">
        <f>E24+E26</f>
        <v>3.0243559755437521E-2</v>
      </c>
      <c r="F28" s="460"/>
      <c r="G28" s="16" t="s">
        <v>402</v>
      </c>
      <c r="H28" s="263">
        <f t="shared" si="1"/>
        <v>18</v>
      </c>
    </row>
    <row r="29" spans="1:8" ht="16" thickTop="1">
      <c r="A29" s="263">
        <f t="shared" si="0"/>
        <v>19</v>
      </c>
      <c r="B29" s="37"/>
      <c r="C29" s="262"/>
      <c r="D29" s="262"/>
      <c r="E29" s="265"/>
      <c r="F29" s="18"/>
      <c r="G29" s="18"/>
      <c r="H29" s="263">
        <f t="shared" si="1"/>
        <v>19</v>
      </c>
    </row>
    <row r="30" spans="1:8">
      <c r="A30" s="263">
        <f t="shared" si="0"/>
        <v>20</v>
      </c>
      <c r="B30" s="20" t="s">
        <v>277</v>
      </c>
      <c r="C30" s="285"/>
      <c r="D30" s="285"/>
      <c r="E30" s="262"/>
      <c r="F30" s="37"/>
      <c r="G30" s="18"/>
      <c r="H30" s="263">
        <f t="shared" si="1"/>
        <v>20</v>
      </c>
    </row>
    <row r="31" spans="1:8">
      <c r="A31" s="263">
        <f t="shared" si="0"/>
        <v>21</v>
      </c>
      <c r="B31" s="22" t="s">
        <v>266</v>
      </c>
      <c r="C31" s="274"/>
      <c r="D31" s="274"/>
      <c r="E31" s="142">
        <v>27000</v>
      </c>
      <c r="F31" s="21"/>
      <c r="G31" s="16" t="s">
        <v>111</v>
      </c>
      <c r="H31" s="263">
        <f t="shared" si="1"/>
        <v>21</v>
      </c>
    </row>
    <row r="32" spans="1:8">
      <c r="A32" s="263">
        <f t="shared" si="0"/>
        <v>22</v>
      </c>
      <c r="B32" s="22"/>
      <c r="C32" s="274"/>
      <c r="D32" s="274"/>
      <c r="E32" s="274"/>
      <c r="F32" s="22"/>
      <c r="G32" s="16"/>
      <c r="H32" s="263">
        <f t="shared" si="1"/>
        <v>22</v>
      </c>
    </row>
    <row r="33" spans="1:8">
      <c r="A33" s="263">
        <f t="shared" si="0"/>
        <v>23</v>
      </c>
      <c r="B33" s="22" t="s">
        <v>267</v>
      </c>
      <c r="C33" s="274"/>
      <c r="D33" s="274"/>
      <c r="E33" s="279">
        <f>+E28</f>
        <v>3.0243559755437521E-2</v>
      </c>
      <c r="F33" s="460"/>
      <c r="G33" s="16" t="s">
        <v>403</v>
      </c>
      <c r="H33" s="263">
        <f t="shared" si="1"/>
        <v>23</v>
      </c>
    </row>
    <row r="34" spans="1:8">
      <c r="A34" s="263">
        <f t="shared" si="0"/>
        <v>24</v>
      </c>
      <c r="B34" s="18"/>
      <c r="C34" s="265"/>
      <c r="D34" s="265"/>
      <c r="E34" s="286"/>
      <c r="F34" s="253"/>
      <c r="G34" s="16"/>
      <c r="H34" s="263">
        <f t="shared" si="1"/>
        <v>24</v>
      </c>
    </row>
    <row r="35" spans="1:8" ht="16" thickBot="1">
      <c r="A35" s="263">
        <f t="shared" si="0"/>
        <v>25</v>
      </c>
      <c r="B35" s="18" t="s">
        <v>278</v>
      </c>
      <c r="C35" s="274"/>
      <c r="D35" s="274"/>
      <c r="E35" s="615">
        <f>E31*E33</f>
        <v>816.57611339681307</v>
      </c>
      <c r="F35" s="460" t="s">
        <v>361</v>
      </c>
      <c r="G35" s="16" t="s">
        <v>404</v>
      </c>
      <c r="H35" s="263">
        <f t="shared" si="1"/>
        <v>25</v>
      </c>
    </row>
    <row r="36" spans="1:8" ht="16" thickTop="1">
      <c r="A36" s="263"/>
      <c r="B36" s="18"/>
      <c r="C36" s="274"/>
      <c r="D36" s="274"/>
      <c r="E36" s="185"/>
      <c r="F36" s="254"/>
      <c r="G36" s="16"/>
      <c r="H36" s="263"/>
    </row>
    <row r="37" spans="1:8">
      <c r="A37" s="263"/>
      <c r="B37" s="18"/>
      <c r="C37" s="22"/>
      <c r="D37" s="22"/>
      <c r="E37" s="273"/>
      <c r="F37" s="254"/>
      <c r="G37" s="16"/>
      <c r="H37" s="263"/>
    </row>
    <row r="38" spans="1:8">
      <c r="A38" s="460" t="s">
        <v>361</v>
      </c>
      <c r="B38" s="5" t="str">
        <f>'Pg2 App XII C2 Comparison'!B57</f>
        <v>Items in BOLD have changed to correct the over-allocation of "Duplicate Charges (Company Energy Use)" Credit in FERC Account no. 929.</v>
      </c>
      <c r="C38" s="18"/>
      <c r="D38" s="18"/>
      <c r="E38" s="326"/>
      <c r="F38" s="326"/>
      <c r="G38" s="37"/>
      <c r="H38" s="258"/>
    </row>
    <row r="39" spans="1:8">
      <c r="A39" s="460"/>
      <c r="B39" s="5"/>
      <c r="C39" s="18"/>
      <c r="D39" s="18"/>
      <c r="E39" s="326"/>
      <c r="F39" s="326"/>
      <c r="G39" s="37"/>
      <c r="H39" s="258"/>
    </row>
    <row r="40" spans="1:8">
      <c r="A40" s="460"/>
      <c r="B40" s="5"/>
      <c r="C40" s="18"/>
      <c r="D40" s="18"/>
      <c r="E40" s="326"/>
      <c r="F40" s="326"/>
      <c r="G40" s="37"/>
      <c r="H40" s="258"/>
    </row>
    <row r="41" spans="1:8">
      <c r="A41" s="262"/>
      <c r="B41" s="722" t="str">
        <f>B2</f>
        <v>SAN DIEGO GAS &amp; ELECTRIC COMPANY</v>
      </c>
      <c r="C41" s="722"/>
      <c r="D41" s="722"/>
      <c r="E41" s="722"/>
      <c r="F41" s="722"/>
      <c r="G41" s="722"/>
      <c r="H41" s="258"/>
    </row>
    <row r="42" spans="1:8">
      <c r="B42" s="722" t="str">
        <f>B3</f>
        <v>CITIZENS' SHARE OF THE SX-PQ UNDERGROUND LINE SEGMENT</v>
      </c>
      <c r="C42" s="722"/>
      <c r="D42" s="722"/>
      <c r="E42" s="722"/>
      <c r="F42" s="722"/>
      <c r="G42" s="722"/>
      <c r="H42" s="267"/>
    </row>
    <row r="43" spans="1:8">
      <c r="B43" s="723" t="str">
        <f>B4</f>
        <v xml:space="preserve">Section 2 - Non-Direct Expense Cost Component </v>
      </c>
      <c r="C43" s="723"/>
      <c r="D43" s="723"/>
      <c r="E43" s="723"/>
      <c r="F43" s="723"/>
      <c r="G43" s="723"/>
      <c r="H43" s="265"/>
    </row>
    <row r="44" spans="1:8">
      <c r="B44" s="724" t="str">
        <f>B5</f>
        <v>Base Period &amp; True-Up Period 12 - Months Ending December 31, 2018</v>
      </c>
      <c r="C44" s="724"/>
      <c r="D44" s="724"/>
      <c r="E44" s="724"/>
      <c r="F44" s="724"/>
      <c r="G44" s="724"/>
      <c r="H44" s="265"/>
    </row>
    <row r="45" spans="1:8">
      <c r="B45" s="725" t="str">
        <f>B6</f>
        <v>($1,000)</v>
      </c>
      <c r="C45" s="719"/>
      <c r="D45" s="719"/>
      <c r="E45" s="719"/>
      <c r="F45" s="719"/>
      <c r="G45" s="719"/>
      <c r="H45" s="60"/>
    </row>
    <row r="46" spans="1:8">
      <c r="A46" s="264"/>
      <c r="B46" s="18"/>
      <c r="C46" s="18"/>
      <c r="D46" s="18"/>
      <c r="E46" s="18"/>
      <c r="F46" s="18"/>
      <c r="G46" s="18"/>
      <c r="H46" s="258"/>
    </row>
    <row r="47" spans="1:8">
      <c r="A47" s="263" t="s">
        <v>2</v>
      </c>
      <c r="B47" s="18"/>
      <c r="C47" s="18"/>
      <c r="D47" s="18"/>
      <c r="E47" s="17"/>
      <c r="F47" s="17"/>
      <c r="G47" s="18"/>
      <c r="H47" s="263" t="s">
        <v>2</v>
      </c>
    </row>
    <row r="48" spans="1:8">
      <c r="A48" s="263" t="s">
        <v>14</v>
      </c>
      <c r="B48" s="18"/>
      <c r="C48" s="18"/>
      <c r="D48" s="18"/>
      <c r="E48" s="255" t="s">
        <v>22</v>
      </c>
      <c r="F48" s="16"/>
      <c r="G48" s="255" t="s">
        <v>6</v>
      </c>
      <c r="H48" s="263" t="s">
        <v>14</v>
      </c>
    </row>
    <row r="49" spans="1:10">
      <c r="A49" s="263"/>
      <c r="B49" s="18"/>
      <c r="C49" s="18"/>
      <c r="D49" s="18"/>
      <c r="E49" s="17"/>
      <c r="F49" s="17"/>
      <c r="G49" s="18"/>
      <c r="H49" s="263"/>
    </row>
    <row r="50" spans="1:10">
      <c r="A50" s="263">
        <v>1</v>
      </c>
      <c r="B50" s="24" t="s">
        <v>250</v>
      </c>
      <c r="C50" s="24"/>
      <c r="D50" s="24"/>
      <c r="E50" s="327">
        <f>'Pg12 As Filed AV-4 FERC Adj'!C17</f>
        <v>4635234.7370823352</v>
      </c>
      <c r="F50" s="460"/>
      <c r="G50" s="16" t="s">
        <v>576</v>
      </c>
      <c r="H50" s="263">
        <f>A50</f>
        <v>1</v>
      </c>
    </row>
    <row r="51" spans="1:10">
      <c r="A51" s="263">
        <f>A50+1</f>
        <v>2</v>
      </c>
      <c r="B51" s="18"/>
      <c r="C51" s="18"/>
      <c r="D51" s="18"/>
      <c r="E51" s="263"/>
      <c r="F51" s="17"/>
      <c r="G51" s="18"/>
      <c r="H51" s="263">
        <f>H50+1</f>
        <v>2</v>
      </c>
    </row>
    <row r="52" spans="1:10">
      <c r="A52" s="263">
        <f t="shared" ref="A52:A100" si="2">A51+1</f>
        <v>3</v>
      </c>
      <c r="B52" s="20" t="s">
        <v>301</v>
      </c>
      <c r="C52" s="20"/>
      <c r="D52" s="20"/>
      <c r="E52" s="654"/>
      <c r="F52" s="25"/>
      <c r="G52" s="18"/>
      <c r="H52" s="263">
        <f t="shared" ref="H52:H100" si="3">H51+1</f>
        <v>3</v>
      </c>
    </row>
    <row r="53" spans="1:10">
      <c r="A53" s="263">
        <f t="shared" si="2"/>
        <v>4</v>
      </c>
      <c r="B53" s="22" t="s">
        <v>258</v>
      </c>
      <c r="C53" s="22"/>
      <c r="D53" s="22"/>
      <c r="E53" s="367">
        <f>'Pg7.1 As Filed Stmt AH FERC Adj'!E30</f>
        <v>32550.076329999993</v>
      </c>
      <c r="F53" s="460"/>
      <c r="G53" s="16" t="s">
        <v>628</v>
      </c>
      <c r="H53" s="263">
        <f t="shared" si="3"/>
        <v>4</v>
      </c>
      <c r="J53" s="328"/>
    </row>
    <row r="54" spans="1:10">
      <c r="A54" s="263">
        <f t="shared" si="2"/>
        <v>5</v>
      </c>
      <c r="B54" s="22"/>
      <c r="C54" s="22"/>
      <c r="D54" s="22"/>
      <c r="E54" s="153"/>
      <c r="F54" s="26"/>
      <c r="G54" s="16"/>
      <c r="H54" s="263">
        <f t="shared" si="3"/>
        <v>5</v>
      </c>
      <c r="J54" s="328"/>
    </row>
    <row r="55" spans="1:10">
      <c r="A55" s="263">
        <f t="shared" si="2"/>
        <v>6</v>
      </c>
      <c r="B55" s="22" t="s">
        <v>259</v>
      </c>
      <c r="C55" s="18"/>
      <c r="D55" s="18"/>
      <c r="E55" s="288">
        <f>E53/E50</f>
        <v>7.0223145485159948E-3</v>
      </c>
      <c r="F55" s="460"/>
      <c r="G55" s="16" t="s">
        <v>405</v>
      </c>
      <c r="H55" s="263">
        <f t="shared" si="3"/>
        <v>6</v>
      </c>
      <c r="J55" s="328"/>
    </row>
    <row r="56" spans="1:10">
      <c r="A56" s="263">
        <f t="shared" si="2"/>
        <v>7</v>
      </c>
      <c r="B56" s="22"/>
      <c r="C56" s="22"/>
      <c r="D56" s="22"/>
      <c r="E56" s="329"/>
      <c r="F56" s="330"/>
      <c r="G56" s="16"/>
      <c r="H56" s="263">
        <f t="shared" si="3"/>
        <v>7</v>
      </c>
    </row>
    <row r="57" spans="1:10">
      <c r="A57" s="263">
        <f t="shared" si="2"/>
        <v>8</v>
      </c>
      <c r="B57" s="20" t="s">
        <v>302</v>
      </c>
      <c r="C57" s="20"/>
      <c r="D57" s="20"/>
      <c r="E57" s="331"/>
      <c r="F57" s="332"/>
      <c r="G57" s="19"/>
      <c r="H57" s="263">
        <f t="shared" si="3"/>
        <v>8</v>
      </c>
    </row>
    <row r="58" spans="1:10">
      <c r="A58" s="263">
        <f t="shared" si="2"/>
        <v>9</v>
      </c>
      <c r="B58" s="22" t="s">
        <v>279</v>
      </c>
      <c r="C58" s="22"/>
      <c r="D58" s="22"/>
      <c r="E58" s="607">
        <f>'Pg7 Rev Stmt AH'!E52</f>
        <v>35467.142741177668</v>
      </c>
      <c r="F58" s="460" t="s">
        <v>361</v>
      </c>
      <c r="G58" s="16" t="s">
        <v>627</v>
      </c>
      <c r="H58" s="263">
        <f t="shared" si="3"/>
        <v>9</v>
      </c>
    </row>
    <row r="59" spans="1:10">
      <c r="A59" s="263">
        <f t="shared" si="2"/>
        <v>10</v>
      </c>
      <c r="B59" s="18"/>
      <c r="C59" s="18"/>
      <c r="D59" s="18"/>
      <c r="E59" s="331"/>
      <c r="F59" s="332"/>
      <c r="G59" s="16"/>
      <c r="H59" s="263">
        <f t="shared" si="3"/>
        <v>10</v>
      </c>
    </row>
    <row r="60" spans="1:10">
      <c r="A60" s="263">
        <f t="shared" si="2"/>
        <v>11</v>
      </c>
      <c r="B60" s="271" t="s">
        <v>112</v>
      </c>
      <c r="C60" s="19"/>
      <c r="D60" s="19"/>
      <c r="E60" s="509">
        <f>E58/E50</f>
        <v>7.6516389682354221E-3</v>
      </c>
      <c r="F60" s="460" t="s">
        <v>361</v>
      </c>
      <c r="G60" s="16" t="s">
        <v>406</v>
      </c>
      <c r="H60" s="263">
        <f t="shared" si="3"/>
        <v>11</v>
      </c>
    </row>
    <row r="61" spans="1:10">
      <c r="A61" s="263">
        <f t="shared" si="2"/>
        <v>12</v>
      </c>
      <c r="B61" s="19"/>
      <c r="C61" s="19"/>
      <c r="D61" s="19"/>
      <c r="E61" s="290"/>
      <c r="F61" s="27"/>
      <c r="G61" s="16"/>
      <c r="H61" s="263">
        <f t="shared" si="3"/>
        <v>12</v>
      </c>
    </row>
    <row r="62" spans="1:10">
      <c r="A62" s="263">
        <f t="shared" si="2"/>
        <v>13</v>
      </c>
      <c r="B62" s="20" t="s">
        <v>303</v>
      </c>
      <c r="C62" s="19"/>
      <c r="D62" s="19"/>
      <c r="E62" s="290"/>
      <c r="F62" s="27"/>
      <c r="G62" s="16"/>
      <c r="H62" s="263">
        <f t="shared" si="3"/>
        <v>13</v>
      </c>
    </row>
    <row r="63" spans="1:10">
      <c r="A63" s="263">
        <f t="shared" si="2"/>
        <v>14</v>
      </c>
      <c r="B63" s="271" t="s">
        <v>261</v>
      </c>
      <c r="C63" s="19"/>
      <c r="D63" s="19"/>
      <c r="E63" s="289">
        <v>43678.416041244716</v>
      </c>
      <c r="F63" s="460"/>
      <c r="G63" s="16" t="s">
        <v>579</v>
      </c>
      <c r="H63" s="263">
        <f t="shared" si="3"/>
        <v>14</v>
      </c>
    </row>
    <row r="64" spans="1:10">
      <c r="A64" s="263">
        <f t="shared" si="2"/>
        <v>15</v>
      </c>
      <c r="B64" s="19"/>
      <c r="C64" s="19"/>
      <c r="D64" s="19"/>
      <c r="E64" s="331"/>
      <c r="F64" s="27"/>
      <c r="G64" s="16"/>
      <c r="H64" s="263">
        <f t="shared" si="3"/>
        <v>15</v>
      </c>
    </row>
    <row r="65" spans="1:8">
      <c r="A65" s="263">
        <f t="shared" si="2"/>
        <v>16</v>
      </c>
      <c r="B65" s="271" t="s">
        <v>307</v>
      </c>
      <c r="C65" s="19"/>
      <c r="D65" s="19"/>
      <c r="E65" s="288">
        <f>E63/E50</f>
        <v>9.4231292520771549E-3</v>
      </c>
      <c r="F65" s="27"/>
      <c r="G65" s="16" t="s">
        <v>407</v>
      </c>
      <c r="H65" s="263">
        <f t="shared" si="3"/>
        <v>16</v>
      </c>
    </row>
    <row r="66" spans="1:8">
      <c r="A66" s="263">
        <f t="shared" si="2"/>
        <v>17</v>
      </c>
      <c r="B66" s="19"/>
      <c r="C66" s="19"/>
      <c r="D66" s="19"/>
      <c r="E66" s="290"/>
      <c r="F66" s="27"/>
      <c r="G66" s="16"/>
      <c r="H66" s="263">
        <f t="shared" si="3"/>
        <v>17</v>
      </c>
    </row>
    <row r="67" spans="1:8">
      <c r="A67" s="263">
        <f t="shared" si="2"/>
        <v>18</v>
      </c>
      <c r="B67" s="20" t="s">
        <v>304</v>
      </c>
      <c r="C67" s="20"/>
      <c r="D67" s="20"/>
      <c r="E67" s="290"/>
      <c r="F67" s="27"/>
      <c r="G67" s="16"/>
      <c r="H67" s="263">
        <f t="shared" si="3"/>
        <v>18</v>
      </c>
    </row>
    <row r="68" spans="1:8">
      <c r="A68" s="263">
        <f t="shared" si="2"/>
        <v>19</v>
      </c>
      <c r="B68" s="22" t="s">
        <v>262</v>
      </c>
      <c r="C68" s="22"/>
      <c r="D68" s="22"/>
      <c r="E68" s="289">
        <v>1354.6426969659599</v>
      </c>
      <c r="F68" s="17"/>
      <c r="G68" s="16" t="s">
        <v>408</v>
      </c>
      <c r="H68" s="263">
        <f t="shared" si="3"/>
        <v>19</v>
      </c>
    </row>
    <row r="69" spans="1:8">
      <c r="A69" s="263">
        <f t="shared" si="2"/>
        <v>20</v>
      </c>
      <c r="B69" s="19"/>
      <c r="C69" s="19"/>
      <c r="D69" s="19"/>
      <c r="E69" s="290"/>
      <c r="F69" s="27"/>
      <c r="G69" s="16"/>
      <c r="H69" s="263">
        <f t="shared" si="3"/>
        <v>20</v>
      </c>
    </row>
    <row r="70" spans="1:8">
      <c r="A70" s="263">
        <f t="shared" si="2"/>
        <v>21</v>
      </c>
      <c r="B70" s="271" t="s">
        <v>113</v>
      </c>
      <c r="C70" s="19"/>
      <c r="D70" s="19"/>
      <c r="E70" s="288">
        <f>E68/E50</f>
        <v>2.9224899574743963E-4</v>
      </c>
      <c r="F70" s="36"/>
      <c r="G70" s="16" t="s">
        <v>409</v>
      </c>
      <c r="H70" s="263">
        <f t="shared" si="3"/>
        <v>21</v>
      </c>
    </row>
    <row r="71" spans="1:8">
      <c r="A71" s="263">
        <f t="shared" si="2"/>
        <v>22</v>
      </c>
      <c r="B71" s="19"/>
      <c r="C71" s="19"/>
      <c r="D71" s="19"/>
      <c r="E71" s="290"/>
      <c r="F71" s="27"/>
      <c r="G71" s="16"/>
      <c r="H71" s="263">
        <f t="shared" si="3"/>
        <v>22</v>
      </c>
    </row>
    <row r="72" spans="1:8">
      <c r="A72" s="263">
        <f t="shared" si="2"/>
        <v>23</v>
      </c>
      <c r="B72" s="20" t="s">
        <v>305</v>
      </c>
      <c r="C72" s="20"/>
      <c r="D72" s="20"/>
      <c r="E72" s="291"/>
      <c r="F72" s="28"/>
      <c r="G72" s="16"/>
      <c r="H72" s="263">
        <f t="shared" si="3"/>
        <v>23</v>
      </c>
    </row>
    <row r="73" spans="1:8">
      <c r="A73" s="263">
        <f t="shared" si="2"/>
        <v>24</v>
      </c>
      <c r="B73" s="272" t="s">
        <v>114</v>
      </c>
      <c r="C73" s="18"/>
      <c r="D73" s="18"/>
      <c r="E73" s="291"/>
      <c r="F73" s="28"/>
      <c r="G73" s="16"/>
      <c r="H73" s="263">
        <f t="shared" si="3"/>
        <v>24</v>
      </c>
    </row>
    <row r="74" spans="1:8">
      <c r="A74" s="263">
        <f t="shared" si="2"/>
        <v>25</v>
      </c>
      <c r="B74" s="22" t="s">
        <v>246</v>
      </c>
      <c r="C74" s="22"/>
      <c r="D74" s="22"/>
      <c r="E74" s="292">
        <v>52108.758401442392</v>
      </c>
      <c r="F74" s="460"/>
      <c r="G74" s="16" t="s">
        <v>630</v>
      </c>
      <c r="H74" s="263">
        <f t="shared" si="3"/>
        <v>25</v>
      </c>
    </row>
    <row r="75" spans="1:8">
      <c r="A75" s="263">
        <f t="shared" si="2"/>
        <v>26</v>
      </c>
      <c r="B75" s="22" t="s">
        <v>247</v>
      </c>
      <c r="C75" s="22"/>
      <c r="D75" s="22"/>
      <c r="E75" s="293">
        <v>19693.640781694332</v>
      </c>
      <c r="F75" s="460"/>
      <c r="G75" s="16" t="s">
        <v>631</v>
      </c>
      <c r="H75" s="263">
        <f t="shared" si="3"/>
        <v>26</v>
      </c>
    </row>
    <row r="76" spans="1:8">
      <c r="A76" s="263">
        <f t="shared" si="2"/>
        <v>27</v>
      </c>
      <c r="B76" s="22" t="s">
        <v>248</v>
      </c>
      <c r="C76" s="22"/>
      <c r="D76" s="22"/>
      <c r="E76" s="510">
        <f>'Pg8 Rev Stmt AL'!E29</f>
        <v>8502.152383897208</v>
      </c>
      <c r="F76" s="460" t="s">
        <v>361</v>
      </c>
      <c r="G76" s="16" t="s">
        <v>629</v>
      </c>
      <c r="H76" s="263">
        <f t="shared" si="3"/>
        <v>27</v>
      </c>
    </row>
    <row r="77" spans="1:8">
      <c r="A77" s="263">
        <f t="shared" si="2"/>
        <v>28</v>
      </c>
      <c r="B77" s="22" t="s">
        <v>115</v>
      </c>
      <c r="C77" s="18"/>
      <c r="D77" s="18"/>
      <c r="E77" s="511">
        <f>SUM(E74:E76)</f>
        <v>80304.551567033937</v>
      </c>
      <c r="F77" s="460" t="s">
        <v>361</v>
      </c>
      <c r="G77" s="16" t="s">
        <v>410</v>
      </c>
      <c r="H77" s="263">
        <f t="shared" si="3"/>
        <v>28</v>
      </c>
    </row>
    <row r="78" spans="1:8">
      <c r="A78" s="263">
        <f t="shared" si="2"/>
        <v>29</v>
      </c>
      <c r="B78" s="18"/>
      <c r="C78" s="18"/>
      <c r="D78" s="18"/>
      <c r="E78" s="294"/>
      <c r="F78" s="29"/>
      <c r="G78" s="16"/>
      <c r="H78" s="263">
        <f t="shared" si="3"/>
        <v>29</v>
      </c>
    </row>
    <row r="79" spans="1:8">
      <c r="A79" s="263">
        <f t="shared" si="2"/>
        <v>30</v>
      </c>
      <c r="B79" s="22" t="s">
        <v>272</v>
      </c>
      <c r="C79" s="22"/>
      <c r="D79" s="22"/>
      <c r="E79" s="295">
        <f>'Pg10 As Filed Stmt AV FERC Adj'!G112</f>
        <v>0.10650600620174365</v>
      </c>
      <c r="F79" s="17"/>
      <c r="G79" s="16" t="s">
        <v>657</v>
      </c>
      <c r="H79" s="263">
        <f t="shared" si="3"/>
        <v>30</v>
      </c>
    </row>
    <row r="80" spans="1:8">
      <c r="A80" s="263">
        <f t="shared" si="2"/>
        <v>31</v>
      </c>
      <c r="B80" s="18"/>
      <c r="C80" s="18"/>
      <c r="D80" s="18"/>
      <c r="E80" s="294"/>
      <c r="F80" s="29"/>
      <c r="G80" s="16"/>
      <c r="H80" s="263">
        <f t="shared" si="3"/>
        <v>31</v>
      </c>
    </row>
    <row r="81" spans="1:9">
      <c r="A81" s="263">
        <f t="shared" si="2"/>
        <v>32</v>
      </c>
      <c r="B81" s="22" t="s">
        <v>116</v>
      </c>
      <c r="C81" s="18"/>
      <c r="D81" s="18"/>
      <c r="E81" s="512">
        <f>E77*E79</f>
        <v>8552.9170672267592</v>
      </c>
      <c r="F81" s="460" t="s">
        <v>361</v>
      </c>
      <c r="G81" s="16" t="s">
        <v>411</v>
      </c>
      <c r="H81" s="263">
        <f t="shared" si="3"/>
        <v>32</v>
      </c>
    </row>
    <row r="82" spans="1:9">
      <c r="A82" s="263">
        <f t="shared" si="2"/>
        <v>33</v>
      </c>
      <c r="B82" s="18"/>
      <c r="C82" s="18"/>
      <c r="D82" s="18"/>
      <c r="E82" s="294"/>
      <c r="F82" s="29"/>
      <c r="G82" s="16"/>
      <c r="H82" s="263">
        <f t="shared" si="3"/>
        <v>33</v>
      </c>
    </row>
    <row r="83" spans="1:9">
      <c r="A83" s="263">
        <f t="shared" si="2"/>
        <v>34</v>
      </c>
      <c r="B83" s="22" t="s">
        <v>117</v>
      </c>
      <c r="C83" s="18"/>
      <c r="D83" s="18"/>
      <c r="E83" s="288">
        <f>E81/E50</f>
        <v>1.8451961016779969E-3</v>
      </c>
      <c r="F83" s="36"/>
      <c r="G83" s="16" t="s">
        <v>412</v>
      </c>
      <c r="H83" s="263">
        <f t="shared" si="3"/>
        <v>34</v>
      </c>
    </row>
    <row r="84" spans="1:9">
      <c r="A84" s="263">
        <f t="shared" si="2"/>
        <v>35</v>
      </c>
      <c r="B84" s="22"/>
      <c r="C84" s="18"/>
      <c r="D84" s="18"/>
      <c r="E84" s="270"/>
      <c r="F84" s="36"/>
      <c r="G84" s="16"/>
      <c r="H84" s="263">
        <f t="shared" si="3"/>
        <v>35</v>
      </c>
    </row>
    <row r="85" spans="1:9">
      <c r="A85" s="263">
        <f t="shared" si="2"/>
        <v>36</v>
      </c>
      <c r="B85" s="20" t="s">
        <v>306</v>
      </c>
      <c r="C85" s="345"/>
      <c r="D85" s="345"/>
      <c r="E85" s="343"/>
      <c r="F85" s="343"/>
      <c r="G85" s="343"/>
      <c r="H85" s="263">
        <f t="shared" si="3"/>
        <v>36</v>
      </c>
    </row>
    <row r="86" spans="1:9">
      <c r="A86" s="263">
        <f t="shared" si="2"/>
        <v>37</v>
      </c>
      <c r="B86" s="22" t="s">
        <v>269</v>
      </c>
      <c r="C86" s="345"/>
      <c r="D86" s="345"/>
      <c r="E86" s="222">
        <f>'Pg12 As Filed AV-4 FERC Adj'!C15</f>
        <v>23699.850905090541</v>
      </c>
      <c r="F86" s="460"/>
      <c r="G86" s="16" t="s">
        <v>584</v>
      </c>
      <c r="H86" s="263">
        <f t="shared" si="3"/>
        <v>37</v>
      </c>
    </row>
    <row r="87" spans="1:9">
      <c r="A87" s="263">
        <f t="shared" si="2"/>
        <v>38</v>
      </c>
      <c r="B87" s="20"/>
      <c r="C87" s="345"/>
      <c r="D87" s="345"/>
      <c r="E87" s="343"/>
      <c r="F87" s="343"/>
      <c r="G87" s="343"/>
      <c r="H87" s="263">
        <f t="shared" si="3"/>
        <v>38</v>
      </c>
    </row>
    <row r="88" spans="1:9">
      <c r="A88" s="263">
        <f t="shared" si="2"/>
        <v>39</v>
      </c>
      <c r="B88" s="22" t="s">
        <v>268</v>
      </c>
      <c r="C88" s="345"/>
      <c r="D88" s="345"/>
      <c r="E88" s="369">
        <f>'Pg12 As Filed AV-4 FERC Adj'!C16</f>
        <v>47877.916250110597</v>
      </c>
      <c r="F88" s="460"/>
      <c r="G88" s="16" t="s">
        <v>585</v>
      </c>
      <c r="H88" s="263">
        <f t="shared" si="3"/>
        <v>39</v>
      </c>
    </row>
    <row r="89" spans="1:9" ht="18">
      <c r="A89" s="263">
        <f t="shared" si="2"/>
        <v>40</v>
      </c>
      <c r="B89" s="345"/>
      <c r="C89" s="347"/>
      <c r="D89" s="347"/>
      <c r="E89" s="349"/>
      <c r="F89" s="350"/>
      <c r="G89" s="345"/>
      <c r="H89" s="263">
        <f t="shared" si="3"/>
        <v>40</v>
      </c>
    </row>
    <row r="90" spans="1:9">
      <c r="A90" s="263">
        <f t="shared" si="2"/>
        <v>41</v>
      </c>
      <c r="B90" s="22" t="s">
        <v>270</v>
      </c>
      <c r="C90" s="347"/>
      <c r="D90" s="347"/>
      <c r="E90" s="370">
        <f>E86+E88</f>
        <v>71577.767155201145</v>
      </c>
      <c r="F90" s="460"/>
      <c r="G90" s="16" t="s">
        <v>413</v>
      </c>
      <c r="H90" s="263">
        <f t="shared" si="3"/>
        <v>41</v>
      </c>
    </row>
    <row r="91" spans="1:9">
      <c r="A91" s="263">
        <f t="shared" si="2"/>
        <v>42</v>
      </c>
      <c r="B91" s="344"/>
      <c r="C91" s="347"/>
      <c r="D91" s="347"/>
      <c r="E91" s="351"/>
      <c r="F91" s="348"/>
      <c r="G91" s="342"/>
      <c r="H91" s="263">
        <f t="shared" si="3"/>
        <v>42</v>
      </c>
    </row>
    <row r="92" spans="1:9">
      <c r="A92" s="263">
        <f t="shared" si="2"/>
        <v>43</v>
      </c>
      <c r="B92" s="22" t="s">
        <v>272</v>
      </c>
      <c r="C92" s="347"/>
      <c r="D92" s="347"/>
      <c r="E92" s="368">
        <f>E79</f>
        <v>0.10650600620174365</v>
      </c>
      <c r="F92" s="348"/>
      <c r="G92" s="16" t="s">
        <v>414</v>
      </c>
      <c r="H92" s="263">
        <f t="shared" si="3"/>
        <v>43</v>
      </c>
    </row>
    <row r="93" spans="1:9">
      <c r="A93" s="263">
        <f t="shared" si="2"/>
        <v>44</v>
      </c>
      <c r="B93" s="345"/>
      <c r="C93" s="347"/>
      <c r="D93" s="347"/>
      <c r="E93" s="352"/>
      <c r="F93" s="353"/>
      <c r="G93" s="345"/>
      <c r="H93" s="263">
        <f t="shared" si="3"/>
        <v>44</v>
      </c>
    </row>
    <row r="94" spans="1:9">
      <c r="A94" s="263">
        <f t="shared" si="2"/>
        <v>45</v>
      </c>
      <c r="B94" s="22" t="s">
        <v>280</v>
      </c>
      <c r="C94" s="347"/>
      <c r="D94" s="347"/>
      <c r="E94" s="371">
        <f>E90*E92</f>
        <v>7623.4621125388157</v>
      </c>
      <c r="F94" s="460"/>
      <c r="G94" s="16" t="s">
        <v>415</v>
      </c>
      <c r="H94" s="263">
        <f t="shared" si="3"/>
        <v>45</v>
      </c>
    </row>
    <row r="95" spans="1:9">
      <c r="A95" s="263">
        <f t="shared" si="2"/>
        <v>46</v>
      </c>
      <c r="B95" s="344"/>
      <c r="C95" s="347"/>
      <c r="D95" s="347"/>
      <c r="E95" s="354"/>
      <c r="F95" s="355"/>
      <c r="G95" s="342"/>
      <c r="H95" s="263">
        <f t="shared" si="3"/>
        <v>46</v>
      </c>
    </row>
    <row r="96" spans="1:9">
      <c r="A96" s="263">
        <f t="shared" si="2"/>
        <v>47</v>
      </c>
      <c r="B96" s="22" t="s">
        <v>271</v>
      </c>
      <c r="C96" s="347"/>
      <c r="D96" s="347"/>
      <c r="E96" s="391">
        <v>9533.3056264746083</v>
      </c>
      <c r="F96" s="460"/>
      <c r="G96" s="16" t="s">
        <v>586</v>
      </c>
      <c r="H96" s="263">
        <f t="shared" si="3"/>
        <v>47</v>
      </c>
      <c r="I96" s="347"/>
    </row>
    <row r="97" spans="1:8">
      <c r="A97" s="263">
        <f t="shared" si="2"/>
        <v>48</v>
      </c>
      <c r="B97" s="22"/>
      <c r="C97" s="347"/>
      <c r="D97" s="347"/>
      <c r="E97" s="319"/>
      <c r="F97" s="355"/>
      <c r="G97" s="16"/>
      <c r="H97" s="263">
        <f t="shared" si="3"/>
        <v>48</v>
      </c>
    </row>
    <row r="98" spans="1:8">
      <c r="A98" s="263">
        <f t="shared" si="2"/>
        <v>49</v>
      </c>
      <c r="B98" s="22" t="s">
        <v>331</v>
      </c>
      <c r="C98" s="347"/>
      <c r="D98" s="347"/>
      <c r="E98" s="319">
        <f>E94+E96</f>
        <v>17156.767739013423</v>
      </c>
      <c r="F98" s="460"/>
      <c r="G98" s="16" t="s">
        <v>416</v>
      </c>
      <c r="H98" s="263">
        <f t="shared" si="3"/>
        <v>49</v>
      </c>
    </row>
    <row r="99" spans="1:8">
      <c r="A99" s="263">
        <f t="shared" si="2"/>
        <v>50</v>
      </c>
      <c r="B99" s="345"/>
      <c r="C99" s="347"/>
      <c r="D99" s="347"/>
      <c r="E99" s="360"/>
      <c r="F99" s="345"/>
      <c r="G99" s="345"/>
      <c r="H99" s="263">
        <f t="shared" si="3"/>
        <v>50</v>
      </c>
    </row>
    <row r="100" spans="1:8" ht="16" thickBot="1">
      <c r="A100" s="263">
        <f t="shared" si="2"/>
        <v>51</v>
      </c>
      <c r="B100" s="22" t="s">
        <v>340</v>
      </c>
      <c r="C100" s="347"/>
      <c r="D100" s="347"/>
      <c r="E100" s="372">
        <f>E98/E50</f>
        <v>3.7013805583043266E-3</v>
      </c>
      <c r="F100" s="356"/>
      <c r="G100" s="16" t="s">
        <v>417</v>
      </c>
      <c r="H100" s="263">
        <f t="shared" si="3"/>
        <v>51</v>
      </c>
    </row>
    <row r="101" spans="1:8" ht="16" thickTop="1">
      <c r="A101" s="265"/>
    </row>
    <row r="102" spans="1:8">
      <c r="A102" s="265"/>
    </row>
    <row r="103" spans="1:8">
      <c r="A103" s="460" t="s">
        <v>361</v>
      </c>
      <c r="B103" s="5" t="str">
        <f>B38</f>
        <v>Items in BOLD have changed to correct the over-allocation of "Duplicate Charges (Company Energy Use)" Credit in FERC Account no. 929.</v>
      </c>
    </row>
    <row r="104" spans="1:8">
      <c r="A104" s="265"/>
    </row>
    <row r="105" spans="1:8">
      <c r="A105" s="265"/>
    </row>
    <row r="106" spans="1:8">
      <c r="A106" s="265"/>
    </row>
    <row r="107" spans="1:8">
      <c r="A107" s="265"/>
    </row>
    <row r="108" spans="1:8">
      <c r="A108" s="265"/>
    </row>
    <row r="109" spans="1:8">
      <c r="A109" s="265"/>
    </row>
    <row r="110" spans="1:8">
      <c r="A110" s="265"/>
    </row>
    <row r="111" spans="1:8">
      <c r="A111" s="265"/>
    </row>
    <row r="112" spans="1:8">
      <c r="A112" s="265"/>
    </row>
    <row r="113" spans="1:1">
      <c r="A113" s="265"/>
    </row>
    <row r="114" spans="1:1">
      <c r="A114" s="265"/>
    </row>
    <row r="115" spans="1:1">
      <c r="A115" s="265"/>
    </row>
    <row r="116" spans="1:1">
      <c r="A116" s="265"/>
    </row>
    <row r="117" spans="1:1">
      <c r="A117" s="265"/>
    </row>
    <row r="118" spans="1:1">
      <c r="A118" s="265"/>
    </row>
    <row r="119" spans="1:1">
      <c r="A119" s="265"/>
    </row>
    <row r="120" spans="1:1">
      <c r="A120" s="265"/>
    </row>
    <row r="121" spans="1:1">
      <c r="A121" s="265"/>
    </row>
    <row r="122" spans="1:1">
      <c r="A122" s="265"/>
    </row>
    <row r="123" spans="1:1">
      <c r="A123" s="265"/>
    </row>
    <row r="124" spans="1:1">
      <c r="A124" s="265"/>
    </row>
    <row r="125" spans="1:1">
      <c r="A125" s="265"/>
    </row>
    <row r="126" spans="1:1">
      <c r="A126" s="265"/>
    </row>
    <row r="127" spans="1:1">
      <c r="A127" s="265"/>
    </row>
    <row r="128" spans="1:1">
      <c r="A128" s="265"/>
    </row>
    <row r="129" spans="1:1">
      <c r="A129" s="265"/>
    </row>
    <row r="130" spans="1:1">
      <c r="A130" s="265"/>
    </row>
    <row r="131" spans="1:1">
      <c r="A131" s="265"/>
    </row>
    <row r="132" spans="1:1">
      <c r="A132" s="265"/>
    </row>
    <row r="133" spans="1:1">
      <c r="A133" s="265"/>
    </row>
    <row r="134" spans="1:1">
      <c r="A134" s="265"/>
    </row>
    <row r="135" spans="1:1">
      <c r="A135" s="265"/>
    </row>
    <row r="136" spans="1:1">
      <c r="A136" s="265"/>
    </row>
    <row r="137" spans="1:1">
      <c r="A137" s="265"/>
    </row>
    <row r="138" spans="1:1">
      <c r="A138" s="265"/>
    </row>
    <row r="139" spans="1:1">
      <c r="A139" s="265"/>
    </row>
    <row r="140" spans="1:1">
      <c r="A140" s="265"/>
    </row>
    <row r="141" spans="1:1">
      <c r="A141" s="265"/>
    </row>
    <row r="142" spans="1:1">
      <c r="A142" s="265"/>
    </row>
    <row r="143" spans="1:1">
      <c r="A143" s="265"/>
    </row>
    <row r="144" spans="1:1">
      <c r="A144" s="265"/>
    </row>
    <row r="145" spans="1:6">
      <c r="A145" s="265"/>
    </row>
    <row r="146" spans="1:6">
      <c r="A146" s="265"/>
    </row>
    <row r="147" spans="1:6">
      <c r="A147" s="265"/>
    </row>
    <row r="148" spans="1:6">
      <c r="A148" s="265"/>
    </row>
    <row r="149" spans="1:6">
      <c r="A149" s="265"/>
    </row>
    <row r="150" spans="1:6">
      <c r="A150" s="265"/>
    </row>
    <row r="151" spans="1:6">
      <c r="A151" s="265"/>
    </row>
    <row r="152" spans="1:6">
      <c r="A152" s="265"/>
    </row>
    <row r="153" spans="1:6">
      <c r="A153" s="265"/>
    </row>
    <row r="154" spans="1:6">
      <c r="A154" s="265"/>
    </row>
    <row r="155" spans="1:6">
      <c r="A155" s="265"/>
      <c r="B155" s="37"/>
      <c r="C155" s="37"/>
      <c r="D155" s="37"/>
      <c r="E155" s="37"/>
      <c r="F155" s="37"/>
    </row>
    <row r="156" spans="1:6">
      <c r="A156" s="265"/>
      <c r="B156" s="37"/>
      <c r="C156" s="37"/>
      <c r="D156" s="37"/>
      <c r="E156" s="37"/>
      <c r="F156" s="37"/>
    </row>
    <row r="161" spans="1:6">
      <c r="A161" s="262"/>
      <c r="B161" s="37"/>
      <c r="C161" s="37"/>
      <c r="D161" s="37"/>
      <c r="E161" s="30"/>
      <c r="F161" s="30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2446-429D-430C-AAB3-BD77E85D8B8C}">
  <dimension ref="A1:J162"/>
  <sheetViews>
    <sheetView zoomScale="80" zoomScaleNormal="80" workbookViewId="0"/>
  </sheetViews>
  <sheetFormatPr defaultColWidth="8.81640625" defaultRowHeight="15.5"/>
  <cols>
    <col min="1" max="1" width="5.1796875" style="76" customWidth="1"/>
    <col min="2" max="2" width="85" style="1" customWidth="1"/>
    <col min="3" max="3" width="10.453125" style="1" customWidth="1"/>
    <col min="4" max="4" width="1.54296875" style="1" customWidth="1"/>
    <col min="5" max="5" width="16.81640625" style="1" customWidth="1"/>
    <col min="6" max="6" width="1.54296875" style="1" customWidth="1"/>
    <col min="7" max="7" width="43.453125" style="1" customWidth="1"/>
    <col min="8" max="8" width="5.1796875" style="79" customWidth="1"/>
    <col min="9" max="9" width="8.81640625" style="1"/>
    <col min="10" max="10" width="9.81640625" style="1" bestFit="1" customWidth="1"/>
    <col min="11" max="16384" width="8.81640625" style="1"/>
  </cols>
  <sheetData>
    <row r="1" spans="1:8">
      <c r="A1" s="633" t="s">
        <v>654</v>
      </c>
    </row>
    <row r="2" spans="1:8">
      <c r="A2" s="261"/>
      <c r="B2" s="18"/>
      <c r="C2" s="18"/>
      <c r="D2" s="18"/>
      <c r="E2" s="37"/>
      <c r="F2" s="37"/>
      <c r="G2" s="37"/>
      <c r="H2" s="258"/>
    </row>
    <row r="3" spans="1:8">
      <c r="A3" s="261"/>
      <c r="B3" s="723" t="s">
        <v>12</v>
      </c>
      <c r="C3" s="723"/>
      <c r="D3" s="723"/>
      <c r="E3" s="723"/>
      <c r="F3" s="723"/>
      <c r="G3" s="723"/>
      <c r="H3" s="258"/>
    </row>
    <row r="4" spans="1:8">
      <c r="B4" s="723" t="s">
        <v>339</v>
      </c>
      <c r="C4" s="723"/>
      <c r="D4" s="723"/>
      <c r="E4" s="723"/>
      <c r="F4" s="723"/>
      <c r="G4" s="723"/>
      <c r="H4" s="261"/>
    </row>
    <row r="5" spans="1:8">
      <c r="B5" s="723" t="s">
        <v>342</v>
      </c>
      <c r="C5" s="723"/>
      <c r="D5" s="723"/>
      <c r="E5" s="723"/>
      <c r="F5" s="723"/>
      <c r="G5" s="723"/>
      <c r="H5" s="261"/>
    </row>
    <row r="6" spans="1:8">
      <c r="B6" s="724" t="s">
        <v>393</v>
      </c>
      <c r="C6" s="724"/>
      <c r="D6" s="724"/>
      <c r="E6" s="724"/>
      <c r="F6" s="724"/>
      <c r="G6" s="724"/>
      <c r="H6" s="261"/>
    </row>
    <row r="7" spans="1:8">
      <c r="B7" s="725" t="s">
        <v>1</v>
      </c>
      <c r="C7" s="725"/>
      <c r="D7" s="725"/>
      <c r="E7" s="725"/>
      <c r="F7" s="725"/>
      <c r="G7" s="725"/>
      <c r="H7" s="266"/>
    </row>
    <row r="8" spans="1:8">
      <c r="A8" s="262"/>
      <c r="B8" s="17"/>
      <c r="C8" s="17"/>
      <c r="D8" s="17"/>
      <c r="E8" s="17"/>
      <c r="F8" s="17"/>
      <c r="G8" s="37"/>
      <c r="H8" s="258"/>
    </row>
    <row r="9" spans="1:8">
      <c r="A9" s="263" t="s">
        <v>2</v>
      </c>
      <c r="B9" s="18"/>
      <c r="C9" s="18"/>
      <c r="D9" s="18"/>
      <c r="E9" s="17"/>
      <c r="F9" s="17"/>
      <c r="G9" s="18"/>
      <c r="H9" s="263" t="s">
        <v>2</v>
      </c>
    </row>
    <row r="10" spans="1:8">
      <c r="A10" s="263" t="s">
        <v>14</v>
      </c>
      <c r="B10" s="18"/>
      <c r="C10" s="18"/>
      <c r="D10" s="18"/>
      <c r="E10" s="255" t="s">
        <v>22</v>
      </c>
      <c r="F10" s="21"/>
      <c r="G10" s="255" t="s">
        <v>6</v>
      </c>
      <c r="H10" s="263" t="s">
        <v>14</v>
      </c>
    </row>
    <row r="11" spans="1:8">
      <c r="A11" s="263"/>
      <c r="B11" s="18"/>
      <c r="C11" s="18"/>
      <c r="D11" s="18"/>
      <c r="E11" s="17"/>
      <c r="F11" s="21"/>
      <c r="G11" s="17"/>
      <c r="H11" s="263"/>
    </row>
    <row r="12" spans="1:8">
      <c r="A12" s="263">
        <v>1</v>
      </c>
      <c r="B12" s="20" t="s">
        <v>110</v>
      </c>
      <c r="C12" s="20"/>
      <c r="D12" s="20"/>
      <c r="E12" s="37"/>
      <c r="F12" s="37"/>
      <c r="G12" s="17"/>
      <c r="H12" s="263">
        <f>A12</f>
        <v>1</v>
      </c>
    </row>
    <row r="13" spans="1:8">
      <c r="A13" s="263">
        <f>A12+1</f>
        <v>2</v>
      </c>
      <c r="B13" s="22" t="s">
        <v>257</v>
      </c>
      <c r="C13" s="274"/>
      <c r="D13" s="274"/>
      <c r="E13" s="507">
        <f>E56</f>
        <v>7.0223145485159948E-3</v>
      </c>
      <c r="F13" s="460" t="s">
        <v>361</v>
      </c>
      <c r="G13" s="16" t="s">
        <v>394</v>
      </c>
      <c r="H13" s="263">
        <f>H12+1</f>
        <v>2</v>
      </c>
    </row>
    <row r="14" spans="1:8">
      <c r="A14" s="263">
        <f t="shared" ref="A14:A36" si="0">A13+1</f>
        <v>3</v>
      </c>
      <c r="B14" s="18"/>
      <c r="C14" s="265"/>
      <c r="D14" s="265"/>
      <c r="E14" s="276"/>
      <c r="F14" s="21"/>
      <c r="G14" s="16"/>
      <c r="H14" s="263">
        <f t="shared" ref="H14:H36" si="1">H13+1</f>
        <v>3</v>
      </c>
    </row>
    <row r="15" spans="1:8">
      <c r="A15" s="263">
        <f t="shared" si="0"/>
        <v>4</v>
      </c>
      <c r="B15" s="22" t="s">
        <v>260</v>
      </c>
      <c r="C15" s="274"/>
      <c r="D15" s="274"/>
      <c r="E15" s="275">
        <f>E61</f>
        <v>7.6438140209688123E-3</v>
      </c>
      <c r="F15" s="251"/>
      <c r="G15" s="16" t="s">
        <v>395</v>
      </c>
      <c r="H15" s="263">
        <f t="shared" si="1"/>
        <v>4</v>
      </c>
    </row>
    <row r="16" spans="1:8">
      <c r="A16" s="263">
        <f t="shared" si="0"/>
        <v>5</v>
      </c>
      <c r="B16" s="37"/>
      <c r="C16" s="262"/>
      <c r="D16" s="262"/>
      <c r="E16" s="277"/>
      <c r="F16" s="252"/>
      <c r="G16" s="16"/>
      <c r="H16" s="263">
        <f t="shared" si="1"/>
        <v>5</v>
      </c>
    </row>
    <row r="17" spans="1:8">
      <c r="A17" s="263">
        <f t="shared" si="0"/>
        <v>6</v>
      </c>
      <c r="B17" s="37" t="s">
        <v>261</v>
      </c>
      <c r="C17" s="262"/>
      <c r="D17" s="262"/>
      <c r="E17" s="357">
        <f>E66</f>
        <v>9.4231292520771549E-3</v>
      </c>
      <c r="F17" s="252"/>
      <c r="G17" s="16" t="s">
        <v>396</v>
      </c>
      <c r="H17" s="263">
        <f t="shared" si="1"/>
        <v>6</v>
      </c>
    </row>
    <row r="18" spans="1:8">
      <c r="A18" s="263">
        <f t="shared" si="0"/>
        <v>7</v>
      </c>
      <c r="B18" s="37"/>
      <c r="C18" s="262"/>
      <c r="D18" s="262"/>
      <c r="E18" s="277"/>
      <c r="F18" s="252"/>
      <c r="G18" s="16"/>
      <c r="H18" s="263">
        <f t="shared" si="1"/>
        <v>7</v>
      </c>
    </row>
    <row r="19" spans="1:8">
      <c r="A19" s="263">
        <f t="shared" si="0"/>
        <v>8</v>
      </c>
      <c r="B19" s="22" t="s">
        <v>262</v>
      </c>
      <c r="C19" s="274"/>
      <c r="D19" s="274"/>
      <c r="E19" s="275">
        <f>E71</f>
        <v>2.9224899574743963E-4</v>
      </c>
      <c r="F19" s="251"/>
      <c r="G19" s="16" t="s">
        <v>397</v>
      </c>
      <c r="H19" s="263">
        <f t="shared" si="1"/>
        <v>8</v>
      </c>
    </row>
    <row r="20" spans="1:8">
      <c r="A20" s="263">
        <f t="shared" si="0"/>
        <v>9</v>
      </c>
      <c r="B20" s="18"/>
      <c r="C20" s="265"/>
      <c r="D20" s="265"/>
      <c r="E20" s="276"/>
      <c r="F20" s="21"/>
      <c r="G20" s="16"/>
      <c r="H20" s="263">
        <f t="shared" si="1"/>
        <v>9</v>
      </c>
    </row>
    <row r="21" spans="1:8">
      <c r="A21" s="263">
        <f t="shared" si="0"/>
        <v>10</v>
      </c>
      <c r="B21" s="22" t="s">
        <v>263</v>
      </c>
      <c r="C21" s="265"/>
      <c r="D21" s="265"/>
      <c r="E21" s="275">
        <f>E84</f>
        <v>1.8450919261927335E-3</v>
      </c>
      <c r="F21" s="21"/>
      <c r="G21" s="16" t="s">
        <v>398</v>
      </c>
      <c r="H21" s="263">
        <f t="shared" si="1"/>
        <v>10</v>
      </c>
    </row>
    <row r="22" spans="1:8">
      <c r="A22" s="263">
        <f t="shared" si="0"/>
        <v>11</v>
      </c>
      <c r="B22" s="18"/>
      <c r="C22" s="265"/>
      <c r="D22" s="265"/>
      <c r="E22" s="276"/>
      <c r="F22" s="21"/>
      <c r="G22" s="16"/>
      <c r="H22" s="263">
        <f t="shared" si="1"/>
        <v>11</v>
      </c>
    </row>
    <row r="23" spans="1:8">
      <c r="A23" s="263">
        <f t="shared" si="0"/>
        <v>12</v>
      </c>
      <c r="B23" s="22" t="s">
        <v>300</v>
      </c>
      <c r="C23" s="274"/>
      <c r="D23" s="274"/>
      <c r="E23" s="275">
        <f>E101</f>
        <v>3.7013805583043266E-3</v>
      </c>
      <c r="F23" s="251"/>
      <c r="G23" s="16" t="s">
        <v>399</v>
      </c>
      <c r="H23" s="263">
        <f t="shared" si="1"/>
        <v>12</v>
      </c>
    </row>
    <row r="24" spans="1:8">
      <c r="A24" s="263">
        <f t="shared" si="0"/>
        <v>13</v>
      </c>
      <c r="B24" s="326"/>
      <c r="C24" s="267"/>
      <c r="D24" s="267"/>
      <c r="E24" s="278"/>
      <c r="F24" s="32"/>
      <c r="G24" s="16"/>
      <c r="H24" s="263">
        <f t="shared" si="1"/>
        <v>13</v>
      </c>
    </row>
    <row r="25" spans="1:8">
      <c r="A25" s="263">
        <f t="shared" si="0"/>
        <v>14</v>
      </c>
      <c r="B25" s="22" t="s">
        <v>264</v>
      </c>
      <c r="C25" s="274"/>
      <c r="D25" s="274"/>
      <c r="E25" s="508">
        <f>SUM(E13:E23)</f>
        <v>2.9927979301806462E-2</v>
      </c>
      <c r="F25" s="460" t="s">
        <v>361</v>
      </c>
      <c r="G25" s="16" t="s">
        <v>400</v>
      </c>
      <c r="H25" s="263">
        <f t="shared" si="1"/>
        <v>14</v>
      </c>
    </row>
    <row r="26" spans="1:8">
      <c r="A26" s="263">
        <f t="shared" si="0"/>
        <v>15</v>
      </c>
      <c r="B26" s="18"/>
      <c r="C26" s="265"/>
      <c r="D26" s="265"/>
      <c r="E26" s="280"/>
      <c r="F26" s="23"/>
      <c r="G26" s="16"/>
      <c r="H26" s="263">
        <f t="shared" si="1"/>
        <v>15</v>
      </c>
    </row>
    <row r="27" spans="1:8">
      <c r="A27" s="263">
        <f t="shared" si="0"/>
        <v>16</v>
      </c>
      <c r="B27" s="37" t="s">
        <v>274</v>
      </c>
      <c r="C27" s="281">
        <v>1.0277E-2</v>
      </c>
      <c r="D27" s="265"/>
      <c r="E27" s="282">
        <f>E25*C27</f>
        <v>3.0756984328466502E-4</v>
      </c>
      <c r="F27" s="248"/>
      <c r="G27" s="16" t="s">
        <v>401</v>
      </c>
      <c r="H27" s="263">
        <f t="shared" si="1"/>
        <v>16</v>
      </c>
    </row>
    <row r="28" spans="1:8">
      <c r="A28" s="263">
        <f t="shared" si="0"/>
        <v>17</v>
      </c>
      <c r="B28" s="18"/>
      <c r="C28" s="265"/>
      <c r="D28" s="265"/>
      <c r="E28" s="283"/>
      <c r="F28" s="31"/>
      <c r="G28" s="16"/>
      <c r="H28" s="263">
        <f t="shared" si="1"/>
        <v>17</v>
      </c>
    </row>
    <row r="29" spans="1:8" ht="16" thickBot="1">
      <c r="A29" s="263">
        <f t="shared" si="0"/>
        <v>18</v>
      </c>
      <c r="B29" s="18" t="s">
        <v>265</v>
      </c>
      <c r="C29" s="265"/>
      <c r="D29" s="265"/>
      <c r="E29" s="616">
        <f>E25+E27</f>
        <v>3.0235549145091127E-2</v>
      </c>
      <c r="F29" s="460" t="s">
        <v>361</v>
      </c>
      <c r="G29" s="16" t="s">
        <v>402</v>
      </c>
      <c r="H29" s="263">
        <f t="shared" si="1"/>
        <v>18</v>
      </c>
    </row>
    <row r="30" spans="1:8" ht="16" thickTop="1">
      <c r="A30" s="263">
        <f t="shared" si="0"/>
        <v>19</v>
      </c>
      <c r="B30" s="37"/>
      <c r="C30" s="262"/>
      <c r="D30" s="262"/>
      <c r="E30" s="265"/>
      <c r="F30" s="18"/>
      <c r="G30" s="18"/>
      <c r="H30" s="263">
        <f t="shared" si="1"/>
        <v>19</v>
      </c>
    </row>
    <row r="31" spans="1:8">
      <c r="A31" s="263">
        <f t="shared" si="0"/>
        <v>20</v>
      </c>
      <c r="B31" s="20" t="s">
        <v>277</v>
      </c>
      <c r="C31" s="285"/>
      <c r="D31" s="285"/>
      <c r="E31" s="262"/>
      <c r="F31" s="37"/>
      <c r="G31" s="18"/>
      <c r="H31" s="263">
        <f t="shared" si="1"/>
        <v>20</v>
      </c>
    </row>
    <row r="32" spans="1:8">
      <c r="A32" s="263">
        <f t="shared" si="0"/>
        <v>21</v>
      </c>
      <c r="B32" s="22" t="s">
        <v>266</v>
      </c>
      <c r="C32" s="274"/>
      <c r="D32" s="274"/>
      <c r="E32" s="142">
        <v>27000</v>
      </c>
      <c r="F32" s="21"/>
      <c r="G32" s="16" t="s">
        <v>111</v>
      </c>
      <c r="H32" s="263">
        <f t="shared" si="1"/>
        <v>21</v>
      </c>
    </row>
    <row r="33" spans="1:8">
      <c r="A33" s="263">
        <f t="shared" si="0"/>
        <v>22</v>
      </c>
      <c r="B33" s="22"/>
      <c r="C33" s="274"/>
      <c r="D33" s="274"/>
      <c r="E33" s="274"/>
      <c r="F33" s="22"/>
      <c r="G33" s="16"/>
      <c r="H33" s="263">
        <f t="shared" si="1"/>
        <v>22</v>
      </c>
    </row>
    <row r="34" spans="1:8">
      <c r="A34" s="263">
        <f t="shared" si="0"/>
        <v>23</v>
      </c>
      <c r="B34" s="22" t="s">
        <v>267</v>
      </c>
      <c r="C34" s="274"/>
      <c r="D34" s="274"/>
      <c r="E34" s="508">
        <f>+E29</f>
        <v>3.0235549145091127E-2</v>
      </c>
      <c r="F34" s="460" t="s">
        <v>361</v>
      </c>
      <c r="G34" s="16" t="s">
        <v>403</v>
      </c>
      <c r="H34" s="263">
        <f t="shared" si="1"/>
        <v>23</v>
      </c>
    </row>
    <row r="35" spans="1:8">
      <c r="A35" s="263">
        <f t="shared" si="0"/>
        <v>24</v>
      </c>
      <c r="B35" s="18"/>
      <c r="C35" s="265"/>
      <c r="D35" s="265"/>
      <c r="E35" s="286"/>
      <c r="F35" s="253"/>
      <c r="G35" s="16"/>
      <c r="H35" s="263">
        <f t="shared" si="1"/>
        <v>24</v>
      </c>
    </row>
    <row r="36" spans="1:8" ht="16" thickBot="1">
      <c r="A36" s="263">
        <f t="shared" si="0"/>
        <v>25</v>
      </c>
      <c r="B36" s="18" t="s">
        <v>278</v>
      </c>
      <c r="C36" s="274"/>
      <c r="D36" s="274"/>
      <c r="E36" s="615">
        <f>E32*E34</f>
        <v>816.3598269174604</v>
      </c>
      <c r="F36" s="460" t="s">
        <v>361</v>
      </c>
      <c r="G36" s="16" t="s">
        <v>404</v>
      </c>
      <c r="H36" s="263">
        <f t="shared" si="1"/>
        <v>25</v>
      </c>
    </row>
    <row r="37" spans="1:8" ht="16" thickTop="1">
      <c r="A37" s="263"/>
      <c r="B37" s="18"/>
      <c r="C37" s="274"/>
      <c r="D37" s="274"/>
      <c r="E37" s="185"/>
      <c r="F37" s="254"/>
      <c r="G37" s="16"/>
      <c r="H37" s="263"/>
    </row>
    <row r="38" spans="1:8">
      <c r="A38" s="263"/>
      <c r="B38" s="18"/>
      <c r="C38" s="22"/>
      <c r="D38" s="22"/>
      <c r="E38" s="273"/>
      <c r="F38" s="254"/>
      <c r="G38" s="16"/>
      <c r="H38" s="263"/>
    </row>
    <row r="39" spans="1:8">
      <c r="A39" s="460" t="s">
        <v>361</v>
      </c>
      <c r="B39" s="5" t="str">
        <f>'Pg4 As Filed App XII C2 FERC'!B57</f>
        <v xml:space="preserve">Items in bold have changed due to various FERC Audit adj. compared to Appendix XII Cycle 2 filing per ER20-209 and cost adj. incl. in Appendix XII Cycle 4 per ER22-133.  </v>
      </c>
      <c r="C39" s="18"/>
      <c r="D39" s="18"/>
      <c r="E39" s="326"/>
      <c r="F39" s="326"/>
      <c r="G39" s="37"/>
      <c r="H39" s="258"/>
    </row>
    <row r="40" spans="1:8">
      <c r="A40" s="460"/>
      <c r="B40" s="5"/>
      <c r="C40" s="18"/>
      <c r="D40" s="18"/>
      <c r="E40" s="326"/>
      <c r="F40" s="326"/>
      <c r="G40" s="37"/>
      <c r="H40" s="258"/>
    </row>
    <row r="41" spans="1:8">
      <c r="A41" s="460"/>
      <c r="B41" s="5"/>
      <c r="C41" s="18"/>
      <c r="D41" s="18"/>
      <c r="E41" s="326"/>
      <c r="F41" s="326"/>
      <c r="G41" s="37"/>
      <c r="H41" s="258"/>
    </row>
    <row r="42" spans="1:8">
      <c r="A42" s="262"/>
      <c r="B42" s="722" t="str">
        <f>B3</f>
        <v>SAN DIEGO GAS &amp; ELECTRIC COMPANY</v>
      </c>
      <c r="C42" s="722"/>
      <c r="D42" s="722"/>
      <c r="E42" s="722"/>
      <c r="F42" s="722"/>
      <c r="G42" s="722"/>
      <c r="H42" s="258"/>
    </row>
    <row r="43" spans="1:8">
      <c r="B43" s="722" t="str">
        <f>B4</f>
        <v>CITIZENS' SHARE OF THE SX-PQ UNDERGROUND LINE SEGMENT</v>
      </c>
      <c r="C43" s="722"/>
      <c r="D43" s="722"/>
      <c r="E43" s="722"/>
      <c r="F43" s="722"/>
      <c r="G43" s="722"/>
      <c r="H43" s="267"/>
    </row>
    <row r="44" spans="1:8">
      <c r="B44" s="723" t="str">
        <f>B5</f>
        <v xml:space="preserve">Section 2 - Non-Direct Expense Cost Component </v>
      </c>
      <c r="C44" s="723"/>
      <c r="D44" s="723"/>
      <c r="E44" s="723"/>
      <c r="F44" s="723"/>
      <c r="G44" s="723"/>
      <c r="H44" s="265"/>
    </row>
    <row r="45" spans="1:8">
      <c r="B45" s="724" t="str">
        <f>B6</f>
        <v>Base Period &amp; True-Up Period 12 - Months Ending December 31, 2018</v>
      </c>
      <c r="C45" s="724"/>
      <c r="D45" s="724"/>
      <c r="E45" s="724"/>
      <c r="F45" s="724"/>
      <c r="G45" s="724"/>
      <c r="H45" s="265"/>
    </row>
    <row r="46" spans="1:8">
      <c r="B46" s="725" t="str">
        <f>B7</f>
        <v>($1,000)</v>
      </c>
      <c r="C46" s="719"/>
      <c r="D46" s="719"/>
      <c r="E46" s="719"/>
      <c r="F46" s="719"/>
      <c r="G46" s="719"/>
      <c r="H46" s="60"/>
    </row>
    <row r="47" spans="1:8">
      <c r="A47" s="264"/>
      <c r="B47" s="18"/>
      <c r="C47" s="18"/>
      <c r="D47" s="18"/>
      <c r="E47" s="18"/>
      <c r="F47" s="18"/>
      <c r="G47" s="18"/>
      <c r="H47" s="258"/>
    </row>
    <row r="48" spans="1:8">
      <c r="A48" s="263" t="s">
        <v>2</v>
      </c>
      <c r="B48" s="18"/>
      <c r="C48" s="18"/>
      <c r="D48" s="18"/>
      <c r="E48" s="17"/>
      <c r="F48" s="17"/>
      <c r="G48" s="18"/>
      <c r="H48" s="263" t="s">
        <v>2</v>
      </c>
    </row>
    <row r="49" spans="1:10">
      <c r="A49" s="263" t="s">
        <v>14</v>
      </c>
      <c r="B49" s="18"/>
      <c r="C49" s="18"/>
      <c r="D49" s="18"/>
      <c r="E49" s="255" t="s">
        <v>22</v>
      </c>
      <c r="F49" s="16"/>
      <c r="G49" s="255" t="s">
        <v>6</v>
      </c>
      <c r="H49" s="263" t="s">
        <v>14</v>
      </c>
    </row>
    <row r="50" spans="1:10">
      <c r="A50" s="263"/>
      <c r="B50" s="18"/>
      <c r="C50" s="18"/>
      <c r="D50" s="18"/>
      <c r="E50" s="17"/>
      <c r="F50" s="17"/>
      <c r="G50" s="18"/>
      <c r="H50" s="263"/>
    </row>
    <row r="51" spans="1:10">
      <c r="A51" s="263">
        <v>1</v>
      </c>
      <c r="B51" s="24" t="s">
        <v>250</v>
      </c>
      <c r="C51" s="24"/>
      <c r="D51" s="24"/>
      <c r="E51" s="605">
        <v>4635234.7370823352</v>
      </c>
      <c r="F51" s="460" t="s">
        <v>361</v>
      </c>
      <c r="G51" s="16" t="s">
        <v>576</v>
      </c>
      <c r="H51" s="263">
        <f>A51</f>
        <v>1</v>
      </c>
    </row>
    <row r="52" spans="1:10">
      <c r="A52" s="263">
        <f>A51+1</f>
        <v>2</v>
      </c>
      <c r="B52" s="18"/>
      <c r="C52" s="18"/>
      <c r="D52" s="18"/>
      <c r="E52" s="261"/>
      <c r="F52" s="17"/>
      <c r="G52" s="18"/>
      <c r="H52" s="263">
        <f>H51+1</f>
        <v>2</v>
      </c>
    </row>
    <row r="53" spans="1:10">
      <c r="A53" s="263">
        <f t="shared" ref="A53:A101" si="2">A52+1</f>
        <v>3</v>
      </c>
      <c r="B53" s="20" t="s">
        <v>301</v>
      </c>
      <c r="C53" s="20"/>
      <c r="D53" s="20"/>
      <c r="E53" s="287"/>
      <c r="F53" s="25"/>
      <c r="G53" s="18"/>
      <c r="H53" s="263">
        <f t="shared" ref="H53:H101" si="3">H52+1</f>
        <v>3</v>
      </c>
    </row>
    <row r="54" spans="1:10">
      <c r="A54" s="263">
        <f t="shared" si="2"/>
        <v>4</v>
      </c>
      <c r="B54" s="22" t="s">
        <v>258</v>
      </c>
      <c r="C54" s="22"/>
      <c r="D54" s="22"/>
      <c r="E54" s="606">
        <v>32550.076329999993</v>
      </c>
      <c r="F54" s="460" t="s">
        <v>361</v>
      </c>
      <c r="G54" s="16" t="s">
        <v>577</v>
      </c>
      <c r="H54" s="263">
        <f t="shared" si="3"/>
        <v>4</v>
      </c>
      <c r="J54" s="328"/>
    </row>
    <row r="55" spans="1:10">
      <c r="A55" s="263">
        <f t="shared" si="2"/>
        <v>5</v>
      </c>
      <c r="B55" s="22"/>
      <c r="C55" s="22"/>
      <c r="D55" s="22"/>
      <c r="E55" s="153"/>
      <c r="F55" s="26"/>
      <c r="G55" s="16"/>
      <c r="H55" s="263">
        <f t="shared" si="3"/>
        <v>5</v>
      </c>
      <c r="J55" s="328"/>
    </row>
    <row r="56" spans="1:10">
      <c r="A56" s="263">
        <f t="shared" si="2"/>
        <v>6</v>
      </c>
      <c r="B56" s="22" t="s">
        <v>259</v>
      </c>
      <c r="C56" s="18"/>
      <c r="D56" s="18"/>
      <c r="E56" s="509">
        <f>E54/E51</f>
        <v>7.0223145485159948E-3</v>
      </c>
      <c r="F56" s="460" t="s">
        <v>361</v>
      </c>
      <c r="G56" s="16" t="s">
        <v>405</v>
      </c>
      <c r="H56" s="263">
        <f t="shared" si="3"/>
        <v>6</v>
      </c>
      <c r="J56" s="328"/>
    </row>
    <row r="57" spans="1:10">
      <c r="A57" s="263">
        <f t="shared" si="2"/>
        <v>7</v>
      </c>
      <c r="B57" s="22"/>
      <c r="C57" s="22"/>
      <c r="D57" s="22"/>
      <c r="E57" s="329"/>
      <c r="F57" s="330"/>
      <c r="G57" s="16"/>
      <c r="H57" s="263">
        <f t="shared" si="3"/>
        <v>7</v>
      </c>
    </row>
    <row r="58" spans="1:10">
      <c r="A58" s="263">
        <f t="shared" si="2"/>
        <v>8</v>
      </c>
      <c r="B58" s="20" t="s">
        <v>302</v>
      </c>
      <c r="C58" s="20"/>
      <c r="D58" s="20"/>
      <c r="E58" s="331"/>
      <c r="F58" s="332"/>
      <c r="G58" s="19"/>
      <c r="H58" s="263">
        <f t="shared" si="3"/>
        <v>8</v>
      </c>
    </row>
    <row r="59" spans="1:10">
      <c r="A59" s="263">
        <f t="shared" si="2"/>
        <v>9</v>
      </c>
      <c r="B59" s="22" t="s">
        <v>279</v>
      </c>
      <c r="C59" s="22"/>
      <c r="D59" s="22"/>
      <c r="E59" s="607">
        <f>'Pg7.1 As Filed Stmt AH FERC Adj'!E52</f>
        <v>35430.87227379164</v>
      </c>
      <c r="F59" s="460" t="s">
        <v>361</v>
      </c>
      <c r="G59" s="16" t="s">
        <v>578</v>
      </c>
      <c r="H59" s="263">
        <f t="shared" si="3"/>
        <v>9</v>
      </c>
    </row>
    <row r="60" spans="1:10">
      <c r="A60" s="263">
        <f t="shared" si="2"/>
        <v>10</v>
      </c>
      <c r="B60" s="18"/>
      <c r="C60" s="18"/>
      <c r="D60" s="18"/>
      <c r="E60" s="331"/>
      <c r="F60" s="332"/>
      <c r="G60" s="16"/>
      <c r="H60" s="263">
        <f t="shared" si="3"/>
        <v>10</v>
      </c>
    </row>
    <row r="61" spans="1:10">
      <c r="A61" s="263">
        <f t="shared" si="2"/>
        <v>11</v>
      </c>
      <c r="B61" s="271" t="s">
        <v>112</v>
      </c>
      <c r="C61" s="19"/>
      <c r="D61" s="19"/>
      <c r="E61" s="288">
        <f>E59/E51</f>
        <v>7.6438140209688123E-3</v>
      </c>
      <c r="F61" s="36"/>
      <c r="G61" s="16" t="s">
        <v>406</v>
      </c>
      <c r="H61" s="263">
        <f t="shared" si="3"/>
        <v>11</v>
      </c>
    </row>
    <row r="62" spans="1:10">
      <c r="A62" s="263">
        <f t="shared" si="2"/>
        <v>12</v>
      </c>
      <c r="B62" s="19"/>
      <c r="C62" s="19"/>
      <c r="D62" s="19"/>
      <c r="E62" s="290"/>
      <c r="F62" s="27"/>
      <c r="G62" s="16"/>
      <c r="H62" s="263">
        <f t="shared" si="3"/>
        <v>12</v>
      </c>
    </row>
    <row r="63" spans="1:10">
      <c r="A63" s="263">
        <f t="shared" si="2"/>
        <v>13</v>
      </c>
      <c r="B63" s="20" t="s">
        <v>303</v>
      </c>
      <c r="C63" s="19"/>
      <c r="D63" s="19"/>
      <c r="E63" s="290"/>
      <c r="F63" s="27"/>
      <c r="G63" s="16"/>
      <c r="H63" s="263">
        <f t="shared" si="3"/>
        <v>13</v>
      </c>
    </row>
    <row r="64" spans="1:10">
      <c r="A64" s="263">
        <f t="shared" si="2"/>
        <v>14</v>
      </c>
      <c r="B64" s="271" t="s">
        <v>261</v>
      </c>
      <c r="C64" s="19"/>
      <c r="D64" s="19"/>
      <c r="E64" s="607">
        <v>43678.416041244716</v>
      </c>
      <c r="F64" s="460" t="s">
        <v>361</v>
      </c>
      <c r="G64" s="16" t="s">
        <v>579</v>
      </c>
      <c r="H64" s="263">
        <f t="shared" si="3"/>
        <v>14</v>
      </c>
    </row>
    <row r="65" spans="1:8">
      <c r="A65" s="263">
        <f t="shared" si="2"/>
        <v>15</v>
      </c>
      <c r="B65" s="19"/>
      <c r="C65" s="19"/>
      <c r="D65" s="19"/>
      <c r="E65" s="331"/>
      <c r="F65" s="27"/>
      <c r="G65" s="16"/>
      <c r="H65" s="263">
        <f t="shared" si="3"/>
        <v>15</v>
      </c>
    </row>
    <row r="66" spans="1:8">
      <c r="A66" s="263">
        <f t="shared" si="2"/>
        <v>16</v>
      </c>
      <c r="B66" s="271" t="s">
        <v>307</v>
      </c>
      <c r="C66" s="19"/>
      <c r="D66" s="19"/>
      <c r="E66" s="288">
        <f>E64/E51</f>
        <v>9.4231292520771549E-3</v>
      </c>
      <c r="F66" s="27"/>
      <c r="G66" s="16" t="s">
        <v>407</v>
      </c>
      <c r="H66" s="263">
        <f t="shared" si="3"/>
        <v>16</v>
      </c>
    </row>
    <row r="67" spans="1:8">
      <c r="A67" s="263">
        <f t="shared" si="2"/>
        <v>17</v>
      </c>
      <c r="B67" s="19"/>
      <c r="C67" s="19"/>
      <c r="D67" s="19"/>
      <c r="E67" s="290"/>
      <c r="F67" s="27"/>
      <c r="G67" s="16"/>
      <c r="H67" s="263">
        <f t="shared" si="3"/>
        <v>17</v>
      </c>
    </row>
    <row r="68" spans="1:8">
      <c r="A68" s="263">
        <f t="shared" si="2"/>
        <v>18</v>
      </c>
      <c r="B68" s="20" t="s">
        <v>304</v>
      </c>
      <c r="C68" s="20"/>
      <c r="D68" s="20"/>
      <c r="E68" s="290"/>
      <c r="F68" s="27"/>
      <c r="G68" s="16"/>
      <c r="H68" s="263">
        <f t="shared" si="3"/>
        <v>18</v>
      </c>
    </row>
    <row r="69" spans="1:8">
      <c r="A69" s="263">
        <f t="shared" si="2"/>
        <v>19</v>
      </c>
      <c r="B69" s="22" t="s">
        <v>262</v>
      </c>
      <c r="C69" s="22"/>
      <c r="D69" s="22"/>
      <c r="E69" s="289">
        <v>1354.6426969659599</v>
      </c>
      <c r="F69" s="17"/>
      <c r="G69" s="16" t="s">
        <v>408</v>
      </c>
      <c r="H69" s="263">
        <f t="shared" si="3"/>
        <v>19</v>
      </c>
    </row>
    <row r="70" spans="1:8">
      <c r="A70" s="263">
        <f t="shared" si="2"/>
        <v>20</v>
      </c>
      <c r="B70" s="19"/>
      <c r="C70" s="19"/>
      <c r="D70" s="19"/>
      <c r="E70" s="290"/>
      <c r="F70" s="27"/>
      <c r="G70" s="16"/>
      <c r="H70" s="263">
        <f t="shared" si="3"/>
        <v>20</v>
      </c>
    </row>
    <row r="71" spans="1:8">
      <c r="A71" s="263">
        <f t="shared" si="2"/>
        <v>21</v>
      </c>
      <c r="B71" s="271" t="s">
        <v>113</v>
      </c>
      <c r="C71" s="19"/>
      <c r="D71" s="19"/>
      <c r="E71" s="288">
        <f>E69/E51</f>
        <v>2.9224899574743963E-4</v>
      </c>
      <c r="F71" s="36"/>
      <c r="G71" s="16" t="s">
        <v>409</v>
      </c>
      <c r="H71" s="263">
        <f t="shared" si="3"/>
        <v>21</v>
      </c>
    </row>
    <row r="72" spans="1:8">
      <c r="A72" s="263">
        <f t="shared" si="2"/>
        <v>22</v>
      </c>
      <c r="B72" s="19"/>
      <c r="C72" s="19"/>
      <c r="D72" s="19"/>
      <c r="E72" s="290"/>
      <c r="F72" s="27"/>
      <c r="G72" s="16"/>
      <c r="H72" s="263">
        <f t="shared" si="3"/>
        <v>22</v>
      </c>
    </row>
    <row r="73" spans="1:8">
      <c r="A73" s="263">
        <f t="shared" si="2"/>
        <v>23</v>
      </c>
      <c r="B73" s="20" t="s">
        <v>305</v>
      </c>
      <c r="C73" s="20"/>
      <c r="D73" s="20"/>
      <c r="E73" s="291"/>
      <c r="F73" s="28"/>
      <c r="G73" s="16"/>
      <c r="H73" s="263">
        <f t="shared" si="3"/>
        <v>23</v>
      </c>
    </row>
    <row r="74" spans="1:8">
      <c r="A74" s="263">
        <f t="shared" si="2"/>
        <v>24</v>
      </c>
      <c r="B74" s="272" t="s">
        <v>114</v>
      </c>
      <c r="C74" s="18"/>
      <c r="D74" s="18"/>
      <c r="E74" s="291"/>
      <c r="F74" s="28"/>
      <c r="G74" s="16"/>
      <c r="H74" s="263">
        <f t="shared" si="3"/>
        <v>24</v>
      </c>
    </row>
    <row r="75" spans="1:8">
      <c r="A75" s="263">
        <f t="shared" si="2"/>
        <v>25</v>
      </c>
      <c r="B75" s="22" t="s">
        <v>246</v>
      </c>
      <c r="C75" s="22"/>
      <c r="D75" s="22"/>
      <c r="E75" s="608">
        <v>52108.758401442392</v>
      </c>
      <c r="F75" s="460" t="s">
        <v>361</v>
      </c>
      <c r="G75" s="16" t="s">
        <v>580</v>
      </c>
      <c r="H75" s="263">
        <f t="shared" si="3"/>
        <v>25</v>
      </c>
    </row>
    <row r="76" spans="1:8">
      <c r="A76" s="263">
        <f t="shared" si="2"/>
        <v>26</v>
      </c>
      <c r="B76" s="22" t="s">
        <v>247</v>
      </c>
      <c r="C76" s="22"/>
      <c r="D76" s="22"/>
      <c r="E76" s="510">
        <v>19693.640781694332</v>
      </c>
      <c r="F76" s="460" t="s">
        <v>361</v>
      </c>
      <c r="G76" s="16" t="s">
        <v>581</v>
      </c>
      <c r="H76" s="263">
        <f t="shared" si="3"/>
        <v>26</v>
      </c>
    </row>
    <row r="77" spans="1:8">
      <c r="A77" s="263">
        <f t="shared" si="2"/>
        <v>27</v>
      </c>
      <c r="B77" s="22" t="s">
        <v>248</v>
      </c>
      <c r="C77" s="22"/>
      <c r="D77" s="22"/>
      <c r="E77" s="510">
        <v>8497.6185754739545</v>
      </c>
      <c r="F77" s="460" t="s">
        <v>361</v>
      </c>
      <c r="G77" s="16" t="s">
        <v>582</v>
      </c>
      <c r="H77" s="263">
        <f t="shared" si="3"/>
        <v>27</v>
      </c>
    </row>
    <row r="78" spans="1:8">
      <c r="A78" s="263">
        <f t="shared" si="2"/>
        <v>28</v>
      </c>
      <c r="B78" s="22" t="s">
        <v>115</v>
      </c>
      <c r="C78" s="18"/>
      <c r="D78" s="18"/>
      <c r="E78" s="511">
        <f>SUM(E75:E77)</f>
        <v>80300.017758610687</v>
      </c>
      <c r="F78" s="460" t="s">
        <v>361</v>
      </c>
      <c r="G78" s="16" t="s">
        <v>410</v>
      </c>
      <c r="H78" s="263">
        <f t="shared" si="3"/>
        <v>28</v>
      </c>
    </row>
    <row r="79" spans="1:8">
      <c r="A79" s="263">
        <f t="shared" si="2"/>
        <v>29</v>
      </c>
      <c r="B79" s="18"/>
      <c r="C79" s="18"/>
      <c r="D79" s="18"/>
      <c r="E79" s="294"/>
      <c r="F79" s="29"/>
      <c r="G79" s="16"/>
      <c r="H79" s="263">
        <f t="shared" si="3"/>
        <v>29</v>
      </c>
    </row>
    <row r="80" spans="1:8">
      <c r="A80" s="263">
        <f t="shared" si="2"/>
        <v>30</v>
      </c>
      <c r="B80" s="22" t="s">
        <v>272</v>
      </c>
      <c r="C80" s="22"/>
      <c r="D80" s="22"/>
      <c r="E80" s="295">
        <f>'Pg10 As Filed Stmt AV FERC Adj'!G112</f>
        <v>0.10650600620174365</v>
      </c>
      <c r="F80" s="17"/>
      <c r="G80" s="16" t="s">
        <v>583</v>
      </c>
      <c r="H80" s="263">
        <f t="shared" si="3"/>
        <v>30</v>
      </c>
    </row>
    <row r="81" spans="1:8">
      <c r="A81" s="263">
        <f t="shared" si="2"/>
        <v>31</v>
      </c>
      <c r="B81" s="18"/>
      <c r="C81" s="18"/>
      <c r="D81" s="18"/>
      <c r="E81" s="294"/>
      <c r="F81" s="29"/>
      <c r="G81" s="16"/>
      <c r="H81" s="263">
        <f t="shared" si="3"/>
        <v>31</v>
      </c>
    </row>
    <row r="82" spans="1:8">
      <c r="A82" s="263">
        <f t="shared" si="2"/>
        <v>32</v>
      </c>
      <c r="B82" s="22" t="s">
        <v>116</v>
      </c>
      <c r="C82" s="18"/>
      <c r="D82" s="18"/>
      <c r="E82" s="512">
        <f>E78*E80</f>
        <v>8552.4341893987148</v>
      </c>
      <c r="F82" s="460" t="s">
        <v>361</v>
      </c>
      <c r="G82" s="16" t="s">
        <v>411</v>
      </c>
      <c r="H82" s="263">
        <f t="shared" si="3"/>
        <v>32</v>
      </c>
    </row>
    <row r="83" spans="1:8">
      <c r="A83" s="263">
        <f t="shared" si="2"/>
        <v>33</v>
      </c>
      <c r="B83" s="18"/>
      <c r="C83" s="18"/>
      <c r="D83" s="18"/>
      <c r="E83" s="294"/>
      <c r="F83" s="29"/>
      <c r="G83" s="16"/>
      <c r="H83" s="263">
        <f t="shared" si="3"/>
        <v>33</v>
      </c>
    </row>
    <row r="84" spans="1:8">
      <c r="A84" s="263">
        <f t="shared" si="2"/>
        <v>34</v>
      </c>
      <c r="B84" s="22" t="s">
        <v>117</v>
      </c>
      <c r="C84" s="18"/>
      <c r="D84" s="18"/>
      <c r="E84" s="288">
        <f>E82/E51</f>
        <v>1.8450919261927335E-3</v>
      </c>
      <c r="F84" s="36"/>
      <c r="G84" s="16" t="s">
        <v>412</v>
      </c>
      <c r="H84" s="263">
        <f t="shared" si="3"/>
        <v>34</v>
      </c>
    </row>
    <row r="85" spans="1:8">
      <c r="A85" s="263">
        <f t="shared" si="2"/>
        <v>35</v>
      </c>
      <c r="B85" s="22"/>
      <c r="C85" s="18"/>
      <c r="D85" s="18"/>
      <c r="E85" s="270"/>
      <c r="F85" s="36"/>
      <c r="G85" s="16"/>
      <c r="H85" s="263">
        <f t="shared" si="3"/>
        <v>35</v>
      </c>
    </row>
    <row r="86" spans="1:8">
      <c r="A86" s="263">
        <f t="shared" si="2"/>
        <v>36</v>
      </c>
      <c r="B86" s="20" t="s">
        <v>306</v>
      </c>
      <c r="C86" s="345"/>
      <c r="D86" s="345"/>
      <c r="E86" s="343"/>
      <c r="F86" s="343"/>
      <c r="G86" s="343"/>
      <c r="H86" s="263">
        <f t="shared" si="3"/>
        <v>36</v>
      </c>
    </row>
    <row r="87" spans="1:8">
      <c r="A87" s="263">
        <f t="shared" si="2"/>
        <v>37</v>
      </c>
      <c r="B87" s="22" t="s">
        <v>269</v>
      </c>
      <c r="C87" s="345"/>
      <c r="D87" s="345"/>
      <c r="E87" s="609">
        <v>23699.850905090541</v>
      </c>
      <c r="F87" s="460" t="s">
        <v>361</v>
      </c>
      <c r="G87" s="16" t="s">
        <v>584</v>
      </c>
      <c r="H87" s="263">
        <f t="shared" si="3"/>
        <v>37</v>
      </c>
    </row>
    <row r="88" spans="1:8">
      <c r="A88" s="263">
        <f t="shared" si="2"/>
        <v>38</v>
      </c>
      <c r="B88" s="20"/>
      <c r="C88" s="345"/>
      <c r="D88" s="345"/>
      <c r="E88" s="610"/>
      <c r="F88" s="343"/>
      <c r="G88" s="343"/>
      <c r="H88" s="263">
        <f t="shared" si="3"/>
        <v>38</v>
      </c>
    </row>
    <row r="89" spans="1:8">
      <c r="A89" s="263">
        <f t="shared" si="2"/>
        <v>39</v>
      </c>
      <c r="B89" s="22" t="s">
        <v>268</v>
      </c>
      <c r="C89" s="345"/>
      <c r="D89" s="345"/>
      <c r="E89" s="611">
        <v>47877.916250110597</v>
      </c>
      <c r="F89" s="460" t="s">
        <v>361</v>
      </c>
      <c r="G89" s="16" t="s">
        <v>585</v>
      </c>
      <c r="H89" s="263">
        <f t="shared" si="3"/>
        <v>39</v>
      </c>
    </row>
    <row r="90" spans="1:8" ht="18">
      <c r="A90" s="263">
        <f t="shared" si="2"/>
        <v>40</v>
      </c>
      <c r="B90" s="345"/>
      <c r="C90" s="347"/>
      <c r="D90" s="347"/>
      <c r="E90" s="349"/>
      <c r="F90" s="350"/>
      <c r="G90" s="345"/>
      <c r="H90" s="263">
        <f t="shared" si="3"/>
        <v>40</v>
      </c>
    </row>
    <row r="91" spans="1:8">
      <c r="A91" s="263">
        <f t="shared" si="2"/>
        <v>41</v>
      </c>
      <c r="B91" s="22" t="s">
        <v>270</v>
      </c>
      <c r="C91" s="347"/>
      <c r="D91" s="347"/>
      <c r="E91" s="612">
        <f>E87+E89</f>
        <v>71577.767155201145</v>
      </c>
      <c r="F91" s="460" t="s">
        <v>361</v>
      </c>
      <c r="G91" s="16" t="s">
        <v>413</v>
      </c>
      <c r="H91" s="263">
        <f t="shared" si="3"/>
        <v>41</v>
      </c>
    </row>
    <row r="92" spans="1:8">
      <c r="A92" s="263">
        <f t="shared" si="2"/>
        <v>42</v>
      </c>
      <c r="B92" s="344"/>
      <c r="C92" s="347"/>
      <c r="D92" s="347"/>
      <c r="E92" s="351"/>
      <c r="F92" s="348"/>
      <c r="G92" s="342"/>
      <c r="H92" s="263">
        <f t="shared" si="3"/>
        <v>42</v>
      </c>
    </row>
    <row r="93" spans="1:8">
      <c r="A93" s="263">
        <f t="shared" si="2"/>
        <v>43</v>
      </c>
      <c r="B93" s="22" t="s">
        <v>272</v>
      </c>
      <c r="C93" s="347"/>
      <c r="D93" s="347"/>
      <c r="E93" s="368">
        <f>E80</f>
        <v>0.10650600620174365</v>
      </c>
      <c r="F93" s="348"/>
      <c r="G93" s="16" t="s">
        <v>414</v>
      </c>
      <c r="H93" s="263">
        <f t="shared" si="3"/>
        <v>43</v>
      </c>
    </row>
    <row r="94" spans="1:8">
      <c r="A94" s="263">
        <f t="shared" si="2"/>
        <v>44</v>
      </c>
      <c r="B94" s="345"/>
      <c r="C94" s="347"/>
      <c r="D94" s="347"/>
      <c r="E94" s="352"/>
      <c r="F94" s="353"/>
      <c r="G94" s="345"/>
      <c r="H94" s="263">
        <f t="shared" si="3"/>
        <v>44</v>
      </c>
    </row>
    <row r="95" spans="1:8">
      <c r="A95" s="263">
        <f t="shared" si="2"/>
        <v>45</v>
      </c>
      <c r="B95" s="22" t="s">
        <v>280</v>
      </c>
      <c r="C95" s="347"/>
      <c r="D95" s="347"/>
      <c r="E95" s="613">
        <f>E91*E93</f>
        <v>7623.4621125388157</v>
      </c>
      <c r="F95" s="460" t="s">
        <v>361</v>
      </c>
      <c r="G95" s="16" t="s">
        <v>415</v>
      </c>
      <c r="H95" s="263">
        <f t="shared" si="3"/>
        <v>45</v>
      </c>
    </row>
    <row r="96" spans="1:8">
      <c r="A96" s="263">
        <f t="shared" si="2"/>
        <v>46</v>
      </c>
      <c r="B96" s="344"/>
      <c r="C96" s="347"/>
      <c r="D96" s="347"/>
      <c r="E96" s="354"/>
      <c r="F96" s="355"/>
      <c r="G96" s="342"/>
      <c r="H96" s="263">
        <f t="shared" si="3"/>
        <v>46</v>
      </c>
    </row>
    <row r="97" spans="1:9">
      <c r="A97" s="263">
        <f t="shared" si="2"/>
        <v>47</v>
      </c>
      <c r="B97" s="22" t="s">
        <v>271</v>
      </c>
      <c r="C97" s="347"/>
      <c r="D97" s="347"/>
      <c r="E97" s="614">
        <v>9533.3056264746083</v>
      </c>
      <c r="F97" s="460" t="s">
        <v>361</v>
      </c>
      <c r="G97" s="16" t="s">
        <v>586</v>
      </c>
      <c r="H97" s="263">
        <f t="shared" si="3"/>
        <v>47</v>
      </c>
      <c r="I97" s="347"/>
    </row>
    <row r="98" spans="1:9">
      <c r="A98" s="263">
        <f t="shared" si="2"/>
        <v>48</v>
      </c>
      <c r="B98" s="22"/>
      <c r="C98" s="347"/>
      <c r="D98" s="347"/>
      <c r="E98" s="319"/>
      <c r="F98" s="355"/>
      <c r="G98" s="16"/>
      <c r="H98" s="263">
        <f t="shared" si="3"/>
        <v>48</v>
      </c>
    </row>
    <row r="99" spans="1:9">
      <c r="A99" s="263">
        <f t="shared" si="2"/>
        <v>49</v>
      </c>
      <c r="B99" s="22" t="s">
        <v>331</v>
      </c>
      <c r="C99" s="347"/>
      <c r="D99" s="347"/>
      <c r="E99" s="465">
        <f>E95+E97</f>
        <v>17156.767739013423</v>
      </c>
      <c r="F99" s="460" t="s">
        <v>361</v>
      </c>
      <c r="G99" s="16" t="s">
        <v>416</v>
      </c>
      <c r="H99" s="263">
        <f t="shared" si="3"/>
        <v>49</v>
      </c>
    </row>
    <row r="100" spans="1:9">
      <c r="A100" s="263">
        <f t="shared" si="2"/>
        <v>50</v>
      </c>
      <c r="B100" s="345"/>
      <c r="C100" s="347"/>
      <c r="D100" s="347"/>
      <c r="E100" s="360"/>
      <c r="F100" s="345"/>
      <c r="G100" s="345"/>
      <c r="H100" s="263">
        <f t="shared" si="3"/>
        <v>50</v>
      </c>
    </row>
    <row r="101" spans="1:9" ht="16" thickBot="1">
      <c r="A101" s="263">
        <f t="shared" si="2"/>
        <v>51</v>
      </c>
      <c r="B101" s="22" t="s">
        <v>340</v>
      </c>
      <c r="C101" s="347"/>
      <c r="D101" s="347"/>
      <c r="E101" s="372">
        <f>E99/E51</f>
        <v>3.7013805583043266E-3</v>
      </c>
      <c r="F101" s="356"/>
      <c r="G101" s="16" t="s">
        <v>417</v>
      </c>
      <c r="H101" s="263">
        <f t="shared" si="3"/>
        <v>51</v>
      </c>
    </row>
    <row r="102" spans="1:9" ht="16" thickTop="1">
      <c r="A102" s="265"/>
    </row>
    <row r="103" spans="1:9">
      <c r="A103" s="265"/>
    </row>
    <row r="104" spans="1:9">
      <c r="A104" s="460" t="s">
        <v>361</v>
      </c>
      <c r="B104" s="5" t="str">
        <f>B39</f>
        <v xml:space="preserve">Items in bold have changed due to various FERC Audit adj. compared to Appendix XII Cycle 2 filing per ER20-209 and cost adj. incl. in Appendix XII Cycle 4 per ER22-133.  </v>
      </c>
    </row>
    <row r="105" spans="1:9">
      <c r="A105" s="265"/>
    </row>
    <row r="106" spans="1:9">
      <c r="A106" s="265"/>
    </row>
    <row r="107" spans="1:9">
      <c r="A107" s="265"/>
    </row>
    <row r="108" spans="1:9">
      <c r="A108" s="265"/>
    </row>
    <row r="109" spans="1:9">
      <c r="A109" s="265"/>
    </row>
    <row r="110" spans="1:9">
      <c r="A110" s="265"/>
    </row>
    <row r="111" spans="1:9">
      <c r="A111" s="265"/>
    </row>
    <row r="112" spans="1:9">
      <c r="A112" s="265"/>
    </row>
    <row r="113" spans="1:1">
      <c r="A113" s="265"/>
    </row>
    <row r="114" spans="1:1">
      <c r="A114" s="265"/>
    </row>
    <row r="115" spans="1:1">
      <c r="A115" s="265"/>
    </row>
    <row r="116" spans="1:1">
      <c r="A116" s="265"/>
    </row>
    <row r="117" spans="1:1">
      <c r="A117" s="265"/>
    </row>
    <row r="118" spans="1:1">
      <c r="A118" s="265"/>
    </row>
    <row r="119" spans="1:1">
      <c r="A119" s="265"/>
    </row>
    <row r="120" spans="1:1">
      <c r="A120" s="265"/>
    </row>
    <row r="121" spans="1:1">
      <c r="A121" s="265"/>
    </row>
    <row r="122" spans="1:1">
      <c r="A122" s="265"/>
    </row>
    <row r="123" spans="1:1">
      <c r="A123" s="265"/>
    </row>
    <row r="124" spans="1:1">
      <c r="A124" s="265"/>
    </row>
    <row r="125" spans="1:1">
      <c r="A125" s="265"/>
    </row>
    <row r="126" spans="1:1">
      <c r="A126" s="265"/>
    </row>
    <row r="127" spans="1:1">
      <c r="A127" s="265"/>
    </row>
    <row r="128" spans="1:1">
      <c r="A128" s="265"/>
    </row>
    <row r="129" spans="1:1">
      <c r="A129" s="265"/>
    </row>
    <row r="130" spans="1:1">
      <c r="A130" s="265"/>
    </row>
    <row r="131" spans="1:1">
      <c r="A131" s="265"/>
    </row>
    <row r="132" spans="1:1">
      <c r="A132" s="265"/>
    </row>
    <row r="133" spans="1:1">
      <c r="A133" s="265"/>
    </row>
    <row r="134" spans="1:1">
      <c r="A134" s="265"/>
    </row>
    <row r="135" spans="1:1">
      <c r="A135" s="265"/>
    </row>
    <row r="136" spans="1:1">
      <c r="A136" s="265"/>
    </row>
    <row r="137" spans="1:1">
      <c r="A137" s="265"/>
    </row>
    <row r="138" spans="1:1">
      <c r="A138" s="265"/>
    </row>
    <row r="139" spans="1:1">
      <c r="A139" s="265"/>
    </row>
    <row r="140" spans="1:1">
      <c r="A140" s="265"/>
    </row>
    <row r="141" spans="1:1">
      <c r="A141" s="265"/>
    </row>
    <row r="142" spans="1:1">
      <c r="A142" s="265"/>
    </row>
    <row r="143" spans="1:1">
      <c r="A143" s="265"/>
    </row>
    <row r="144" spans="1:1">
      <c r="A144" s="265"/>
    </row>
    <row r="145" spans="1:6">
      <c r="A145" s="265"/>
    </row>
    <row r="146" spans="1:6">
      <c r="A146" s="265"/>
    </row>
    <row r="147" spans="1:6">
      <c r="A147" s="265"/>
    </row>
    <row r="148" spans="1:6">
      <c r="A148" s="265"/>
    </row>
    <row r="149" spans="1:6">
      <c r="A149" s="265"/>
    </row>
    <row r="150" spans="1:6">
      <c r="A150" s="265"/>
    </row>
    <row r="151" spans="1:6">
      <c r="A151" s="265"/>
    </row>
    <row r="152" spans="1:6">
      <c r="A152" s="265"/>
    </row>
    <row r="153" spans="1:6">
      <c r="A153" s="265"/>
    </row>
    <row r="154" spans="1:6">
      <c r="A154" s="265"/>
    </row>
    <row r="155" spans="1:6">
      <c r="A155" s="265"/>
    </row>
    <row r="156" spans="1:6">
      <c r="A156" s="265"/>
      <c r="B156" s="37"/>
      <c r="C156" s="37"/>
      <c r="D156" s="37"/>
      <c r="E156" s="37"/>
      <c r="F156" s="37"/>
    </row>
    <row r="157" spans="1:6">
      <c r="A157" s="265"/>
      <c r="B157" s="37"/>
      <c r="C157" s="37"/>
      <c r="D157" s="37"/>
      <c r="E157" s="37"/>
      <c r="F157" s="37"/>
    </row>
    <row r="162" spans="1:6">
      <c r="A162" s="262"/>
      <c r="B162" s="37"/>
      <c r="C162" s="37"/>
      <c r="D162" s="37"/>
      <c r="E162" s="30"/>
      <c r="F162" s="30"/>
    </row>
  </sheetData>
  <mergeCells count="10">
    <mergeCell ref="B43:G43"/>
    <mergeCell ref="B44:G44"/>
    <mergeCell ref="B45:G45"/>
    <mergeCell ref="B46:G46"/>
    <mergeCell ref="B3:G3"/>
    <mergeCell ref="B4:G4"/>
    <mergeCell ref="B5:G5"/>
    <mergeCell ref="B6:G6"/>
    <mergeCell ref="B7:G7"/>
    <mergeCell ref="B42:G42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SEC.2-NON-DIR EXP WITH FERC AUDIT ADJ INCL IN APPENDIX XII CYCLE 6 (ER24-175)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758B-20C2-4224-8C19-9835D45CA7CE}">
  <sheetPr>
    <pageSetUpPr fitToPage="1"/>
  </sheetPr>
  <dimension ref="A1:J76"/>
  <sheetViews>
    <sheetView zoomScale="80" zoomScaleNormal="80" workbookViewId="0"/>
  </sheetViews>
  <sheetFormatPr defaultColWidth="8.81640625" defaultRowHeight="15.5"/>
  <cols>
    <col min="1" max="1" width="5.1796875" style="79" bestFit="1" customWidth="1"/>
    <col min="2" max="2" width="80.6328125" style="76" customWidth="1"/>
    <col min="3" max="3" width="21.08984375" style="76" customWidth="1"/>
    <col min="4" max="4" width="1.6328125" style="76" customWidth="1"/>
    <col min="5" max="5" width="16.81640625" style="76" customWidth="1"/>
    <col min="6" max="6" width="1.6328125" style="76" customWidth="1"/>
    <col min="7" max="7" width="53.81640625" style="76" customWidth="1"/>
    <col min="8" max="8" width="5.08984375" style="76" customWidth="1"/>
    <col min="9" max="9" width="8.81640625" style="76"/>
    <col min="10" max="10" width="20.36328125" style="76" bestFit="1" customWidth="1"/>
    <col min="11" max="16384" width="8.81640625" style="76"/>
  </cols>
  <sheetData>
    <row r="1" spans="1:8">
      <c r="G1" s="335"/>
      <c r="H1" s="79"/>
    </row>
    <row r="2" spans="1:8">
      <c r="B2" s="726" t="s">
        <v>12</v>
      </c>
      <c r="C2" s="726"/>
      <c r="D2" s="726"/>
      <c r="E2" s="726"/>
      <c r="F2" s="726"/>
      <c r="G2" s="726"/>
      <c r="H2" s="79"/>
    </row>
    <row r="3" spans="1:8">
      <c r="B3" s="726" t="s">
        <v>20</v>
      </c>
      <c r="C3" s="726"/>
      <c r="D3" s="726"/>
      <c r="E3" s="726"/>
      <c r="F3" s="726"/>
      <c r="G3" s="726"/>
      <c r="H3" s="79"/>
    </row>
    <row r="4" spans="1:8">
      <c r="B4" s="726" t="s">
        <v>21</v>
      </c>
      <c r="C4" s="726"/>
      <c r="D4" s="726"/>
      <c r="E4" s="726"/>
      <c r="F4" s="726"/>
      <c r="G4" s="726"/>
      <c r="H4" s="79"/>
    </row>
    <row r="5" spans="1:8">
      <c r="B5" s="727" t="s">
        <v>393</v>
      </c>
      <c r="C5" s="727"/>
      <c r="D5" s="727"/>
      <c r="E5" s="727"/>
      <c r="F5" s="727"/>
      <c r="G5" s="727"/>
      <c r="H5" s="79"/>
    </row>
    <row r="6" spans="1:8">
      <c r="B6" s="728" t="s">
        <v>1</v>
      </c>
      <c r="C6" s="729"/>
      <c r="D6" s="729"/>
      <c r="E6" s="729"/>
      <c r="F6" s="729"/>
      <c r="G6" s="729"/>
      <c r="H6" s="79"/>
    </row>
    <row r="7" spans="1:8">
      <c r="B7" s="79"/>
      <c r="C7" s="79"/>
      <c r="D7" s="79"/>
      <c r="E7" s="177"/>
      <c r="F7" s="177"/>
      <c r="G7" s="79"/>
      <c r="H7" s="79"/>
    </row>
    <row r="8" spans="1:8">
      <c r="A8" s="79" t="s">
        <v>2</v>
      </c>
      <c r="B8" s="164"/>
      <c r="C8" s="79" t="s">
        <v>162</v>
      </c>
      <c r="D8" s="164"/>
      <c r="E8" s="178"/>
      <c r="F8" s="178"/>
      <c r="G8" s="79"/>
      <c r="H8" s="79" t="s">
        <v>2</v>
      </c>
    </row>
    <row r="9" spans="1:8">
      <c r="A9" s="79" t="s">
        <v>14</v>
      </c>
      <c r="C9" s="513" t="s">
        <v>163</v>
      </c>
      <c r="D9" s="164"/>
      <c r="E9" s="514" t="s">
        <v>22</v>
      </c>
      <c r="F9" s="178"/>
      <c r="G9" s="513" t="s">
        <v>6</v>
      </c>
      <c r="H9" s="79" t="s">
        <v>14</v>
      </c>
    </row>
    <row r="10" spans="1:8">
      <c r="C10" s="164"/>
      <c r="D10" s="164"/>
      <c r="E10" s="178"/>
      <c r="F10" s="178"/>
      <c r="G10" s="79"/>
      <c r="H10" s="79"/>
    </row>
    <row r="11" spans="1:8">
      <c r="A11" s="79">
        <v>1</v>
      </c>
      <c r="B11" s="14" t="s">
        <v>179</v>
      </c>
      <c r="C11" s="164"/>
      <c r="D11" s="164"/>
      <c r="E11" s="178"/>
      <c r="F11" s="178"/>
      <c r="G11" s="79"/>
      <c r="H11" s="79">
        <f>A11</f>
        <v>1</v>
      </c>
    </row>
    <row r="12" spans="1:8">
      <c r="A12" s="79">
        <f>+A11+1</f>
        <v>2</v>
      </c>
      <c r="B12" s="11" t="s">
        <v>105</v>
      </c>
      <c r="C12" s="164"/>
      <c r="D12" s="164"/>
      <c r="E12" s="175">
        <v>0</v>
      </c>
      <c r="F12" s="178"/>
      <c r="G12" s="79" t="s">
        <v>420</v>
      </c>
      <c r="H12" s="79">
        <f>H11+1</f>
        <v>2</v>
      </c>
    </row>
    <row r="13" spans="1:8">
      <c r="A13" s="79">
        <f t="shared" ref="A13:A71" si="0">+A12+1</f>
        <v>3</v>
      </c>
      <c r="C13" s="164"/>
      <c r="D13" s="164"/>
      <c r="E13" s="178"/>
      <c r="F13" s="178"/>
      <c r="G13" s="79"/>
      <c r="H13" s="79">
        <f t="shared" ref="H13:H71" si="1">H12+1</f>
        <v>3</v>
      </c>
    </row>
    <row r="14" spans="1:8">
      <c r="A14" s="79">
        <f t="shared" si="0"/>
        <v>4</v>
      </c>
      <c r="B14" s="14" t="s">
        <v>180</v>
      </c>
      <c r="G14" s="79"/>
      <c r="H14" s="79">
        <f t="shared" si="1"/>
        <v>4</v>
      </c>
    </row>
    <row r="15" spans="1:8">
      <c r="A15" s="79">
        <f t="shared" si="0"/>
        <v>5</v>
      </c>
      <c r="B15" s="1" t="s">
        <v>227</v>
      </c>
      <c r="C15" s="79"/>
      <c r="E15" s="175">
        <v>88575.244999999995</v>
      </c>
      <c r="G15" s="79" t="s">
        <v>421</v>
      </c>
      <c r="H15" s="79">
        <f t="shared" si="1"/>
        <v>5</v>
      </c>
    </row>
    <row r="16" spans="1:8">
      <c r="A16" s="79">
        <f t="shared" si="0"/>
        <v>6</v>
      </c>
      <c r="B16" s="3" t="s">
        <v>228</v>
      </c>
      <c r="E16" s="159"/>
      <c r="G16" s="79"/>
      <c r="H16" s="79">
        <f t="shared" si="1"/>
        <v>6</v>
      </c>
    </row>
    <row r="17" spans="1:8">
      <c r="A17" s="79">
        <f t="shared" si="0"/>
        <v>7</v>
      </c>
      <c r="B17" s="1" t="s">
        <v>283</v>
      </c>
      <c r="C17" s="79"/>
      <c r="E17" s="135">
        <v>-5877.8884600000001</v>
      </c>
      <c r="G17" s="79" t="s">
        <v>422</v>
      </c>
      <c r="H17" s="79">
        <f t="shared" si="1"/>
        <v>7</v>
      </c>
    </row>
    <row r="18" spans="1:8">
      <c r="A18" s="79">
        <f t="shared" si="0"/>
        <v>8</v>
      </c>
      <c r="B18" s="1" t="s">
        <v>284</v>
      </c>
      <c r="E18" s="135">
        <v>-2718.2313100000001</v>
      </c>
      <c r="G18" s="79" t="s">
        <v>423</v>
      </c>
      <c r="H18" s="79">
        <f t="shared" si="1"/>
        <v>8</v>
      </c>
    </row>
    <row r="19" spans="1:8">
      <c r="A19" s="79">
        <f t="shared" si="0"/>
        <v>9</v>
      </c>
      <c r="B19" s="11" t="s">
        <v>285</v>
      </c>
      <c r="E19" s="135">
        <v>-8343</v>
      </c>
      <c r="G19" s="79" t="s">
        <v>424</v>
      </c>
      <c r="H19" s="79">
        <f t="shared" si="1"/>
        <v>9</v>
      </c>
    </row>
    <row r="20" spans="1:8">
      <c r="A20" s="79">
        <f t="shared" si="0"/>
        <v>10</v>
      </c>
      <c r="B20" s="11" t="s">
        <v>286</v>
      </c>
      <c r="E20" s="135">
        <v>-4406.2079999999996</v>
      </c>
      <c r="G20" s="79" t="s">
        <v>425</v>
      </c>
      <c r="H20" s="79">
        <f t="shared" si="1"/>
        <v>10</v>
      </c>
    </row>
    <row r="21" spans="1:8">
      <c r="A21" s="79">
        <f t="shared" si="0"/>
        <v>11</v>
      </c>
      <c r="B21" s="1" t="s">
        <v>288</v>
      </c>
      <c r="E21" s="135">
        <v>0</v>
      </c>
      <c r="G21" s="79" t="s">
        <v>426</v>
      </c>
      <c r="H21" s="79">
        <f t="shared" si="1"/>
        <v>11</v>
      </c>
    </row>
    <row r="22" spans="1:8">
      <c r="A22" s="79">
        <f t="shared" si="0"/>
        <v>12</v>
      </c>
      <c r="B22" s="1" t="s">
        <v>287</v>
      </c>
      <c r="E22" s="135">
        <v>-3045.7638999999999</v>
      </c>
      <c r="G22" s="79" t="s">
        <v>427</v>
      </c>
      <c r="H22" s="79">
        <f t="shared" si="1"/>
        <v>12</v>
      </c>
    </row>
    <row r="23" spans="1:8">
      <c r="A23" s="79">
        <f t="shared" si="0"/>
        <v>13</v>
      </c>
      <c r="B23" s="11" t="s">
        <v>289</v>
      </c>
      <c r="E23" s="135">
        <v>-14934.723</v>
      </c>
      <c r="G23" s="79" t="s">
        <v>428</v>
      </c>
      <c r="H23" s="79">
        <f t="shared" si="1"/>
        <v>13</v>
      </c>
    </row>
    <row r="24" spans="1:8">
      <c r="A24" s="79">
        <f t="shared" si="0"/>
        <v>14</v>
      </c>
      <c r="B24" s="11" t="s">
        <v>290</v>
      </c>
      <c r="E24" s="135">
        <v>-14791.550999999999</v>
      </c>
      <c r="G24" s="79" t="s">
        <v>429</v>
      </c>
      <c r="H24" s="79">
        <f t="shared" si="1"/>
        <v>14</v>
      </c>
    </row>
    <row r="25" spans="1:8">
      <c r="A25" s="79">
        <f t="shared" si="0"/>
        <v>15</v>
      </c>
      <c r="B25" s="11" t="s">
        <v>291</v>
      </c>
      <c r="E25" s="135">
        <v>-671.30499999999995</v>
      </c>
      <c r="G25" s="79" t="s">
        <v>430</v>
      </c>
      <c r="H25" s="79">
        <f t="shared" si="1"/>
        <v>15</v>
      </c>
    </row>
    <row r="26" spans="1:8">
      <c r="A26" s="79">
        <f t="shared" si="0"/>
        <v>16</v>
      </c>
      <c r="B26" s="1" t="s">
        <v>229</v>
      </c>
      <c r="E26" s="515">
        <v>0</v>
      </c>
      <c r="G26" s="79" t="s">
        <v>418</v>
      </c>
      <c r="H26" s="79">
        <f t="shared" si="1"/>
        <v>16</v>
      </c>
    </row>
    <row r="27" spans="1:8">
      <c r="A27" s="79">
        <f t="shared" si="0"/>
        <v>17</v>
      </c>
      <c r="B27" s="1" t="s">
        <v>444</v>
      </c>
      <c r="E27" s="515">
        <v>-543.57100000000003</v>
      </c>
      <c r="F27" s="545"/>
      <c r="G27" s="79" t="s">
        <v>445</v>
      </c>
      <c r="H27" s="79">
        <f t="shared" si="1"/>
        <v>17</v>
      </c>
    </row>
    <row r="28" spans="1:8">
      <c r="A28" s="79">
        <f t="shared" si="0"/>
        <v>18</v>
      </c>
      <c r="B28" s="1" t="s">
        <v>468</v>
      </c>
      <c r="E28" s="515">
        <v>-692.92700000000002</v>
      </c>
      <c r="F28" s="460"/>
      <c r="G28" s="79" t="s">
        <v>587</v>
      </c>
      <c r="H28" s="79">
        <f t="shared" si="1"/>
        <v>18</v>
      </c>
    </row>
    <row r="29" spans="1:8" ht="16" thickBot="1">
      <c r="A29" s="79">
        <f t="shared" si="0"/>
        <v>19</v>
      </c>
      <c r="B29" s="1" t="s">
        <v>230</v>
      </c>
      <c r="E29" s="527">
        <f>SUM(E15:E28)</f>
        <v>32550.076329999993</v>
      </c>
      <c r="F29" s="460"/>
      <c r="G29" s="181" t="s">
        <v>469</v>
      </c>
      <c r="H29" s="79">
        <f t="shared" si="1"/>
        <v>19</v>
      </c>
    </row>
    <row r="30" spans="1:8" ht="16" thickTop="1">
      <c r="A30" s="79">
        <f t="shared" si="0"/>
        <v>20</v>
      </c>
      <c r="E30" s="71"/>
      <c r="H30" s="79">
        <f t="shared" si="1"/>
        <v>20</v>
      </c>
    </row>
    <row r="31" spans="1:8">
      <c r="A31" s="79">
        <f t="shared" si="0"/>
        <v>21</v>
      </c>
      <c r="B31" s="15" t="s">
        <v>181</v>
      </c>
      <c r="E31" s="182"/>
      <c r="G31" s="79"/>
      <c r="H31" s="79">
        <f t="shared" si="1"/>
        <v>21</v>
      </c>
    </row>
    <row r="32" spans="1:8">
      <c r="A32" s="79">
        <f t="shared" si="0"/>
        <v>22</v>
      </c>
      <c r="B32" s="3" t="s">
        <v>231</v>
      </c>
      <c r="C32" s="79"/>
      <c r="E32" s="175">
        <v>477838.49032000004</v>
      </c>
      <c r="G32" s="79" t="s">
        <v>655</v>
      </c>
      <c r="H32" s="79">
        <f t="shared" si="1"/>
        <v>22</v>
      </c>
    </row>
    <row r="33" spans="1:10">
      <c r="A33" s="79">
        <f t="shared" si="0"/>
        <v>23</v>
      </c>
      <c r="B33" s="3" t="s">
        <v>232</v>
      </c>
      <c r="E33" s="182" t="s">
        <v>7</v>
      </c>
      <c r="G33" s="79"/>
      <c r="H33" s="79">
        <f t="shared" si="1"/>
        <v>23</v>
      </c>
    </row>
    <row r="34" spans="1:10">
      <c r="A34" s="79">
        <f t="shared" si="0"/>
        <v>24</v>
      </c>
      <c r="B34" s="12" t="s">
        <v>292</v>
      </c>
      <c r="E34" s="135">
        <v>0</v>
      </c>
      <c r="G34" s="79" t="s">
        <v>636</v>
      </c>
      <c r="H34" s="79">
        <f t="shared" si="1"/>
        <v>24</v>
      </c>
      <c r="I34" s="333"/>
      <c r="J34" s="183"/>
    </row>
    <row r="35" spans="1:10" ht="15.65" customHeight="1">
      <c r="A35" s="79">
        <f t="shared" si="0"/>
        <v>25</v>
      </c>
      <c r="B35" s="13" t="s">
        <v>176</v>
      </c>
      <c r="E35" s="135">
        <v>0</v>
      </c>
      <c r="G35" s="79" t="s">
        <v>637</v>
      </c>
      <c r="H35" s="79">
        <f t="shared" si="1"/>
        <v>25</v>
      </c>
      <c r="I35" s="333"/>
      <c r="J35" s="183"/>
    </row>
    <row r="36" spans="1:10">
      <c r="A36" s="79">
        <f t="shared" si="0"/>
        <v>26</v>
      </c>
      <c r="B36" s="12" t="s">
        <v>293</v>
      </c>
      <c r="E36" s="135">
        <v>-1333.8680300000003</v>
      </c>
      <c r="G36" s="79" t="s">
        <v>638</v>
      </c>
      <c r="H36" s="79">
        <f t="shared" si="1"/>
        <v>26</v>
      </c>
    </row>
    <row r="37" spans="1:10">
      <c r="A37" s="79">
        <f t="shared" si="0"/>
        <v>27</v>
      </c>
      <c r="B37" s="12" t="s">
        <v>294</v>
      </c>
      <c r="E37" s="135">
        <v>-8601.3346500000007</v>
      </c>
      <c r="G37" s="79" t="s">
        <v>639</v>
      </c>
      <c r="H37" s="79">
        <f t="shared" si="1"/>
        <v>27</v>
      </c>
      <c r="J37" s="183"/>
    </row>
    <row r="38" spans="1:10">
      <c r="A38" s="79">
        <f t="shared" si="0"/>
        <v>28</v>
      </c>
      <c r="B38" s="12" t="s">
        <v>295</v>
      </c>
      <c r="E38" s="135">
        <v>-140.84690000000001</v>
      </c>
      <c r="G38" s="79" t="s">
        <v>640</v>
      </c>
      <c r="H38" s="79">
        <f t="shared" si="1"/>
        <v>28</v>
      </c>
      <c r="I38" s="333"/>
    </row>
    <row r="39" spans="1:10">
      <c r="A39" s="79">
        <f t="shared" si="0"/>
        <v>29</v>
      </c>
      <c r="B39" s="12" t="s">
        <v>296</v>
      </c>
      <c r="E39" s="135">
        <v>-242.68352000000002</v>
      </c>
      <c r="G39" s="79" t="s">
        <v>641</v>
      </c>
      <c r="H39" s="79">
        <f t="shared" si="1"/>
        <v>29</v>
      </c>
      <c r="I39" s="333"/>
      <c r="J39" s="183"/>
    </row>
    <row r="40" spans="1:10" ht="31">
      <c r="A40" s="79">
        <f t="shared" si="0"/>
        <v>30</v>
      </c>
      <c r="B40" s="12" t="s">
        <v>297</v>
      </c>
      <c r="E40" s="135">
        <v>-446.61920875499993</v>
      </c>
      <c r="G40" s="197" t="s">
        <v>642</v>
      </c>
      <c r="H40" s="79">
        <f t="shared" si="1"/>
        <v>30</v>
      </c>
    </row>
    <row r="41" spans="1:10">
      <c r="A41" s="79">
        <f t="shared" si="0"/>
        <v>31</v>
      </c>
      <c r="B41" s="12" t="s">
        <v>298</v>
      </c>
      <c r="E41" s="135">
        <v>-65.000791141999997</v>
      </c>
      <c r="G41" s="79" t="s">
        <v>643</v>
      </c>
      <c r="H41" s="79">
        <f t="shared" si="1"/>
        <v>31</v>
      </c>
    </row>
    <row r="42" spans="1:10">
      <c r="A42" s="79">
        <f t="shared" si="0"/>
        <v>32</v>
      </c>
      <c r="B42" s="12" t="s">
        <v>299</v>
      </c>
      <c r="E42" s="135">
        <v>-134312.73308000001</v>
      </c>
      <c r="G42" s="79" t="s">
        <v>644</v>
      </c>
      <c r="H42" s="79">
        <f t="shared" si="1"/>
        <v>32</v>
      </c>
    </row>
    <row r="43" spans="1:10">
      <c r="A43" s="79">
        <f t="shared" si="0"/>
        <v>33</v>
      </c>
      <c r="B43" s="1" t="s">
        <v>611</v>
      </c>
      <c r="E43" s="135">
        <v>826.245</v>
      </c>
      <c r="G43" s="79" t="s">
        <v>645</v>
      </c>
      <c r="H43" s="79">
        <f t="shared" si="1"/>
        <v>33</v>
      </c>
    </row>
    <row r="44" spans="1:10">
      <c r="A44" s="79">
        <f t="shared" si="0"/>
        <v>34</v>
      </c>
      <c r="B44" s="1" t="s">
        <v>612</v>
      </c>
      <c r="E44" s="135">
        <v>1984.1449999999998</v>
      </c>
      <c r="G44" s="79" t="s">
        <v>635</v>
      </c>
      <c r="H44" s="79">
        <f t="shared" si="1"/>
        <v>34</v>
      </c>
    </row>
    <row r="45" spans="1:10">
      <c r="A45" s="79">
        <f t="shared" si="0"/>
        <v>35</v>
      </c>
      <c r="B45" s="5" t="s">
        <v>444</v>
      </c>
      <c r="E45" s="517">
        <f>-'Pg7.2 Rev AH-3'!N30</f>
        <v>359.85032999999999</v>
      </c>
      <c r="F45" s="460" t="s">
        <v>361</v>
      </c>
      <c r="G45" s="197" t="s">
        <v>656</v>
      </c>
      <c r="H45" s="79">
        <f t="shared" si="1"/>
        <v>35</v>
      </c>
      <c r="J45" s="652"/>
    </row>
    <row r="46" spans="1:10">
      <c r="A46" s="79">
        <f t="shared" si="0"/>
        <v>36</v>
      </c>
      <c r="B46" s="3" t="s">
        <v>234</v>
      </c>
      <c r="E46" s="518">
        <f>SUM(E32:E45)</f>
        <v>335865.64447010303</v>
      </c>
      <c r="F46" s="460" t="s">
        <v>361</v>
      </c>
      <c r="G46" s="79" t="s">
        <v>618</v>
      </c>
      <c r="H46" s="79">
        <f t="shared" si="1"/>
        <v>36</v>
      </c>
      <c r="J46" s="652"/>
    </row>
    <row r="47" spans="1:10">
      <c r="A47" s="79">
        <f t="shared" si="0"/>
        <v>37</v>
      </c>
      <c r="B47" s="3" t="s">
        <v>237</v>
      </c>
      <c r="E47" s="519">
        <v>-5523.0058700000009</v>
      </c>
      <c r="G47" s="79" t="s">
        <v>441</v>
      </c>
      <c r="H47" s="79">
        <f t="shared" si="1"/>
        <v>37</v>
      </c>
      <c r="J47" s="652"/>
    </row>
    <row r="48" spans="1:10">
      <c r="A48" s="79">
        <f t="shared" si="0"/>
        <v>38</v>
      </c>
      <c r="B48" s="3" t="s">
        <v>233</v>
      </c>
      <c r="E48" s="518">
        <f>SUM(E46:E47)</f>
        <v>330342.63860010303</v>
      </c>
      <c r="F48" s="460" t="s">
        <v>361</v>
      </c>
      <c r="G48" s="79" t="s">
        <v>619</v>
      </c>
      <c r="H48" s="79">
        <f t="shared" si="1"/>
        <v>38</v>
      </c>
    </row>
    <row r="49" spans="1:10">
      <c r="A49" s="79">
        <f t="shared" si="0"/>
        <v>39</v>
      </c>
      <c r="B49" s="1" t="s">
        <v>8</v>
      </c>
      <c r="E49" s="520">
        <v>0.10079320306870226</v>
      </c>
      <c r="G49" s="181" t="s">
        <v>419</v>
      </c>
      <c r="H49" s="79">
        <f t="shared" si="1"/>
        <v>39</v>
      </c>
    </row>
    <row r="50" spans="1:10">
      <c r="A50" s="79">
        <f t="shared" si="0"/>
        <v>40</v>
      </c>
      <c r="B50" s="3" t="s">
        <v>235</v>
      </c>
      <c r="E50" s="521">
        <f>E48*E49</f>
        <v>33296.29265467111</v>
      </c>
      <c r="F50" s="460" t="s">
        <v>361</v>
      </c>
      <c r="G50" s="79" t="s">
        <v>620</v>
      </c>
      <c r="H50" s="79">
        <f t="shared" si="1"/>
        <v>40</v>
      </c>
    </row>
    <row r="51" spans="1:10">
      <c r="A51" s="79">
        <f t="shared" si="0"/>
        <v>41</v>
      </c>
      <c r="B51" s="76" t="s">
        <v>33</v>
      </c>
      <c r="E51" s="522">
        <f>E71*(-E47)</f>
        <v>2170.8500865065562</v>
      </c>
      <c r="G51" s="79" t="s">
        <v>621</v>
      </c>
      <c r="H51" s="79">
        <f t="shared" si="1"/>
        <v>41</v>
      </c>
    </row>
    <row r="52" spans="1:10" ht="16" thickBot="1">
      <c r="A52" s="79">
        <f t="shared" si="0"/>
        <v>42</v>
      </c>
      <c r="B52" s="174" t="s">
        <v>236</v>
      </c>
      <c r="E52" s="523">
        <f>E51+E50</f>
        <v>35467.142741177668</v>
      </c>
      <c r="F52" s="460" t="s">
        <v>361</v>
      </c>
      <c r="G52" s="79" t="s">
        <v>622</v>
      </c>
      <c r="H52" s="79">
        <f t="shared" si="1"/>
        <v>42</v>
      </c>
      <c r="I52" s="174"/>
      <c r="J52" s="415"/>
    </row>
    <row r="53" spans="1:10" ht="16" thickTop="1">
      <c r="A53" s="79">
        <f t="shared" si="0"/>
        <v>43</v>
      </c>
      <c r="B53" s="184"/>
      <c r="E53" s="185"/>
      <c r="G53" s="79"/>
      <c r="H53" s="79">
        <f t="shared" si="1"/>
        <v>43</v>
      </c>
    </row>
    <row r="54" spans="1:10">
      <c r="A54" s="79">
        <f t="shared" si="0"/>
        <v>44</v>
      </c>
      <c r="B54" s="4" t="s">
        <v>23</v>
      </c>
      <c r="E54" s="186"/>
      <c r="G54" s="79"/>
      <c r="H54" s="79">
        <f t="shared" si="1"/>
        <v>44</v>
      </c>
    </row>
    <row r="55" spans="1:10">
      <c r="A55" s="79">
        <f t="shared" si="0"/>
        <v>45</v>
      </c>
      <c r="B55" s="3" t="s">
        <v>310</v>
      </c>
      <c r="E55" s="187">
        <v>5677787.7698607687</v>
      </c>
      <c r="F55" s="460"/>
      <c r="G55" s="79" t="s">
        <v>589</v>
      </c>
      <c r="H55" s="79">
        <f t="shared" si="1"/>
        <v>45</v>
      </c>
    </row>
    <row r="56" spans="1:10">
      <c r="A56" s="79">
        <f t="shared" si="0"/>
        <v>46</v>
      </c>
      <c r="B56" s="3" t="s">
        <v>9</v>
      </c>
      <c r="E56" s="188">
        <v>0</v>
      </c>
      <c r="G56" s="79" t="s">
        <v>24</v>
      </c>
      <c r="H56" s="79">
        <f t="shared" si="1"/>
        <v>46</v>
      </c>
    </row>
    <row r="57" spans="1:10">
      <c r="A57" s="79">
        <f t="shared" si="0"/>
        <v>47</v>
      </c>
      <c r="B57" s="3" t="s">
        <v>10</v>
      </c>
      <c r="E57" s="189">
        <v>39534.838264525148</v>
      </c>
      <c r="F57" s="460"/>
      <c r="G57" s="190" t="s">
        <v>590</v>
      </c>
      <c r="H57" s="79">
        <f t="shared" si="1"/>
        <v>47</v>
      </c>
    </row>
    <row r="58" spans="1:10">
      <c r="A58" s="79">
        <f t="shared" si="0"/>
        <v>48</v>
      </c>
      <c r="B58" s="3" t="s">
        <v>11</v>
      </c>
      <c r="E58" s="524">
        <v>92179.090079871457</v>
      </c>
      <c r="F58" s="460"/>
      <c r="G58" s="190" t="s">
        <v>591</v>
      </c>
      <c r="H58" s="79">
        <f t="shared" si="1"/>
        <v>48</v>
      </c>
    </row>
    <row r="59" spans="1:10" ht="16" thickBot="1">
      <c r="A59" s="79">
        <f t="shared" si="0"/>
        <v>49</v>
      </c>
      <c r="B59" s="3" t="s">
        <v>25</v>
      </c>
      <c r="E59" s="525">
        <f>SUM(E55:E58)</f>
        <v>5809501.6982051646</v>
      </c>
      <c r="F59" s="460"/>
      <c r="G59" s="79" t="s">
        <v>623</v>
      </c>
      <c r="H59" s="79">
        <f t="shared" si="1"/>
        <v>49</v>
      </c>
      <c r="I59" s="174"/>
      <c r="J59" s="415"/>
    </row>
    <row r="60" spans="1:10" ht="16" thickTop="1">
      <c r="A60" s="79">
        <f t="shared" si="0"/>
        <v>50</v>
      </c>
      <c r="B60" s="184"/>
      <c r="E60" s="71"/>
      <c r="G60" s="79"/>
      <c r="H60" s="79">
        <f t="shared" si="1"/>
        <v>50</v>
      </c>
    </row>
    <row r="61" spans="1:10">
      <c r="A61" s="79">
        <f t="shared" si="0"/>
        <v>51</v>
      </c>
      <c r="B61" s="3" t="s">
        <v>309</v>
      </c>
      <c r="E61" s="191">
        <f>E55</f>
        <v>5677787.7698607687</v>
      </c>
      <c r="F61" s="460"/>
      <c r="G61" s="143" t="s">
        <v>624</v>
      </c>
      <c r="H61" s="79">
        <f t="shared" si="1"/>
        <v>51</v>
      </c>
    </row>
    <row r="62" spans="1:10">
      <c r="A62" s="79">
        <f t="shared" si="0"/>
        <v>52</v>
      </c>
      <c r="B62" s="3" t="s">
        <v>26</v>
      </c>
      <c r="E62" s="192">
        <v>545860.5006992307</v>
      </c>
      <c r="F62" s="460"/>
      <c r="G62" s="190" t="s">
        <v>592</v>
      </c>
      <c r="H62" s="79">
        <f t="shared" si="1"/>
        <v>52</v>
      </c>
    </row>
    <row r="63" spans="1:10">
      <c r="A63" s="79">
        <f t="shared" si="0"/>
        <v>53</v>
      </c>
      <c r="B63" s="3" t="s">
        <v>27</v>
      </c>
      <c r="E63" s="188">
        <v>0</v>
      </c>
      <c r="G63" s="79" t="s">
        <v>24</v>
      </c>
      <c r="H63" s="79">
        <f t="shared" si="1"/>
        <v>53</v>
      </c>
    </row>
    <row r="64" spans="1:10">
      <c r="A64" s="79">
        <f t="shared" si="0"/>
        <v>54</v>
      </c>
      <c r="B64" s="3" t="s">
        <v>28</v>
      </c>
      <c r="E64" s="192">
        <v>518891.12072000001</v>
      </c>
      <c r="F64" s="460"/>
      <c r="G64" s="190" t="s">
        <v>593</v>
      </c>
      <c r="H64" s="79">
        <f t="shared" si="1"/>
        <v>54</v>
      </c>
    </row>
    <row r="65" spans="1:10">
      <c r="A65" s="79">
        <f t="shared" si="0"/>
        <v>55</v>
      </c>
      <c r="B65" s="3" t="s">
        <v>29</v>
      </c>
      <c r="E65" s="192">
        <v>6731031.1244399995</v>
      </c>
      <c r="F65" s="460"/>
      <c r="G65" s="190" t="s">
        <v>594</v>
      </c>
      <c r="H65" s="79">
        <f t="shared" si="1"/>
        <v>55</v>
      </c>
    </row>
    <row r="66" spans="1:10">
      <c r="A66" s="79">
        <f t="shared" si="0"/>
        <v>56</v>
      </c>
      <c r="B66" s="174" t="s">
        <v>9</v>
      </c>
      <c r="E66" s="188">
        <v>0</v>
      </c>
      <c r="G66" s="79" t="s">
        <v>24</v>
      </c>
      <c r="H66" s="79">
        <f t="shared" si="1"/>
        <v>56</v>
      </c>
    </row>
    <row r="67" spans="1:10">
      <c r="A67" s="79">
        <f t="shared" si="0"/>
        <v>57</v>
      </c>
      <c r="B67" s="3" t="s">
        <v>30</v>
      </c>
      <c r="E67" s="192">
        <v>392237.14557000005</v>
      </c>
      <c r="F67" s="460"/>
      <c r="G67" s="190" t="s">
        <v>595</v>
      </c>
      <c r="H67" s="79">
        <f t="shared" si="1"/>
        <v>57</v>
      </c>
    </row>
    <row r="68" spans="1:10">
      <c r="A68" s="79">
        <f t="shared" si="0"/>
        <v>58</v>
      </c>
      <c r="B68" s="3" t="s">
        <v>31</v>
      </c>
      <c r="E68" s="526">
        <v>914536.76709768525</v>
      </c>
      <c r="F68" s="460"/>
      <c r="G68" s="190" t="s">
        <v>596</v>
      </c>
      <c r="H68" s="79">
        <f t="shared" si="1"/>
        <v>58</v>
      </c>
    </row>
    <row r="69" spans="1:10" ht="16" thickBot="1">
      <c r="A69" s="79">
        <f t="shared" si="0"/>
        <v>59</v>
      </c>
      <c r="B69" s="3" t="s">
        <v>32</v>
      </c>
      <c r="E69" s="527">
        <f>SUM(E61:E68)</f>
        <v>14780344.428387685</v>
      </c>
      <c r="F69" s="460"/>
      <c r="G69" s="79" t="s">
        <v>625</v>
      </c>
      <c r="H69" s="79">
        <f t="shared" si="1"/>
        <v>59</v>
      </c>
      <c r="I69" s="174"/>
      <c r="J69" s="415"/>
    </row>
    <row r="70" spans="1:10" ht="16" thickTop="1">
      <c r="A70" s="79">
        <f t="shared" si="0"/>
        <v>60</v>
      </c>
      <c r="E70" s="168"/>
      <c r="G70" s="79"/>
      <c r="H70" s="79">
        <f t="shared" si="1"/>
        <v>60</v>
      </c>
    </row>
    <row r="71" spans="1:10" ht="19" thickBot="1">
      <c r="A71" s="79">
        <f t="shared" si="0"/>
        <v>61</v>
      </c>
      <c r="B71" s="3" t="s">
        <v>308</v>
      </c>
      <c r="E71" s="528">
        <f>E59/E69</f>
        <v>0.39305590788853456</v>
      </c>
      <c r="F71" s="460"/>
      <c r="G71" s="79" t="s">
        <v>626</v>
      </c>
      <c r="H71" s="79">
        <f t="shared" si="1"/>
        <v>61</v>
      </c>
      <c r="I71" s="174"/>
    </row>
    <row r="72" spans="1:10" ht="16" thickTop="1">
      <c r="B72" s="174" t="s">
        <v>7</v>
      </c>
      <c r="E72" s="193"/>
      <c r="G72" s="79"/>
      <c r="H72" s="79"/>
    </row>
    <row r="73" spans="1:10">
      <c r="B73" s="174"/>
      <c r="E73" s="193"/>
      <c r="G73" s="79"/>
      <c r="H73" s="79"/>
    </row>
    <row r="74" spans="1:10">
      <c r="A74" s="460" t="s">
        <v>361</v>
      </c>
      <c r="B74" s="5" t="str">
        <f>'Pg2 App XII C2 Comparison'!B57</f>
        <v>Items in BOLD have changed to correct the over-allocation of "Duplicate Charges (Company Energy Use)" Credit in FERC Account no. 929.</v>
      </c>
      <c r="E74" s="193"/>
      <c r="F74" s="193"/>
      <c r="G74" s="79"/>
      <c r="H74" s="79"/>
    </row>
    <row r="75" spans="1:10" ht="18">
      <c r="A75" s="194">
        <v>1</v>
      </c>
      <c r="B75" s="3" t="s">
        <v>443</v>
      </c>
      <c r="H75" s="79"/>
    </row>
    <row r="76" spans="1:10">
      <c r="B76" s="174"/>
      <c r="E76" s="168"/>
      <c r="F76" s="168"/>
      <c r="G76" s="79"/>
      <c r="H76" s="7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2D8B-706F-41EF-8526-6FC5FBC3BC22}">
  <sheetPr>
    <pageSetUpPr fitToPage="1"/>
  </sheetPr>
  <dimension ref="A1:J76"/>
  <sheetViews>
    <sheetView zoomScale="80" zoomScaleNormal="80" workbookViewId="0"/>
  </sheetViews>
  <sheetFormatPr defaultColWidth="8.81640625" defaultRowHeight="15.5"/>
  <cols>
    <col min="1" max="1" width="5.1796875" style="79" bestFit="1" customWidth="1"/>
    <col min="2" max="2" width="80.6328125" style="76" customWidth="1"/>
    <col min="3" max="3" width="21.08984375" style="76" customWidth="1"/>
    <col min="4" max="4" width="1.6328125" style="76" customWidth="1"/>
    <col min="5" max="5" width="16.81640625" style="76" customWidth="1"/>
    <col min="6" max="6" width="1.6328125" style="76" customWidth="1"/>
    <col min="7" max="7" width="53.81640625" style="76" customWidth="1"/>
    <col min="8" max="8" width="5.08984375" style="76" customWidth="1"/>
    <col min="9" max="9" width="8.81640625" style="76"/>
    <col min="10" max="10" width="20.36328125" style="76" bestFit="1" customWidth="1"/>
    <col min="11" max="16384" width="8.81640625" style="76"/>
  </cols>
  <sheetData>
    <row r="1" spans="1:8">
      <c r="A1" s="633" t="s">
        <v>647</v>
      </c>
    </row>
    <row r="2" spans="1:8">
      <c r="G2" s="335"/>
      <c r="H2" s="79"/>
    </row>
    <row r="3" spans="1:8">
      <c r="B3" s="726" t="s">
        <v>12</v>
      </c>
      <c r="C3" s="726"/>
      <c r="D3" s="726"/>
      <c r="E3" s="726"/>
      <c r="F3" s="726"/>
      <c r="G3" s="726"/>
      <c r="H3" s="79"/>
    </row>
    <row r="4" spans="1:8">
      <c r="B4" s="726" t="s">
        <v>20</v>
      </c>
      <c r="C4" s="726"/>
      <c r="D4" s="726"/>
      <c r="E4" s="726"/>
      <c r="F4" s="726"/>
      <c r="G4" s="726"/>
      <c r="H4" s="79"/>
    </row>
    <row r="5" spans="1:8">
      <c r="B5" s="726" t="s">
        <v>21</v>
      </c>
      <c r="C5" s="726"/>
      <c r="D5" s="726"/>
      <c r="E5" s="726"/>
      <c r="F5" s="726"/>
      <c r="G5" s="726"/>
      <c r="H5" s="79"/>
    </row>
    <row r="6" spans="1:8">
      <c r="B6" s="727" t="s">
        <v>393</v>
      </c>
      <c r="C6" s="727"/>
      <c r="D6" s="727"/>
      <c r="E6" s="727"/>
      <c r="F6" s="727"/>
      <c r="G6" s="727"/>
      <c r="H6" s="79"/>
    </row>
    <row r="7" spans="1:8">
      <c r="B7" s="728" t="s">
        <v>1</v>
      </c>
      <c r="C7" s="729"/>
      <c r="D7" s="729"/>
      <c r="E7" s="729"/>
      <c r="F7" s="729"/>
      <c r="G7" s="729"/>
      <c r="H7" s="79"/>
    </row>
    <row r="8" spans="1:8">
      <c r="B8" s="79"/>
      <c r="C8" s="79"/>
      <c r="D8" s="79"/>
      <c r="E8" s="177"/>
      <c r="F8" s="177"/>
      <c r="G8" s="79"/>
      <c r="H8" s="79"/>
    </row>
    <row r="9" spans="1:8">
      <c r="A9" s="79" t="s">
        <v>2</v>
      </c>
      <c r="B9" s="164"/>
      <c r="C9" s="79" t="s">
        <v>162</v>
      </c>
      <c r="D9" s="164"/>
      <c r="E9" s="178"/>
      <c r="F9" s="178"/>
      <c r="G9" s="79"/>
      <c r="H9" s="79" t="s">
        <v>2</v>
      </c>
    </row>
    <row r="10" spans="1:8">
      <c r="A10" s="79" t="s">
        <v>14</v>
      </c>
      <c r="C10" s="513" t="s">
        <v>163</v>
      </c>
      <c r="D10" s="164"/>
      <c r="E10" s="514" t="s">
        <v>22</v>
      </c>
      <c r="F10" s="178"/>
      <c r="G10" s="513" t="s">
        <v>6</v>
      </c>
      <c r="H10" s="79" t="s">
        <v>14</v>
      </c>
    </row>
    <row r="11" spans="1:8">
      <c r="C11" s="164"/>
      <c r="D11" s="164"/>
      <c r="E11" s="178"/>
      <c r="F11" s="178"/>
      <c r="G11" s="79"/>
      <c r="H11" s="79"/>
    </row>
    <row r="12" spans="1:8">
      <c r="A12" s="79">
        <v>1</v>
      </c>
      <c r="B12" s="14" t="s">
        <v>179</v>
      </c>
      <c r="C12" s="164"/>
      <c r="D12" s="164"/>
      <c r="E12" s="178"/>
      <c r="F12" s="178"/>
      <c r="G12" s="79"/>
      <c r="H12" s="79">
        <f>A12</f>
        <v>1</v>
      </c>
    </row>
    <row r="13" spans="1:8">
      <c r="A13" s="79">
        <f>+A12+1</f>
        <v>2</v>
      </c>
      <c r="B13" s="11" t="s">
        <v>105</v>
      </c>
      <c r="C13" s="164"/>
      <c r="D13" s="164"/>
      <c r="E13" s="175">
        <v>0</v>
      </c>
      <c r="F13" s="178"/>
      <c r="G13" s="79" t="s">
        <v>420</v>
      </c>
      <c r="H13" s="79">
        <f>H12+1</f>
        <v>2</v>
      </c>
    </row>
    <row r="14" spans="1:8">
      <c r="A14" s="79">
        <f t="shared" ref="A14:A71" si="0">+A13+1</f>
        <v>3</v>
      </c>
      <c r="C14" s="164"/>
      <c r="D14" s="164"/>
      <c r="E14" s="178"/>
      <c r="F14" s="178"/>
      <c r="G14" s="79"/>
      <c r="H14" s="79">
        <f t="shared" ref="H14:H71" si="1">H13+1</f>
        <v>3</v>
      </c>
    </row>
    <row r="15" spans="1:8">
      <c r="A15" s="79">
        <f t="shared" si="0"/>
        <v>4</v>
      </c>
      <c r="B15" s="14" t="s">
        <v>180</v>
      </c>
      <c r="G15" s="79"/>
      <c r="H15" s="79">
        <f t="shared" si="1"/>
        <v>4</v>
      </c>
    </row>
    <row r="16" spans="1:8">
      <c r="A16" s="79">
        <f t="shared" si="0"/>
        <v>5</v>
      </c>
      <c r="B16" s="1" t="s">
        <v>227</v>
      </c>
      <c r="C16" s="79"/>
      <c r="E16" s="175">
        <v>88575.244999999995</v>
      </c>
      <c r="G16" s="79" t="s">
        <v>421</v>
      </c>
      <c r="H16" s="79">
        <f t="shared" si="1"/>
        <v>5</v>
      </c>
    </row>
    <row r="17" spans="1:8">
      <c r="A17" s="79">
        <f t="shared" si="0"/>
        <v>6</v>
      </c>
      <c r="B17" s="3" t="s">
        <v>228</v>
      </c>
      <c r="E17" s="159"/>
      <c r="G17" s="79"/>
      <c r="H17" s="79">
        <f t="shared" si="1"/>
        <v>6</v>
      </c>
    </row>
    <row r="18" spans="1:8">
      <c r="A18" s="79">
        <f t="shared" si="0"/>
        <v>7</v>
      </c>
      <c r="B18" s="1" t="s">
        <v>283</v>
      </c>
      <c r="C18" s="79"/>
      <c r="E18" s="135">
        <v>-5877.8884600000001</v>
      </c>
      <c r="G18" s="79" t="s">
        <v>422</v>
      </c>
      <c r="H18" s="79">
        <f t="shared" si="1"/>
        <v>7</v>
      </c>
    </row>
    <row r="19" spans="1:8">
      <c r="A19" s="79">
        <f t="shared" si="0"/>
        <v>8</v>
      </c>
      <c r="B19" s="1" t="s">
        <v>284</v>
      </c>
      <c r="E19" s="135">
        <v>-2718.2313100000001</v>
      </c>
      <c r="G19" s="79" t="s">
        <v>423</v>
      </c>
      <c r="H19" s="79">
        <f t="shared" si="1"/>
        <v>8</v>
      </c>
    </row>
    <row r="20" spans="1:8">
      <c r="A20" s="79">
        <f t="shared" si="0"/>
        <v>9</v>
      </c>
      <c r="B20" s="11" t="s">
        <v>285</v>
      </c>
      <c r="E20" s="135">
        <v>-8343</v>
      </c>
      <c r="G20" s="79" t="s">
        <v>424</v>
      </c>
      <c r="H20" s="79">
        <f t="shared" si="1"/>
        <v>9</v>
      </c>
    </row>
    <row r="21" spans="1:8">
      <c r="A21" s="79">
        <f t="shared" si="0"/>
        <v>10</v>
      </c>
      <c r="B21" s="11" t="s">
        <v>286</v>
      </c>
      <c r="E21" s="135">
        <v>-4406.2079999999996</v>
      </c>
      <c r="G21" s="79" t="s">
        <v>425</v>
      </c>
      <c r="H21" s="79">
        <f t="shared" si="1"/>
        <v>10</v>
      </c>
    </row>
    <row r="22" spans="1:8">
      <c r="A22" s="79">
        <f t="shared" si="0"/>
        <v>11</v>
      </c>
      <c r="B22" s="1" t="s">
        <v>288</v>
      </c>
      <c r="E22" s="135">
        <v>0</v>
      </c>
      <c r="G22" s="79" t="s">
        <v>426</v>
      </c>
      <c r="H22" s="79">
        <f t="shared" si="1"/>
        <v>11</v>
      </c>
    </row>
    <row r="23" spans="1:8">
      <c r="A23" s="79">
        <f t="shared" si="0"/>
        <v>12</v>
      </c>
      <c r="B23" s="1" t="s">
        <v>287</v>
      </c>
      <c r="E23" s="135">
        <v>-3045.7638999999999</v>
      </c>
      <c r="G23" s="79" t="s">
        <v>427</v>
      </c>
      <c r="H23" s="79">
        <f t="shared" si="1"/>
        <v>12</v>
      </c>
    </row>
    <row r="24" spans="1:8">
      <c r="A24" s="79">
        <f t="shared" si="0"/>
        <v>13</v>
      </c>
      <c r="B24" s="11" t="s">
        <v>289</v>
      </c>
      <c r="E24" s="135">
        <v>-14934.723</v>
      </c>
      <c r="G24" s="79" t="s">
        <v>428</v>
      </c>
      <c r="H24" s="79">
        <f t="shared" si="1"/>
        <v>13</v>
      </c>
    </row>
    <row r="25" spans="1:8">
      <c r="A25" s="79">
        <f t="shared" si="0"/>
        <v>14</v>
      </c>
      <c r="B25" s="11" t="s">
        <v>290</v>
      </c>
      <c r="E25" s="135">
        <v>-14791.550999999999</v>
      </c>
      <c r="G25" s="79" t="s">
        <v>429</v>
      </c>
      <c r="H25" s="79">
        <f t="shared" si="1"/>
        <v>14</v>
      </c>
    </row>
    <row r="26" spans="1:8">
      <c r="A26" s="79">
        <f t="shared" si="0"/>
        <v>15</v>
      </c>
      <c r="B26" s="11" t="s">
        <v>291</v>
      </c>
      <c r="E26" s="135">
        <v>-671.30499999999995</v>
      </c>
      <c r="G26" s="79" t="s">
        <v>430</v>
      </c>
      <c r="H26" s="79">
        <f t="shared" si="1"/>
        <v>15</v>
      </c>
    </row>
    <row r="27" spans="1:8">
      <c r="A27" s="79">
        <f t="shared" si="0"/>
        <v>16</v>
      </c>
      <c r="B27" s="1" t="s">
        <v>229</v>
      </c>
      <c r="E27" s="515">
        <v>0</v>
      </c>
      <c r="G27" s="79" t="s">
        <v>418</v>
      </c>
      <c r="H27" s="79">
        <f t="shared" si="1"/>
        <v>16</v>
      </c>
    </row>
    <row r="28" spans="1:8">
      <c r="A28" s="79">
        <f t="shared" si="0"/>
        <v>17</v>
      </c>
      <c r="B28" s="1" t="s">
        <v>444</v>
      </c>
      <c r="E28" s="515">
        <v>-543.57100000000003</v>
      </c>
      <c r="F28" s="545"/>
      <c r="G28" s="79" t="s">
        <v>445</v>
      </c>
      <c r="H28" s="79">
        <f t="shared" si="1"/>
        <v>17</v>
      </c>
    </row>
    <row r="29" spans="1:8">
      <c r="A29" s="79">
        <f t="shared" si="0"/>
        <v>18</v>
      </c>
      <c r="B29" s="5" t="s">
        <v>468</v>
      </c>
      <c r="E29" s="516">
        <v>-692.92700000000002</v>
      </c>
      <c r="F29" s="460" t="s">
        <v>361</v>
      </c>
      <c r="G29" s="79" t="s">
        <v>587</v>
      </c>
      <c r="H29" s="79">
        <f t="shared" si="1"/>
        <v>18</v>
      </c>
    </row>
    <row r="30" spans="1:8" ht="16" thickBot="1">
      <c r="A30" s="79">
        <f t="shared" si="0"/>
        <v>19</v>
      </c>
      <c r="B30" s="1" t="s">
        <v>230</v>
      </c>
      <c r="E30" s="363">
        <f>SUM(E16:E29)</f>
        <v>32550.076329999993</v>
      </c>
      <c r="F30" s="460" t="s">
        <v>361</v>
      </c>
      <c r="G30" s="181" t="s">
        <v>469</v>
      </c>
      <c r="H30" s="79">
        <f t="shared" si="1"/>
        <v>19</v>
      </c>
    </row>
    <row r="31" spans="1:8" ht="16" thickTop="1">
      <c r="A31" s="79">
        <f t="shared" si="0"/>
        <v>20</v>
      </c>
      <c r="E31" s="71"/>
      <c r="H31" s="79">
        <f t="shared" si="1"/>
        <v>20</v>
      </c>
    </row>
    <row r="32" spans="1:8">
      <c r="A32" s="79">
        <f t="shared" si="0"/>
        <v>21</v>
      </c>
      <c r="B32" s="15" t="s">
        <v>181</v>
      </c>
      <c r="E32" s="182"/>
      <c r="G32" s="79"/>
      <c r="H32" s="79">
        <f t="shared" si="1"/>
        <v>21</v>
      </c>
    </row>
    <row r="33" spans="1:10">
      <c r="A33" s="79">
        <f t="shared" si="0"/>
        <v>22</v>
      </c>
      <c r="B33" s="3" t="s">
        <v>231</v>
      </c>
      <c r="C33" s="79"/>
      <c r="E33" s="175">
        <v>477838.49032000004</v>
      </c>
      <c r="G33" s="79" t="s">
        <v>431</v>
      </c>
      <c r="H33" s="79">
        <f t="shared" si="1"/>
        <v>22</v>
      </c>
    </row>
    <row r="34" spans="1:10">
      <c r="A34" s="79">
        <f t="shared" si="0"/>
        <v>23</v>
      </c>
      <c r="B34" s="3" t="s">
        <v>232</v>
      </c>
      <c r="E34" s="182" t="s">
        <v>7</v>
      </c>
      <c r="G34" s="79"/>
      <c r="H34" s="79">
        <f t="shared" si="1"/>
        <v>23</v>
      </c>
    </row>
    <row r="35" spans="1:10">
      <c r="A35" s="79">
        <f t="shared" si="0"/>
        <v>24</v>
      </c>
      <c r="B35" s="12" t="s">
        <v>292</v>
      </c>
      <c r="E35" s="135">
        <v>0</v>
      </c>
      <c r="G35" s="79" t="s">
        <v>432</v>
      </c>
      <c r="H35" s="79">
        <f t="shared" si="1"/>
        <v>24</v>
      </c>
      <c r="I35" s="333"/>
      <c r="J35" s="183"/>
    </row>
    <row r="36" spans="1:10" ht="15.65" customHeight="1">
      <c r="A36" s="79">
        <f t="shared" si="0"/>
        <v>25</v>
      </c>
      <c r="B36" s="13" t="s">
        <v>176</v>
      </c>
      <c r="E36" s="135">
        <v>0</v>
      </c>
      <c r="G36" s="79" t="s">
        <v>433</v>
      </c>
      <c r="H36" s="79">
        <f t="shared" si="1"/>
        <v>25</v>
      </c>
      <c r="I36" s="333"/>
      <c r="J36" s="183"/>
    </row>
    <row r="37" spans="1:10">
      <c r="A37" s="79">
        <f t="shared" si="0"/>
        <v>26</v>
      </c>
      <c r="B37" s="12" t="s">
        <v>293</v>
      </c>
      <c r="E37" s="135">
        <v>-1333.8680300000003</v>
      </c>
      <c r="G37" s="79" t="s">
        <v>434</v>
      </c>
      <c r="H37" s="79">
        <f t="shared" si="1"/>
        <v>26</v>
      </c>
    </row>
    <row r="38" spans="1:10">
      <c r="A38" s="79">
        <f t="shared" si="0"/>
        <v>27</v>
      </c>
      <c r="B38" s="12" t="s">
        <v>294</v>
      </c>
      <c r="E38" s="135">
        <v>-8601.3346500000007</v>
      </c>
      <c r="G38" s="79" t="s">
        <v>435</v>
      </c>
      <c r="H38" s="79">
        <f t="shared" si="1"/>
        <v>27</v>
      </c>
      <c r="J38" s="183"/>
    </row>
    <row r="39" spans="1:10">
      <c r="A39" s="79">
        <f t="shared" si="0"/>
        <v>28</v>
      </c>
      <c r="B39" s="12" t="s">
        <v>295</v>
      </c>
      <c r="E39" s="135">
        <v>-140.84690000000001</v>
      </c>
      <c r="G39" s="79" t="s">
        <v>436</v>
      </c>
      <c r="H39" s="79">
        <f t="shared" si="1"/>
        <v>28</v>
      </c>
      <c r="I39" s="333"/>
    </row>
    <row r="40" spans="1:10">
      <c r="A40" s="79">
        <f t="shared" si="0"/>
        <v>29</v>
      </c>
      <c r="B40" s="12" t="s">
        <v>296</v>
      </c>
      <c r="E40" s="135">
        <v>-242.68352000000002</v>
      </c>
      <c r="G40" s="79" t="s">
        <v>437</v>
      </c>
      <c r="H40" s="79">
        <f t="shared" si="1"/>
        <v>29</v>
      </c>
      <c r="I40" s="333"/>
      <c r="J40" s="183"/>
    </row>
    <row r="41" spans="1:10">
      <c r="A41" s="79">
        <f t="shared" si="0"/>
        <v>30</v>
      </c>
      <c r="B41" s="12" t="s">
        <v>297</v>
      </c>
      <c r="E41" s="135">
        <v>-446.61920875499993</v>
      </c>
      <c r="G41" s="197" t="s">
        <v>438</v>
      </c>
      <c r="H41" s="79">
        <f t="shared" si="1"/>
        <v>30</v>
      </c>
    </row>
    <row r="42" spans="1:10">
      <c r="A42" s="79">
        <f t="shared" si="0"/>
        <v>31</v>
      </c>
      <c r="B42" s="12" t="s">
        <v>298</v>
      </c>
      <c r="E42" s="135">
        <v>-65.000791141999997</v>
      </c>
      <c r="G42" s="79" t="s">
        <v>439</v>
      </c>
      <c r="H42" s="79">
        <f t="shared" si="1"/>
        <v>31</v>
      </c>
    </row>
    <row r="43" spans="1:10">
      <c r="A43" s="79">
        <f t="shared" si="0"/>
        <v>32</v>
      </c>
      <c r="B43" s="12" t="s">
        <v>299</v>
      </c>
      <c r="E43" s="135">
        <v>-134312.73308000001</v>
      </c>
      <c r="G43" s="79" t="s">
        <v>440</v>
      </c>
      <c r="H43" s="79">
        <f t="shared" si="1"/>
        <v>32</v>
      </c>
    </row>
    <row r="44" spans="1:10">
      <c r="A44" s="79">
        <f t="shared" si="0"/>
        <v>33</v>
      </c>
      <c r="B44" s="1" t="s">
        <v>444</v>
      </c>
      <c r="E44" s="135">
        <v>826.245</v>
      </c>
      <c r="G44" s="79" t="s">
        <v>446</v>
      </c>
      <c r="H44" s="79">
        <f t="shared" si="1"/>
        <v>33</v>
      </c>
    </row>
    <row r="45" spans="1:10">
      <c r="A45" s="79">
        <f t="shared" si="0"/>
        <v>34</v>
      </c>
      <c r="B45" s="5" t="s">
        <v>468</v>
      </c>
      <c r="E45" s="517">
        <v>1984.1449999999998</v>
      </c>
      <c r="F45" s="460" t="s">
        <v>361</v>
      </c>
      <c r="G45" s="79" t="s">
        <v>588</v>
      </c>
      <c r="H45" s="79">
        <f t="shared" si="1"/>
        <v>34</v>
      </c>
    </row>
    <row r="46" spans="1:10">
      <c r="A46" s="79">
        <f t="shared" si="0"/>
        <v>35</v>
      </c>
      <c r="B46" s="3" t="s">
        <v>234</v>
      </c>
      <c r="E46" s="518">
        <f>SUM(E33:E45)</f>
        <v>335505.79414010304</v>
      </c>
      <c r="F46" s="460" t="s">
        <v>361</v>
      </c>
      <c r="G46" s="79" t="s">
        <v>470</v>
      </c>
      <c r="H46" s="79">
        <f t="shared" si="1"/>
        <v>35</v>
      </c>
    </row>
    <row r="47" spans="1:10">
      <c r="A47" s="79">
        <f t="shared" si="0"/>
        <v>36</v>
      </c>
      <c r="B47" s="3" t="s">
        <v>237</v>
      </c>
      <c r="E47" s="519">
        <v>-5523.0058700000009</v>
      </c>
      <c r="G47" s="79" t="s">
        <v>441</v>
      </c>
      <c r="H47" s="79">
        <f t="shared" si="1"/>
        <v>36</v>
      </c>
    </row>
    <row r="48" spans="1:10">
      <c r="A48" s="79">
        <f t="shared" si="0"/>
        <v>37</v>
      </c>
      <c r="B48" s="3" t="s">
        <v>233</v>
      </c>
      <c r="E48" s="518">
        <f>SUM(E46:E47)</f>
        <v>329982.78827010305</v>
      </c>
      <c r="F48" s="460" t="s">
        <v>361</v>
      </c>
      <c r="G48" s="79" t="s">
        <v>442</v>
      </c>
      <c r="H48" s="79">
        <f t="shared" si="1"/>
        <v>37</v>
      </c>
    </row>
    <row r="49" spans="1:10">
      <c r="A49" s="79">
        <f t="shared" si="0"/>
        <v>38</v>
      </c>
      <c r="B49" s="1" t="s">
        <v>8</v>
      </c>
      <c r="E49" s="520">
        <v>0.10079320306870226</v>
      </c>
      <c r="G49" s="181" t="s">
        <v>419</v>
      </c>
      <c r="H49" s="79">
        <f t="shared" si="1"/>
        <v>38</v>
      </c>
    </row>
    <row r="50" spans="1:10">
      <c r="A50" s="79">
        <f t="shared" si="0"/>
        <v>39</v>
      </c>
      <c r="B50" s="3" t="s">
        <v>235</v>
      </c>
      <c r="E50" s="521">
        <f>E48*E49</f>
        <v>33260.022187285082</v>
      </c>
      <c r="F50" s="460" t="s">
        <v>361</v>
      </c>
      <c r="G50" s="79" t="s">
        <v>471</v>
      </c>
      <c r="H50" s="79">
        <f t="shared" si="1"/>
        <v>39</v>
      </c>
    </row>
    <row r="51" spans="1:10">
      <c r="A51" s="79">
        <f t="shared" si="0"/>
        <v>40</v>
      </c>
      <c r="B51" s="76" t="s">
        <v>33</v>
      </c>
      <c r="E51" s="522">
        <f>E71*(-E47)</f>
        <v>2170.8500865065562</v>
      </c>
      <c r="G51" s="79" t="s">
        <v>570</v>
      </c>
      <c r="H51" s="79">
        <f t="shared" si="1"/>
        <v>40</v>
      </c>
    </row>
    <row r="52" spans="1:10" ht="16" thickBot="1">
      <c r="A52" s="79">
        <f t="shared" si="0"/>
        <v>41</v>
      </c>
      <c r="B52" s="174" t="s">
        <v>236</v>
      </c>
      <c r="E52" s="523">
        <f>E51+E50</f>
        <v>35430.87227379164</v>
      </c>
      <c r="F52" s="460" t="s">
        <v>361</v>
      </c>
      <c r="G52" s="79" t="s">
        <v>472</v>
      </c>
      <c r="H52" s="79">
        <f t="shared" si="1"/>
        <v>41</v>
      </c>
      <c r="I52" s="174"/>
    </row>
    <row r="53" spans="1:10" ht="16" thickTop="1">
      <c r="A53" s="79">
        <f t="shared" si="0"/>
        <v>42</v>
      </c>
      <c r="B53" s="184"/>
      <c r="E53" s="185"/>
      <c r="G53" s="79"/>
      <c r="H53" s="79">
        <f t="shared" si="1"/>
        <v>42</v>
      </c>
    </row>
    <row r="54" spans="1:10">
      <c r="A54" s="79">
        <f t="shared" si="0"/>
        <v>43</v>
      </c>
      <c r="B54" s="4" t="s">
        <v>23</v>
      </c>
      <c r="E54" s="186"/>
      <c r="G54" s="79"/>
      <c r="H54" s="79">
        <f t="shared" si="1"/>
        <v>43</v>
      </c>
    </row>
    <row r="55" spans="1:10">
      <c r="A55" s="79">
        <f t="shared" si="0"/>
        <v>44</v>
      </c>
      <c r="B55" s="3" t="s">
        <v>310</v>
      </c>
      <c r="E55" s="565">
        <v>5677787.7698607687</v>
      </c>
      <c r="F55" s="460" t="s">
        <v>361</v>
      </c>
      <c r="G55" s="79" t="s">
        <v>589</v>
      </c>
      <c r="H55" s="79">
        <f t="shared" si="1"/>
        <v>44</v>
      </c>
    </row>
    <row r="56" spans="1:10">
      <c r="A56" s="79">
        <f t="shared" si="0"/>
        <v>45</v>
      </c>
      <c r="B56" s="3" t="s">
        <v>9</v>
      </c>
      <c r="E56" s="566">
        <v>0</v>
      </c>
      <c r="G56" s="79" t="s">
        <v>24</v>
      </c>
      <c r="H56" s="79">
        <f t="shared" si="1"/>
        <v>45</v>
      </c>
    </row>
    <row r="57" spans="1:10">
      <c r="A57" s="79">
        <f t="shared" si="0"/>
        <v>46</v>
      </c>
      <c r="B57" s="3" t="s">
        <v>10</v>
      </c>
      <c r="E57" s="567">
        <v>39534.838264525148</v>
      </c>
      <c r="F57" s="460" t="s">
        <v>361</v>
      </c>
      <c r="G57" s="190" t="s">
        <v>590</v>
      </c>
      <c r="H57" s="79">
        <f t="shared" si="1"/>
        <v>46</v>
      </c>
    </row>
    <row r="58" spans="1:10">
      <c r="A58" s="79">
        <f t="shared" si="0"/>
        <v>47</v>
      </c>
      <c r="B58" s="3" t="s">
        <v>11</v>
      </c>
      <c r="E58" s="568">
        <v>92179.090079871457</v>
      </c>
      <c r="F58" s="460" t="s">
        <v>361</v>
      </c>
      <c r="G58" s="190" t="s">
        <v>591</v>
      </c>
      <c r="H58" s="79">
        <f t="shared" si="1"/>
        <v>47</v>
      </c>
    </row>
    <row r="59" spans="1:10" ht="16" thickBot="1">
      <c r="A59" s="79">
        <f t="shared" si="0"/>
        <v>48</v>
      </c>
      <c r="B59" s="3" t="s">
        <v>25</v>
      </c>
      <c r="E59" s="569">
        <f>SUM(E55:E58)</f>
        <v>5809501.6982051646</v>
      </c>
      <c r="F59" s="460" t="s">
        <v>361</v>
      </c>
      <c r="G59" s="79" t="s">
        <v>474</v>
      </c>
      <c r="H59" s="79">
        <f t="shared" si="1"/>
        <v>48</v>
      </c>
      <c r="I59" s="174"/>
      <c r="J59" s="415"/>
    </row>
    <row r="60" spans="1:10" ht="16" thickTop="1">
      <c r="A60" s="79">
        <f t="shared" si="0"/>
        <v>49</v>
      </c>
      <c r="B60" s="184"/>
      <c r="E60" s="173"/>
      <c r="G60" s="79"/>
      <c r="H60" s="79">
        <f t="shared" si="1"/>
        <v>49</v>
      </c>
    </row>
    <row r="61" spans="1:10">
      <c r="A61" s="79">
        <f t="shared" si="0"/>
        <v>50</v>
      </c>
      <c r="B61" s="3" t="s">
        <v>309</v>
      </c>
      <c r="E61" s="570">
        <f>E55</f>
        <v>5677787.7698607687</v>
      </c>
      <c r="F61" s="460" t="s">
        <v>361</v>
      </c>
      <c r="G61" s="143" t="s">
        <v>473</v>
      </c>
      <c r="H61" s="79">
        <f t="shared" si="1"/>
        <v>50</v>
      </c>
    </row>
    <row r="62" spans="1:10">
      <c r="A62" s="79">
        <f t="shared" si="0"/>
        <v>51</v>
      </c>
      <c r="B62" s="3" t="s">
        <v>26</v>
      </c>
      <c r="E62" s="571">
        <v>545860.5006992307</v>
      </c>
      <c r="F62" s="460" t="s">
        <v>361</v>
      </c>
      <c r="G62" s="190" t="s">
        <v>592</v>
      </c>
      <c r="H62" s="79">
        <f t="shared" si="1"/>
        <v>51</v>
      </c>
    </row>
    <row r="63" spans="1:10">
      <c r="A63" s="79">
        <f t="shared" si="0"/>
        <v>52</v>
      </c>
      <c r="B63" s="3" t="s">
        <v>27</v>
      </c>
      <c r="E63" s="566">
        <v>0</v>
      </c>
      <c r="G63" s="79" t="s">
        <v>24</v>
      </c>
      <c r="H63" s="79">
        <f t="shared" si="1"/>
        <v>52</v>
      </c>
    </row>
    <row r="64" spans="1:10">
      <c r="A64" s="79">
        <f t="shared" si="0"/>
        <v>53</v>
      </c>
      <c r="B64" s="3" t="s">
        <v>28</v>
      </c>
      <c r="E64" s="571">
        <v>518891.12072000001</v>
      </c>
      <c r="F64" s="460" t="s">
        <v>361</v>
      </c>
      <c r="G64" s="190" t="s">
        <v>593</v>
      </c>
      <c r="H64" s="79">
        <f t="shared" si="1"/>
        <v>53</v>
      </c>
    </row>
    <row r="65" spans="1:10">
      <c r="A65" s="79">
        <f t="shared" si="0"/>
        <v>54</v>
      </c>
      <c r="B65" s="3" t="s">
        <v>29</v>
      </c>
      <c r="E65" s="571">
        <v>6731031.1244399995</v>
      </c>
      <c r="F65" s="460" t="s">
        <v>361</v>
      </c>
      <c r="G65" s="190" t="s">
        <v>594</v>
      </c>
      <c r="H65" s="79">
        <f t="shared" si="1"/>
        <v>54</v>
      </c>
    </row>
    <row r="66" spans="1:10">
      <c r="A66" s="79">
        <f t="shared" si="0"/>
        <v>55</v>
      </c>
      <c r="B66" s="174" t="s">
        <v>9</v>
      </c>
      <c r="E66" s="566">
        <v>0</v>
      </c>
      <c r="G66" s="79" t="s">
        <v>24</v>
      </c>
      <c r="H66" s="79">
        <f t="shared" si="1"/>
        <v>55</v>
      </c>
    </row>
    <row r="67" spans="1:10">
      <c r="A67" s="79">
        <f t="shared" si="0"/>
        <v>56</v>
      </c>
      <c r="B67" s="3" t="s">
        <v>30</v>
      </c>
      <c r="E67" s="571">
        <v>392237.14557000005</v>
      </c>
      <c r="F67" s="460" t="s">
        <v>361</v>
      </c>
      <c r="G67" s="190" t="s">
        <v>595</v>
      </c>
      <c r="H67" s="79">
        <f t="shared" si="1"/>
        <v>56</v>
      </c>
    </row>
    <row r="68" spans="1:10">
      <c r="A68" s="79">
        <f t="shared" si="0"/>
        <v>57</v>
      </c>
      <c r="B68" s="3" t="s">
        <v>31</v>
      </c>
      <c r="E68" s="572">
        <v>914536.76709768525</v>
      </c>
      <c r="F68" s="460" t="s">
        <v>361</v>
      </c>
      <c r="G68" s="190" t="s">
        <v>596</v>
      </c>
      <c r="H68" s="79">
        <f t="shared" si="1"/>
        <v>57</v>
      </c>
    </row>
    <row r="69" spans="1:10" ht="16" thickBot="1">
      <c r="A69" s="79">
        <f t="shared" si="0"/>
        <v>58</v>
      </c>
      <c r="B69" s="3" t="s">
        <v>32</v>
      </c>
      <c r="E69" s="363">
        <f>SUM(E61:E68)</f>
        <v>14780344.428387685</v>
      </c>
      <c r="F69" s="460" t="s">
        <v>361</v>
      </c>
      <c r="G69" s="79" t="s">
        <v>475</v>
      </c>
      <c r="H69" s="79">
        <f t="shared" si="1"/>
        <v>58</v>
      </c>
      <c r="I69" s="174"/>
      <c r="J69" s="415"/>
    </row>
    <row r="70" spans="1:10" ht="16" thickTop="1">
      <c r="A70" s="79">
        <f t="shared" si="0"/>
        <v>59</v>
      </c>
      <c r="E70" s="573"/>
      <c r="G70" s="79"/>
      <c r="H70" s="79">
        <f t="shared" si="1"/>
        <v>59</v>
      </c>
    </row>
    <row r="71" spans="1:10" ht="19" thickBot="1">
      <c r="A71" s="79">
        <f t="shared" si="0"/>
        <v>60</v>
      </c>
      <c r="B71" s="3" t="s">
        <v>308</v>
      </c>
      <c r="E71" s="574">
        <f>E59/E69</f>
        <v>0.39305590788853456</v>
      </c>
      <c r="F71" s="460" t="s">
        <v>361</v>
      </c>
      <c r="G71" s="79" t="s">
        <v>476</v>
      </c>
      <c r="H71" s="79">
        <f t="shared" si="1"/>
        <v>60</v>
      </c>
      <c r="I71" s="174"/>
    </row>
    <row r="72" spans="1:10" ht="16" thickTop="1">
      <c r="B72" s="174" t="s">
        <v>7</v>
      </c>
      <c r="E72" s="193"/>
      <c r="G72" s="79"/>
      <c r="H72" s="79"/>
    </row>
    <row r="73" spans="1:10">
      <c r="B73" s="174"/>
      <c r="E73" s="193"/>
      <c r="G73" s="79"/>
      <c r="H73" s="79"/>
    </row>
    <row r="74" spans="1:10">
      <c r="A74" s="460" t="s">
        <v>361</v>
      </c>
      <c r="B74" s="5" t="s">
        <v>574</v>
      </c>
      <c r="E74" s="193"/>
      <c r="F74" s="193"/>
      <c r="G74" s="79"/>
      <c r="H74" s="79"/>
    </row>
    <row r="75" spans="1:10" ht="18">
      <c r="A75" s="194">
        <v>1</v>
      </c>
      <c r="B75" s="3" t="s">
        <v>443</v>
      </c>
      <c r="H75" s="79"/>
    </row>
    <row r="76" spans="1:10">
      <c r="B76" s="174"/>
      <c r="E76" s="168"/>
      <c r="F76" s="168"/>
      <c r="G76" s="79"/>
      <c r="H76" s="79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5" right="0.5" top="0.5" bottom="0.5" header="0.35" footer="0.25"/>
  <pageSetup scale="51" orientation="portrait" r:id="rId1"/>
  <headerFooter scaleWithDoc="0" alignWithMargins="0">
    <oddHeader>&amp;C&amp;"Times New Roman,Bold"&amp;6AS FILED STMT AH WITH FERC AUDIT ADJ INCL IN APPENDIX XII CYCLE 6 (ER24-175)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142B-93C4-4ECA-936E-579D1A121AA1}">
  <sheetPr>
    <pageSetUpPr fitToPage="1"/>
  </sheetPr>
  <dimension ref="A1:U83"/>
  <sheetViews>
    <sheetView zoomScale="80" zoomScaleNormal="80" workbookViewId="0"/>
  </sheetViews>
  <sheetFormatPr defaultColWidth="9.08984375" defaultRowHeight="15.5"/>
  <cols>
    <col min="1" max="1" width="5.08984375" style="95" customWidth="1"/>
    <col min="2" max="2" width="8.6328125" style="87" customWidth="1"/>
    <col min="3" max="3" width="68.81640625" style="87" customWidth="1"/>
    <col min="4" max="5" width="11.453125" style="87" bestFit="1" customWidth="1"/>
    <col min="6" max="6" width="12.6328125" style="87" bestFit="1" customWidth="1"/>
    <col min="7" max="7" width="1.6328125" style="87" customWidth="1"/>
    <col min="8" max="8" width="15.1796875" style="87" bestFit="1" customWidth="1"/>
    <col min="9" max="9" width="13.1796875" style="87" bestFit="1" customWidth="1"/>
    <col min="10" max="10" width="2" style="87" bestFit="1" customWidth="1"/>
    <col min="11" max="11" width="12.6328125" style="87" bestFit="1" customWidth="1"/>
    <col min="12" max="12" width="3.81640625" style="87" bestFit="1" customWidth="1"/>
    <col min="13" max="13" width="16.6328125" style="87" bestFit="1" customWidth="1"/>
    <col min="14" max="14" width="15.1796875" style="87" bestFit="1" customWidth="1"/>
    <col min="15" max="15" width="2" style="87" bestFit="1" customWidth="1"/>
    <col min="16" max="16" width="14.6328125" style="87" customWidth="1"/>
    <col min="17" max="17" width="34.6328125" style="87" customWidth="1"/>
    <col min="18" max="18" width="5.08984375" style="95" customWidth="1"/>
    <col min="19" max="19" width="4" style="87" customWidth="1"/>
    <col min="20" max="20" width="13.1796875" style="87" bestFit="1" customWidth="1"/>
    <col min="21" max="21" width="9.08984375" style="87"/>
    <col min="22" max="22" width="9.81640625" style="87" customWidth="1"/>
    <col min="23" max="23" width="10" style="87" customWidth="1"/>
    <col min="24" max="16384" width="9.08984375" style="87"/>
  </cols>
  <sheetData>
    <row r="1" spans="1:21">
      <c r="Q1" s="335"/>
    </row>
    <row r="2" spans="1:21">
      <c r="B2" s="730" t="s">
        <v>12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89"/>
    </row>
    <row r="3" spans="1:21">
      <c r="B3" s="730" t="s">
        <v>43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89"/>
    </row>
    <row r="4" spans="1:21">
      <c r="B4" s="730" t="s">
        <v>447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89"/>
    </row>
    <row r="5" spans="1:21">
      <c r="B5" s="731" t="s">
        <v>1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89"/>
    </row>
    <row r="6" spans="1:21" ht="16" thickBot="1"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T6" s="76"/>
    </row>
    <row r="7" spans="1:21" ht="18">
      <c r="A7" s="89"/>
      <c r="B7" s="90"/>
      <c r="C7" s="91"/>
      <c r="D7" s="92" t="s">
        <v>3</v>
      </c>
      <c r="E7" s="93" t="s">
        <v>4</v>
      </c>
      <c r="F7" s="92" t="s">
        <v>34</v>
      </c>
      <c r="G7" s="93"/>
      <c r="H7" s="539" t="s">
        <v>457</v>
      </c>
      <c r="I7" s="539" t="s">
        <v>448</v>
      </c>
      <c r="J7" s="529"/>
      <c r="K7" s="529" t="s">
        <v>451</v>
      </c>
      <c r="L7" s="539"/>
      <c r="M7" s="539" t="s">
        <v>452</v>
      </c>
      <c r="N7" s="529" t="s">
        <v>652</v>
      </c>
      <c r="O7" s="529"/>
      <c r="P7" s="634" t="s">
        <v>614</v>
      </c>
      <c r="Q7" s="94"/>
      <c r="R7" s="89"/>
    </row>
    <row r="8" spans="1:21">
      <c r="A8" s="95" t="s">
        <v>2</v>
      </c>
      <c r="B8" s="96" t="s">
        <v>35</v>
      </c>
      <c r="C8" s="97"/>
      <c r="D8" s="98" t="s">
        <v>15</v>
      </c>
      <c r="E8" s="89" t="s">
        <v>36</v>
      </c>
      <c r="F8" s="98" t="s">
        <v>15</v>
      </c>
      <c r="G8" s="548"/>
      <c r="H8" s="549" t="s">
        <v>449</v>
      </c>
      <c r="I8" s="542" t="s">
        <v>450</v>
      </c>
      <c r="J8" s="461"/>
      <c r="K8" s="540" t="s">
        <v>453</v>
      </c>
      <c r="L8" s="541"/>
      <c r="M8" s="542" t="s">
        <v>601</v>
      </c>
      <c r="N8" s="164" t="s">
        <v>449</v>
      </c>
      <c r="O8" s="164"/>
      <c r="P8" s="645" t="s">
        <v>450</v>
      </c>
      <c r="Q8" s="99"/>
      <c r="R8" s="95" t="s">
        <v>2</v>
      </c>
    </row>
    <row r="9" spans="1:21" ht="16" thickBot="1">
      <c r="A9" s="95" t="s">
        <v>14</v>
      </c>
      <c r="B9" s="100" t="s">
        <v>37</v>
      </c>
      <c r="C9" s="101" t="s">
        <v>16</v>
      </c>
      <c r="D9" s="102" t="s">
        <v>38</v>
      </c>
      <c r="E9" s="101" t="s">
        <v>39</v>
      </c>
      <c r="F9" s="102" t="s">
        <v>40</v>
      </c>
      <c r="G9" s="550"/>
      <c r="H9" s="551" t="s">
        <v>458</v>
      </c>
      <c r="I9" s="552" t="s">
        <v>459</v>
      </c>
      <c r="J9" s="560"/>
      <c r="K9" s="560" t="s">
        <v>454</v>
      </c>
      <c r="L9" s="552"/>
      <c r="M9" s="552" t="s">
        <v>600</v>
      </c>
      <c r="N9" s="555" t="s">
        <v>458</v>
      </c>
      <c r="O9" s="555"/>
      <c r="P9" s="635" t="s">
        <v>615</v>
      </c>
      <c r="Q9" s="103" t="s">
        <v>6</v>
      </c>
      <c r="R9" s="95" t="s">
        <v>14</v>
      </c>
      <c r="S9" s="95"/>
    </row>
    <row r="10" spans="1:21">
      <c r="B10" s="104"/>
      <c r="C10" s="105" t="s">
        <v>44</v>
      </c>
      <c r="D10" s="334"/>
      <c r="E10" s="334"/>
      <c r="F10" s="106"/>
      <c r="G10" s="553"/>
      <c r="H10" s="553"/>
      <c r="I10" s="554"/>
      <c r="J10" s="553"/>
      <c r="K10" s="553"/>
      <c r="L10" s="553"/>
      <c r="M10" s="554"/>
      <c r="N10" s="553"/>
      <c r="O10" s="636"/>
      <c r="P10" s="646"/>
      <c r="Q10" s="107"/>
    </row>
    <row r="11" spans="1:21">
      <c r="A11" s="95">
        <v>1</v>
      </c>
      <c r="B11" s="104">
        <v>920</v>
      </c>
      <c r="C11" s="108" t="s">
        <v>45</v>
      </c>
      <c r="D11" s="72">
        <v>38528.063410000002</v>
      </c>
      <c r="E11" s="72">
        <v>0</v>
      </c>
      <c r="F11" s="72">
        <f>D11-E11</f>
        <v>38528.063410000002</v>
      </c>
      <c r="G11" s="268"/>
      <c r="H11" s="268"/>
      <c r="I11" s="72">
        <f>F11+H11</f>
        <v>38528.063410000002</v>
      </c>
      <c r="J11" s="268"/>
      <c r="K11" s="268"/>
      <c r="L11" s="268"/>
      <c r="M11" s="72">
        <f>I11+K11</f>
        <v>38528.063410000002</v>
      </c>
      <c r="N11" s="268"/>
      <c r="O11" s="637"/>
      <c r="P11" s="647">
        <f>M11-N11</f>
        <v>38528.063410000002</v>
      </c>
      <c r="Q11" s="80" t="s">
        <v>147</v>
      </c>
      <c r="R11" s="95">
        <f>A11</f>
        <v>1</v>
      </c>
      <c r="S11" s="87" t="s">
        <v>7</v>
      </c>
      <c r="T11" s="70"/>
    </row>
    <row r="12" spans="1:21" ht="16.5">
      <c r="A12" s="95">
        <f t="shared" ref="A12:A63" si="0">A11+1</f>
        <v>2</v>
      </c>
      <c r="B12" s="104">
        <v>921</v>
      </c>
      <c r="C12" s="108" t="s">
        <v>245</v>
      </c>
      <c r="D12" s="73">
        <v>8714.1837200000009</v>
      </c>
      <c r="E12" s="81">
        <v>0.75301000000000207</v>
      </c>
      <c r="F12" s="73">
        <f>D12-E12</f>
        <v>8713.4307100000005</v>
      </c>
      <c r="G12" s="81"/>
      <c r="H12" s="81"/>
      <c r="I12" s="73">
        <f>F12+H12</f>
        <v>8713.4307100000005</v>
      </c>
      <c r="J12" s="545" t="s">
        <v>361</v>
      </c>
      <c r="K12" s="81">
        <f>-660.505-691.842</f>
        <v>-1352.347</v>
      </c>
      <c r="L12" s="561">
        <v>6</v>
      </c>
      <c r="M12" s="73">
        <f>I12+K12</f>
        <v>7361.0837100000008</v>
      </c>
      <c r="N12" s="373"/>
      <c r="O12" s="638"/>
      <c r="P12" s="648">
        <f>M12-N12</f>
        <v>7361.0837100000008</v>
      </c>
      <c r="Q12" s="80" t="s">
        <v>148</v>
      </c>
      <c r="R12" s="95">
        <f t="shared" ref="R12:R63" si="1">R11+1</f>
        <v>2</v>
      </c>
      <c r="T12" s="70"/>
      <c r="U12" s="109"/>
    </row>
    <row r="13" spans="1:21" ht="16.5">
      <c r="A13" s="95">
        <f t="shared" si="0"/>
        <v>3</v>
      </c>
      <c r="B13" s="104">
        <v>922</v>
      </c>
      <c r="C13" s="108" t="s">
        <v>46</v>
      </c>
      <c r="D13" s="73">
        <v>-10239.58124</v>
      </c>
      <c r="E13" s="81">
        <v>0</v>
      </c>
      <c r="F13" s="73">
        <f>D13-E13</f>
        <v>-10239.58124</v>
      </c>
      <c r="G13" s="81"/>
      <c r="H13" s="81"/>
      <c r="I13" s="73">
        <f t="shared" ref="I13:I24" si="2">F13+H13</f>
        <v>-10239.58124</v>
      </c>
      <c r="J13" s="81"/>
      <c r="K13" s="81">
        <v>2720</v>
      </c>
      <c r="L13" s="561">
        <v>3</v>
      </c>
      <c r="M13" s="73">
        <f t="shared" ref="M13:M23" si="3">I13+K13</f>
        <v>-7519.5812399999995</v>
      </c>
      <c r="N13" s="373"/>
      <c r="O13" s="638"/>
      <c r="P13" s="648">
        <f t="shared" ref="P13:P24" si="4">M13-N13</f>
        <v>-7519.5812399999995</v>
      </c>
      <c r="Q13" s="80" t="s">
        <v>149</v>
      </c>
      <c r="R13" s="95">
        <f t="shared" si="1"/>
        <v>3</v>
      </c>
      <c r="T13" s="70"/>
    </row>
    <row r="14" spans="1:21" ht="16.5">
      <c r="A14" s="95">
        <f t="shared" si="0"/>
        <v>4</v>
      </c>
      <c r="B14" s="104">
        <v>923</v>
      </c>
      <c r="C14" s="108" t="s">
        <v>244</v>
      </c>
      <c r="D14" s="73">
        <v>93646.322090000001</v>
      </c>
      <c r="E14" s="81">
        <v>333.74215999999996</v>
      </c>
      <c r="F14" s="73">
        <f>D14-E14</f>
        <v>93312.579930000007</v>
      </c>
      <c r="G14" s="545" t="s">
        <v>361</v>
      </c>
      <c r="H14" s="6">
        <f>543.571+282.674</f>
        <v>826.245</v>
      </c>
      <c r="I14" s="73">
        <f t="shared" si="2"/>
        <v>94138.824930000002</v>
      </c>
      <c r="J14" s="545" t="s">
        <v>361</v>
      </c>
      <c r="K14" s="6">
        <f>1.202-3.611</f>
        <v>-2.4090000000000003</v>
      </c>
      <c r="L14" s="562" t="s">
        <v>463</v>
      </c>
      <c r="M14" s="73">
        <f t="shared" si="3"/>
        <v>94136.415930000003</v>
      </c>
      <c r="N14" s="373"/>
      <c r="O14" s="638"/>
      <c r="P14" s="648">
        <f t="shared" si="4"/>
        <v>94136.415930000003</v>
      </c>
      <c r="Q14" s="80" t="s">
        <v>150</v>
      </c>
      <c r="R14" s="95">
        <f t="shared" si="1"/>
        <v>4</v>
      </c>
      <c r="T14" s="70"/>
    </row>
    <row r="15" spans="1:21">
      <c r="A15" s="95">
        <f t="shared" si="0"/>
        <v>5</v>
      </c>
      <c r="B15" s="104">
        <v>924</v>
      </c>
      <c r="C15" s="108" t="s">
        <v>242</v>
      </c>
      <c r="D15" s="73">
        <v>5523.0058700000009</v>
      </c>
      <c r="E15" s="81">
        <v>0</v>
      </c>
      <c r="F15" s="73">
        <f t="shared" ref="F15:F16" si="5">D15-E15</f>
        <v>5523.0058700000009</v>
      </c>
      <c r="G15" s="81"/>
      <c r="H15" s="81"/>
      <c r="I15" s="73">
        <f t="shared" si="2"/>
        <v>5523.0058700000009</v>
      </c>
      <c r="J15" s="81"/>
      <c r="K15" s="81"/>
      <c r="L15" s="373"/>
      <c r="M15" s="73">
        <f t="shared" si="3"/>
        <v>5523.0058700000009</v>
      </c>
      <c r="N15" s="81"/>
      <c r="O15" s="639"/>
      <c r="P15" s="648">
        <f t="shared" si="4"/>
        <v>5523.0058700000009</v>
      </c>
      <c r="Q15" s="80" t="s">
        <v>151</v>
      </c>
      <c r="R15" s="95">
        <f t="shared" si="1"/>
        <v>5</v>
      </c>
      <c r="T15" s="70"/>
    </row>
    <row r="16" spans="1:21">
      <c r="A16" s="95">
        <f t="shared" si="0"/>
        <v>6</v>
      </c>
      <c r="B16" s="104">
        <v>925</v>
      </c>
      <c r="C16" s="108" t="s">
        <v>120</v>
      </c>
      <c r="D16" s="73">
        <v>112646.05174</v>
      </c>
      <c r="E16" s="81">
        <v>102.631419228</v>
      </c>
      <c r="F16" s="73">
        <f t="shared" si="5"/>
        <v>112543.420320772</v>
      </c>
      <c r="G16" s="81"/>
      <c r="H16" s="81"/>
      <c r="I16" s="73">
        <f t="shared" si="2"/>
        <v>112543.420320772</v>
      </c>
      <c r="J16" s="81"/>
      <c r="K16" s="81"/>
      <c r="L16" s="373"/>
      <c r="M16" s="73">
        <f t="shared" si="3"/>
        <v>112543.420320772</v>
      </c>
      <c r="N16" s="81"/>
      <c r="O16" s="639"/>
      <c r="P16" s="648">
        <f t="shared" si="4"/>
        <v>112543.420320772</v>
      </c>
      <c r="Q16" s="80" t="s">
        <v>152</v>
      </c>
      <c r="R16" s="95">
        <f t="shared" si="1"/>
        <v>6</v>
      </c>
      <c r="T16" s="70"/>
    </row>
    <row r="17" spans="1:20">
      <c r="A17" s="95">
        <f t="shared" si="0"/>
        <v>7</v>
      </c>
      <c r="B17" s="104">
        <v>926</v>
      </c>
      <c r="C17" s="108" t="s">
        <v>47</v>
      </c>
      <c r="D17" s="73">
        <v>48997.417150000008</v>
      </c>
      <c r="E17" s="81">
        <v>343.98778952699996</v>
      </c>
      <c r="F17" s="73">
        <f>D17-E17</f>
        <v>48653.429360473012</v>
      </c>
      <c r="G17" s="81"/>
      <c r="H17" s="81"/>
      <c r="I17" s="73">
        <f t="shared" si="2"/>
        <v>48653.429360473012</v>
      </c>
      <c r="J17" s="81"/>
      <c r="K17" s="81"/>
      <c r="L17" s="373"/>
      <c r="M17" s="73">
        <f t="shared" si="3"/>
        <v>48653.429360473012</v>
      </c>
      <c r="N17" s="81"/>
      <c r="O17" s="639"/>
      <c r="P17" s="648">
        <f t="shared" si="4"/>
        <v>48653.429360473012</v>
      </c>
      <c r="Q17" s="80" t="s">
        <v>153</v>
      </c>
      <c r="R17" s="95">
        <f t="shared" si="1"/>
        <v>7</v>
      </c>
      <c r="T17" s="110"/>
    </row>
    <row r="18" spans="1:20">
      <c r="A18" s="95">
        <f t="shared" si="0"/>
        <v>8</v>
      </c>
      <c r="B18" s="104">
        <v>927</v>
      </c>
      <c r="C18" s="108" t="s">
        <v>48</v>
      </c>
      <c r="D18" s="73">
        <v>131978.20225999999</v>
      </c>
      <c r="E18" s="81">
        <v>131978.20225999999</v>
      </c>
      <c r="F18" s="73">
        <f t="shared" ref="F18:F20" si="6">D18-E18</f>
        <v>0</v>
      </c>
      <c r="G18" s="81"/>
      <c r="H18" s="81"/>
      <c r="I18" s="73">
        <f t="shared" si="2"/>
        <v>0</v>
      </c>
      <c r="J18" s="81"/>
      <c r="K18" s="81"/>
      <c r="L18" s="373"/>
      <c r="M18" s="73">
        <f t="shared" si="3"/>
        <v>0</v>
      </c>
      <c r="N18" s="81"/>
      <c r="O18" s="639"/>
      <c r="P18" s="648">
        <f t="shared" si="4"/>
        <v>0</v>
      </c>
      <c r="Q18" s="80" t="s">
        <v>154</v>
      </c>
      <c r="R18" s="95">
        <f t="shared" si="1"/>
        <v>8</v>
      </c>
      <c r="T18" s="110"/>
    </row>
    <row r="19" spans="1:20" ht="16.5">
      <c r="A19" s="95">
        <f t="shared" si="0"/>
        <v>9</v>
      </c>
      <c r="B19" s="104">
        <v>928</v>
      </c>
      <c r="C19" s="108" t="s">
        <v>161</v>
      </c>
      <c r="D19" s="73">
        <v>20960.245720000003</v>
      </c>
      <c r="E19" s="81">
        <v>10076.049580000001</v>
      </c>
      <c r="F19" s="73">
        <f t="shared" si="6"/>
        <v>10884.196140000002</v>
      </c>
      <c r="G19" s="81"/>
      <c r="H19" s="81"/>
      <c r="I19" s="73">
        <f t="shared" si="2"/>
        <v>10884.196140000002</v>
      </c>
      <c r="J19" s="545" t="s">
        <v>361</v>
      </c>
      <c r="K19" s="6">
        <v>692.92700000000002</v>
      </c>
      <c r="L19" s="561">
        <v>5</v>
      </c>
      <c r="M19" s="73">
        <f t="shared" si="3"/>
        <v>11577.123140000002</v>
      </c>
      <c r="N19" s="373"/>
      <c r="O19" s="638"/>
      <c r="P19" s="648">
        <f t="shared" si="4"/>
        <v>11577.123140000002</v>
      </c>
      <c r="Q19" s="80" t="s">
        <v>155</v>
      </c>
      <c r="R19" s="95">
        <f t="shared" si="1"/>
        <v>9</v>
      </c>
      <c r="T19" s="110"/>
    </row>
    <row r="20" spans="1:20">
      <c r="A20" s="95">
        <f t="shared" si="0"/>
        <v>10</v>
      </c>
      <c r="B20" s="96">
        <v>929</v>
      </c>
      <c r="C20" s="108" t="s">
        <v>49</v>
      </c>
      <c r="D20" s="73">
        <v>-1622.2648800000004</v>
      </c>
      <c r="E20" s="81">
        <v>0</v>
      </c>
      <c r="F20" s="73">
        <f t="shared" si="6"/>
        <v>-1622.2648800000004</v>
      </c>
      <c r="G20" s="81"/>
      <c r="H20" s="81"/>
      <c r="I20" s="73">
        <f t="shared" si="2"/>
        <v>-1622.2648800000004</v>
      </c>
      <c r="J20" s="81"/>
      <c r="K20" s="81"/>
      <c r="L20" s="373"/>
      <c r="M20" s="73">
        <f t="shared" si="3"/>
        <v>-1622.2648800000004</v>
      </c>
      <c r="N20" s="373">
        <v>-359.85032999999999</v>
      </c>
      <c r="O20" s="643" t="s">
        <v>361</v>
      </c>
      <c r="P20" s="649">
        <f t="shared" si="4"/>
        <v>-1262.4145500000004</v>
      </c>
      <c r="Q20" s="80" t="s">
        <v>156</v>
      </c>
      <c r="R20" s="95">
        <f t="shared" si="1"/>
        <v>10</v>
      </c>
      <c r="T20" s="70"/>
    </row>
    <row r="21" spans="1:20">
      <c r="A21" s="95">
        <f t="shared" si="0"/>
        <v>11</v>
      </c>
      <c r="B21" s="111">
        <v>930.1</v>
      </c>
      <c r="C21" s="108" t="s">
        <v>50</v>
      </c>
      <c r="D21" s="73">
        <v>242.68352000000002</v>
      </c>
      <c r="E21" s="81">
        <v>242.68352000000002</v>
      </c>
      <c r="F21" s="73">
        <f>D21-E21</f>
        <v>0</v>
      </c>
      <c r="G21" s="81"/>
      <c r="H21" s="81"/>
      <c r="I21" s="73">
        <f t="shared" si="2"/>
        <v>0</v>
      </c>
      <c r="J21" s="81"/>
      <c r="K21" s="81"/>
      <c r="L21" s="373"/>
      <c r="M21" s="73">
        <f t="shared" si="3"/>
        <v>0</v>
      </c>
      <c r="N21" s="81"/>
      <c r="O21" s="639"/>
      <c r="P21" s="648">
        <f t="shared" si="4"/>
        <v>0</v>
      </c>
      <c r="Q21" s="80" t="s">
        <v>157</v>
      </c>
      <c r="R21" s="95">
        <f t="shared" si="1"/>
        <v>11</v>
      </c>
      <c r="T21" s="70"/>
    </row>
    <row r="22" spans="1:20" ht="16.5">
      <c r="A22" s="95">
        <f t="shared" si="0"/>
        <v>12</v>
      </c>
      <c r="B22" s="111">
        <v>930.2</v>
      </c>
      <c r="C22" s="108" t="s">
        <v>243</v>
      </c>
      <c r="D22" s="73">
        <v>7563.7374500000005</v>
      </c>
      <c r="E22" s="81">
        <v>2000.03565</v>
      </c>
      <c r="F22" s="73">
        <f t="shared" ref="F22" si="7">D22-E22</f>
        <v>5563.7018000000007</v>
      </c>
      <c r="G22" s="81"/>
      <c r="H22" s="81"/>
      <c r="I22" s="73">
        <f t="shared" si="2"/>
        <v>5563.7018000000007</v>
      </c>
      <c r="J22" s="545" t="s">
        <v>361</v>
      </c>
      <c r="K22" s="81">
        <v>-74.025999999999996</v>
      </c>
      <c r="L22" s="561">
        <v>6</v>
      </c>
      <c r="M22" s="73">
        <f t="shared" si="3"/>
        <v>5489.6758000000009</v>
      </c>
      <c r="N22" s="373"/>
      <c r="O22" s="638"/>
      <c r="P22" s="648">
        <f t="shared" si="4"/>
        <v>5489.6758000000009</v>
      </c>
      <c r="Q22" s="80" t="s">
        <v>158</v>
      </c>
      <c r="R22" s="95">
        <f t="shared" si="1"/>
        <v>12</v>
      </c>
      <c r="T22" s="112"/>
    </row>
    <row r="23" spans="1:20">
      <c r="A23" s="95">
        <f t="shared" si="0"/>
        <v>13</v>
      </c>
      <c r="B23" s="104">
        <v>931</v>
      </c>
      <c r="C23" s="108" t="s">
        <v>41</v>
      </c>
      <c r="D23" s="73">
        <v>11844.36429</v>
      </c>
      <c r="E23" s="81">
        <v>0</v>
      </c>
      <c r="F23" s="73">
        <f>D23-E23</f>
        <v>11844.36429</v>
      </c>
      <c r="G23" s="81"/>
      <c r="H23" s="81"/>
      <c r="I23" s="73">
        <f t="shared" si="2"/>
        <v>11844.36429</v>
      </c>
      <c r="J23" s="81"/>
      <c r="K23" s="81"/>
      <c r="L23" s="81"/>
      <c r="M23" s="73">
        <f t="shared" si="3"/>
        <v>11844.36429</v>
      </c>
      <c r="N23" s="81"/>
      <c r="O23" s="639"/>
      <c r="P23" s="648">
        <f t="shared" si="4"/>
        <v>11844.36429</v>
      </c>
      <c r="Q23" s="80" t="s">
        <v>159</v>
      </c>
      <c r="R23" s="95">
        <f t="shared" si="1"/>
        <v>13</v>
      </c>
      <c r="T23" s="70"/>
    </row>
    <row r="24" spans="1:20">
      <c r="A24" s="95">
        <f t="shared" si="0"/>
        <v>14</v>
      </c>
      <c r="B24" s="104">
        <v>935</v>
      </c>
      <c r="C24" s="108" t="s">
        <v>51</v>
      </c>
      <c r="D24" s="531">
        <v>9056.059220000001</v>
      </c>
      <c r="E24" s="533">
        <v>65.000791141999997</v>
      </c>
      <c r="F24" s="531">
        <f>D24-E24</f>
        <v>8991.0584288580012</v>
      </c>
      <c r="G24" s="532"/>
      <c r="H24" s="533"/>
      <c r="I24" s="531">
        <f t="shared" si="2"/>
        <v>8991.0584288580012</v>
      </c>
      <c r="J24" s="532"/>
      <c r="K24" s="533"/>
      <c r="L24" s="533"/>
      <c r="M24" s="531">
        <f>I24+K24</f>
        <v>8991.0584288580012</v>
      </c>
      <c r="N24" s="532"/>
      <c r="O24" s="536"/>
      <c r="P24" s="531">
        <f t="shared" si="4"/>
        <v>8991.0584288580012</v>
      </c>
      <c r="Q24" s="80" t="s">
        <v>160</v>
      </c>
      <c r="R24" s="95">
        <f t="shared" si="1"/>
        <v>14</v>
      </c>
      <c r="S24" s="87" t="s">
        <v>7</v>
      </c>
      <c r="T24" s="70"/>
    </row>
    <row r="25" spans="1:20">
      <c r="A25" s="95">
        <f t="shared" si="0"/>
        <v>15</v>
      </c>
      <c r="B25" s="104"/>
      <c r="D25" s="113"/>
      <c r="F25" s="113"/>
      <c r="I25" s="113"/>
      <c r="M25" s="113"/>
      <c r="O25" s="640"/>
      <c r="P25" s="650"/>
      <c r="Q25" s="114"/>
      <c r="R25" s="95">
        <f t="shared" si="1"/>
        <v>15</v>
      </c>
    </row>
    <row r="26" spans="1:20" ht="16" thickBot="1">
      <c r="A26" s="95">
        <f t="shared" si="0"/>
        <v>16</v>
      </c>
      <c r="B26" s="104"/>
      <c r="C26" s="97" t="s">
        <v>52</v>
      </c>
      <c r="D26" s="115">
        <f>SUM(D11:D24)</f>
        <v>477838.49032000004</v>
      </c>
      <c r="E26" s="544">
        <f>SUM(E11:E24)</f>
        <v>145143.08617989699</v>
      </c>
      <c r="F26" s="547">
        <f>SUM(F11:F24)</f>
        <v>332695.40414010303</v>
      </c>
      <c r="G26" s="628" t="s">
        <v>361</v>
      </c>
      <c r="H26" s="544">
        <f t="shared" ref="H26:P26" si="8">SUM(H11:H24)</f>
        <v>826.245</v>
      </c>
      <c r="I26" s="82">
        <f t="shared" si="8"/>
        <v>333521.64914010302</v>
      </c>
      <c r="J26" s="628" t="s">
        <v>361</v>
      </c>
      <c r="K26" s="535">
        <f t="shared" si="8"/>
        <v>1984.1449999999998</v>
      </c>
      <c r="L26" s="544"/>
      <c r="M26" s="82">
        <f t="shared" si="8"/>
        <v>335505.79414010304</v>
      </c>
      <c r="N26" s="547">
        <f t="shared" si="8"/>
        <v>-359.85032999999999</v>
      </c>
      <c r="O26" s="644" t="s">
        <v>361</v>
      </c>
      <c r="P26" s="82">
        <f t="shared" si="8"/>
        <v>335865.64447010303</v>
      </c>
      <c r="Q26" s="116" t="s">
        <v>455</v>
      </c>
      <c r="R26" s="95">
        <f t="shared" si="1"/>
        <v>16</v>
      </c>
    </row>
    <row r="27" spans="1:20" ht="16" thickTop="1">
      <c r="A27" s="95">
        <f t="shared" si="0"/>
        <v>17</v>
      </c>
      <c r="B27" s="104"/>
      <c r="C27" s="97"/>
      <c r="D27" s="77"/>
      <c r="E27" s="68"/>
      <c r="F27" s="84"/>
      <c r="G27" s="467"/>
      <c r="H27" s="467"/>
      <c r="I27" s="84"/>
      <c r="J27" s="467"/>
      <c r="K27" s="467"/>
      <c r="L27" s="467"/>
      <c r="M27" s="84"/>
      <c r="N27" s="467"/>
      <c r="O27" s="68"/>
      <c r="P27" s="651"/>
      <c r="Q27" s="116"/>
      <c r="R27" s="95">
        <f t="shared" si="1"/>
        <v>17</v>
      </c>
    </row>
    <row r="28" spans="1:20" ht="18">
      <c r="A28" s="95">
        <f t="shared" si="0"/>
        <v>18</v>
      </c>
      <c r="B28" s="104">
        <v>413</v>
      </c>
      <c r="C28" s="87" t="s">
        <v>281</v>
      </c>
      <c r="D28" s="531">
        <v>0</v>
      </c>
      <c r="E28" s="536">
        <v>0</v>
      </c>
      <c r="F28" s="532">
        <f>D28-E28</f>
        <v>0</v>
      </c>
      <c r="G28" s="532"/>
      <c r="H28" s="536">
        <f t="shared" ref="H28:I28" si="9">F28-G28</f>
        <v>0</v>
      </c>
      <c r="I28" s="531">
        <f t="shared" si="9"/>
        <v>0</v>
      </c>
      <c r="J28" s="532"/>
      <c r="K28" s="533"/>
      <c r="L28" s="533"/>
      <c r="M28" s="531">
        <f>I28+K28</f>
        <v>0</v>
      </c>
      <c r="N28" s="532"/>
      <c r="O28" s="536"/>
      <c r="P28" s="531">
        <f t="shared" ref="P28" si="10">M28-N28</f>
        <v>0</v>
      </c>
      <c r="Q28" s="116"/>
      <c r="R28" s="95">
        <f t="shared" si="1"/>
        <v>18</v>
      </c>
    </row>
    <row r="29" spans="1:20">
      <c r="A29" s="95">
        <f t="shared" si="0"/>
        <v>19</v>
      </c>
      <c r="B29" s="104"/>
      <c r="C29" s="97"/>
      <c r="D29" s="77"/>
      <c r="E29" s="68"/>
      <c r="F29" s="84"/>
      <c r="G29" s="467"/>
      <c r="H29" s="467"/>
      <c r="I29" s="84"/>
      <c r="J29" s="467"/>
      <c r="K29" s="467"/>
      <c r="L29" s="467"/>
      <c r="M29" s="84"/>
      <c r="N29" s="467"/>
      <c r="O29" s="68"/>
      <c r="P29" s="651"/>
      <c r="Q29" s="116"/>
      <c r="R29" s="95">
        <f t="shared" si="1"/>
        <v>19</v>
      </c>
    </row>
    <row r="30" spans="1:20" ht="16" thickBot="1">
      <c r="A30" s="95">
        <f t="shared" si="0"/>
        <v>20</v>
      </c>
      <c r="B30" s="104"/>
      <c r="C30" s="97" t="s">
        <v>119</v>
      </c>
      <c r="D30" s="115">
        <f>D26+D28</f>
        <v>477838.49032000004</v>
      </c>
      <c r="E30" s="68">
        <f>E26+E28</f>
        <v>145143.08617989699</v>
      </c>
      <c r="F30" s="82">
        <f>F26+F28</f>
        <v>332695.40414010303</v>
      </c>
      <c r="G30" s="628" t="s">
        <v>361</v>
      </c>
      <c r="H30" s="544">
        <f t="shared" ref="H30:P30" si="11">H26+H28</f>
        <v>826.245</v>
      </c>
      <c r="I30" s="82">
        <f t="shared" si="11"/>
        <v>333521.64914010302</v>
      </c>
      <c r="J30" s="628" t="s">
        <v>361</v>
      </c>
      <c r="K30" s="535">
        <f t="shared" si="11"/>
        <v>1984.1449999999998</v>
      </c>
      <c r="L30" s="544"/>
      <c r="M30" s="82">
        <f t="shared" si="11"/>
        <v>335505.79414010304</v>
      </c>
      <c r="N30" s="547">
        <f t="shared" si="11"/>
        <v>-359.85032999999999</v>
      </c>
      <c r="O30" s="644" t="s">
        <v>361</v>
      </c>
      <c r="P30" s="544">
        <f t="shared" si="11"/>
        <v>335865.64447010303</v>
      </c>
      <c r="Q30" s="116" t="s">
        <v>456</v>
      </c>
      <c r="R30" s="95">
        <f t="shared" si="1"/>
        <v>20</v>
      </c>
    </row>
    <row r="31" spans="1:20" ht="16.5" thickTop="1" thickBot="1">
      <c r="A31" s="95">
        <f t="shared" si="0"/>
        <v>21</v>
      </c>
      <c r="B31" s="117"/>
      <c r="C31" s="88"/>
      <c r="D31" s="118"/>
      <c r="E31" s="119"/>
      <c r="F31" s="119"/>
      <c r="G31" s="555"/>
      <c r="H31" s="555"/>
      <c r="I31" s="339"/>
      <c r="J31" s="555"/>
      <c r="K31" s="555"/>
      <c r="L31" s="555"/>
      <c r="M31" s="339"/>
      <c r="N31" s="555"/>
      <c r="O31" s="551"/>
      <c r="P31" s="339"/>
      <c r="Q31" s="120"/>
      <c r="R31" s="95">
        <f t="shared" si="1"/>
        <v>21</v>
      </c>
    </row>
    <row r="32" spans="1:20">
      <c r="A32" s="95">
        <f t="shared" si="0"/>
        <v>22</v>
      </c>
      <c r="B32" s="121"/>
      <c r="D32" s="122"/>
      <c r="E32" s="123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14"/>
      <c r="R32" s="95">
        <f t="shared" si="1"/>
        <v>22</v>
      </c>
    </row>
    <row r="33" spans="1:20">
      <c r="A33" s="95">
        <f t="shared" si="0"/>
        <v>23</v>
      </c>
      <c r="B33" s="124" t="s">
        <v>53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114"/>
      <c r="R33" s="95">
        <f t="shared" si="1"/>
        <v>23</v>
      </c>
    </row>
    <row r="34" spans="1:20">
      <c r="A34" s="95">
        <f t="shared" si="0"/>
        <v>24</v>
      </c>
      <c r="B34" s="409">
        <v>921</v>
      </c>
      <c r="C34" s="410" t="s">
        <v>344</v>
      </c>
      <c r="D34" s="402"/>
      <c r="E34" s="7">
        <v>0.75301000000000207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114"/>
      <c r="R34" s="95">
        <f t="shared" si="1"/>
        <v>24</v>
      </c>
    </row>
    <row r="35" spans="1:20">
      <c r="A35" s="95">
        <f t="shared" si="0"/>
        <v>25</v>
      </c>
      <c r="B35" s="409">
        <v>923</v>
      </c>
      <c r="C35" s="410" t="s">
        <v>344</v>
      </c>
      <c r="D35" s="402"/>
      <c r="E35" s="6">
        <v>333.74215999999996</v>
      </c>
      <c r="Q35" s="114"/>
      <c r="R35" s="95">
        <f t="shared" si="1"/>
        <v>25</v>
      </c>
      <c r="T35" s="108"/>
    </row>
    <row r="36" spans="1:20">
      <c r="A36" s="95">
        <f t="shared" si="0"/>
        <v>26</v>
      </c>
      <c r="B36" s="409">
        <v>925</v>
      </c>
      <c r="C36" s="411" t="s">
        <v>54</v>
      </c>
      <c r="D36" s="6">
        <v>102.631419228</v>
      </c>
      <c r="Q36" s="114"/>
      <c r="R36" s="95">
        <f t="shared" si="1"/>
        <v>26</v>
      </c>
    </row>
    <row r="37" spans="1:20">
      <c r="A37" s="95">
        <f t="shared" si="0"/>
        <v>27</v>
      </c>
      <c r="B37" s="409"/>
      <c r="C37" s="411" t="s">
        <v>120</v>
      </c>
      <c r="D37" s="537">
        <v>0</v>
      </c>
      <c r="E37" s="87">
        <f>SUM(D36:D37)</f>
        <v>102.631419228</v>
      </c>
      <c r="Q37" s="114"/>
      <c r="R37" s="95">
        <f t="shared" si="1"/>
        <v>27</v>
      </c>
    </row>
    <row r="38" spans="1:20">
      <c r="A38" s="95">
        <f t="shared" si="0"/>
        <v>28</v>
      </c>
      <c r="B38" s="409">
        <v>926</v>
      </c>
      <c r="C38" s="411" t="s">
        <v>54</v>
      </c>
      <c r="D38" s="403"/>
      <c r="E38" s="6">
        <v>343.98778952699996</v>
      </c>
      <c r="Q38" s="114"/>
      <c r="R38" s="95">
        <f t="shared" si="1"/>
        <v>28</v>
      </c>
    </row>
    <row r="39" spans="1:20">
      <c r="A39" s="95">
        <f t="shared" si="0"/>
        <v>29</v>
      </c>
      <c r="B39" s="409">
        <v>927</v>
      </c>
      <c r="C39" s="411" t="s">
        <v>48</v>
      </c>
      <c r="D39" s="403"/>
      <c r="E39" s="6">
        <v>131978.20225999999</v>
      </c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6"/>
      <c r="R39" s="95">
        <f t="shared" si="1"/>
        <v>29</v>
      </c>
    </row>
    <row r="40" spans="1:20">
      <c r="A40" s="95">
        <f t="shared" si="0"/>
        <v>30</v>
      </c>
      <c r="B40" s="409">
        <v>928</v>
      </c>
      <c r="C40" s="411" t="s">
        <v>54</v>
      </c>
      <c r="D40" s="6">
        <v>0</v>
      </c>
      <c r="E40" s="6"/>
      <c r="Q40" s="114"/>
      <c r="R40" s="95">
        <f t="shared" si="1"/>
        <v>30</v>
      </c>
    </row>
    <row r="41" spans="1:20">
      <c r="A41" s="95">
        <f t="shared" si="0"/>
        <v>31</v>
      </c>
      <c r="B41" s="409"/>
      <c r="C41" s="410" t="s">
        <v>55</v>
      </c>
      <c r="D41" s="6">
        <v>0</v>
      </c>
      <c r="E41" s="6"/>
      <c r="Q41" s="114"/>
      <c r="R41" s="95">
        <f t="shared" si="1"/>
        <v>31</v>
      </c>
    </row>
    <row r="42" spans="1:20">
      <c r="A42" s="95">
        <f t="shared" si="0"/>
        <v>32</v>
      </c>
      <c r="B42" s="409"/>
      <c r="C42" s="410" t="s">
        <v>56</v>
      </c>
      <c r="D42" s="6">
        <v>1333.8680300000003</v>
      </c>
      <c r="E42" s="404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6"/>
      <c r="R42" s="95">
        <f t="shared" si="1"/>
        <v>32</v>
      </c>
    </row>
    <row r="43" spans="1:20">
      <c r="A43" s="95">
        <f t="shared" si="0"/>
        <v>33</v>
      </c>
      <c r="B43" s="409"/>
      <c r="C43" s="410" t="s">
        <v>57</v>
      </c>
      <c r="D43" s="6">
        <v>8601.3346500000007</v>
      </c>
      <c r="E43" s="405"/>
      <c r="Q43" s="114"/>
      <c r="R43" s="95">
        <f t="shared" si="1"/>
        <v>33</v>
      </c>
    </row>
    <row r="44" spans="1:20">
      <c r="A44" s="95">
        <f t="shared" si="0"/>
        <v>34</v>
      </c>
      <c r="B44" s="412"/>
      <c r="C44" s="411" t="s">
        <v>58</v>
      </c>
      <c r="D44" s="556">
        <v>140.84690000000001</v>
      </c>
      <c r="E44" s="406">
        <f>SUM(D40:D44)</f>
        <v>10076.049580000001</v>
      </c>
      <c r="Q44" s="114"/>
      <c r="R44" s="95">
        <f t="shared" si="1"/>
        <v>34</v>
      </c>
    </row>
    <row r="45" spans="1:20" ht="18">
      <c r="A45" s="95">
        <f t="shared" si="0"/>
        <v>35</v>
      </c>
      <c r="B45" s="642">
        <v>929</v>
      </c>
      <c r="C45" s="125" t="s">
        <v>617</v>
      </c>
      <c r="D45" s="641"/>
      <c r="E45" s="406"/>
      <c r="N45" s="97"/>
      <c r="Q45" s="114"/>
      <c r="R45" s="95">
        <f t="shared" si="1"/>
        <v>35</v>
      </c>
    </row>
    <row r="46" spans="1:20">
      <c r="A46" s="95">
        <f t="shared" si="0"/>
        <v>36</v>
      </c>
      <c r="B46" s="413">
        <v>930.1</v>
      </c>
      <c r="C46" s="410" t="s">
        <v>50</v>
      </c>
      <c r="D46" s="403"/>
      <c r="E46" s="6">
        <v>242.68352000000002</v>
      </c>
      <c r="Q46" s="114"/>
      <c r="R46" s="95">
        <f t="shared" si="1"/>
        <v>36</v>
      </c>
    </row>
    <row r="47" spans="1:20">
      <c r="A47" s="95">
        <f t="shared" si="0"/>
        <v>37</v>
      </c>
      <c r="B47" s="413">
        <v>930.2</v>
      </c>
      <c r="C47" s="411" t="s">
        <v>59</v>
      </c>
      <c r="D47" s="9">
        <v>0</v>
      </c>
      <c r="E47" s="407"/>
      <c r="Q47" s="114"/>
      <c r="R47" s="95">
        <f t="shared" si="1"/>
        <v>37</v>
      </c>
    </row>
    <row r="48" spans="1:20">
      <c r="A48" s="95">
        <f t="shared" si="0"/>
        <v>38</v>
      </c>
      <c r="B48" s="413"/>
      <c r="C48" s="411" t="s">
        <v>60</v>
      </c>
      <c r="D48" s="557">
        <v>2000.03565</v>
      </c>
      <c r="E48" s="9">
        <f>SUM(D47:D48)</f>
        <v>2000.03565</v>
      </c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14"/>
      <c r="R48" s="95">
        <f t="shared" si="1"/>
        <v>38</v>
      </c>
    </row>
    <row r="49" spans="1:18">
      <c r="A49" s="95">
        <f t="shared" si="0"/>
        <v>39</v>
      </c>
      <c r="B49" s="409">
        <v>935</v>
      </c>
      <c r="C49" s="414" t="s">
        <v>61</v>
      </c>
      <c r="D49" s="408"/>
      <c r="E49" s="537">
        <v>65.000791141999997</v>
      </c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14"/>
      <c r="R49" s="95">
        <f t="shared" si="1"/>
        <v>39</v>
      </c>
    </row>
    <row r="50" spans="1:18">
      <c r="A50" s="95">
        <f t="shared" si="0"/>
        <v>40</v>
      </c>
      <c r="B50" s="133"/>
      <c r="C50" s="108"/>
      <c r="D50" s="337"/>
      <c r="E50" s="6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14"/>
      <c r="R50" s="95">
        <f t="shared" si="1"/>
        <v>40</v>
      </c>
    </row>
    <row r="51" spans="1:18" ht="16" thickBot="1">
      <c r="A51" s="95">
        <f t="shared" si="0"/>
        <v>41</v>
      </c>
      <c r="B51" s="121"/>
      <c r="C51" s="125" t="s">
        <v>42</v>
      </c>
      <c r="D51" s="338"/>
      <c r="E51" s="558">
        <f>SUM(E34:E49)</f>
        <v>145143.08617989699</v>
      </c>
      <c r="F51" s="78"/>
      <c r="G51" s="78"/>
      <c r="H51" s="78"/>
      <c r="I51" s="78"/>
      <c r="J51" s="78"/>
      <c r="K51" s="78"/>
      <c r="L51" s="78"/>
      <c r="M51" s="78"/>
      <c r="N51" s="664"/>
      <c r="O51" s="78"/>
      <c r="P51" s="78"/>
      <c r="Q51" s="114"/>
      <c r="R51" s="95">
        <f t="shared" si="1"/>
        <v>41</v>
      </c>
    </row>
    <row r="52" spans="1:18" ht="16" thickTop="1">
      <c r="A52" s="95">
        <f t="shared" si="0"/>
        <v>42</v>
      </c>
      <c r="B52" s="121"/>
      <c r="C52" s="125"/>
      <c r="E52" s="126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114"/>
      <c r="R52" s="95">
        <f t="shared" si="1"/>
        <v>42</v>
      </c>
    </row>
    <row r="53" spans="1:18">
      <c r="A53" s="95">
        <f t="shared" si="0"/>
        <v>43</v>
      </c>
      <c r="B53" s="538" t="s">
        <v>361</v>
      </c>
      <c r="C53" s="125" t="str">
        <f>'Pg7 Rev Stmt AH'!B74</f>
        <v>Items in BOLD have changed to correct the over-allocation of "Duplicate Charges (Company Energy Use)" Credit in FERC Account no. 929.</v>
      </c>
      <c r="E53" s="126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114"/>
      <c r="R53" s="95">
        <f t="shared" si="1"/>
        <v>43</v>
      </c>
    </row>
    <row r="54" spans="1:18" ht="18.5">
      <c r="A54" s="95">
        <f t="shared" si="0"/>
        <v>44</v>
      </c>
      <c r="B54" s="86">
        <v>1</v>
      </c>
      <c r="C54" s="38" t="s">
        <v>460</v>
      </c>
      <c r="E54" s="126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114"/>
      <c r="R54" s="95">
        <f t="shared" si="1"/>
        <v>44</v>
      </c>
    </row>
    <row r="55" spans="1:18" ht="18.5">
      <c r="A55" s="95">
        <f t="shared" si="0"/>
        <v>45</v>
      </c>
      <c r="B55" s="346"/>
      <c r="C55" s="1" t="s">
        <v>343</v>
      </c>
      <c r="E55" s="126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114"/>
      <c r="R55" s="95">
        <f t="shared" si="1"/>
        <v>45</v>
      </c>
    </row>
    <row r="56" spans="1:18" ht="18">
      <c r="A56" s="95">
        <f t="shared" si="0"/>
        <v>46</v>
      </c>
      <c r="B56" s="559">
        <v>2</v>
      </c>
      <c r="C56" s="76" t="s">
        <v>461</v>
      </c>
      <c r="E56" s="126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114"/>
      <c r="R56" s="95">
        <f t="shared" si="1"/>
        <v>46</v>
      </c>
    </row>
    <row r="57" spans="1:18" ht="18">
      <c r="A57" s="95">
        <f t="shared" si="0"/>
        <v>47</v>
      </c>
      <c r="B57" s="559"/>
      <c r="C57" s="76" t="s">
        <v>462</v>
      </c>
      <c r="E57" s="126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114"/>
      <c r="R57" s="95">
        <f t="shared" si="1"/>
        <v>47</v>
      </c>
    </row>
    <row r="58" spans="1:18" ht="16.5">
      <c r="A58" s="95">
        <f t="shared" si="0"/>
        <v>48</v>
      </c>
      <c r="B58" s="563">
        <v>3</v>
      </c>
      <c r="C58" s="1" t="s">
        <v>464</v>
      </c>
      <c r="E58" s="126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114"/>
      <c r="R58" s="95">
        <f t="shared" si="1"/>
        <v>48</v>
      </c>
    </row>
    <row r="59" spans="1:18" ht="17">
      <c r="A59" s="95">
        <f t="shared" si="0"/>
        <v>49</v>
      </c>
      <c r="B59" s="564">
        <v>4</v>
      </c>
      <c r="C59" s="1" t="s">
        <v>465</v>
      </c>
      <c r="E59" s="126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114"/>
      <c r="R59" s="95">
        <f t="shared" si="1"/>
        <v>49</v>
      </c>
    </row>
    <row r="60" spans="1:18" ht="16.5">
      <c r="A60" s="95">
        <f t="shared" si="0"/>
        <v>50</v>
      </c>
      <c r="B60" s="563">
        <v>5</v>
      </c>
      <c r="C60" s="1" t="s">
        <v>466</v>
      </c>
      <c r="E60" s="126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114"/>
      <c r="R60" s="95">
        <f t="shared" si="1"/>
        <v>50</v>
      </c>
    </row>
    <row r="61" spans="1:18" ht="16.5">
      <c r="A61" s="95">
        <f t="shared" si="0"/>
        <v>51</v>
      </c>
      <c r="B61" s="563">
        <v>6</v>
      </c>
      <c r="C61" s="1" t="s">
        <v>467</v>
      </c>
      <c r="E61" s="126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114"/>
      <c r="R61" s="95">
        <f t="shared" si="1"/>
        <v>51</v>
      </c>
    </row>
    <row r="62" spans="1:18" ht="16.5">
      <c r="A62" s="95">
        <f t="shared" si="0"/>
        <v>52</v>
      </c>
      <c r="B62" s="563">
        <v>7</v>
      </c>
      <c r="C62" s="38" t="s">
        <v>616</v>
      </c>
      <c r="E62" s="126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114"/>
      <c r="R62" s="95">
        <f t="shared" si="1"/>
        <v>52</v>
      </c>
    </row>
    <row r="63" spans="1:18" ht="16" thickBot="1">
      <c r="A63" s="95">
        <f t="shared" si="0"/>
        <v>53</v>
      </c>
      <c r="B63" s="127"/>
      <c r="C63" s="12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120"/>
      <c r="R63" s="95">
        <f t="shared" si="1"/>
        <v>53</v>
      </c>
    </row>
    <row r="64" spans="1:18">
      <c r="C64" s="108"/>
    </row>
    <row r="65" spans="1:16">
      <c r="A65" s="89"/>
      <c r="C65" s="108"/>
      <c r="D65" s="129"/>
      <c r="E65" s="129"/>
    </row>
    <row r="66" spans="1:16" ht="18">
      <c r="A66" s="130"/>
      <c r="B66" s="62"/>
      <c r="C66" s="1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t="18">
      <c r="A67" s="130"/>
      <c r="B67" s="62"/>
      <c r="C67" s="11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ht="18">
      <c r="A68" s="130"/>
      <c r="B68" s="7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8">
      <c r="A69" s="130"/>
      <c r="C69" s="108"/>
    </row>
    <row r="70" spans="1:16" ht="18">
      <c r="A70" s="130"/>
      <c r="C70" s="108"/>
    </row>
    <row r="71" spans="1:16" ht="18">
      <c r="A71" s="130"/>
      <c r="C71" s="108"/>
    </row>
    <row r="72" spans="1:16">
      <c r="A72" s="89"/>
      <c r="C72" s="108"/>
    </row>
    <row r="73" spans="1:16" ht="18">
      <c r="A73" s="130"/>
      <c r="C73" s="108"/>
    </row>
    <row r="74" spans="1:16">
      <c r="A74" s="89"/>
      <c r="C74" s="108"/>
    </row>
    <row r="75" spans="1:16" ht="18">
      <c r="A75" s="130"/>
      <c r="C75" s="108"/>
    </row>
    <row r="76" spans="1:16">
      <c r="A76" s="89"/>
      <c r="C76" s="108"/>
    </row>
    <row r="77" spans="1:16" ht="18">
      <c r="A77" s="130"/>
      <c r="C77" s="108"/>
    </row>
    <row r="78" spans="1:16" ht="18">
      <c r="A78" s="130"/>
      <c r="B78" s="108"/>
    </row>
    <row r="79" spans="1:16" ht="18">
      <c r="A79" s="130"/>
      <c r="B79" s="108"/>
    </row>
    <row r="80" spans="1:16">
      <c r="B80" s="108"/>
    </row>
    <row r="81" spans="1:2" ht="18">
      <c r="A81" s="130"/>
      <c r="B81" s="108"/>
    </row>
    <row r="82" spans="1:2">
      <c r="A82" s="131"/>
      <c r="B82" s="132"/>
    </row>
    <row r="83" spans="1:2">
      <c r="B83" s="108"/>
    </row>
  </sheetData>
  <mergeCells count="4">
    <mergeCell ref="B2:Q2"/>
    <mergeCell ref="B3:Q3"/>
    <mergeCell ref="B4:Q4"/>
    <mergeCell ref="B5:Q5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Roman,Bold"&amp;7REVISED</oddHeader>
    <oddFooter>&amp;L&amp;F&amp;CPage 7.2&amp;R&amp;A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73CF-DE93-4B0B-93AD-4F3EEEE794D6}">
  <sheetPr>
    <pageSetUpPr fitToPage="1"/>
  </sheetPr>
  <dimension ref="A1:R82"/>
  <sheetViews>
    <sheetView zoomScale="80" zoomScaleNormal="80" workbookViewId="0"/>
  </sheetViews>
  <sheetFormatPr defaultColWidth="9.08984375" defaultRowHeight="15.5"/>
  <cols>
    <col min="1" max="1" width="5.08984375" style="95" customWidth="1"/>
    <col min="2" max="2" width="8.6328125" style="87" customWidth="1"/>
    <col min="3" max="3" width="68.81640625" style="87" customWidth="1"/>
    <col min="4" max="6" width="16.81640625" style="87" customWidth="1"/>
    <col min="7" max="7" width="1.6328125" style="87" customWidth="1"/>
    <col min="8" max="9" width="16.81640625" style="87" customWidth="1"/>
    <col min="10" max="10" width="2" style="87" bestFit="1" customWidth="1"/>
    <col min="11" max="11" width="12.6328125" style="87" customWidth="1"/>
    <col min="12" max="12" width="3.81640625" style="87" bestFit="1" customWidth="1"/>
    <col min="13" max="13" width="16.6328125" style="87" bestFit="1" customWidth="1"/>
    <col min="14" max="14" width="34.6328125" style="87" customWidth="1"/>
    <col min="15" max="15" width="5.08984375" style="95" customWidth="1"/>
    <col min="16" max="16" width="4" style="87" customWidth="1"/>
    <col min="17" max="17" width="13.1796875" style="87" bestFit="1" customWidth="1"/>
    <col min="18" max="18" width="9.08984375" style="87"/>
    <col min="19" max="19" width="9.81640625" style="87" customWidth="1"/>
    <col min="20" max="20" width="10" style="87" customWidth="1"/>
    <col min="21" max="16384" width="9.08984375" style="87"/>
  </cols>
  <sheetData>
    <row r="1" spans="1:18">
      <c r="A1" s="633" t="s">
        <v>648</v>
      </c>
    </row>
    <row r="2" spans="1:18">
      <c r="N2" s="335"/>
    </row>
    <row r="3" spans="1:18">
      <c r="B3" s="730" t="s">
        <v>12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89"/>
    </row>
    <row r="4" spans="1:18">
      <c r="B4" s="730" t="s">
        <v>43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89"/>
    </row>
    <row r="5" spans="1:18">
      <c r="B5" s="730" t="s">
        <v>447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89"/>
    </row>
    <row r="6" spans="1:18">
      <c r="B6" s="731" t="s">
        <v>1</v>
      </c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89"/>
    </row>
    <row r="7" spans="1:18" ht="16" thickBot="1"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Q7" s="76"/>
    </row>
    <row r="8" spans="1:18" ht="18">
      <c r="A8" s="89"/>
      <c r="B8" s="90"/>
      <c r="C8" s="91"/>
      <c r="D8" s="92" t="s">
        <v>3</v>
      </c>
      <c r="E8" s="93" t="s">
        <v>4</v>
      </c>
      <c r="F8" s="92" t="s">
        <v>34</v>
      </c>
      <c r="G8" s="93"/>
      <c r="H8" s="539" t="s">
        <v>457</v>
      </c>
      <c r="I8" s="539" t="s">
        <v>448</v>
      </c>
      <c r="J8" s="529"/>
      <c r="K8" s="529" t="s">
        <v>451</v>
      </c>
      <c r="L8" s="539"/>
      <c r="M8" s="539" t="s">
        <v>452</v>
      </c>
      <c r="N8" s="94"/>
      <c r="O8" s="89"/>
    </row>
    <row r="9" spans="1:18">
      <c r="A9" s="95" t="s">
        <v>2</v>
      </c>
      <c r="B9" s="96" t="s">
        <v>35</v>
      </c>
      <c r="C9" s="97"/>
      <c r="D9" s="98" t="s">
        <v>15</v>
      </c>
      <c r="E9" s="89" t="s">
        <v>36</v>
      </c>
      <c r="F9" s="98" t="s">
        <v>15</v>
      </c>
      <c r="G9" s="548"/>
      <c r="H9" s="549" t="s">
        <v>449</v>
      </c>
      <c r="I9" s="542" t="s">
        <v>450</v>
      </c>
      <c r="J9" s="461"/>
      <c r="K9" s="540" t="s">
        <v>453</v>
      </c>
      <c r="L9" s="541"/>
      <c r="M9" s="542" t="s">
        <v>601</v>
      </c>
      <c r="N9" s="99"/>
      <c r="O9" s="95" t="s">
        <v>2</v>
      </c>
    </row>
    <row r="10" spans="1:18" ht="16" thickBot="1">
      <c r="A10" s="95" t="s">
        <v>14</v>
      </c>
      <c r="B10" s="100" t="s">
        <v>37</v>
      </c>
      <c r="C10" s="101" t="s">
        <v>16</v>
      </c>
      <c r="D10" s="102" t="s">
        <v>38</v>
      </c>
      <c r="E10" s="101" t="s">
        <v>39</v>
      </c>
      <c r="F10" s="102" t="s">
        <v>40</v>
      </c>
      <c r="G10" s="550"/>
      <c r="H10" s="551" t="s">
        <v>458</v>
      </c>
      <c r="I10" s="552" t="s">
        <v>459</v>
      </c>
      <c r="J10" s="560"/>
      <c r="K10" s="560" t="s">
        <v>454</v>
      </c>
      <c r="L10" s="552"/>
      <c r="M10" s="552" t="s">
        <v>600</v>
      </c>
      <c r="N10" s="103" t="s">
        <v>6</v>
      </c>
      <c r="O10" s="95" t="s">
        <v>14</v>
      </c>
      <c r="P10" s="95"/>
    </row>
    <row r="11" spans="1:18">
      <c r="B11" s="104"/>
      <c r="C11" s="105" t="s">
        <v>44</v>
      </c>
      <c r="D11" s="334"/>
      <c r="E11" s="334"/>
      <c r="F11" s="106"/>
      <c r="G11" s="553"/>
      <c r="H11" s="553"/>
      <c r="I11" s="554"/>
      <c r="J11" s="553"/>
      <c r="K11" s="553"/>
      <c r="L11" s="553"/>
      <c r="M11" s="554"/>
      <c r="N11" s="107"/>
    </row>
    <row r="12" spans="1:18">
      <c r="A12" s="95">
        <v>1</v>
      </c>
      <c r="B12" s="104">
        <v>920</v>
      </c>
      <c r="C12" s="108" t="s">
        <v>45</v>
      </c>
      <c r="D12" s="72">
        <v>38528.063410000002</v>
      </c>
      <c r="E12" s="72">
        <v>0</v>
      </c>
      <c r="F12" s="72">
        <f>D12-E12</f>
        <v>38528.063410000002</v>
      </c>
      <c r="G12" s="268"/>
      <c r="H12" s="268"/>
      <c r="I12" s="72">
        <f>F12+H12</f>
        <v>38528.063410000002</v>
      </c>
      <c r="J12" s="268"/>
      <c r="K12" s="268"/>
      <c r="L12" s="268"/>
      <c r="M12" s="72">
        <f>I12+K12</f>
        <v>38528.063410000002</v>
      </c>
      <c r="N12" s="80" t="s">
        <v>147</v>
      </c>
      <c r="O12" s="95">
        <f>A12</f>
        <v>1</v>
      </c>
      <c r="P12" s="87" t="s">
        <v>7</v>
      </c>
      <c r="Q12" s="70"/>
    </row>
    <row r="13" spans="1:18" ht="16.5">
      <c r="A13" s="95">
        <f t="shared" ref="A13:A62" si="0">A12+1</f>
        <v>2</v>
      </c>
      <c r="B13" s="96">
        <v>921</v>
      </c>
      <c r="C13" s="108" t="s">
        <v>245</v>
      </c>
      <c r="D13" s="73">
        <v>8714.1837200000009</v>
      </c>
      <c r="E13" s="81">
        <v>0.75301000000000207</v>
      </c>
      <c r="F13" s="73">
        <f>D13-E13</f>
        <v>8713.4307100000005</v>
      </c>
      <c r="G13" s="81"/>
      <c r="H13" s="81"/>
      <c r="I13" s="73">
        <f>F13+H13</f>
        <v>8713.4307100000005</v>
      </c>
      <c r="J13" s="460" t="s">
        <v>361</v>
      </c>
      <c r="K13" s="373">
        <f>-660.505-691.842</f>
        <v>-1352.347</v>
      </c>
      <c r="L13" s="561">
        <v>6</v>
      </c>
      <c r="M13" s="546">
        <f>I13+K13</f>
        <v>7361.0837100000008</v>
      </c>
      <c r="N13" s="80" t="s">
        <v>148</v>
      </c>
      <c r="O13" s="95">
        <f t="shared" ref="O13:O62" si="1">O12+1</f>
        <v>2</v>
      </c>
      <c r="Q13" s="70"/>
      <c r="R13" s="109"/>
    </row>
    <row r="14" spans="1:18" ht="16.5">
      <c r="A14" s="95">
        <f t="shared" si="0"/>
        <v>3</v>
      </c>
      <c r="B14" s="96">
        <v>922</v>
      </c>
      <c r="C14" s="108" t="s">
        <v>46</v>
      </c>
      <c r="D14" s="73">
        <v>-10239.58124</v>
      </c>
      <c r="E14" s="81">
        <v>0</v>
      </c>
      <c r="F14" s="73">
        <f>D14-E14</f>
        <v>-10239.58124</v>
      </c>
      <c r="G14" s="81"/>
      <c r="H14" s="81"/>
      <c r="I14" s="73">
        <f t="shared" ref="I14:I25" si="2">F14+H14</f>
        <v>-10239.58124</v>
      </c>
      <c r="J14" s="373"/>
      <c r="K14" s="373">
        <v>2720</v>
      </c>
      <c r="L14" s="561">
        <v>3</v>
      </c>
      <c r="M14" s="546">
        <f t="shared" ref="M14:M24" si="3">I14+K14</f>
        <v>-7519.5812399999995</v>
      </c>
      <c r="N14" s="80" t="s">
        <v>149</v>
      </c>
      <c r="O14" s="95">
        <f t="shared" si="1"/>
        <v>3</v>
      </c>
      <c r="Q14" s="70"/>
    </row>
    <row r="15" spans="1:18" ht="16.5">
      <c r="A15" s="95">
        <f t="shared" si="0"/>
        <v>4</v>
      </c>
      <c r="B15" s="96">
        <v>923</v>
      </c>
      <c r="C15" s="108" t="s">
        <v>244</v>
      </c>
      <c r="D15" s="73">
        <v>93646.322090000001</v>
      </c>
      <c r="E15" s="81">
        <v>333.74215999999996</v>
      </c>
      <c r="F15" s="73">
        <f>D15-E15</f>
        <v>93312.579930000007</v>
      </c>
      <c r="G15" s="545" t="s">
        <v>361</v>
      </c>
      <c r="H15" s="6">
        <f>543.571+282.674</f>
        <v>826.245</v>
      </c>
      <c r="I15" s="73">
        <f t="shared" si="2"/>
        <v>94138.824930000002</v>
      </c>
      <c r="J15" s="460" t="s">
        <v>361</v>
      </c>
      <c r="K15" s="543">
        <f>1.202-3.611</f>
        <v>-2.4090000000000003</v>
      </c>
      <c r="L15" s="562" t="s">
        <v>463</v>
      </c>
      <c r="M15" s="546">
        <f t="shared" si="3"/>
        <v>94136.415930000003</v>
      </c>
      <c r="N15" s="80" t="s">
        <v>150</v>
      </c>
      <c r="O15" s="95">
        <f t="shared" si="1"/>
        <v>4</v>
      </c>
      <c r="Q15" s="70"/>
    </row>
    <row r="16" spans="1:18">
      <c r="A16" s="95">
        <f t="shared" si="0"/>
        <v>5</v>
      </c>
      <c r="B16" s="104">
        <v>924</v>
      </c>
      <c r="C16" s="108" t="s">
        <v>242</v>
      </c>
      <c r="D16" s="73">
        <v>5523.0058700000009</v>
      </c>
      <c r="E16" s="81">
        <v>0</v>
      </c>
      <c r="F16" s="73">
        <f t="shared" ref="F16:F17" si="4">D16-E16</f>
        <v>5523.0058700000009</v>
      </c>
      <c r="G16" s="81"/>
      <c r="H16" s="81"/>
      <c r="I16" s="73">
        <f t="shared" si="2"/>
        <v>5523.0058700000009</v>
      </c>
      <c r="J16" s="81"/>
      <c r="K16" s="81"/>
      <c r="L16" s="81"/>
      <c r="M16" s="73">
        <f t="shared" si="3"/>
        <v>5523.0058700000009</v>
      </c>
      <c r="N16" s="80" t="s">
        <v>151</v>
      </c>
      <c r="O16" s="95">
        <f t="shared" si="1"/>
        <v>5</v>
      </c>
      <c r="Q16" s="70"/>
    </row>
    <row r="17" spans="1:17">
      <c r="A17" s="95">
        <f t="shared" si="0"/>
        <v>6</v>
      </c>
      <c r="B17" s="104">
        <v>925</v>
      </c>
      <c r="C17" s="108" t="s">
        <v>120</v>
      </c>
      <c r="D17" s="73">
        <v>112646.05174</v>
      </c>
      <c r="E17" s="81">
        <v>102.631419228</v>
      </c>
      <c r="F17" s="73">
        <f t="shared" si="4"/>
        <v>112543.420320772</v>
      </c>
      <c r="G17" s="81"/>
      <c r="H17" s="81"/>
      <c r="I17" s="73">
        <f t="shared" si="2"/>
        <v>112543.420320772</v>
      </c>
      <c r="J17" s="81"/>
      <c r="K17" s="81"/>
      <c r="L17" s="81"/>
      <c r="M17" s="73">
        <f t="shared" si="3"/>
        <v>112543.420320772</v>
      </c>
      <c r="N17" s="80" t="s">
        <v>152</v>
      </c>
      <c r="O17" s="95">
        <f t="shared" si="1"/>
        <v>6</v>
      </c>
      <c r="Q17" s="70"/>
    </row>
    <row r="18" spans="1:17">
      <c r="A18" s="95">
        <f t="shared" si="0"/>
        <v>7</v>
      </c>
      <c r="B18" s="104">
        <v>926</v>
      </c>
      <c r="C18" s="108" t="s">
        <v>47</v>
      </c>
      <c r="D18" s="73">
        <v>48997.417150000008</v>
      </c>
      <c r="E18" s="81">
        <v>343.98778952699996</v>
      </c>
      <c r="F18" s="73">
        <f>D18-E18</f>
        <v>48653.429360473012</v>
      </c>
      <c r="G18" s="81"/>
      <c r="H18" s="81"/>
      <c r="I18" s="73">
        <f t="shared" si="2"/>
        <v>48653.429360473012</v>
      </c>
      <c r="J18" s="81"/>
      <c r="K18" s="81"/>
      <c r="L18" s="81"/>
      <c r="M18" s="73">
        <f t="shared" si="3"/>
        <v>48653.429360473012</v>
      </c>
      <c r="N18" s="80" t="s">
        <v>153</v>
      </c>
      <c r="O18" s="95">
        <f t="shared" si="1"/>
        <v>7</v>
      </c>
      <c r="Q18" s="110"/>
    </row>
    <row r="19" spans="1:17">
      <c r="A19" s="95">
        <f t="shared" si="0"/>
        <v>8</v>
      </c>
      <c r="B19" s="104">
        <v>927</v>
      </c>
      <c r="C19" s="108" t="s">
        <v>48</v>
      </c>
      <c r="D19" s="73">
        <v>131978.20225999999</v>
      </c>
      <c r="E19" s="81">
        <v>131978.20225999999</v>
      </c>
      <c r="F19" s="73">
        <f t="shared" ref="F19:F21" si="5">D19-E19</f>
        <v>0</v>
      </c>
      <c r="G19" s="81"/>
      <c r="H19" s="81"/>
      <c r="I19" s="73">
        <f t="shared" si="2"/>
        <v>0</v>
      </c>
      <c r="J19" s="81"/>
      <c r="K19" s="81"/>
      <c r="L19" s="81"/>
      <c r="M19" s="73">
        <f t="shared" si="3"/>
        <v>0</v>
      </c>
      <c r="N19" s="80" t="s">
        <v>154</v>
      </c>
      <c r="O19" s="95">
        <f t="shared" si="1"/>
        <v>8</v>
      </c>
      <c r="Q19" s="110"/>
    </row>
    <row r="20" spans="1:17" ht="16.5">
      <c r="A20" s="95">
        <f t="shared" si="0"/>
        <v>9</v>
      </c>
      <c r="B20" s="96">
        <v>928</v>
      </c>
      <c r="C20" s="108" t="s">
        <v>161</v>
      </c>
      <c r="D20" s="73">
        <v>20960.245720000003</v>
      </c>
      <c r="E20" s="81">
        <v>10076.049580000001</v>
      </c>
      <c r="F20" s="73">
        <f t="shared" si="5"/>
        <v>10884.196140000002</v>
      </c>
      <c r="G20" s="81"/>
      <c r="H20" s="81"/>
      <c r="I20" s="73">
        <f t="shared" si="2"/>
        <v>10884.196140000002</v>
      </c>
      <c r="J20" s="460" t="s">
        <v>361</v>
      </c>
      <c r="K20" s="543">
        <v>692.92700000000002</v>
      </c>
      <c r="L20" s="561">
        <v>5</v>
      </c>
      <c r="M20" s="546">
        <f t="shared" si="3"/>
        <v>11577.123140000002</v>
      </c>
      <c r="N20" s="80" t="s">
        <v>155</v>
      </c>
      <c r="O20" s="95">
        <f t="shared" si="1"/>
        <v>9</v>
      </c>
      <c r="Q20" s="110"/>
    </row>
    <row r="21" spans="1:17">
      <c r="A21" s="95">
        <f t="shared" si="0"/>
        <v>10</v>
      </c>
      <c r="B21" s="104">
        <v>929</v>
      </c>
      <c r="C21" s="108" t="s">
        <v>49</v>
      </c>
      <c r="D21" s="73">
        <v>-1622.2648800000004</v>
      </c>
      <c r="E21" s="81">
        <v>0</v>
      </c>
      <c r="F21" s="73">
        <f t="shared" si="5"/>
        <v>-1622.2648800000004</v>
      </c>
      <c r="G21" s="81"/>
      <c r="H21" s="81"/>
      <c r="I21" s="73">
        <f t="shared" si="2"/>
        <v>-1622.2648800000004</v>
      </c>
      <c r="J21" s="81"/>
      <c r="K21" s="81"/>
      <c r="L21" s="81"/>
      <c r="M21" s="73">
        <f t="shared" si="3"/>
        <v>-1622.2648800000004</v>
      </c>
      <c r="N21" s="80" t="s">
        <v>156</v>
      </c>
      <c r="O21" s="95">
        <f t="shared" si="1"/>
        <v>10</v>
      </c>
      <c r="Q21" s="70"/>
    </row>
    <row r="22" spans="1:17">
      <c r="A22" s="95">
        <f t="shared" si="0"/>
        <v>11</v>
      </c>
      <c r="B22" s="111">
        <v>930.1</v>
      </c>
      <c r="C22" s="108" t="s">
        <v>50</v>
      </c>
      <c r="D22" s="73">
        <v>242.68352000000002</v>
      </c>
      <c r="E22" s="81">
        <v>242.68352000000002</v>
      </c>
      <c r="F22" s="73">
        <f>D22-E22</f>
        <v>0</v>
      </c>
      <c r="G22" s="81"/>
      <c r="H22" s="81"/>
      <c r="I22" s="73">
        <f t="shared" si="2"/>
        <v>0</v>
      </c>
      <c r="J22" s="81"/>
      <c r="K22" s="81"/>
      <c r="L22" s="81"/>
      <c r="M22" s="73">
        <f t="shared" si="3"/>
        <v>0</v>
      </c>
      <c r="N22" s="80" t="s">
        <v>157</v>
      </c>
      <c r="O22" s="95">
        <f t="shared" si="1"/>
        <v>11</v>
      </c>
      <c r="Q22" s="70"/>
    </row>
    <row r="23" spans="1:17" ht="16.5">
      <c r="A23" s="95">
        <f t="shared" si="0"/>
        <v>12</v>
      </c>
      <c r="B23" s="629">
        <v>930.2</v>
      </c>
      <c r="C23" s="108" t="s">
        <v>243</v>
      </c>
      <c r="D23" s="73">
        <v>7563.7374500000005</v>
      </c>
      <c r="E23" s="81">
        <v>2000.03565</v>
      </c>
      <c r="F23" s="73">
        <f t="shared" ref="F23" si="6">D23-E23</f>
        <v>5563.7018000000007</v>
      </c>
      <c r="G23" s="81"/>
      <c r="H23" s="81"/>
      <c r="I23" s="73">
        <f t="shared" si="2"/>
        <v>5563.7018000000007</v>
      </c>
      <c r="J23" s="460" t="s">
        <v>361</v>
      </c>
      <c r="K23" s="373">
        <v>-74.025999999999996</v>
      </c>
      <c r="L23" s="561">
        <v>6</v>
      </c>
      <c r="M23" s="546">
        <f t="shared" si="3"/>
        <v>5489.6758000000009</v>
      </c>
      <c r="N23" s="80" t="s">
        <v>158</v>
      </c>
      <c r="O23" s="95">
        <f t="shared" si="1"/>
        <v>12</v>
      </c>
      <c r="Q23" s="112"/>
    </row>
    <row r="24" spans="1:17">
      <c r="A24" s="95">
        <f t="shared" si="0"/>
        <v>13</v>
      </c>
      <c r="B24" s="104">
        <v>931</v>
      </c>
      <c r="C24" s="108" t="s">
        <v>41</v>
      </c>
      <c r="D24" s="73">
        <v>11844.36429</v>
      </c>
      <c r="E24" s="81">
        <v>0</v>
      </c>
      <c r="F24" s="73">
        <f>D24-E24</f>
        <v>11844.36429</v>
      </c>
      <c r="G24" s="81"/>
      <c r="H24" s="81"/>
      <c r="I24" s="73">
        <f t="shared" si="2"/>
        <v>11844.36429</v>
      </c>
      <c r="J24" s="81"/>
      <c r="K24" s="81"/>
      <c r="L24" s="81"/>
      <c r="M24" s="73">
        <f t="shared" si="3"/>
        <v>11844.36429</v>
      </c>
      <c r="N24" s="80" t="s">
        <v>159</v>
      </c>
      <c r="O24" s="95">
        <f t="shared" si="1"/>
        <v>13</v>
      </c>
      <c r="Q24" s="70"/>
    </row>
    <row r="25" spans="1:17">
      <c r="A25" s="95">
        <f t="shared" si="0"/>
        <v>14</v>
      </c>
      <c r="B25" s="104">
        <v>935</v>
      </c>
      <c r="C25" s="108" t="s">
        <v>51</v>
      </c>
      <c r="D25" s="531">
        <v>9056.059220000001</v>
      </c>
      <c r="E25" s="533">
        <v>65.000791141999997</v>
      </c>
      <c r="F25" s="531">
        <f>D25-E25</f>
        <v>8991.0584288580012</v>
      </c>
      <c r="G25" s="532"/>
      <c r="H25" s="533"/>
      <c r="I25" s="531">
        <f t="shared" si="2"/>
        <v>8991.0584288580012</v>
      </c>
      <c r="J25" s="532"/>
      <c r="K25" s="533"/>
      <c r="L25" s="533"/>
      <c r="M25" s="531">
        <f>I25+K25</f>
        <v>8991.0584288580012</v>
      </c>
      <c r="N25" s="80" t="s">
        <v>160</v>
      </c>
      <c r="O25" s="95">
        <f t="shared" si="1"/>
        <v>14</v>
      </c>
      <c r="P25" s="87" t="s">
        <v>7</v>
      </c>
      <c r="Q25" s="70"/>
    </row>
    <row r="26" spans="1:17">
      <c r="A26" s="95">
        <f t="shared" si="0"/>
        <v>15</v>
      </c>
      <c r="B26" s="104"/>
      <c r="D26" s="113"/>
      <c r="F26" s="113"/>
      <c r="I26" s="113"/>
      <c r="M26" s="113"/>
      <c r="N26" s="114"/>
      <c r="O26" s="95">
        <f t="shared" si="1"/>
        <v>15</v>
      </c>
    </row>
    <row r="27" spans="1:17" ht="16" thickBot="1">
      <c r="A27" s="95">
        <f t="shared" si="0"/>
        <v>16</v>
      </c>
      <c r="B27" s="104"/>
      <c r="C27" s="97" t="s">
        <v>52</v>
      </c>
      <c r="D27" s="115">
        <f>SUM(D12:D25)</f>
        <v>477838.49032000004</v>
      </c>
      <c r="E27" s="544">
        <f>SUM(E12:E25)</f>
        <v>145143.08617989699</v>
      </c>
      <c r="F27" s="547">
        <f>SUM(F12:F25)</f>
        <v>332695.40414010303</v>
      </c>
      <c r="G27" s="628" t="s">
        <v>361</v>
      </c>
      <c r="H27" s="544">
        <f t="shared" ref="H27:M27" si="7">SUM(H12:H25)</f>
        <v>826.245</v>
      </c>
      <c r="I27" s="82">
        <f t="shared" si="7"/>
        <v>333521.64914010302</v>
      </c>
      <c r="J27" s="534" t="s">
        <v>361</v>
      </c>
      <c r="K27" s="535">
        <f t="shared" si="7"/>
        <v>1984.1449999999998</v>
      </c>
      <c r="L27" s="544"/>
      <c r="M27" s="82">
        <f t="shared" si="7"/>
        <v>335505.79414010304</v>
      </c>
      <c r="N27" s="116" t="s">
        <v>455</v>
      </c>
      <c r="O27" s="95">
        <f t="shared" si="1"/>
        <v>16</v>
      </c>
    </row>
    <row r="28" spans="1:17" ht="16" thickTop="1">
      <c r="A28" s="95">
        <f t="shared" si="0"/>
        <v>17</v>
      </c>
      <c r="B28" s="104"/>
      <c r="C28" s="97"/>
      <c r="D28" s="77"/>
      <c r="E28" s="68"/>
      <c r="F28" s="84"/>
      <c r="G28" s="467"/>
      <c r="H28" s="467"/>
      <c r="I28" s="84"/>
      <c r="J28" s="467"/>
      <c r="K28" s="467"/>
      <c r="L28" s="467"/>
      <c r="M28" s="84"/>
      <c r="N28" s="116"/>
      <c r="O28" s="95">
        <f t="shared" si="1"/>
        <v>17</v>
      </c>
    </row>
    <row r="29" spans="1:17" ht="18">
      <c r="A29" s="95">
        <f t="shared" si="0"/>
        <v>18</v>
      </c>
      <c r="B29" s="104">
        <v>413</v>
      </c>
      <c r="C29" s="87" t="s">
        <v>281</v>
      </c>
      <c r="D29" s="531">
        <v>0</v>
      </c>
      <c r="E29" s="536">
        <v>0</v>
      </c>
      <c r="F29" s="532">
        <f>D29-E29</f>
        <v>0</v>
      </c>
      <c r="G29" s="532"/>
      <c r="H29" s="536">
        <f t="shared" ref="H29:I29" si="8">F29-G29</f>
        <v>0</v>
      </c>
      <c r="I29" s="531">
        <f t="shared" si="8"/>
        <v>0</v>
      </c>
      <c r="J29" s="532"/>
      <c r="K29" s="533"/>
      <c r="L29" s="533"/>
      <c r="M29" s="531">
        <f>I29+K29</f>
        <v>0</v>
      </c>
      <c r="N29" s="116"/>
      <c r="O29" s="95">
        <f t="shared" si="1"/>
        <v>18</v>
      </c>
    </row>
    <row r="30" spans="1:17">
      <c r="A30" s="95">
        <f t="shared" si="0"/>
        <v>19</v>
      </c>
      <c r="B30" s="104"/>
      <c r="C30" s="97"/>
      <c r="D30" s="77"/>
      <c r="E30" s="68"/>
      <c r="F30" s="84"/>
      <c r="G30" s="467"/>
      <c r="H30" s="467"/>
      <c r="I30" s="84"/>
      <c r="J30" s="467"/>
      <c r="K30" s="467"/>
      <c r="L30" s="467"/>
      <c r="M30" s="84"/>
      <c r="N30" s="116"/>
      <c r="O30" s="95">
        <f t="shared" si="1"/>
        <v>19</v>
      </c>
    </row>
    <row r="31" spans="1:17" ht="16" thickBot="1">
      <c r="A31" s="95">
        <f t="shared" si="0"/>
        <v>20</v>
      </c>
      <c r="B31" s="104"/>
      <c r="C31" s="97" t="s">
        <v>119</v>
      </c>
      <c r="D31" s="115">
        <f>D27+D29</f>
        <v>477838.49032000004</v>
      </c>
      <c r="E31" s="68">
        <f>E27+E29</f>
        <v>145143.08617989699</v>
      </c>
      <c r="F31" s="82">
        <f>F27+F29</f>
        <v>332695.40414010303</v>
      </c>
      <c r="G31" s="628" t="s">
        <v>361</v>
      </c>
      <c r="H31" s="544">
        <f t="shared" ref="H31:M31" si="9">H27+H29</f>
        <v>826.245</v>
      </c>
      <c r="I31" s="82">
        <f t="shared" si="9"/>
        <v>333521.64914010302</v>
      </c>
      <c r="J31" s="534" t="s">
        <v>361</v>
      </c>
      <c r="K31" s="535">
        <f t="shared" si="9"/>
        <v>1984.1449999999998</v>
      </c>
      <c r="L31" s="544"/>
      <c r="M31" s="82">
        <f t="shared" si="9"/>
        <v>335505.79414010304</v>
      </c>
      <c r="N31" s="116" t="s">
        <v>456</v>
      </c>
      <c r="O31" s="95">
        <f t="shared" si="1"/>
        <v>20</v>
      </c>
    </row>
    <row r="32" spans="1:17" ht="16.5" thickTop="1" thickBot="1">
      <c r="A32" s="95">
        <f t="shared" si="0"/>
        <v>21</v>
      </c>
      <c r="B32" s="117"/>
      <c r="C32" s="88"/>
      <c r="D32" s="118"/>
      <c r="E32" s="119"/>
      <c r="F32" s="119"/>
      <c r="G32" s="555"/>
      <c r="H32" s="555"/>
      <c r="I32" s="339"/>
      <c r="J32" s="555"/>
      <c r="K32" s="555"/>
      <c r="L32" s="555"/>
      <c r="M32" s="339"/>
      <c r="N32" s="120"/>
      <c r="O32" s="95">
        <f t="shared" si="1"/>
        <v>21</v>
      </c>
    </row>
    <row r="33" spans="1:17">
      <c r="A33" s="95">
        <f t="shared" si="0"/>
        <v>22</v>
      </c>
      <c r="B33" s="121"/>
      <c r="D33" s="122"/>
      <c r="E33" s="123"/>
      <c r="F33" s="122"/>
      <c r="G33" s="122"/>
      <c r="H33" s="122"/>
      <c r="I33" s="122"/>
      <c r="J33" s="122"/>
      <c r="K33" s="122"/>
      <c r="L33" s="122"/>
      <c r="M33" s="122"/>
      <c r="N33" s="114"/>
      <c r="O33" s="95">
        <f t="shared" si="1"/>
        <v>22</v>
      </c>
    </row>
    <row r="34" spans="1:17">
      <c r="A34" s="95">
        <f t="shared" si="0"/>
        <v>23</v>
      </c>
      <c r="B34" s="124" t="s">
        <v>53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114"/>
      <c r="O34" s="95">
        <f t="shared" si="1"/>
        <v>23</v>
      </c>
    </row>
    <row r="35" spans="1:17">
      <c r="A35" s="95">
        <f t="shared" si="0"/>
        <v>24</v>
      </c>
      <c r="B35" s="409">
        <v>921</v>
      </c>
      <c r="C35" s="410" t="s">
        <v>344</v>
      </c>
      <c r="D35" s="402"/>
      <c r="E35" s="7">
        <v>0.75301000000000207</v>
      </c>
      <c r="F35" s="95"/>
      <c r="G35" s="95"/>
      <c r="H35" s="95"/>
      <c r="I35" s="95"/>
      <c r="J35" s="95"/>
      <c r="K35" s="95"/>
      <c r="L35" s="95"/>
      <c r="M35" s="95"/>
      <c r="N35" s="114"/>
      <c r="O35" s="95">
        <f t="shared" si="1"/>
        <v>24</v>
      </c>
    </row>
    <row r="36" spans="1:17">
      <c r="A36" s="95">
        <f t="shared" si="0"/>
        <v>25</v>
      </c>
      <c r="B36" s="409">
        <v>923</v>
      </c>
      <c r="C36" s="410" t="s">
        <v>344</v>
      </c>
      <c r="D36" s="402"/>
      <c r="E36" s="6">
        <v>333.74215999999996</v>
      </c>
      <c r="N36" s="114"/>
      <c r="O36" s="95">
        <f t="shared" si="1"/>
        <v>25</v>
      </c>
      <c r="Q36" s="108"/>
    </row>
    <row r="37" spans="1:17">
      <c r="A37" s="95">
        <f t="shared" si="0"/>
        <v>26</v>
      </c>
      <c r="B37" s="409">
        <v>925</v>
      </c>
      <c r="C37" s="411" t="s">
        <v>54</v>
      </c>
      <c r="D37" s="6">
        <v>102.631419228</v>
      </c>
      <c r="N37" s="114"/>
      <c r="O37" s="95">
        <f t="shared" si="1"/>
        <v>26</v>
      </c>
    </row>
    <row r="38" spans="1:17">
      <c r="A38" s="95">
        <f t="shared" si="0"/>
        <v>27</v>
      </c>
      <c r="B38" s="409"/>
      <c r="C38" s="411" t="s">
        <v>120</v>
      </c>
      <c r="D38" s="537">
        <v>0</v>
      </c>
      <c r="E38" s="87">
        <f>SUM(D37:D38)</f>
        <v>102.631419228</v>
      </c>
      <c r="N38" s="114"/>
      <c r="O38" s="95">
        <f t="shared" si="1"/>
        <v>27</v>
      </c>
    </row>
    <row r="39" spans="1:17">
      <c r="A39" s="95">
        <f t="shared" si="0"/>
        <v>28</v>
      </c>
      <c r="B39" s="409">
        <v>926</v>
      </c>
      <c r="C39" s="411" t="s">
        <v>54</v>
      </c>
      <c r="D39" s="403"/>
      <c r="E39" s="6">
        <v>343.98778952699996</v>
      </c>
      <c r="N39" s="114"/>
      <c r="O39" s="95">
        <f t="shared" si="1"/>
        <v>28</v>
      </c>
    </row>
    <row r="40" spans="1:17">
      <c r="A40" s="95">
        <f t="shared" si="0"/>
        <v>29</v>
      </c>
      <c r="B40" s="409">
        <v>927</v>
      </c>
      <c r="C40" s="411" t="s">
        <v>48</v>
      </c>
      <c r="D40" s="403"/>
      <c r="E40" s="6">
        <v>131978.20225999999</v>
      </c>
      <c r="F40" s="335"/>
      <c r="G40" s="335"/>
      <c r="H40" s="335"/>
      <c r="I40" s="335"/>
      <c r="J40" s="335"/>
      <c r="K40" s="335"/>
      <c r="L40" s="335"/>
      <c r="M40" s="335"/>
      <c r="N40" s="336"/>
      <c r="O40" s="95">
        <f t="shared" si="1"/>
        <v>29</v>
      </c>
    </row>
    <row r="41" spans="1:17">
      <c r="A41" s="95">
        <f t="shared" si="0"/>
        <v>30</v>
      </c>
      <c r="B41" s="409">
        <v>928</v>
      </c>
      <c r="C41" s="411" t="s">
        <v>54</v>
      </c>
      <c r="D41" s="6">
        <v>0</v>
      </c>
      <c r="E41" s="6"/>
      <c r="N41" s="114"/>
      <c r="O41" s="95">
        <f t="shared" si="1"/>
        <v>30</v>
      </c>
    </row>
    <row r="42" spans="1:17">
      <c r="A42" s="95">
        <f t="shared" si="0"/>
        <v>31</v>
      </c>
      <c r="B42" s="409"/>
      <c r="C42" s="410" t="s">
        <v>55</v>
      </c>
      <c r="D42" s="6">
        <v>0</v>
      </c>
      <c r="E42" s="6"/>
      <c r="N42" s="114"/>
      <c r="O42" s="95">
        <f t="shared" si="1"/>
        <v>31</v>
      </c>
    </row>
    <row r="43" spans="1:17">
      <c r="A43" s="95">
        <f t="shared" si="0"/>
        <v>32</v>
      </c>
      <c r="B43" s="409"/>
      <c r="C43" s="410" t="s">
        <v>56</v>
      </c>
      <c r="D43" s="6">
        <v>1333.8680300000003</v>
      </c>
      <c r="E43" s="404"/>
      <c r="F43" s="335"/>
      <c r="G43" s="335"/>
      <c r="H43" s="335"/>
      <c r="I43" s="335"/>
      <c r="J43" s="335"/>
      <c r="K43" s="335"/>
      <c r="L43" s="335"/>
      <c r="M43" s="335"/>
      <c r="N43" s="336"/>
      <c r="O43" s="95">
        <f t="shared" si="1"/>
        <v>32</v>
      </c>
    </row>
    <row r="44" spans="1:17">
      <c r="A44" s="95">
        <f t="shared" si="0"/>
        <v>33</v>
      </c>
      <c r="B44" s="409"/>
      <c r="C44" s="410" t="s">
        <v>57</v>
      </c>
      <c r="D44" s="6">
        <v>8601.3346500000007</v>
      </c>
      <c r="E44" s="405"/>
      <c r="N44" s="114"/>
      <c r="O44" s="95">
        <f t="shared" si="1"/>
        <v>33</v>
      </c>
    </row>
    <row r="45" spans="1:17">
      <c r="A45" s="95">
        <f t="shared" si="0"/>
        <v>34</v>
      </c>
      <c r="B45" s="412"/>
      <c r="C45" s="411" t="s">
        <v>58</v>
      </c>
      <c r="D45" s="556">
        <v>140.84690000000001</v>
      </c>
      <c r="E45" s="406">
        <f>SUM(D41:D45)</f>
        <v>10076.049580000001</v>
      </c>
      <c r="N45" s="114"/>
      <c r="O45" s="95">
        <f t="shared" si="1"/>
        <v>34</v>
      </c>
    </row>
    <row r="46" spans="1:17">
      <c r="A46" s="95">
        <f t="shared" si="0"/>
        <v>35</v>
      </c>
      <c r="B46" s="413">
        <v>930.1</v>
      </c>
      <c r="C46" s="410" t="s">
        <v>50</v>
      </c>
      <c r="D46" s="403"/>
      <c r="E46" s="6">
        <v>242.68352000000002</v>
      </c>
      <c r="N46" s="114"/>
      <c r="O46" s="95">
        <f t="shared" si="1"/>
        <v>35</v>
      </c>
    </row>
    <row r="47" spans="1:17">
      <c r="A47" s="95">
        <f t="shared" si="0"/>
        <v>36</v>
      </c>
      <c r="B47" s="413">
        <v>930.2</v>
      </c>
      <c r="C47" s="411" t="s">
        <v>59</v>
      </c>
      <c r="D47" s="9">
        <v>0</v>
      </c>
      <c r="E47" s="407"/>
      <c r="N47" s="114"/>
      <c r="O47" s="95">
        <f t="shared" si="1"/>
        <v>36</v>
      </c>
    </row>
    <row r="48" spans="1:17">
      <c r="A48" s="95">
        <f t="shared" si="0"/>
        <v>37</v>
      </c>
      <c r="B48" s="413"/>
      <c r="C48" s="411" t="s">
        <v>60</v>
      </c>
      <c r="D48" s="557">
        <v>2000.03565</v>
      </c>
      <c r="E48" s="9">
        <f>SUM(D47:D48)</f>
        <v>2000.03565</v>
      </c>
      <c r="F48" s="184"/>
      <c r="G48" s="184"/>
      <c r="H48" s="184"/>
      <c r="I48" s="184"/>
      <c r="J48" s="184"/>
      <c r="K48" s="184"/>
      <c r="L48" s="184"/>
      <c r="M48" s="184"/>
      <c r="N48" s="114"/>
      <c r="O48" s="95">
        <f t="shared" si="1"/>
        <v>37</v>
      </c>
    </row>
    <row r="49" spans="1:15">
      <c r="A49" s="95">
        <f t="shared" si="0"/>
        <v>38</v>
      </c>
      <c r="B49" s="409">
        <v>935</v>
      </c>
      <c r="C49" s="414" t="s">
        <v>61</v>
      </c>
      <c r="D49" s="408"/>
      <c r="E49" s="537">
        <v>65.000791141999997</v>
      </c>
      <c r="F49" s="184"/>
      <c r="G49" s="184"/>
      <c r="H49" s="184"/>
      <c r="I49" s="184"/>
      <c r="J49" s="184"/>
      <c r="K49" s="184"/>
      <c r="L49" s="184"/>
      <c r="M49" s="184"/>
      <c r="N49" s="114"/>
      <c r="O49" s="95">
        <f t="shared" si="1"/>
        <v>38</v>
      </c>
    </row>
    <row r="50" spans="1:15">
      <c r="A50" s="95">
        <f t="shared" si="0"/>
        <v>39</v>
      </c>
      <c r="B50" s="133"/>
      <c r="C50" s="108"/>
      <c r="D50" s="337"/>
      <c r="E50" s="6"/>
      <c r="F50" s="184"/>
      <c r="G50" s="184"/>
      <c r="H50" s="184"/>
      <c r="I50" s="184"/>
      <c r="J50" s="184"/>
      <c r="K50" s="184"/>
      <c r="L50" s="184"/>
      <c r="M50" s="184"/>
      <c r="N50" s="114"/>
      <c r="O50" s="95">
        <f t="shared" si="1"/>
        <v>39</v>
      </c>
    </row>
    <row r="51" spans="1:15" ht="16" thickBot="1">
      <c r="A51" s="95">
        <f t="shared" si="0"/>
        <v>40</v>
      </c>
      <c r="B51" s="121"/>
      <c r="C51" s="125" t="s">
        <v>42</v>
      </c>
      <c r="D51" s="338"/>
      <c r="E51" s="558">
        <f>SUM(E35:E49)</f>
        <v>145143.08617989699</v>
      </c>
      <c r="F51" s="78"/>
      <c r="G51" s="78"/>
      <c r="H51" s="78"/>
      <c r="I51" s="78"/>
      <c r="J51" s="78"/>
      <c r="K51" s="78"/>
      <c r="L51" s="78"/>
      <c r="M51" s="78"/>
      <c r="N51" s="114"/>
      <c r="O51" s="95">
        <f t="shared" si="1"/>
        <v>40</v>
      </c>
    </row>
    <row r="52" spans="1:15" ht="16" thickTop="1">
      <c r="A52" s="95">
        <f t="shared" si="0"/>
        <v>41</v>
      </c>
      <c r="B52" s="121"/>
      <c r="C52" s="125"/>
      <c r="E52" s="126"/>
      <c r="F52" s="78"/>
      <c r="G52" s="78"/>
      <c r="H52" s="78"/>
      <c r="I52" s="78"/>
      <c r="J52" s="78"/>
      <c r="K52" s="78"/>
      <c r="L52" s="78"/>
      <c r="M52" s="78"/>
      <c r="N52" s="114"/>
      <c r="O52" s="95">
        <f t="shared" si="1"/>
        <v>41</v>
      </c>
    </row>
    <row r="53" spans="1:15">
      <c r="A53" s="95">
        <f t="shared" si="0"/>
        <v>42</v>
      </c>
      <c r="B53" s="538" t="s">
        <v>361</v>
      </c>
      <c r="C53" s="5" t="s">
        <v>574</v>
      </c>
      <c r="E53" s="126"/>
      <c r="F53" s="78"/>
      <c r="G53" s="78"/>
      <c r="H53" s="78"/>
      <c r="I53" s="78"/>
      <c r="J53" s="78"/>
      <c r="K53" s="78"/>
      <c r="L53" s="78"/>
      <c r="M53" s="78"/>
      <c r="N53" s="114"/>
      <c r="O53" s="95">
        <f t="shared" si="1"/>
        <v>42</v>
      </c>
    </row>
    <row r="54" spans="1:15" ht="18.5">
      <c r="A54" s="95">
        <f t="shared" si="0"/>
        <v>43</v>
      </c>
      <c r="B54" s="86">
        <v>1</v>
      </c>
      <c r="C54" s="38" t="s">
        <v>460</v>
      </c>
      <c r="E54" s="126"/>
      <c r="F54" s="78"/>
      <c r="G54" s="78"/>
      <c r="H54" s="78"/>
      <c r="I54" s="78"/>
      <c r="J54" s="78"/>
      <c r="K54" s="78"/>
      <c r="L54" s="78"/>
      <c r="M54" s="78"/>
      <c r="N54" s="114"/>
      <c r="O54" s="95">
        <f t="shared" si="1"/>
        <v>43</v>
      </c>
    </row>
    <row r="55" spans="1:15" ht="18.5">
      <c r="A55" s="95">
        <f t="shared" si="0"/>
        <v>44</v>
      </c>
      <c r="B55" s="346"/>
      <c r="C55" s="1" t="s">
        <v>343</v>
      </c>
      <c r="E55" s="126"/>
      <c r="F55" s="78"/>
      <c r="G55" s="78"/>
      <c r="H55" s="78"/>
      <c r="I55" s="78"/>
      <c r="J55" s="78"/>
      <c r="K55" s="78"/>
      <c r="L55" s="78"/>
      <c r="M55" s="78"/>
      <c r="N55" s="114"/>
      <c r="O55" s="95">
        <f t="shared" si="1"/>
        <v>44</v>
      </c>
    </row>
    <row r="56" spans="1:15" ht="18">
      <c r="A56" s="95">
        <f t="shared" si="0"/>
        <v>45</v>
      </c>
      <c r="B56" s="559">
        <v>2</v>
      </c>
      <c r="C56" s="76" t="s">
        <v>461</v>
      </c>
      <c r="E56" s="126"/>
      <c r="F56" s="78"/>
      <c r="G56" s="78"/>
      <c r="H56" s="78"/>
      <c r="I56" s="78"/>
      <c r="J56" s="78"/>
      <c r="K56" s="78"/>
      <c r="L56" s="78"/>
      <c r="M56" s="78"/>
      <c r="N56" s="114"/>
      <c r="O56" s="95">
        <f t="shared" si="1"/>
        <v>45</v>
      </c>
    </row>
    <row r="57" spans="1:15" ht="18">
      <c r="A57" s="95">
        <f t="shared" si="0"/>
        <v>46</v>
      </c>
      <c r="B57" s="559"/>
      <c r="C57" s="76" t="s">
        <v>462</v>
      </c>
      <c r="E57" s="126"/>
      <c r="F57" s="78"/>
      <c r="G57" s="78"/>
      <c r="H57" s="78"/>
      <c r="I57" s="78"/>
      <c r="J57" s="78"/>
      <c r="K57" s="78"/>
      <c r="L57" s="78"/>
      <c r="M57" s="78"/>
      <c r="N57" s="114"/>
      <c r="O57" s="95">
        <f t="shared" si="1"/>
        <v>46</v>
      </c>
    </row>
    <row r="58" spans="1:15" ht="16.5">
      <c r="A58" s="95">
        <f t="shared" si="0"/>
        <v>47</v>
      </c>
      <c r="B58" s="563">
        <v>3</v>
      </c>
      <c r="C58" s="1" t="s">
        <v>464</v>
      </c>
      <c r="E58" s="126"/>
      <c r="F58" s="78"/>
      <c r="G58" s="78"/>
      <c r="H58" s="78"/>
      <c r="I58" s="78"/>
      <c r="J58" s="78"/>
      <c r="K58" s="78"/>
      <c r="L58" s="78"/>
      <c r="M58" s="78"/>
      <c r="N58" s="114"/>
      <c r="O58" s="95">
        <f t="shared" si="1"/>
        <v>47</v>
      </c>
    </row>
    <row r="59" spans="1:15" ht="17">
      <c r="A59" s="95">
        <f t="shared" si="0"/>
        <v>48</v>
      </c>
      <c r="B59" s="564">
        <v>4</v>
      </c>
      <c r="C59" s="1" t="s">
        <v>465</v>
      </c>
      <c r="E59" s="126"/>
      <c r="F59" s="78"/>
      <c r="G59" s="78"/>
      <c r="H59" s="78"/>
      <c r="I59" s="78"/>
      <c r="J59" s="78"/>
      <c r="K59" s="78"/>
      <c r="L59" s="78"/>
      <c r="M59" s="78"/>
      <c r="N59" s="114"/>
      <c r="O59" s="95">
        <f t="shared" si="1"/>
        <v>48</v>
      </c>
    </row>
    <row r="60" spans="1:15" ht="16.5">
      <c r="A60" s="95">
        <f t="shared" si="0"/>
        <v>49</v>
      </c>
      <c r="B60" s="563">
        <v>5</v>
      </c>
      <c r="C60" s="1" t="s">
        <v>466</v>
      </c>
      <c r="E60" s="126"/>
      <c r="F60" s="78"/>
      <c r="G60" s="78"/>
      <c r="H60" s="78"/>
      <c r="I60" s="78"/>
      <c r="J60" s="78"/>
      <c r="K60" s="78"/>
      <c r="L60" s="78"/>
      <c r="M60" s="78"/>
      <c r="N60" s="114"/>
      <c r="O60" s="95">
        <f t="shared" si="1"/>
        <v>49</v>
      </c>
    </row>
    <row r="61" spans="1:15" ht="16.5">
      <c r="A61" s="95">
        <f t="shared" si="0"/>
        <v>50</v>
      </c>
      <c r="B61" s="563">
        <v>6</v>
      </c>
      <c r="C61" s="1" t="s">
        <v>467</v>
      </c>
      <c r="E61" s="126"/>
      <c r="F61" s="78"/>
      <c r="G61" s="78"/>
      <c r="H61" s="78"/>
      <c r="I61" s="78"/>
      <c r="J61" s="78"/>
      <c r="K61" s="78"/>
      <c r="L61" s="78"/>
      <c r="M61" s="78"/>
      <c r="N61" s="114"/>
      <c r="O61" s="95">
        <f t="shared" si="1"/>
        <v>50</v>
      </c>
    </row>
    <row r="62" spans="1:15" ht="16" thickBot="1">
      <c r="A62" s="95">
        <f t="shared" si="0"/>
        <v>51</v>
      </c>
      <c r="B62" s="127"/>
      <c r="C62" s="12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20"/>
      <c r="O62" s="95">
        <f t="shared" si="1"/>
        <v>51</v>
      </c>
    </row>
    <row r="63" spans="1:15">
      <c r="C63" s="108"/>
    </row>
    <row r="64" spans="1:15">
      <c r="A64" s="89"/>
      <c r="C64" s="108"/>
      <c r="D64" s="129"/>
      <c r="E64" s="129"/>
    </row>
    <row r="65" spans="1:13" ht="18">
      <c r="A65" s="130"/>
      <c r="B65" s="62"/>
      <c r="C65" s="1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ht="18">
      <c r="A66" s="130"/>
      <c r="B66" s="62"/>
      <c r="C66" s="11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ht="18">
      <c r="A67" s="130"/>
      <c r="B67" s="7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8">
      <c r="A68" s="130"/>
      <c r="C68" s="108"/>
    </row>
    <row r="69" spans="1:13" ht="18">
      <c r="A69" s="130"/>
      <c r="C69" s="108"/>
    </row>
    <row r="70" spans="1:13" ht="18">
      <c r="A70" s="130"/>
      <c r="C70" s="108"/>
    </row>
    <row r="71" spans="1:13">
      <c r="A71" s="89"/>
      <c r="C71" s="108"/>
    </row>
    <row r="72" spans="1:13" ht="18">
      <c r="A72" s="130"/>
      <c r="C72" s="108"/>
    </row>
    <row r="73" spans="1:13">
      <c r="A73" s="89"/>
      <c r="C73" s="108"/>
    </row>
    <row r="74" spans="1:13" ht="18">
      <c r="A74" s="130"/>
      <c r="C74" s="108"/>
    </row>
    <row r="75" spans="1:13">
      <c r="A75" s="89"/>
      <c r="C75" s="108"/>
    </row>
    <row r="76" spans="1:13" ht="18">
      <c r="A76" s="130"/>
      <c r="C76" s="108"/>
    </row>
    <row r="77" spans="1:13" ht="18">
      <c r="A77" s="130"/>
      <c r="B77" s="108"/>
    </row>
    <row r="78" spans="1:13" ht="18">
      <c r="A78" s="130"/>
      <c r="B78" s="108"/>
    </row>
    <row r="79" spans="1:13">
      <c r="B79" s="108"/>
    </row>
    <row r="80" spans="1:13" ht="18">
      <c r="A80" s="130"/>
      <c r="B80" s="108"/>
    </row>
    <row r="81" spans="1:2">
      <c r="A81" s="131"/>
      <c r="B81" s="132"/>
    </row>
    <row r="82" spans="1:2">
      <c r="B82" s="108"/>
    </row>
  </sheetData>
  <mergeCells count="4">
    <mergeCell ref="B3:N3"/>
    <mergeCell ref="B4:N4"/>
    <mergeCell ref="B5:N5"/>
    <mergeCell ref="B6:N6"/>
  </mergeCells>
  <printOptions horizontalCentered="1"/>
  <pageMargins left="0.5" right="0.5" top="0.5" bottom="0.5" header="0.35" footer="0.25"/>
  <pageSetup scale="52" orientation="landscape" r:id="rId1"/>
  <headerFooter scaleWithDoc="0" alignWithMargins="0">
    <oddHeader>&amp;C&amp;"Times New Roman,Bold"&amp;6AS FILED AH-3 WITH FERC AUDIT ADJ INCL IN APPENDIX XII CYCLE 6 (ER24-175)</oddHeader>
    <oddFooter>&amp;L&amp;F&amp;CPage 7.3&amp;R&amp;A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36A2-43E5-4FE9-BBCD-24DE59BDF925}">
  <sheetPr>
    <pageSetUpPr fitToPage="1"/>
  </sheetPr>
  <dimension ref="A1:J35"/>
  <sheetViews>
    <sheetView zoomScale="80" zoomScaleNormal="80" workbookViewId="0"/>
  </sheetViews>
  <sheetFormatPr defaultColWidth="8.81640625" defaultRowHeight="15.5"/>
  <cols>
    <col min="1" max="1" width="5.1796875" style="61" bestFit="1" customWidth="1"/>
    <col min="2" max="2" width="68.81640625" style="63" customWidth="1"/>
    <col min="3" max="3" width="24" style="138" customWidth="1"/>
    <col min="4" max="4" width="1.54296875" style="63" customWidth="1"/>
    <col min="5" max="5" width="16.81640625" style="63" customWidth="1"/>
    <col min="6" max="6" width="1.54296875" style="63" customWidth="1"/>
    <col min="7" max="7" width="16.81640625" style="63" customWidth="1"/>
    <col min="8" max="8" width="1.54296875" style="63" customWidth="1"/>
    <col min="9" max="9" width="36.1796875" style="63" customWidth="1"/>
    <col min="10" max="10" width="5.1796875" style="63" customWidth="1"/>
    <col min="11" max="16384" width="8.81640625" style="63"/>
  </cols>
  <sheetData>
    <row r="1" spans="1:10">
      <c r="H1" s="61"/>
      <c r="I1" s="61"/>
      <c r="J1" s="61"/>
    </row>
    <row r="2" spans="1:10">
      <c r="B2" s="732" t="s">
        <v>12</v>
      </c>
      <c r="C2" s="733"/>
      <c r="D2" s="733"/>
      <c r="E2" s="733"/>
      <c r="F2" s="733"/>
      <c r="G2" s="733"/>
      <c r="H2" s="733"/>
      <c r="I2" s="733"/>
      <c r="J2" s="59"/>
    </row>
    <row r="3" spans="1:10">
      <c r="B3" s="732" t="s">
        <v>62</v>
      </c>
      <c r="C3" s="733"/>
      <c r="D3" s="733"/>
      <c r="E3" s="733"/>
      <c r="F3" s="733"/>
      <c r="G3" s="733"/>
      <c r="H3" s="733"/>
      <c r="I3" s="733"/>
      <c r="J3" s="59"/>
    </row>
    <row r="4" spans="1:10">
      <c r="B4" s="732" t="s">
        <v>63</v>
      </c>
      <c r="C4" s="733"/>
      <c r="D4" s="733"/>
      <c r="E4" s="733"/>
      <c r="F4" s="733"/>
      <c r="G4" s="733"/>
      <c r="H4" s="733"/>
      <c r="I4" s="733"/>
      <c r="J4" s="59"/>
    </row>
    <row r="5" spans="1:10">
      <c r="B5" s="734" t="s">
        <v>393</v>
      </c>
      <c r="C5" s="734"/>
      <c r="D5" s="734"/>
      <c r="E5" s="734"/>
      <c r="F5" s="734"/>
      <c r="G5" s="734"/>
      <c r="H5" s="734"/>
      <c r="I5" s="734"/>
      <c r="J5" s="59"/>
    </row>
    <row r="6" spans="1:10">
      <c r="B6" s="735" t="s">
        <v>1</v>
      </c>
      <c r="C6" s="735"/>
      <c r="D6" s="735"/>
      <c r="E6" s="735"/>
      <c r="F6" s="735"/>
      <c r="G6" s="735"/>
      <c r="H6" s="735"/>
      <c r="I6" s="735"/>
      <c r="J6" s="60"/>
    </row>
    <row r="7" spans="1:10">
      <c r="B7" s="61"/>
      <c r="D7" s="61"/>
      <c r="E7" s="61"/>
      <c r="F7" s="61"/>
      <c r="G7" s="61"/>
      <c r="H7" s="59"/>
      <c r="I7" s="59"/>
      <c r="J7" s="59"/>
    </row>
    <row r="8" spans="1:10">
      <c r="A8" s="61" t="s">
        <v>2</v>
      </c>
      <c r="B8" s="59"/>
      <c r="C8" s="79" t="s">
        <v>162</v>
      </c>
      <c r="D8" s="61"/>
      <c r="E8" s="61" t="s">
        <v>164</v>
      </c>
      <c r="F8" s="61"/>
      <c r="G8" s="61" t="s">
        <v>165</v>
      </c>
      <c r="H8" s="59"/>
      <c r="I8" s="59"/>
      <c r="J8" s="61" t="s">
        <v>2</v>
      </c>
    </row>
    <row r="9" spans="1:10">
      <c r="A9" s="61" t="s">
        <v>14</v>
      </c>
      <c r="B9" s="59"/>
      <c r="C9" s="85" t="s">
        <v>163</v>
      </c>
      <c r="D9" s="59"/>
      <c r="E9" s="139" t="s">
        <v>166</v>
      </c>
      <c r="F9" s="59"/>
      <c r="G9" s="139" t="s">
        <v>5</v>
      </c>
      <c r="H9" s="59"/>
      <c r="I9" s="75" t="s">
        <v>6</v>
      </c>
      <c r="J9" s="61" t="s">
        <v>14</v>
      </c>
    </row>
    <row r="10" spans="1:10">
      <c r="B10" s="61"/>
      <c r="D10" s="61"/>
      <c r="E10" s="61"/>
      <c r="F10" s="61"/>
      <c r="G10" s="61"/>
      <c r="H10" s="61"/>
      <c r="I10" s="61"/>
      <c r="J10" s="61"/>
    </row>
    <row r="11" spans="1:10" ht="18">
      <c r="A11" s="61">
        <v>1</v>
      </c>
      <c r="B11" s="63" t="s">
        <v>167</v>
      </c>
      <c r="C11" s="61" t="s">
        <v>168</v>
      </c>
      <c r="E11" s="140"/>
      <c r="F11" s="141"/>
      <c r="G11" s="142">
        <v>133751.8893076923</v>
      </c>
      <c r="H11" s="141"/>
      <c r="I11" s="143" t="s">
        <v>477</v>
      </c>
      <c r="J11" s="61">
        <f>A11</f>
        <v>1</v>
      </c>
    </row>
    <row r="12" spans="1:10">
      <c r="A12" s="61">
        <f>+A11+1</f>
        <v>2</v>
      </c>
      <c r="C12" s="61"/>
      <c r="E12" s="134"/>
      <c r="F12" s="144"/>
      <c r="G12" s="144"/>
      <c r="H12" s="144"/>
      <c r="I12" s="143"/>
      <c r="J12" s="61">
        <f>+J11+1</f>
        <v>2</v>
      </c>
    </row>
    <row r="13" spans="1:10">
      <c r="A13" s="61">
        <f t="shared" ref="A13:A29" si="0">+A12+1</f>
        <v>3</v>
      </c>
      <c r="B13" s="63" t="s">
        <v>64</v>
      </c>
      <c r="C13" s="61"/>
      <c r="E13" s="145"/>
      <c r="F13" s="146"/>
      <c r="G13" s="575">
        <v>0.38959269039981725</v>
      </c>
      <c r="H13" s="460" t="s">
        <v>361</v>
      </c>
      <c r="I13" s="143" t="s">
        <v>597</v>
      </c>
      <c r="J13" s="61">
        <f t="shared" ref="J13:J29" si="1">+J12+1</f>
        <v>3</v>
      </c>
    </row>
    <row r="14" spans="1:10">
      <c r="A14" s="61">
        <f t="shared" si="0"/>
        <v>4</v>
      </c>
      <c r="C14" s="61"/>
      <c r="E14" s="134"/>
      <c r="F14" s="144"/>
      <c r="G14" s="134"/>
      <c r="H14" s="144"/>
      <c r="I14" s="143"/>
      <c r="J14" s="61">
        <f t="shared" si="1"/>
        <v>4</v>
      </c>
    </row>
    <row r="15" spans="1:10" ht="16" thickBot="1">
      <c r="A15" s="61">
        <f t="shared" si="0"/>
        <v>5</v>
      </c>
      <c r="B15" s="63" t="s">
        <v>169</v>
      </c>
      <c r="C15" s="61"/>
      <c r="E15" s="147"/>
      <c r="F15" s="144"/>
      <c r="G15" s="506">
        <f>G11*G13</f>
        <v>52108.758401442392</v>
      </c>
      <c r="H15" s="460" t="s">
        <v>361</v>
      </c>
      <c r="I15" s="143" t="s">
        <v>478</v>
      </c>
      <c r="J15" s="61">
        <f t="shared" si="1"/>
        <v>5</v>
      </c>
    </row>
    <row r="16" spans="1:10" ht="16" thickTop="1">
      <c r="A16" s="61">
        <f t="shared" si="0"/>
        <v>6</v>
      </c>
      <c r="C16" s="61"/>
      <c r="E16" s="74"/>
      <c r="F16" s="61"/>
      <c r="G16" s="61"/>
      <c r="H16" s="61"/>
      <c r="I16" s="143"/>
      <c r="J16" s="61">
        <f t="shared" si="1"/>
        <v>6</v>
      </c>
    </row>
    <row r="17" spans="1:10" ht="18">
      <c r="A17" s="61">
        <f t="shared" si="0"/>
        <v>7</v>
      </c>
      <c r="B17" s="63" t="s">
        <v>170</v>
      </c>
      <c r="C17" s="61" t="s">
        <v>171</v>
      </c>
      <c r="D17" s="137"/>
      <c r="E17" s="140"/>
      <c r="F17" s="144"/>
      <c r="G17" s="148">
        <v>50549.307692307695</v>
      </c>
      <c r="H17" s="141"/>
      <c r="I17" s="143" t="s">
        <v>479</v>
      </c>
      <c r="J17" s="61">
        <f t="shared" si="1"/>
        <v>7</v>
      </c>
    </row>
    <row r="18" spans="1:10">
      <c r="A18" s="61">
        <f t="shared" si="0"/>
        <v>8</v>
      </c>
      <c r="C18" s="61"/>
      <c r="E18" s="149"/>
      <c r="F18" s="144"/>
      <c r="G18" s="144"/>
      <c r="H18" s="144"/>
      <c r="I18" s="143"/>
      <c r="J18" s="61">
        <f t="shared" si="1"/>
        <v>8</v>
      </c>
    </row>
    <row r="19" spans="1:10" ht="16" thickBot="1">
      <c r="A19" s="61">
        <f t="shared" si="0"/>
        <v>9</v>
      </c>
      <c r="B19" s="63" t="s">
        <v>172</v>
      </c>
      <c r="E19" s="140"/>
      <c r="F19" s="144"/>
      <c r="G19" s="506">
        <f>G13*G17</f>
        <v>19693.640781694332</v>
      </c>
      <c r="H19" s="460" t="s">
        <v>361</v>
      </c>
      <c r="I19" s="143" t="s">
        <v>480</v>
      </c>
      <c r="J19" s="61">
        <f t="shared" si="1"/>
        <v>9</v>
      </c>
    </row>
    <row r="20" spans="1:10" ht="16" thickTop="1">
      <c r="A20" s="61">
        <f t="shared" si="0"/>
        <v>10</v>
      </c>
      <c r="E20" s="150"/>
      <c r="F20" s="144"/>
      <c r="G20" s="144"/>
      <c r="H20" s="144"/>
      <c r="I20" s="143"/>
      <c r="J20" s="61">
        <f t="shared" si="1"/>
        <v>10</v>
      </c>
    </row>
    <row r="21" spans="1:10">
      <c r="A21" s="61">
        <f t="shared" si="0"/>
        <v>11</v>
      </c>
      <c r="B21" s="151" t="s">
        <v>173</v>
      </c>
      <c r="E21" s="150"/>
      <c r="F21" s="144"/>
      <c r="G21" s="144"/>
      <c r="H21" s="144"/>
      <c r="I21" s="143"/>
      <c r="J21" s="61">
        <f t="shared" si="1"/>
        <v>11</v>
      </c>
    </row>
    <row r="22" spans="1:10">
      <c r="A22" s="61">
        <f t="shared" si="0"/>
        <v>12</v>
      </c>
      <c r="B22" s="63" t="s">
        <v>174</v>
      </c>
      <c r="E22" s="152">
        <v>32550.076329999993</v>
      </c>
      <c r="F22" s="460"/>
      <c r="G22" s="153"/>
      <c r="H22" s="144"/>
      <c r="I22" s="143" t="s">
        <v>628</v>
      </c>
      <c r="J22" s="61">
        <f t="shared" si="1"/>
        <v>12</v>
      </c>
    </row>
    <row r="23" spans="1:10">
      <c r="A23" s="61">
        <f t="shared" si="0"/>
        <v>13</v>
      </c>
      <c r="B23" s="63" t="s">
        <v>175</v>
      </c>
      <c r="E23" s="577">
        <f>'Pg7 Rev Stmt AH'!E52</f>
        <v>35467.142741177668</v>
      </c>
      <c r="F23" s="460" t="s">
        <v>361</v>
      </c>
      <c r="G23" s="155"/>
      <c r="H23" s="144"/>
      <c r="I23" s="143" t="s">
        <v>627</v>
      </c>
      <c r="J23" s="61">
        <f t="shared" si="1"/>
        <v>13</v>
      </c>
    </row>
    <row r="24" spans="1:10">
      <c r="A24" s="61">
        <f t="shared" si="0"/>
        <v>14</v>
      </c>
      <c r="B24" s="63" t="s">
        <v>176</v>
      </c>
      <c r="E24" s="156">
        <v>0</v>
      </c>
      <c r="F24" s="144"/>
      <c r="G24" s="155"/>
      <c r="H24" s="144"/>
      <c r="I24" s="143" t="s">
        <v>481</v>
      </c>
      <c r="J24" s="61">
        <f t="shared" si="1"/>
        <v>14</v>
      </c>
    </row>
    <row r="25" spans="1:10">
      <c r="A25" s="61">
        <f t="shared" si="0"/>
        <v>15</v>
      </c>
      <c r="B25" s="63" t="s">
        <v>118</v>
      </c>
      <c r="E25" s="578">
        <f>SUM(E22:E24)</f>
        <v>68017.219071177664</v>
      </c>
      <c r="F25" s="460" t="s">
        <v>361</v>
      </c>
      <c r="G25" s="137"/>
      <c r="H25" s="143"/>
      <c r="I25" s="143" t="s">
        <v>482</v>
      </c>
      <c r="J25" s="61">
        <f t="shared" si="1"/>
        <v>15</v>
      </c>
    </row>
    <row r="26" spans="1:10">
      <c r="A26" s="61">
        <f t="shared" si="0"/>
        <v>16</v>
      </c>
      <c r="F26" s="61"/>
      <c r="H26" s="61"/>
      <c r="I26" s="143"/>
      <c r="J26" s="61">
        <f t="shared" si="1"/>
        <v>16</v>
      </c>
    </row>
    <row r="27" spans="1:10">
      <c r="A27" s="61">
        <f t="shared" si="0"/>
        <v>17</v>
      </c>
      <c r="B27" s="63" t="s">
        <v>177</v>
      </c>
      <c r="E27" s="157">
        <f>1/8</f>
        <v>0.125</v>
      </c>
      <c r="F27" s="61"/>
      <c r="G27" s="158"/>
      <c r="H27" s="61"/>
      <c r="I27" s="143" t="s">
        <v>65</v>
      </c>
      <c r="J27" s="61">
        <f t="shared" si="1"/>
        <v>17</v>
      </c>
    </row>
    <row r="28" spans="1:10">
      <c r="A28" s="61">
        <f t="shared" si="0"/>
        <v>18</v>
      </c>
      <c r="E28" s="134" t="s">
        <v>7</v>
      </c>
      <c r="F28" s="144"/>
      <c r="G28" s="134"/>
      <c r="H28" s="144"/>
      <c r="I28" s="143"/>
      <c r="J28" s="61">
        <f t="shared" si="1"/>
        <v>18</v>
      </c>
    </row>
    <row r="29" spans="1:10" ht="16" thickBot="1">
      <c r="A29" s="61">
        <f t="shared" si="0"/>
        <v>19</v>
      </c>
      <c r="B29" s="63" t="s">
        <v>178</v>
      </c>
      <c r="E29" s="506">
        <f>E25*E27</f>
        <v>8502.152383897208</v>
      </c>
      <c r="F29" s="460" t="s">
        <v>361</v>
      </c>
      <c r="G29" s="147"/>
      <c r="H29" s="144"/>
      <c r="I29" s="61" t="s">
        <v>483</v>
      </c>
      <c r="J29" s="61">
        <f t="shared" si="1"/>
        <v>19</v>
      </c>
    </row>
    <row r="30" spans="1:10" ht="16" thickTop="1">
      <c r="B30" s="161"/>
    </row>
    <row r="31" spans="1:10">
      <c r="B31" s="161"/>
    </row>
    <row r="32" spans="1:10">
      <c r="A32" s="460" t="s">
        <v>361</v>
      </c>
      <c r="B32" s="5" t="str">
        <f>'Pg7 Rev Stmt AH'!B74</f>
        <v>Items in BOLD have changed to correct the over-allocation of "Duplicate Charges (Company Energy Use)" Credit in FERC Account no. 929.</v>
      </c>
    </row>
    <row r="33" spans="1:2" ht="18">
      <c r="A33" s="162">
        <v>1</v>
      </c>
      <c r="B33" s="63" t="s">
        <v>66</v>
      </c>
    </row>
    <row r="34" spans="1:2" ht="18">
      <c r="A34" s="162"/>
    </row>
    <row r="35" spans="1:2">
      <c r="A35" s="59"/>
      <c r="B35" s="6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7C54-083E-4811-A928-F7F1881B628F}">
  <sheetPr>
    <pageSetUpPr fitToPage="1"/>
  </sheetPr>
  <dimension ref="A1:L36"/>
  <sheetViews>
    <sheetView zoomScale="80" zoomScaleNormal="80" workbookViewId="0"/>
  </sheetViews>
  <sheetFormatPr defaultColWidth="8.81640625" defaultRowHeight="15.5"/>
  <cols>
    <col min="1" max="1" width="5.1796875" style="61" bestFit="1" customWidth="1"/>
    <col min="2" max="2" width="68.81640625" style="63" customWidth="1"/>
    <col min="3" max="3" width="24" style="138" customWidth="1"/>
    <col min="4" max="4" width="1.54296875" style="63" customWidth="1"/>
    <col min="5" max="5" width="16.81640625" style="63" customWidth="1"/>
    <col min="6" max="6" width="1.54296875" style="63" customWidth="1"/>
    <col min="7" max="7" width="16.81640625" style="63" customWidth="1"/>
    <col min="8" max="8" width="1.54296875" style="63" customWidth="1"/>
    <col min="9" max="9" width="36.1796875" style="63" customWidth="1"/>
    <col min="10" max="10" width="5.1796875" style="63" customWidth="1"/>
    <col min="11" max="16384" width="8.81640625" style="63"/>
  </cols>
  <sheetData>
    <row r="1" spans="1:10">
      <c r="A1" s="633" t="s">
        <v>649</v>
      </c>
    </row>
    <row r="2" spans="1:10">
      <c r="H2" s="61"/>
      <c r="I2" s="61"/>
      <c r="J2" s="61"/>
    </row>
    <row r="3" spans="1:10">
      <c r="B3" s="732" t="s">
        <v>12</v>
      </c>
      <c r="C3" s="733"/>
      <c r="D3" s="733"/>
      <c r="E3" s="733"/>
      <c r="F3" s="733"/>
      <c r="G3" s="733"/>
      <c r="H3" s="733"/>
      <c r="I3" s="733"/>
      <c r="J3" s="59"/>
    </row>
    <row r="4" spans="1:10">
      <c r="B4" s="732" t="s">
        <v>62</v>
      </c>
      <c r="C4" s="733"/>
      <c r="D4" s="733"/>
      <c r="E4" s="733"/>
      <c r="F4" s="733"/>
      <c r="G4" s="733"/>
      <c r="H4" s="733"/>
      <c r="I4" s="733"/>
      <c r="J4" s="59"/>
    </row>
    <row r="5" spans="1:10">
      <c r="B5" s="732" t="s">
        <v>63</v>
      </c>
      <c r="C5" s="733"/>
      <c r="D5" s="733"/>
      <c r="E5" s="733"/>
      <c r="F5" s="733"/>
      <c r="G5" s="733"/>
      <c r="H5" s="733"/>
      <c r="I5" s="733"/>
      <c r="J5" s="59"/>
    </row>
    <row r="6" spans="1:10">
      <c r="B6" s="734" t="s">
        <v>393</v>
      </c>
      <c r="C6" s="734"/>
      <c r="D6" s="734"/>
      <c r="E6" s="734"/>
      <c r="F6" s="734"/>
      <c r="G6" s="734"/>
      <c r="H6" s="734"/>
      <c r="I6" s="734"/>
      <c r="J6" s="59"/>
    </row>
    <row r="7" spans="1:10">
      <c r="B7" s="735" t="s">
        <v>1</v>
      </c>
      <c r="C7" s="735"/>
      <c r="D7" s="735"/>
      <c r="E7" s="735"/>
      <c r="F7" s="735"/>
      <c r="G7" s="735"/>
      <c r="H7" s="735"/>
      <c r="I7" s="735"/>
      <c r="J7" s="60"/>
    </row>
    <row r="8" spans="1:10">
      <c r="B8" s="61"/>
      <c r="D8" s="61"/>
      <c r="E8" s="61"/>
      <c r="F8" s="61"/>
      <c r="G8" s="61"/>
      <c r="H8" s="59"/>
      <c r="I8" s="59"/>
      <c r="J8" s="59"/>
    </row>
    <row r="9" spans="1:10">
      <c r="A9" s="61" t="s">
        <v>2</v>
      </c>
      <c r="B9" s="59"/>
      <c r="C9" s="79" t="s">
        <v>162</v>
      </c>
      <c r="D9" s="61"/>
      <c r="E9" s="61" t="s">
        <v>164</v>
      </c>
      <c r="F9" s="61"/>
      <c r="G9" s="61" t="s">
        <v>165</v>
      </c>
      <c r="H9" s="59"/>
      <c r="I9" s="59"/>
      <c r="J9" s="61" t="s">
        <v>2</v>
      </c>
    </row>
    <row r="10" spans="1:10">
      <c r="A10" s="61" t="s">
        <v>14</v>
      </c>
      <c r="B10" s="59"/>
      <c r="C10" s="85" t="s">
        <v>163</v>
      </c>
      <c r="D10" s="59"/>
      <c r="E10" s="139" t="s">
        <v>166</v>
      </c>
      <c r="F10" s="59"/>
      <c r="G10" s="139" t="s">
        <v>5</v>
      </c>
      <c r="H10" s="59"/>
      <c r="I10" s="75" t="s">
        <v>6</v>
      </c>
      <c r="J10" s="61" t="s">
        <v>14</v>
      </c>
    </row>
    <row r="11" spans="1:10">
      <c r="B11" s="61"/>
      <c r="D11" s="61"/>
      <c r="E11" s="61"/>
      <c r="F11" s="61"/>
      <c r="G11" s="61"/>
      <c r="H11" s="61"/>
      <c r="I11" s="61"/>
      <c r="J11" s="61"/>
    </row>
    <row r="12" spans="1:10" ht="18">
      <c r="A12" s="61">
        <v>1</v>
      </c>
      <c r="B12" s="63" t="s">
        <v>167</v>
      </c>
      <c r="C12" s="61" t="s">
        <v>168</v>
      </c>
      <c r="E12" s="140"/>
      <c r="F12" s="141"/>
      <c r="G12" s="142">
        <v>133751.8893076923</v>
      </c>
      <c r="H12" s="141"/>
      <c r="I12" s="143" t="s">
        <v>477</v>
      </c>
      <c r="J12" s="61">
        <f>A12</f>
        <v>1</v>
      </c>
    </row>
    <row r="13" spans="1:10">
      <c r="A13" s="61">
        <f>+A12+1</f>
        <v>2</v>
      </c>
      <c r="C13" s="61"/>
      <c r="E13" s="134"/>
      <c r="F13" s="144"/>
      <c r="G13" s="144"/>
      <c r="H13" s="144"/>
      <c r="I13" s="143"/>
      <c r="J13" s="61">
        <f>+J12+1</f>
        <v>2</v>
      </c>
    </row>
    <row r="14" spans="1:10">
      <c r="A14" s="61">
        <f t="shared" ref="A14:A30" si="0">+A13+1</f>
        <v>3</v>
      </c>
      <c r="B14" s="63" t="s">
        <v>64</v>
      </c>
      <c r="C14" s="61"/>
      <c r="E14" s="145"/>
      <c r="F14" s="146"/>
      <c r="G14" s="575">
        <v>0.38959269039981725</v>
      </c>
      <c r="H14" s="460" t="s">
        <v>361</v>
      </c>
      <c r="I14" s="143" t="s">
        <v>597</v>
      </c>
      <c r="J14" s="61">
        <f t="shared" ref="J14:J30" si="1">+J13+1</f>
        <v>3</v>
      </c>
    </row>
    <row r="15" spans="1:10">
      <c r="A15" s="61">
        <f t="shared" si="0"/>
        <v>4</v>
      </c>
      <c r="C15" s="61"/>
      <c r="E15" s="134"/>
      <c r="F15" s="144"/>
      <c r="G15" s="134"/>
      <c r="H15" s="144"/>
      <c r="I15" s="143"/>
      <c r="J15" s="61">
        <f t="shared" si="1"/>
        <v>4</v>
      </c>
    </row>
    <row r="16" spans="1:10" ht="16" thickBot="1">
      <c r="A16" s="61">
        <f t="shared" si="0"/>
        <v>5</v>
      </c>
      <c r="B16" s="63" t="s">
        <v>169</v>
      </c>
      <c r="C16" s="61"/>
      <c r="E16" s="147"/>
      <c r="F16" s="144"/>
      <c r="G16" s="506">
        <f>G12*G14</f>
        <v>52108.758401442392</v>
      </c>
      <c r="H16" s="460" t="s">
        <v>361</v>
      </c>
      <c r="I16" s="143" t="s">
        <v>478</v>
      </c>
      <c r="J16" s="61">
        <f t="shared" si="1"/>
        <v>5</v>
      </c>
    </row>
    <row r="17" spans="1:12" ht="16" thickTop="1">
      <c r="A17" s="61">
        <f t="shared" si="0"/>
        <v>6</v>
      </c>
      <c r="C17" s="61"/>
      <c r="E17" s="74"/>
      <c r="F17" s="61"/>
      <c r="G17" s="61"/>
      <c r="H17" s="61"/>
      <c r="I17" s="143"/>
      <c r="J17" s="61">
        <f t="shared" si="1"/>
        <v>6</v>
      </c>
    </row>
    <row r="18" spans="1:12" ht="18">
      <c r="A18" s="61">
        <f t="shared" si="0"/>
        <v>7</v>
      </c>
      <c r="B18" s="63" t="s">
        <v>170</v>
      </c>
      <c r="C18" s="61" t="s">
        <v>171</v>
      </c>
      <c r="D18" s="137"/>
      <c r="E18" s="140"/>
      <c r="F18" s="144"/>
      <c r="G18" s="148">
        <v>50549.307692307695</v>
      </c>
      <c r="H18" s="141"/>
      <c r="I18" s="143" t="s">
        <v>479</v>
      </c>
      <c r="J18" s="61">
        <f t="shared" si="1"/>
        <v>7</v>
      </c>
    </row>
    <row r="19" spans="1:12">
      <c r="A19" s="61">
        <f t="shared" si="0"/>
        <v>8</v>
      </c>
      <c r="C19" s="61"/>
      <c r="E19" s="149"/>
      <c r="F19" s="144"/>
      <c r="G19" s="144"/>
      <c r="H19" s="144"/>
      <c r="I19" s="143"/>
      <c r="J19" s="61">
        <f t="shared" si="1"/>
        <v>8</v>
      </c>
    </row>
    <row r="20" spans="1:12" ht="16" thickBot="1">
      <c r="A20" s="61">
        <f t="shared" si="0"/>
        <v>9</v>
      </c>
      <c r="B20" s="63" t="s">
        <v>172</v>
      </c>
      <c r="E20" s="140"/>
      <c r="F20" s="144"/>
      <c r="G20" s="506">
        <f>G14*G18</f>
        <v>19693.640781694332</v>
      </c>
      <c r="H20" s="460" t="s">
        <v>361</v>
      </c>
      <c r="I20" s="143" t="s">
        <v>480</v>
      </c>
      <c r="J20" s="61">
        <f t="shared" si="1"/>
        <v>9</v>
      </c>
    </row>
    <row r="21" spans="1:12" ht="16" thickTop="1">
      <c r="A21" s="61">
        <f t="shared" si="0"/>
        <v>10</v>
      </c>
      <c r="E21" s="150"/>
      <c r="F21" s="144"/>
      <c r="G21" s="144"/>
      <c r="H21" s="144"/>
      <c r="I21" s="143"/>
      <c r="J21" s="61">
        <f t="shared" si="1"/>
        <v>10</v>
      </c>
    </row>
    <row r="22" spans="1:12">
      <c r="A22" s="61">
        <f t="shared" si="0"/>
        <v>11</v>
      </c>
      <c r="B22" s="151" t="s">
        <v>173</v>
      </c>
      <c r="E22" s="150"/>
      <c r="F22" s="144"/>
      <c r="G22" s="144"/>
      <c r="H22" s="144"/>
      <c r="I22" s="143"/>
      <c r="J22" s="61">
        <f t="shared" si="1"/>
        <v>11</v>
      </c>
    </row>
    <row r="23" spans="1:12">
      <c r="A23" s="61">
        <f t="shared" si="0"/>
        <v>12</v>
      </c>
      <c r="B23" s="63" t="s">
        <v>174</v>
      </c>
      <c r="E23" s="576">
        <v>32550.076329999993</v>
      </c>
      <c r="F23" s="460" t="s">
        <v>361</v>
      </c>
      <c r="G23" s="153"/>
      <c r="H23" s="144"/>
      <c r="I23" s="143" t="s">
        <v>577</v>
      </c>
      <c r="J23" s="61">
        <f t="shared" si="1"/>
        <v>12</v>
      </c>
    </row>
    <row r="24" spans="1:12">
      <c r="A24" s="61">
        <f t="shared" si="0"/>
        <v>13</v>
      </c>
      <c r="B24" s="63" t="s">
        <v>175</v>
      </c>
      <c r="E24" s="577">
        <v>35430.87227379164</v>
      </c>
      <c r="F24" s="460" t="s">
        <v>361</v>
      </c>
      <c r="G24" s="155"/>
      <c r="H24" s="144"/>
      <c r="I24" s="143" t="s">
        <v>578</v>
      </c>
      <c r="J24" s="61">
        <f t="shared" si="1"/>
        <v>13</v>
      </c>
    </row>
    <row r="25" spans="1:12">
      <c r="A25" s="61">
        <f t="shared" si="0"/>
        <v>14</v>
      </c>
      <c r="B25" s="63" t="s">
        <v>176</v>
      </c>
      <c r="E25" s="156">
        <v>0</v>
      </c>
      <c r="F25" s="144"/>
      <c r="G25" s="155"/>
      <c r="H25" s="144"/>
      <c r="I25" s="143" t="s">
        <v>481</v>
      </c>
      <c r="J25" s="61">
        <f t="shared" si="1"/>
        <v>14</v>
      </c>
    </row>
    <row r="26" spans="1:12">
      <c r="A26" s="61">
        <f t="shared" si="0"/>
        <v>15</v>
      </c>
      <c r="B26" s="63" t="s">
        <v>118</v>
      </c>
      <c r="E26" s="578">
        <f>SUM(E23:E25)</f>
        <v>67980.948603791636</v>
      </c>
      <c r="F26" s="460" t="s">
        <v>361</v>
      </c>
      <c r="G26" s="137"/>
      <c r="H26" s="143"/>
      <c r="I26" s="143" t="s">
        <v>482</v>
      </c>
      <c r="J26" s="61">
        <f t="shared" si="1"/>
        <v>15</v>
      </c>
    </row>
    <row r="27" spans="1:12">
      <c r="A27" s="61">
        <f t="shared" si="0"/>
        <v>16</v>
      </c>
      <c r="F27" s="61"/>
      <c r="H27" s="61"/>
      <c r="I27" s="143"/>
      <c r="J27" s="61">
        <f t="shared" si="1"/>
        <v>16</v>
      </c>
    </row>
    <row r="28" spans="1:12">
      <c r="A28" s="61">
        <f t="shared" si="0"/>
        <v>17</v>
      </c>
      <c r="B28" s="63" t="s">
        <v>177</v>
      </c>
      <c r="E28" s="157">
        <f>1/8</f>
        <v>0.125</v>
      </c>
      <c r="F28" s="61"/>
      <c r="G28" s="158"/>
      <c r="H28" s="61"/>
      <c r="I28" s="143" t="s">
        <v>65</v>
      </c>
      <c r="J28" s="61">
        <f t="shared" si="1"/>
        <v>17</v>
      </c>
    </row>
    <row r="29" spans="1:12">
      <c r="A29" s="61">
        <f t="shared" si="0"/>
        <v>18</v>
      </c>
      <c r="E29" s="134" t="s">
        <v>7</v>
      </c>
      <c r="F29" s="144"/>
      <c r="G29" s="134"/>
      <c r="H29" s="144"/>
      <c r="I29" s="143"/>
      <c r="J29" s="61">
        <f t="shared" si="1"/>
        <v>18</v>
      </c>
    </row>
    <row r="30" spans="1:12" ht="16" thickBot="1">
      <c r="A30" s="61">
        <f t="shared" si="0"/>
        <v>19</v>
      </c>
      <c r="B30" s="63" t="s">
        <v>178</v>
      </c>
      <c r="E30" s="506">
        <f>E26*E28</f>
        <v>8497.6185754739545</v>
      </c>
      <c r="F30" s="460" t="s">
        <v>361</v>
      </c>
      <c r="G30" s="147"/>
      <c r="H30" s="144"/>
      <c r="I30" s="61" t="s">
        <v>483</v>
      </c>
      <c r="J30" s="61">
        <f t="shared" si="1"/>
        <v>19</v>
      </c>
      <c r="L30" s="69"/>
    </row>
    <row r="31" spans="1:12" ht="16" thickTop="1">
      <c r="B31" s="161"/>
    </row>
    <row r="32" spans="1:12">
      <c r="B32" s="161"/>
    </row>
    <row r="33" spans="1:2">
      <c r="A33" s="460" t="s">
        <v>361</v>
      </c>
      <c r="B33" s="5" t="s">
        <v>574</v>
      </c>
    </row>
    <row r="34" spans="1:2" ht="18">
      <c r="A34" s="162">
        <v>1</v>
      </c>
      <c r="B34" s="63" t="s">
        <v>66</v>
      </c>
    </row>
    <row r="35" spans="1:2" ht="18">
      <c r="A35" s="162"/>
    </row>
    <row r="36" spans="1:2">
      <c r="A36" s="59"/>
      <c r="B36" s="60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Roman,Bold"&amp;6AS FILED STMT AL WITH FERC AUDIT ADJ INCL IN APPENDIX XII CYCLE 6 (ER24-175)</oddHeader>
    <oddFooter>&amp;L&amp;F&amp;CPage 8.1&amp;R&amp;A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E232-D472-4CF7-9FFB-9399AF333042}">
  <dimension ref="A1:M160"/>
  <sheetViews>
    <sheetView zoomScale="80" zoomScaleNormal="80" workbookViewId="0"/>
  </sheetViews>
  <sheetFormatPr defaultColWidth="8.81640625" defaultRowHeight="15.5"/>
  <cols>
    <col min="1" max="1" width="5.1796875" style="79" customWidth="1"/>
    <col min="2" max="2" width="55.453125" style="76" customWidth="1"/>
    <col min="3" max="5" width="15.54296875" style="76" customWidth="1"/>
    <col min="6" max="6" width="1.54296875" style="76" customWidth="1"/>
    <col min="7" max="7" width="16.81640625" style="76" customWidth="1"/>
    <col min="8" max="8" width="1.54296875" style="76" customWidth="1"/>
    <col min="9" max="9" width="38.81640625" style="176" customWidth="1"/>
    <col min="10" max="10" width="5.1796875" style="76" customWidth="1"/>
    <col min="11" max="11" width="27" style="76" bestFit="1" customWidth="1"/>
    <col min="12" max="12" width="15" style="76" bestFit="1" customWidth="1"/>
    <col min="13" max="13" width="10.453125" style="76" bestFit="1" customWidth="1"/>
    <col min="14" max="16384" width="8.81640625" style="76"/>
  </cols>
  <sheetData>
    <row r="1" spans="1:10">
      <c r="A1" s="195"/>
      <c r="G1" s="168"/>
      <c r="H1" s="168"/>
      <c r="I1" s="196"/>
      <c r="J1" s="79"/>
    </row>
    <row r="2" spans="1:10">
      <c r="B2" s="726" t="s">
        <v>0</v>
      </c>
      <c r="C2" s="726"/>
      <c r="D2" s="726"/>
      <c r="E2" s="726"/>
      <c r="F2" s="726"/>
      <c r="G2" s="726"/>
      <c r="H2" s="726"/>
      <c r="I2" s="726"/>
      <c r="J2" s="79"/>
    </row>
    <row r="3" spans="1:10">
      <c r="B3" s="726" t="s">
        <v>94</v>
      </c>
      <c r="C3" s="726"/>
      <c r="D3" s="726"/>
      <c r="E3" s="726"/>
      <c r="F3" s="726"/>
      <c r="G3" s="726"/>
      <c r="H3" s="726"/>
      <c r="I3" s="726"/>
      <c r="J3" s="79"/>
    </row>
    <row r="4" spans="1:10">
      <c r="B4" s="726" t="s">
        <v>69</v>
      </c>
      <c r="C4" s="726"/>
      <c r="D4" s="726"/>
      <c r="E4" s="726"/>
      <c r="F4" s="726"/>
      <c r="G4" s="726"/>
      <c r="H4" s="726"/>
      <c r="I4" s="726"/>
      <c r="J4" s="79"/>
    </row>
    <row r="5" spans="1:10">
      <c r="B5" s="727" t="s">
        <v>393</v>
      </c>
      <c r="C5" s="727"/>
      <c r="D5" s="727"/>
      <c r="E5" s="727"/>
      <c r="F5" s="727"/>
      <c r="G5" s="727"/>
      <c r="H5" s="727"/>
      <c r="I5" s="727"/>
      <c r="J5" s="79"/>
    </row>
    <row r="6" spans="1:10">
      <c r="B6" s="728" t="s">
        <v>1</v>
      </c>
      <c r="C6" s="729"/>
      <c r="D6" s="729"/>
      <c r="E6" s="729"/>
      <c r="F6" s="729"/>
      <c r="G6" s="729"/>
      <c r="H6" s="729"/>
      <c r="I6" s="729"/>
      <c r="J6" s="79"/>
    </row>
    <row r="7" spans="1:10">
      <c r="B7" s="79"/>
      <c r="C7" s="79"/>
      <c r="D7" s="79"/>
      <c r="E7" s="79"/>
      <c r="F7" s="79"/>
      <c r="G7" s="79"/>
      <c r="H7" s="79"/>
      <c r="I7" s="197"/>
      <c r="J7" s="79"/>
    </row>
    <row r="8" spans="1:10">
      <c r="A8" s="79" t="s">
        <v>2</v>
      </c>
      <c r="B8" s="164"/>
      <c r="C8" s="164"/>
      <c r="D8" s="164"/>
      <c r="E8" s="79" t="s">
        <v>162</v>
      </c>
      <c r="F8" s="164"/>
      <c r="G8" s="164"/>
      <c r="H8" s="164"/>
      <c r="I8" s="197"/>
      <c r="J8" s="79" t="s">
        <v>2</v>
      </c>
    </row>
    <row r="9" spans="1:10">
      <c r="A9" s="79" t="s">
        <v>14</v>
      </c>
      <c r="B9" s="79"/>
      <c r="C9" s="79"/>
      <c r="D9" s="79"/>
      <c r="E9" s="85" t="s">
        <v>163</v>
      </c>
      <c r="F9" s="79"/>
      <c r="G9" s="165" t="s">
        <v>22</v>
      </c>
      <c r="H9" s="164"/>
      <c r="I9" s="198" t="s">
        <v>6</v>
      </c>
      <c r="J9" s="79" t="s">
        <v>14</v>
      </c>
    </row>
    <row r="10" spans="1:10">
      <c r="B10" s="79"/>
      <c r="C10" s="79"/>
      <c r="D10" s="79"/>
      <c r="E10" s="79"/>
      <c r="F10" s="79"/>
      <c r="G10" s="79"/>
      <c r="H10" s="79"/>
      <c r="I10" s="197"/>
      <c r="J10" s="79"/>
    </row>
    <row r="11" spans="1:10">
      <c r="A11" s="79">
        <v>1</v>
      </c>
      <c r="B11" s="179" t="s">
        <v>70</v>
      </c>
      <c r="I11" s="197"/>
      <c r="J11" s="79">
        <f>A11</f>
        <v>1</v>
      </c>
    </row>
    <row r="12" spans="1:10">
      <c r="A12" s="79">
        <f>A11+1</f>
        <v>2</v>
      </c>
      <c r="B12" s="76" t="s">
        <v>182</v>
      </c>
      <c r="E12" s="79" t="s">
        <v>183</v>
      </c>
      <c r="G12" s="166">
        <v>4776266</v>
      </c>
      <c r="H12" s="164"/>
      <c r="I12" s="199"/>
      <c r="J12" s="79">
        <f>J11+1</f>
        <v>2</v>
      </c>
    </row>
    <row r="13" spans="1:10">
      <c r="A13" s="79">
        <f t="shared" ref="A13:A65" si="0">A12+1</f>
        <v>3</v>
      </c>
      <c r="B13" s="76" t="s">
        <v>184</v>
      </c>
      <c r="E13" s="79" t="s">
        <v>185</v>
      </c>
      <c r="G13" s="169">
        <v>0</v>
      </c>
      <c r="H13" s="164"/>
      <c r="I13" s="199"/>
      <c r="J13" s="79">
        <f t="shared" ref="J13:J65" si="1">J12+1</f>
        <v>3</v>
      </c>
    </row>
    <row r="14" spans="1:10">
      <c r="A14" s="79">
        <f t="shared" si="0"/>
        <v>4</v>
      </c>
      <c r="B14" s="76" t="s">
        <v>186</v>
      </c>
      <c r="E14" s="79" t="s">
        <v>187</v>
      </c>
      <c r="G14" s="169">
        <v>0</v>
      </c>
      <c r="H14" s="164"/>
      <c r="I14" s="199"/>
      <c r="J14" s="79">
        <f t="shared" si="1"/>
        <v>4</v>
      </c>
    </row>
    <row r="15" spans="1:10">
      <c r="A15" s="79">
        <f t="shared" si="0"/>
        <v>5</v>
      </c>
      <c r="B15" s="76" t="s">
        <v>188</v>
      </c>
      <c r="E15" s="79" t="s">
        <v>189</v>
      </c>
      <c r="G15" s="169">
        <v>0</v>
      </c>
      <c r="H15" s="164"/>
      <c r="I15" s="199"/>
      <c r="J15" s="79">
        <f t="shared" si="1"/>
        <v>5</v>
      </c>
    </row>
    <row r="16" spans="1:10">
      <c r="A16" s="79">
        <f t="shared" si="0"/>
        <v>6</v>
      </c>
      <c r="B16" s="76" t="s">
        <v>190</v>
      </c>
      <c r="E16" s="79" t="s">
        <v>191</v>
      </c>
      <c r="G16" s="169">
        <v>-12609.584859999999</v>
      </c>
      <c r="H16" s="164"/>
      <c r="I16" s="199"/>
      <c r="J16" s="79">
        <f t="shared" si="1"/>
        <v>6</v>
      </c>
    </row>
    <row r="17" spans="1:10">
      <c r="A17" s="79">
        <f t="shared" si="0"/>
        <v>7</v>
      </c>
      <c r="B17" s="76" t="s">
        <v>192</v>
      </c>
      <c r="G17" s="180">
        <f>SUM(G12:G16)</f>
        <v>4763656.4151400002</v>
      </c>
      <c r="H17" s="160"/>
      <c r="I17" s="197" t="s">
        <v>484</v>
      </c>
      <c r="J17" s="79">
        <f t="shared" si="1"/>
        <v>7</v>
      </c>
    </row>
    <row r="18" spans="1:10">
      <c r="A18" s="79">
        <f t="shared" si="0"/>
        <v>8</v>
      </c>
      <c r="I18" s="197"/>
      <c r="J18" s="79">
        <f t="shared" si="1"/>
        <v>8</v>
      </c>
    </row>
    <row r="19" spans="1:10">
      <c r="A19" s="79">
        <f t="shared" si="0"/>
        <v>9</v>
      </c>
      <c r="B19" s="179" t="s">
        <v>71</v>
      </c>
      <c r="G19" s="71"/>
      <c r="H19" s="71"/>
      <c r="I19" s="197"/>
      <c r="J19" s="79">
        <f t="shared" si="1"/>
        <v>9</v>
      </c>
    </row>
    <row r="20" spans="1:10">
      <c r="A20" s="79">
        <f t="shared" si="0"/>
        <v>10</v>
      </c>
      <c r="B20" s="76" t="s">
        <v>193</v>
      </c>
      <c r="E20" s="79" t="s">
        <v>194</v>
      </c>
      <c r="G20" s="166">
        <v>200012.28902</v>
      </c>
      <c r="H20" s="164"/>
      <c r="I20" s="199"/>
      <c r="J20" s="79">
        <f t="shared" si="1"/>
        <v>10</v>
      </c>
    </row>
    <row r="21" spans="1:10">
      <c r="A21" s="79">
        <f t="shared" si="0"/>
        <v>11</v>
      </c>
      <c r="B21" s="76" t="s">
        <v>195</v>
      </c>
      <c r="E21" s="79" t="s">
        <v>196</v>
      </c>
      <c r="G21" s="169">
        <v>3450.8071800000002</v>
      </c>
      <c r="H21" s="164"/>
      <c r="I21" s="199"/>
      <c r="J21" s="79">
        <f t="shared" si="1"/>
        <v>11</v>
      </c>
    </row>
    <row r="22" spans="1:10">
      <c r="A22" s="79">
        <f t="shared" si="0"/>
        <v>12</v>
      </c>
      <c r="B22" s="76" t="s">
        <v>197</v>
      </c>
      <c r="E22" s="79" t="s">
        <v>198</v>
      </c>
      <c r="G22" s="169">
        <v>2799.42463</v>
      </c>
      <c r="H22" s="164"/>
      <c r="I22" s="199"/>
      <c r="J22" s="79">
        <f t="shared" si="1"/>
        <v>12</v>
      </c>
    </row>
    <row r="23" spans="1:10">
      <c r="A23" s="79">
        <f t="shared" si="0"/>
        <v>13</v>
      </c>
      <c r="B23" s="76" t="s">
        <v>199</v>
      </c>
      <c r="E23" s="79" t="s">
        <v>200</v>
      </c>
      <c r="G23" s="169">
        <v>0</v>
      </c>
      <c r="H23" s="164"/>
      <c r="I23" s="199"/>
      <c r="J23" s="79">
        <f t="shared" si="1"/>
        <v>13</v>
      </c>
    </row>
    <row r="24" spans="1:10">
      <c r="A24" s="79">
        <f t="shared" si="0"/>
        <v>14</v>
      </c>
      <c r="B24" s="76" t="s">
        <v>201</v>
      </c>
      <c r="E24" s="79" t="s">
        <v>202</v>
      </c>
      <c r="G24" s="169">
        <v>0</v>
      </c>
      <c r="H24" s="164"/>
      <c r="I24" s="199"/>
      <c r="J24" s="79">
        <f t="shared" si="1"/>
        <v>14</v>
      </c>
    </row>
    <row r="25" spans="1:10">
      <c r="A25" s="79">
        <f t="shared" si="0"/>
        <v>15</v>
      </c>
      <c r="B25" s="76" t="s">
        <v>203</v>
      </c>
      <c r="G25" s="200">
        <f>SUM(G20:G24)</f>
        <v>206262.52082999999</v>
      </c>
      <c r="H25" s="170"/>
      <c r="I25" s="197" t="s">
        <v>485</v>
      </c>
      <c r="J25" s="79">
        <f t="shared" si="1"/>
        <v>15</v>
      </c>
    </row>
    <row r="26" spans="1:10">
      <c r="A26" s="79">
        <f t="shared" si="0"/>
        <v>16</v>
      </c>
      <c r="I26" s="197"/>
      <c r="J26" s="79">
        <f t="shared" si="1"/>
        <v>16</v>
      </c>
    </row>
    <row r="27" spans="1:10" ht="16" thickBot="1">
      <c r="A27" s="79">
        <f t="shared" si="0"/>
        <v>17</v>
      </c>
      <c r="B27" s="179" t="s">
        <v>72</v>
      </c>
      <c r="G27" s="201">
        <f>G25/G17</f>
        <v>4.329920188501632E-2</v>
      </c>
      <c r="H27" s="202"/>
      <c r="I27" s="197" t="s">
        <v>486</v>
      </c>
      <c r="J27" s="79">
        <f t="shared" si="1"/>
        <v>17</v>
      </c>
    </row>
    <row r="28" spans="1:10" ht="16" thickTop="1">
      <c r="A28" s="79">
        <f t="shared" si="0"/>
        <v>18</v>
      </c>
      <c r="I28" s="197"/>
      <c r="J28" s="79">
        <f t="shared" si="1"/>
        <v>18</v>
      </c>
    </row>
    <row r="29" spans="1:10">
      <c r="A29" s="79">
        <f t="shared" si="0"/>
        <v>19</v>
      </c>
      <c r="B29" s="179" t="s">
        <v>73</v>
      </c>
      <c r="I29" s="197"/>
      <c r="J29" s="79">
        <f t="shared" si="1"/>
        <v>19</v>
      </c>
    </row>
    <row r="30" spans="1:10">
      <c r="A30" s="79">
        <f t="shared" si="0"/>
        <v>20</v>
      </c>
      <c r="B30" s="76" t="s">
        <v>204</v>
      </c>
      <c r="E30" s="79" t="s">
        <v>205</v>
      </c>
      <c r="G30" s="166">
        <v>0</v>
      </c>
      <c r="H30" s="164"/>
      <c r="I30" s="199"/>
      <c r="J30" s="79">
        <f t="shared" si="1"/>
        <v>20</v>
      </c>
    </row>
    <row r="31" spans="1:10">
      <c r="A31" s="79">
        <f t="shared" si="0"/>
        <v>21</v>
      </c>
      <c r="B31" s="76" t="s">
        <v>206</v>
      </c>
      <c r="E31" s="79" t="s">
        <v>207</v>
      </c>
      <c r="G31" s="203">
        <v>0</v>
      </c>
      <c r="H31" s="164"/>
      <c r="I31" s="199"/>
      <c r="J31" s="79">
        <f t="shared" si="1"/>
        <v>21</v>
      </c>
    </row>
    <row r="32" spans="1:10" ht="16" thickBot="1">
      <c r="A32" s="79">
        <f t="shared" si="0"/>
        <v>22</v>
      </c>
      <c r="B32" s="76" t="s">
        <v>208</v>
      </c>
      <c r="G32" s="201">
        <f>IFERROR((G31/G30),0)</f>
        <v>0</v>
      </c>
      <c r="H32" s="202"/>
      <c r="I32" s="197" t="s">
        <v>487</v>
      </c>
      <c r="J32" s="79">
        <f t="shared" si="1"/>
        <v>22</v>
      </c>
    </row>
    <row r="33" spans="1:12" ht="16" thickTop="1">
      <c r="A33" s="79">
        <f t="shared" si="0"/>
        <v>23</v>
      </c>
      <c r="I33" s="197"/>
      <c r="J33" s="79">
        <f t="shared" si="1"/>
        <v>23</v>
      </c>
    </row>
    <row r="34" spans="1:12">
      <c r="A34" s="79">
        <f t="shared" si="0"/>
        <v>24</v>
      </c>
      <c r="B34" s="179" t="s">
        <v>74</v>
      </c>
      <c r="I34" s="197"/>
      <c r="J34" s="79">
        <f t="shared" si="1"/>
        <v>24</v>
      </c>
    </row>
    <row r="35" spans="1:12">
      <c r="A35" s="79">
        <f t="shared" si="0"/>
        <v>25</v>
      </c>
      <c r="B35" s="76" t="s">
        <v>209</v>
      </c>
      <c r="E35" s="79" t="s">
        <v>210</v>
      </c>
      <c r="G35" s="166">
        <v>6011923.3266400006</v>
      </c>
      <c r="H35" s="164"/>
      <c r="I35" s="199"/>
      <c r="J35" s="79">
        <f t="shared" si="1"/>
        <v>25</v>
      </c>
      <c r="K35" s="159"/>
      <c r="L35" s="318"/>
    </row>
    <row r="36" spans="1:12">
      <c r="A36" s="79">
        <f t="shared" si="0"/>
        <v>26</v>
      </c>
      <c r="B36" s="76" t="s">
        <v>211</v>
      </c>
      <c r="E36" s="79" t="s">
        <v>205</v>
      </c>
      <c r="G36" s="204">
        <v>0</v>
      </c>
      <c r="H36" s="204"/>
      <c r="I36" s="197" t="s">
        <v>488</v>
      </c>
      <c r="J36" s="79">
        <f t="shared" si="1"/>
        <v>26</v>
      </c>
    </row>
    <row r="37" spans="1:12">
      <c r="A37" s="79">
        <f t="shared" si="0"/>
        <v>27</v>
      </c>
      <c r="B37" s="76" t="s">
        <v>212</v>
      </c>
      <c r="E37" s="79" t="s">
        <v>213</v>
      </c>
      <c r="G37" s="169">
        <v>0</v>
      </c>
      <c r="H37" s="164"/>
      <c r="I37" s="199"/>
      <c r="J37" s="79">
        <f t="shared" si="1"/>
        <v>27</v>
      </c>
    </row>
    <row r="38" spans="1:12">
      <c r="A38" s="79">
        <f t="shared" si="0"/>
        <v>28</v>
      </c>
      <c r="B38" s="76" t="s">
        <v>214</v>
      </c>
      <c r="E38" s="79" t="s">
        <v>215</v>
      </c>
      <c r="G38" s="169">
        <v>9578.0788499999999</v>
      </c>
      <c r="H38" s="164"/>
      <c r="I38" s="199"/>
      <c r="J38" s="79">
        <f t="shared" si="1"/>
        <v>28</v>
      </c>
    </row>
    <row r="39" spans="1:12" ht="16" thickBot="1">
      <c r="A39" s="79">
        <f t="shared" si="0"/>
        <v>29</v>
      </c>
      <c r="B39" s="76" t="s">
        <v>216</v>
      </c>
      <c r="G39" s="205">
        <f>SUM(G35:G38)</f>
        <v>6021501.4054900007</v>
      </c>
      <c r="H39" s="206"/>
      <c r="I39" s="197" t="s">
        <v>489</v>
      </c>
      <c r="J39" s="79">
        <f t="shared" si="1"/>
        <v>29</v>
      </c>
    </row>
    <row r="40" spans="1:12" ht="16.5" thickTop="1" thickBot="1">
      <c r="A40" s="207">
        <f t="shared" si="0"/>
        <v>30</v>
      </c>
      <c r="B40" s="83"/>
      <c r="C40" s="83"/>
      <c r="D40" s="83"/>
      <c r="E40" s="83"/>
      <c r="F40" s="83"/>
      <c r="G40" s="83"/>
      <c r="H40" s="83"/>
      <c r="I40" s="208"/>
      <c r="J40" s="207">
        <f t="shared" si="1"/>
        <v>30</v>
      </c>
    </row>
    <row r="41" spans="1:12">
      <c r="A41" s="79">
        <f>A40+1</f>
        <v>31</v>
      </c>
      <c r="I41" s="197"/>
      <c r="J41" s="79">
        <f>J40+1</f>
        <v>31</v>
      </c>
    </row>
    <row r="42" spans="1:12" ht="19" thickBot="1">
      <c r="A42" s="79">
        <f>A41+1</f>
        <v>32</v>
      </c>
      <c r="B42" s="179" t="s">
        <v>324</v>
      </c>
      <c r="G42" s="209">
        <v>0.112</v>
      </c>
      <c r="H42" s="164"/>
      <c r="I42" s="197" t="s">
        <v>217</v>
      </c>
      <c r="J42" s="79">
        <f>J41+1</f>
        <v>32</v>
      </c>
    </row>
    <row r="43" spans="1:12" ht="16" thickTop="1">
      <c r="A43" s="79">
        <f t="shared" si="0"/>
        <v>33</v>
      </c>
      <c r="C43" s="172" t="s">
        <v>3</v>
      </c>
      <c r="D43" s="172" t="s">
        <v>4</v>
      </c>
      <c r="E43" s="172" t="s">
        <v>67</v>
      </c>
      <c r="F43" s="172"/>
      <c r="G43" s="172" t="s">
        <v>75</v>
      </c>
      <c r="H43" s="172"/>
      <c r="I43" s="197"/>
      <c r="J43" s="79">
        <f t="shared" si="1"/>
        <v>33</v>
      </c>
    </row>
    <row r="44" spans="1:12">
      <c r="A44" s="79">
        <f t="shared" si="0"/>
        <v>34</v>
      </c>
      <c r="D44" s="79" t="s">
        <v>76</v>
      </c>
      <c r="E44" s="79" t="s">
        <v>95</v>
      </c>
      <c r="F44" s="79"/>
      <c r="G44" s="79" t="s">
        <v>77</v>
      </c>
      <c r="H44" s="79"/>
      <c r="I44" s="197"/>
      <c r="J44" s="79">
        <f t="shared" si="1"/>
        <v>34</v>
      </c>
    </row>
    <row r="45" spans="1:12" ht="18">
      <c r="A45" s="79">
        <f t="shared" si="0"/>
        <v>35</v>
      </c>
      <c r="B45" s="179" t="s">
        <v>78</v>
      </c>
      <c r="C45" s="85" t="s">
        <v>241</v>
      </c>
      <c r="D45" s="85" t="s">
        <v>79</v>
      </c>
      <c r="E45" s="85" t="s">
        <v>96</v>
      </c>
      <c r="F45" s="85"/>
      <c r="G45" s="85" t="s">
        <v>80</v>
      </c>
      <c r="H45" s="79"/>
      <c r="I45" s="197"/>
      <c r="J45" s="79">
        <f t="shared" si="1"/>
        <v>35</v>
      </c>
    </row>
    <row r="46" spans="1:12">
      <c r="A46" s="79">
        <f t="shared" si="0"/>
        <v>36</v>
      </c>
      <c r="I46" s="197"/>
      <c r="J46" s="79">
        <f t="shared" si="1"/>
        <v>36</v>
      </c>
    </row>
    <row r="47" spans="1:12">
      <c r="A47" s="79">
        <f t="shared" si="0"/>
        <v>37</v>
      </c>
      <c r="B47" s="76" t="s">
        <v>81</v>
      </c>
      <c r="C47" s="191">
        <f>G17</f>
        <v>4763656.4151400002</v>
      </c>
      <c r="D47" s="210">
        <f>C47/C$50</f>
        <v>0.4416862965164971</v>
      </c>
      <c r="E47" s="211">
        <f>G27</f>
        <v>4.329920188501632E-2</v>
      </c>
      <c r="G47" s="212">
        <f>D47*E47</f>
        <v>1.9124664122712989E-2</v>
      </c>
      <c r="H47" s="212"/>
      <c r="I47" s="197" t="s">
        <v>490</v>
      </c>
      <c r="J47" s="79">
        <f t="shared" si="1"/>
        <v>37</v>
      </c>
    </row>
    <row r="48" spans="1:12">
      <c r="A48" s="79">
        <f t="shared" si="0"/>
        <v>38</v>
      </c>
      <c r="B48" s="76" t="s">
        <v>82</v>
      </c>
      <c r="C48" s="213">
        <f>G30</f>
        <v>0</v>
      </c>
      <c r="D48" s="210">
        <f>C48/C$50</f>
        <v>0</v>
      </c>
      <c r="E48" s="211">
        <f>G32</f>
        <v>0</v>
      </c>
      <c r="G48" s="212">
        <f>D48*E48</f>
        <v>0</v>
      </c>
      <c r="H48" s="212"/>
      <c r="I48" s="197" t="s">
        <v>491</v>
      </c>
      <c r="J48" s="79">
        <f t="shared" si="1"/>
        <v>38</v>
      </c>
    </row>
    <row r="49" spans="1:10">
      <c r="A49" s="79">
        <f t="shared" si="0"/>
        <v>39</v>
      </c>
      <c r="B49" s="76" t="s">
        <v>83</v>
      </c>
      <c r="C49" s="213">
        <f>G39</f>
        <v>6021501.4054900007</v>
      </c>
      <c r="D49" s="214">
        <f>C49/C$50</f>
        <v>0.55831370348350295</v>
      </c>
      <c r="E49" s="215">
        <f>G42</f>
        <v>0.112</v>
      </c>
      <c r="G49" s="216">
        <f>D49*E49</f>
        <v>6.2531134790152335E-2</v>
      </c>
      <c r="H49" s="202"/>
      <c r="I49" s="197" t="s">
        <v>492</v>
      </c>
      <c r="J49" s="79">
        <f t="shared" si="1"/>
        <v>39</v>
      </c>
    </row>
    <row r="50" spans="1:10" ht="16" thickBot="1">
      <c r="A50" s="79">
        <f t="shared" si="0"/>
        <v>40</v>
      </c>
      <c r="B50" s="76" t="s">
        <v>218</v>
      </c>
      <c r="C50" s="217">
        <f>SUM(C47:C49)</f>
        <v>10785157.820630001</v>
      </c>
      <c r="D50" s="218">
        <f>SUM(D47:D49)</f>
        <v>1</v>
      </c>
      <c r="G50" s="201">
        <f>SUM(G47:G49)</f>
        <v>8.1655798912865327E-2</v>
      </c>
      <c r="H50" s="202"/>
      <c r="I50" s="197" t="s">
        <v>493</v>
      </c>
      <c r="J50" s="79">
        <f t="shared" si="1"/>
        <v>40</v>
      </c>
    </row>
    <row r="51" spans="1:10" ht="16" thickTop="1">
      <c r="A51" s="79">
        <f t="shared" si="0"/>
        <v>41</v>
      </c>
      <c r="I51" s="197"/>
      <c r="J51" s="79">
        <f t="shared" si="1"/>
        <v>41</v>
      </c>
    </row>
    <row r="52" spans="1:10" ht="16" thickBot="1">
      <c r="A52" s="79">
        <f t="shared" si="0"/>
        <v>42</v>
      </c>
      <c r="B52" s="179" t="s">
        <v>97</v>
      </c>
      <c r="G52" s="201">
        <f>G48+G49</f>
        <v>6.2531134790152335E-2</v>
      </c>
      <c r="H52" s="202"/>
      <c r="I52" s="197" t="s">
        <v>494</v>
      </c>
      <c r="J52" s="79">
        <f t="shared" si="1"/>
        <v>42</v>
      </c>
    </row>
    <row r="53" spans="1:10" ht="16.5" thickTop="1" thickBot="1">
      <c r="A53" s="207">
        <f t="shared" si="0"/>
        <v>43</v>
      </c>
      <c r="B53" s="379"/>
      <c r="C53" s="83"/>
      <c r="D53" s="83"/>
      <c r="E53" s="83"/>
      <c r="F53" s="83"/>
      <c r="G53" s="380"/>
      <c r="H53" s="380"/>
      <c r="I53" s="208"/>
      <c r="J53" s="207">
        <f t="shared" si="1"/>
        <v>43</v>
      </c>
    </row>
    <row r="54" spans="1:10">
      <c r="A54" s="79">
        <f t="shared" si="0"/>
        <v>44</v>
      </c>
      <c r="B54" s="179"/>
      <c r="G54" s="215"/>
      <c r="H54" s="215"/>
      <c r="I54" s="197"/>
      <c r="J54" s="79">
        <f t="shared" si="1"/>
        <v>44</v>
      </c>
    </row>
    <row r="55" spans="1:10" ht="16" thickBot="1">
      <c r="A55" s="79">
        <f t="shared" si="0"/>
        <v>45</v>
      </c>
      <c r="B55" s="179" t="s">
        <v>332</v>
      </c>
      <c r="G55" s="392">
        <v>0</v>
      </c>
      <c r="H55" s="215"/>
      <c r="I55" s="197" t="s">
        <v>24</v>
      </c>
      <c r="J55" s="79">
        <f t="shared" si="1"/>
        <v>45</v>
      </c>
    </row>
    <row r="56" spans="1:10" ht="16" thickTop="1">
      <c r="A56" s="79">
        <f t="shared" si="0"/>
        <v>46</v>
      </c>
      <c r="C56" s="172" t="s">
        <v>3</v>
      </c>
      <c r="D56" s="172" t="s">
        <v>4</v>
      </c>
      <c r="E56" s="172" t="s">
        <v>67</v>
      </c>
      <c r="F56" s="172"/>
      <c r="G56" s="172" t="s">
        <v>75</v>
      </c>
      <c r="H56" s="215"/>
      <c r="I56" s="197"/>
      <c r="J56" s="79">
        <f t="shared" si="1"/>
        <v>46</v>
      </c>
    </row>
    <row r="57" spans="1:10">
      <c r="A57" s="79">
        <f t="shared" si="0"/>
        <v>47</v>
      </c>
      <c r="D57" s="79" t="s">
        <v>76</v>
      </c>
      <c r="E57" s="79" t="s">
        <v>95</v>
      </c>
      <c r="F57" s="79"/>
      <c r="G57" s="79" t="s">
        <v>77</v>
      </c>
      <c r="H57" s="215"/>
      <c r="I57" s="197"/>
      <c r="J57" s="79">
        <f t="shared" si="1"/>
        <v>47</v>
      </c>
    </row>
    <row r="58" spans="1:10" ht="18">
      <c r="A58" s="79">
        <f t="shared" si="0"/>
        <v>48</v>
      </c>
      <c r="B58" s="179" t="s">
        <v>322</v>
      </c>
      <c r="C58" s="362" t="s">
        <v>241</v>
      </c>
      <c r="D58" s="362" t="s">
        <v>79</v>
      </c>
      <c r="E58" s="362" t="s">
        <v>96</v>
      </c>
      <c r="F58" s="362"/>
      <c r="G58" s="362" t="s">
        <v>80</v>
      </c>
      <c r="H58" s="215"/>
      <c r="I58" s="197"/>
      <c r="J58" s="79">
        <f t="shared" si="1"/>
        <v>48</v>
      </c>
    </row>
    <row r="59" spans="1:10">
      <c r="A59" s="79">
        <f t="shared" si="0"/>
        <v>49</v>
      </c>
      <c r="G59" s="215"/>
      <c r="H59" s="215"/>
      <c r="I59" s="197"/>
      <c r="J59" s="79">
        <f t="shared" si="1"/>
        <v>49</v>
      </c>
    </row>
    <row r="60" spans="1:10">
      <c r="A60" s="79">
        <f t="shared" si="0"/>
        <v>50</v>
      </c>
      <c r="B60" s="76" t="s">
        <v>81</v>
      </c>
      <c r="C60" s="393">
        <v>0</v>
      </c>
      <c r="D60" s="395">
        <v>0</v>
      </c>
      <c r="E60" s="397">
        <v>0</v>
      </c>
      <c r="G60" s="212">
        <f>D60*E60</f>
        <v>0</v>
      </c>
      <c r="H60" s="215"/>
      <c r="I60" s="197" t="s">
        <v>24</v>
      </c>
      <c r="J60" s="79">
        <f t="shared" si="1"/>
        <v>50</v>
      </c>
    </row>
    <row r="61" spans="1:10">
      <c r="A61" s="79">
        <f t="shared" si="0"/>
        <v>51</v>
      </c>
      <c r="B61" s="76" t="s">
        <v>82</v>
      </c>
      <c r="C61" s="394">
        <v>0</v>
      </c>
      <c r="D61" s="395">
        <v>0</v>
      </c>
      <c r="E61" s="397">
        <v>0</v>
      </c>
      <c r="G61" s="212">
        <f>D61*E61</f>
        <v>0</v>
      </c>
      <c r="H61" s="215"/>
      <c r="I61" s="197" t="s">
        <v>24</v>
      </c>
      <c r="J61" s="79">
        <f t="shared" si="1"/>
        <v>51</v>
      </c>
    </row>
    <row r="62" spans="1:10">
      <c r="A62" s="79">
        <f t="shared" si="0"/>
        <v>52</v>
      </c>
      <c r="B62" s="76" t="s">
        <v>83</v>
      </c>
      <c r="C62" s="394">
        <v>0</v>
      </c>
      <c r="D62" s="396">
        <v>0</v>
      </c>
      <c r="E62" s="398">
        <v>0</v>
      </c>
      <c r="G62" s="382">
        <f>D62*E62</f>
        <v>0</v>
      </c>
      <c r="H62" s="215"/>
      <c r="I62" s="197" t="s">
        <v>24</v>
      </c>
      <c r="J62" s="79">
        <f t="shared" si="1"/>
        <v>52</v>
      </c>
    </row>
    <row r="63" spans="1:10" ht="16" thickBot="1">
      <c r="A63" s="79">
        <f t="shared" si="0"/>
        <v>53</v>
      </c>
      <c r="B63" s="76" t="s">
        <v>218</v>
      </c>
      <c r="C63" s="381">
        <f>SUM(C60:C62)</f>
        <v>0</v>
      </c>
      <c r="D63" s="201">
        <f>SUM(D60:D62)</f>
        <v>0</v>
      </c>
      <c r="G63" s="201">
        <f>SUM(G60:G62)</f>
        <v>0</v>
      </c>
      <c r="H63" s="215"/>
      <c r="I63" s="197" t="s">
        <v>495</v>
      </c>
      <c r="J63" s="79">
        <f t="shared" si="1"/>
        <v>53</v>
      </c>
    </row>
    <row r="64" spans="1:10" ht="16" thickTop="1">
      <c r="A64" s="79">
        <f t="shared" si="0"/>
        <v>54</v>
      </c>
      <c r="H64" s="215"/>
      <c r="I64" s="197"/>
      <c r="J64" s="79">
        <f t="shared" si="1"/>
        <v>54</v>
      </c>
    </row>
    <row r="65" spans="1:10" ht="16" thickBot="1">
      <c r="A65" s="79">
        <f t="shared" si="0"/>
        <v>55</v>
      </c>
      <c r="B65" s="179" t="s">
        <v>323</v>
      </c>
      <c r="G65" s="201">
        <f>G61+G62</f>
        <v>0</v>
      </c>
      <c r="H65" s="215"/>
      <c r="I65" s="197" t="s">
        <v>496</v>
      </c>
      <c r="J65" s="79">
        <f t="shared" si="1"/>
        <v>55</v>
      </c>
    </row>
    <row r="66" spans="1:10" ht="16" thickTop="1">
      <c r="B66" s="179"/>
      <c r="G66" s="215"/>
      <c r="H66" s="215"/>
      <c r="I66" s="197"/>
      <c r="J66" s="79"/>
    </row>
    <row r="67" spans="1:10">
      <c r="B67" s="179"/>
      <c r="G67" s="215"/>
      <c r="H67" s="215"/>
      <c r="I67" s="197"/>
      <c r="J67" s="79"/>
    </row>
    <row r="68" spans="1:10" ht="18">
      <c r="A68" s="194">
        <v>1</v>
      </c>
      <c r="B68" s="1" t="s">
        <v>98</v>
      </c>
      <c r="G68" s="168"/>
      <c r="H68" s="168"/>
      <c r="J68" s="79" t="s">
        <v>7</v>
      </c>
    </row>
    <row r="69" spans="1:10" ht="18">
      <c r="A69" s="194">
        <v>2</v>
      </c>
      <c r="B69" s="1" t="s">
        <v>333</v>
      </c>
      <c r="G69" s="168"/>
      <c r="H69" s="168"/>
      <c r="J69" s="79"/>
    </row>
    <row r="70" spans="1:10" ht="18">
      <c r="A70" s="194"/>
      <c r="B70" s="1"/>
      <c r="D70" s="79"/>
      <c r="G70" s="168"/>
      <c r="H70" s="168"/>
      <c r="J70" s="79"/>
    </row>
    <row r="71" spans="1:10" ht="18">
      <c r="A71" s="194"/>
      <c r="B71" s="1"/>
      <c r="D71" s="79"/>
      <c r="G71" s="168"/>
      <c r="H71" s="168"/>
      <c r="J71" s="79"/>
    </row>
    <row r="72" spans="1:10">
      <c r="B72" s="726" t="s">
        <v>0</v>
      </c>
      <c r="C72" s="726"/>
      <c r="D72" s="726"/>
      <c r="E72" s="726"/>
      <c r="F72" s="726"/>
      <c r="G72" s="726"/>
      <c r="H72" s="726"/>
      <c r="I72" s="726"/>
      <c r="J72" s="79"/>
    </row>
    <row r="73" spans="1:10">
      <c r="B73" s="726" t="s">
        <v>68</v>
      </c>
      <c r="C73" s="726"/>
      <c r="D73" s="726"/>
      <c r="E73" s="726"/>
      <c r="F73" s="726"/>
      <c r="G73" s="726"/>
      <c r="H73" s="726"/>
      <c r="I73" s="726"/>
      <c r="J73" s="79"/>
    </row>
    <row r="74" spans="1:10">
      <c r="B74" s="726" t="s">
        <v>69</v>
      </c>
      <c r="C74" s="726"/>
      <c r="D74" s="726"/>
      <c r="E74" s="726"/>
      <c r="F74" s="726"/>
      <c r="G74" s="726"/>
      <c r="H74" s="726"/>
      <c r="I74" s="726"/>
      <c r="J74" s="79"/>
    </row>
    <row r="75" spans="1:10">
      <c r="B75" s="727" t="str">
        <f>B5</f>
        <v>Base Period &amp; True-Up Period 12 - Months Ending December 31, 2018</v>
      </c>
      <c r="C75" s="727"/>
      <c r="D75" s="727"/>
      <c r="E75" s="727"/>
      <c r="F75" s="727"/>
      <c r="G75" s="727"/>
      <c r="H75" s="727"/>
      <c r="I75" s="727"/>
      <c r="J75" s="79"/>
    </row>
    <row r="76" spans="1:10">
      <c r="B76" s="728" t="s">
        <v>1</v>
      </c>
      <c r="C76" s="729"/>
      <c r="D76" s="729"/>
      <c r="E76" s="729"/>
      <c r="F76" s="729"/>
      <c r="G76" s="729"/>
      <c r="H76" s="729"/>
      <c r="I76" s="729"/>
      <c r="J76" s="79"/>
    </row>
    <row r="77" spans="1:10">
      <c r="B77" s="79"/>
      <c r="C77" s="79"/>
      <c r="D77" s="79"/>
      <c r="E77" s="79"/>
      <c r="F77" s="79"/>
      <c r="G77" s="79"/>
      <c r="H77" s="79"/>
      <c r="I77" s="197"/>
      <c r="J77" s="79"/>
    </row>
    <row r="78" spans="1:10">
      <c r="A78" s="79" t="s">
        <v>2</v>
      </c>
      <c r="B78" s="164"/>
      <c r="C78" s="164"/>
      <c r="D78" s="164"/>
      <c r="E78" s="164"/>
      <c r="F78" s="164"/>
      <c r="G78" s="164"/>
      <c r="H78" s="164"/>
      <c r="I78" s="197"/>
      <c r="J78" s="79" t="s">
        <v>2</v>
      </c>
    </row>
    <row r="79" spans="1:10">
      <c r="A79" s="79" t="s">
        <v>14</v>
      </c>
      <c r="B79" s="79"/>
      <c r="C79" s="79"/>
      <c r="D79" s="79"/>
      <c r="E79" s="79"/>
      <c r="F79" s="79"/>
      <c r="G79" s="85" t="s">
        <v>22</v>
      </c>
      <c r="H79" s="164"/>
      <c r="I79" s="198" t="s">
        <v>6</v>
      </c>
      <c r="J79" s="79" t="s">
        <v>14</v>
      </c>
    </row>
    <row r="80" spans="1:10">
      <c r="G80" s="79"/>
      <c r="H80" s="79"/>
      <c r="I80" s="197"/>
      <c r="J80" s="79"/>
    </row>
    <row r="81" spans="1:13" ht="17.5">
      <c r="A81" s="79">
        <v>1</v>
      </c>
      <c r="B81" s="179" t="s">
        <v>84</v>
      </c>
      <c r="E81" s="164"/>
      <c r="F81" s="164"/>
      <c r="G81" s="167"/>
      <c r="H81" s="167"/>
      <c r="I81" s="197"/>
      <c r="J81" s="79">
        <v>1</v>
      </c>
    </row>
    <row r="82" spans="1:13">
      <c r="A82" s="79">
        <f>A81+1</f>
        <v>2</v>
      </c>
      <c r="B82" s="219"/>
      <c r="E82" s="164"/>
      <c r="F82" s="164"/>
      <c r="G82" s="167"/>
      <c r="H82" s="167"/>
      <c r="I82" s="197"/>
      <c r="J82" s="79">
        <f>J81+1</f>
        <v>2</v>
      </c>
    </row>
    <row r="83" spans="1:13">
      <c r="A83" s="79">
        <f>A82+1</f>
        <v>3</v>
      </c>
      <c r="B83" s="179" t="s">
        <v>85</v>
      </c>
      <c r="E83" s="164"/>
      <c r="F83" s="164"/>
      <c r="G83" s="167"/>
      <c r="H83" s="167"/>
      <c r="I83" s="197"/>
      <c r="J83" s="79">
        <f>J82+1</f>
        <v>3</v>
      </c>
    </row>
    <row r="84" spans="1:13">
      <c r="A84" s="79">
        <f>A83+1</f>
        <v>4</v>
      </c>
      <c r="B84" s="164"/>
      <c r="C84" s="164"/>
      <c r="D84" s="164"/>
      <c r="E84" s="164"/>
      <c r="F84" s="164"/>
      <c r="G84" s="167"/>
      <c r="H84" s="167"/>
      <c r="I84" s="197"/>
      <c r="J84" s="79">
        <f>J83+1</f>
        <v>4</v>
      </c>
    </row>
    <row r="85" spans="1:13">
      <c r="A85" s="79">
        <f t="shared" ref="A85:A111" si="2">A84+1</f>
        <v>5</v>
      </c>
      <c r="B85" s="174" t="s">
        <v>86</v>
      </c>
      <c r="C85" s="164"/>
      <c r="D85" s="164"/>
      <c r="E85" s="164"/>
      <c r="F85" s="164"/>
      <c r="G85" s="167"/>
      <c r="H85" s="167"/>
      <c r="I85" s="220"/>
      <c r="J85" s="79">
        <f t="shared" ref="J85:J111" si="3">J84+1</f>
        <v>5</v>
      </c>
    </row>
    <row r="86" spans="1:13">
      <c r="A86" s="79">
        <f t="shared" si="2"/>
        <v>6</v>
      </c>
      <c r="B86" s="76" t="s">
        <v>87</v>
      </c>
      <c r="D86" s="164"/>
      <c r="E86" s="164"/>
      <c r="F86" s="164"/>
      <c r="G86" s="221">
        <f>G52</f>
        <v>6.2531134790152335E-2</v>
      </c>
      <c r="H86" s="164"/>
      <c r="I86" s="197" t="s">
        <v>497</v>
      </c>
      <c r="J86" s="79">
        <f t="shared" si="3"/>
        <v>6</v>
      </c>
      <c r="L86" s="79"/>
    </row>
    <row r="87" spans="1:13">
      <c r="A87" s="79">
        <f t="shared" si="2"/>
        <v>7</v>
      </c>
      <c r="B87" s="76" t="s">
        <v>219</v>
      </c>
      <c r="D87" s="164"/>
      <c r="E87" s="164"/>
      <c r="F87" s="164"/>
      <c r="G87" s="222">
        <v>264.76299999999998</v>
      </c>
      <c r="H87" s="164"/>
      <c r="I87" s="197" t="s">
        <v>498</v>
      </c>
      <c r="J87" s="79">
        <f t="shared" si="3"/>
        <v>7</v>
      </c>
      <c r="L87" s="79"/>
    </row>
    <row r="88" spans="1:13" ht="18">
      <c r="A88" s="79">
        <f t="shared" si="2"/>
        <v>8</v>
      </c>
      <c r="B88" s="76" t="s">
        <v>226</v>
      </c>
      <c r="D88" s="164"/>
      <c r="E88" s="164"/>
      <c r="F88" s="164"/>
      <c r="G88" s="223">
        <v>6529.0768399999988</v>
      </c>
      <c r="H88" s="164"/>
      <c r="I88" s="196" t="s">
        <v>499</v>
      </c>
      <c r="J88" s="79">
        <f t="shared" si="3"/>
        <v>8</v>
      </c>
      <c r="L88" s="164"/>
    </row>
    <row r="89" spans="1:13">
      <c r="A89" s="79">
        <f t="shared" si="2"/>
        <v>9</v>
      </c>
      <c r="B89" s="76" t="s">
        <v>88</v>
      </c>
      <c r="D89" s="164"/>
      <c r="E89" s="224"/>
      <c r="F89" s="164"/>
      <c r="G89" s="565">
        <f>'Pg11 Rev AV-4'!C36</f>
        <v>3927749.1715079756</v>
      </c>
      <c r="H89" s="460" t="s">
        <v>361</v>
      </c>
      <c r="I89" s="196" t="s">
        <v>632</v>
      </c>
      <c r="J89" s="79">
        <f t="shared" si="3"/>
        <v>9</v>
      </c>
    </row>
    <row r="90" spans="1:13">
      <c r="A90" s="79">
        <f t="shared" si="2"/>
        <v>10</v>
      </c>
      <c r="B90" s="76" t="s">
        <v>220</v>
      </c>
      <c r="D90" s="225"/>
      <c r="E90" s="164"/>
      <c r="F90" s="164"/>
      <c r="G90" s="316">
        <v>0.21</v>
      </c>
      <c r="H90" s="164"/>
      <c r="I90" s="197" t="s">
        <v>89</v>
      </c>
      <c r="J90" s="79">
        <f t="shared" si="3"/>
        <v>10</v>
      </c>
      <c r="M90" s="227"/>
    </row>
    <row r="91" spans="1:13">
      <c r="A91" s="79">
        <f t="shared" si="2"/>
        <v>11</v>
      </c>
      <c r="G91" s="79"/>
      <c r="H91" s="79"/>
      <c r="J91" s="79">
        <f t="shared" si="3"/>
        <v>11</v>
      </c>
    </row>
    <row r="92" spans="1:13">
      <c r="A92" s="79">
        <f t="shared" si="2"/>
        <v>12</v>
      </c>
      <c r="B92" s="76" t="s">
        <v>221</v>
      </c>
      <c r="D92" s="164"/>
      <c r="E92" s="164"/>
      <c r="F92" s="164"/>
      <c r="G92" s="228">
        <f>(((G86)+(G88/G89))*G90-(G87/G89))/(1-G90)</f>
        <v>1.6978749211715303E-2</v>
      </c>
      <c r="H92" s="228"/>
      <c r="I92" s="197" t="s">
        <v>99</v>
      </c>
      <c r="J92" s="79">
        <f t="shared" si="3"/>
        <v>12</v>
      </c>
      <c r="M92" s="229"/>
    </row>
    <row r="93" spans="1:13">
      <c r="A93" s="79">
        <f t="shared" si="2"/>
        <v>13</v>
      </c>
      <c r="B93" s="230" t="s">
        <v>222</v>
      </c>
      <c r="G93" s="79"/>
      <c r="H93" s="79"/>
      <c r="J93" s="79">
        <f t="shared" si="3"/>
        <v>13</v>
      </c>
    </row>
    <row r="94" spans="1:13">
      <c r="A94" s="79">
        <f t="shared" si="2"/>
        <v>14</v>
      </c>
      <c r="G94" s="79"/>
      <c r="H94" s="79"/>
      <c r="J94" s="79">
        <f t="shared" si="3"/>
        <v>14</v>
      </c>
    </row>
    <row r="95" spans="1:13">
      <c r="A95" s="79">
        <f t="shared" si="2"/>
        <v>15</v>
      </c>
      <c r="B95" s="179" t="s">
        <v>90</v>
      </c>
      <c r="C95" s="164"/>
      <c r="D95" s="164"/>
      <c r="E95" s="164"/>
      <c r="F95" s="164"/>
      <c r="G95" s="231"/>
      <c r="H95" s="231"/>
      <c r="I95" s="232"/>
      <c r="J95" s="79">
        <f t="shared" si="3"/>
        <v>15</v>
      </c>
      <c r="L95" s="233"/>
    </row>
    <row r="96" spans="1:13">
      <c r="A96" s="79">
        <f t="shared" si="2"/>
        <v>16</v>
      </c>
      <c r="B96" s="184"/>
      <c r="C96" s="164"/>
      <c r="D96" s="164"/>
      <c r="E96" s="164"/>
      <c r="F96" s="164"/>
      <c r="G96" s="231"/>
      <c r="H96" s="231"/>
      <c r="I96" s="234"/>
      <c r="J96" s="79">
        <f t="shared" si="3"/>
        <v>16</v>
      </c>
      <c r="L96" s="164"/>
    </row>
    <row r="97" spans="1:13">
      <c r="A97" s="79">
        <f t="shared" si="2"/>
        <v>17</v>
      </c>
      <c r="B97" s="174" t="s">
        <v>86</v>
      </c>
      <c r="C97" s="164"/>
      <c r="D97" s="164"/>
      <c r="E97" s="164"/>
      <c r="F97" s="164"/>
      <c r="G97" s="231"/>
      <c r="H97" s="231"/>
      <c r="I97" s="234"/>
      <c r="J97" s="79">
        <f t="shared" si="3"/>
        <v>17</v>
      </c>
      <c r="L97" s="164"/>
    </row>
    <row r="98" spans="1:13">
      <c r="A98" s="79">
        <f t="shared" si="2"/>
        <v>18</v>
      </c>
      <c r="B98" s="76" t="s">
        <v>87</v>
      </c>
      <c r="D98" s="164"/>
      <c r="E98" s="164"/>
      <c r="F98" s="164"/>
      <c r="G98" s="210">
        <f>G86</f>
        <v>6.2531134790152335E-2</v>
      </c>
      <c r="H98" s="210"/>
      <c r="I98" s="197" t="s">
        <v>500</v>
      </c>
      <c r="J98" s="79">
        <f t="shared" si="3"/>
        <v>18</v>
      </c>
      <c r="L98" s="79"/>
    </row>
    <row r="99" spans="1:13">
      <c r="A99" s="79">
        <f t="shared" si="2"/>
        <v>19</v>
      </c>
      <c r="B99" s="76" t="s">
        <v>100</v>
      </c>
      <c r="D99" s="164"/>
      <c r="E99" s="164"/>
      <c r="F99" s="164"/>
      <c r="G99" s="136">
        <f>G88</f>
        <v>6529.0768399999988</v>
      </c>
      <c r="H99" s="136"/>
      <c r="I99" s="197" t="s">
        <v>501</v>
      </c>
      <c r="J99" s="79">
        <f t="shared" si="3"/>
        <v>19</v>
      </c>
      <c r="L99" s="79"/>
    </row>
    <row r="100" spans="1:13">
      <c r="A100" s="79">
        <f t="shared" si="2"/>
        <v>20</v>
      </c>
      <c r="B100" s="76" t="s">
        <v>101</v>
      </c>
      <c r="D100" s="164"/>
      <c r="E100" s="164"/>
      <c r="F100" s="164"/>
      <c r="G100" s="590">
        <f>G89</f>
        <v>3927749.1715079756</v>
      </c>
      <c r="H100" s="460" t="s">
        <v>361</v>
      </c>
      <c r="I100" s="197" t="s">
        <v>502</v>
      </c>
      <c r="J100" s="79">
        <f t="shared" si="3"/>
        <v>20</v>
      </c>
      <c r="L100" s="79"/>
    </row>
    <row r="101" spans="1:13">
      <c r="A101" s="79">
        <f t="shared" si="2"/>
        <v>21</v>
      </c>
      <c r="B101" s="76" t="s">
        <v>102</v>
      </c>
      <c r="D101" s="164"/>
      <c r="E101" s="164"/>
      <c r="F101" s="164"/>
      <c r="G101" s="235">
        <f>G92</f>
        <v>1.6978749211715303E-2</v>
      </c>
      <c r="H101" s="235"/>
      <c r="I101" s="197" t="s">
        <v>503</v>
      </c>
      <c r="J101" s="79">
        <f t="shared" si="3"/>
        <v>21</v>
      </c>
    </row>
    <row r="102" spans="1:13">
      <c r="A102" s="79">
        <f t="shared" si="2"/>
        <v>22</v>
      </c>
      <c r="B102" s="76" t="s">
        <v>223</v>
      </c>
      <c r="D102" s="164"/>
      <c r="E102" s="164"/>
      <c r="F102" s="164"/>
      <c r="G102" s="226" t="s">
        <v>146</v>
      </c>
      <c r="H102" s="164"/>
      <c r="I102" s="197" t="s">
        <v>91</v>
      </c>
      <c r="J102" s="79">
        <f t="shared" si="3"/>
        <v>22</v>
      </c>
    </row>
    <row r="103" spans="1:13">
      <c r="A103" s="79">
        <f t="shared" si="2"/>
        <v>23</v>
      </c>
      <c r="B103" s="78"/>
      <c r="D103" s="164"/>
      <c r="E103" s="164"/>
      <c r="F103" s="164"/>
      <c r="G103" s="236"/>
      <c r="H103" s="236"/>
      <c r="I103" s="234"/>
      <c r="J103" s="79">
        <f t="shared" si="3"/>
        <v>23</v>
      </c>
    </row>
    <row r="104" spans="1:13">
      <c r="A104" s="79">
        <f t="shared" si="2"/>
        <v>24</v>
      </c>
      <c r="B104" s="76" t="s">
        <v>224</v>
      </c>
      <c r="C104" s="79"/>
      <c r="D104" s="79"/>
      <c r="E104" s="164"/>
      <c r="F104" s="164"/>
      <c r="G104" s="237">
        <f>((G98)+(G99/G100)+G92)*G102/(1-G102)</f>
        <v>7.8714574396172732E-3</v>
      </c>
      <c r="H104" s="238"/>
      <c r="I104" s="197" t="s">
        <v>103</v>
      </c>
      <c r="J104" s="79">
        <f t="shared" si="3"/>
        <v>24</v>
      </c>
    </row>
    <row r="105" spans="1:13">
      <c r="A105" s="79">
        <f t="shared" si="2"/>
        <v>25</v>
      </c>
      <c r="B105" s="230" t="s">
        <v>225</v>
      </c>
      <c r="G105" s="79"/>
      <c r="H105" s="79"/>
      <c r="I105" s="197"/>
      <c r="J105" s="79">
        <f t="shared" si="3"/>
        <v>25</v>
      </c>
      <c r="L105" s="79"/>
    </row>
    <row r="106" spans="1:13">
      <c r="A106" s="79">
        <f t="shared" si="2"/>
        <v>26</v>
      </c>
      <c r="G106" s="79"/>
      <c r="H106" s="79"/>
      <c r="I106" s="197"/>
      <c r="J106" s="79">
        <f t="shared" si="3"/>
        <v>26</v>
      </c>
      <c r="L106" s="79"/>
    </row>
    <row r="107" spans="1:13">
      <c r="A107" s="79">
        <f t="shared" si="2"/>
        <v>27</v>
      </c>
      <c r="B107" s="179" t="s">
        <v>92</v>
      </c>
      <c r="G107" s="228">
        <f>G104+G92</f>
        <v>2.4850206651332578E-2</v>
      </c>
      <c r="H107" s="228"/>
      <c r="I107" s="197" t="s">
        <v>504</v>
      </c>
      <c r="J107" s="79">
        <f t="shared" si="3"/>
        <v>27</v>
      </c>
      <c r="L107" s="79"/>
    </row>
    <row r="108" spans="1:13">
      <c r="A108" s="79">
        <f t="shared" si="2"/>
        <v>28</v>
      </c>
      <c r="G108" s="79"/>
      <c r="H108" s="79"/>
      <c r="I108" s="197"/>
      <c r="J108" s="79">
        <f t="shared" si="3"/>
        <v>28</v>
      </c>
      <c r="L108" s="79"/>
    </row>
    <row r="109" spans="1:13">
      <c r="A109" s="79">
        <f t="shared" si="2"/>
        <v>29</v>
      </c>
      <c r="B109" s="179" t="s">
        <v>104</v>
      </c>
      <c r="G109" s="239">
        <f>G50</f>
        <v>8.1655798912865327E-2</v>
      </c>
      <c r="H109" s="164"/>
      <c r="I109" s="197" t="s">
        <v>505</v>
      </c>
      <c r="J109" s="79">
        <f t="shared" si="3"/>
        <v>29</v>
      </c>
      <c r="L109" s="79"/>
    </row>
    <row r="110" spans="1:13">
      <c r="A110" s="79">
        <f t="shared" si="2"/>
        <v>30</v>
      </c>
      <c r="G110" s="210"/>
      <c r="H110" s="210"/>
      <c r="I110" s="197"/>
      <c r="J110" s="79">
        <f t="shared" si="3"/>
        <v>30</v>
      </c>
      <c r="L110" s="79"/>
    </row>
    <row r="111" spans="1:13" ht="18" thickBot="1">
      <c r="A111" s="79">
        <f t="shared" si="2"/>
        <v>31</v>
      </c>
      <c r="B111" s="179" t="s">
        <v>93</v>
      </c>
      <c r="G111" s="240">
        <f>G107+G109</f>
        <v>0.1065060055641979</v>
      </c>
      <c r="H111" s="238"/>
      <c r="I111" s="197" t="s">
        <v>506</v>
      </c>
      <c r="J111" s="79">
        <f t="shared" si="3"/>
        <v>31</v>
      </c>
      <c r="L111" s="241"/>
      <c r="M111" s="229"/>
    </row>
    <row r="112" spans="1:13" ht="16" thickTop="1">
      <c r="B112" s="179"/>
      <c r="G112" s="238"/>
      <c r="H112" s="238"/>
      <c r="I112" s="197"/>
      <c r="J112" s="79"/>
      <c r="L112" s="241"/>
      <c r="M112" s="229"/>
    </row>
    <row r="113" spans="1:13">
      <c r="B113" s="179"/>
      <c r="G113" s="242"/>
      <c r="H113" s="242"/>
      <c r="I113" s="197"/>
      <c r="J113" s="79"/>
      <c r="L113" s="241"/>
      <c r="M113" s="229"/>
    </row>
    <row r="114" spans="1:13">
      <c r="A114" s="460" t="s">
        <v>361</v>
      </c>
      <c r="B114" s="5" t="str">
        <f>'Pg8 Rev Stmt AL'!B32</f>
        <v>Items in BOLD have changed to correct the over-allocation of "Duplicate Charges (Company Energy Use)" Credit in FERC Account no. 929.</v>
      </c>
      <c r="G114" s="242"/>
      <c r="H114" s="242"/>
      <c r="I114" s="197"/>
      <c r="J114" s="79"/>
      <c r="L114" s="241"/>
      <c r="M114" s="229"/>
    </row>
    <row r="115" spans="1:13" ht="18.5">
      <c r="A115" s="171">
        <v>1</v>
      </c>
      <c r="B115" s="1" t="s">
        <v>282</v>
      </c>
      <c r="G115" s="242"/>
      <c r="H115" s="242"/>
      <c r="I115" s="197"/>
      <c r="J115" s="79"/>
      <c r="L115" s="241"/>
      <c r="M115" s="229"/>
    </row>
    <row r="116" spans="1:13" ht="18.5">
      <c r="A116" s="171"/>
      <c r="B116" s="1"/>
      <c r="G116" s="242"/>
      <c r="H116" s="242"/>
      <c r="I116" s="197"/>
      <c r="J116" s="79"/>
      <c r="L116" s="241"/>
      <c r="M116" s="229"/>
    </row>
    <row r="117" spans="1:13">
      <c r="A117" s="243"/>
      <c r="B117" s="78"/>
      <c r="C117" s="244"/>
      <c r="D117" s="244"/>
      <c r="E117" s="244"/>
      <c r="F117" s="244"/>
      <c r="G117" s="245"/>
      <c r="H117" s="245"/>
      <c r="I117" s="246"/>
      <c r="J117" s="79"/>
    </row>
    <row r="118" spans="1:13">
      <c r="B118" s="726" t="s">
        <v>12</v>
      </c>
      <c r="C118" s="726"/>
      <c r="D118" s="726"/>
      <c r="E118" s="726"/>
      <c r="F118" s="726"/>
      <c r="G118" s="726"/>
      <c r="H118" s="726"/>
      <c r="I118" s="726"/>
    </row>
    <row r="119" spans="1:13">
      <c r="B119" s="726" t="s">
        <v>68</v>
      </c>
      <c r="C119" s="726"/>
      <c r="D119" s="726"/>
      <c r="E119" s="726"/>
      <c r="F119" s="726"/>
      <c r="G119" s="726"/>
      <c r="H119" s="726"/>
      <c r="I119" s="726"/>
    </row>
    <row r="120" spans="1:13">
      <c r="B120" s="726" t="s">
        <v>69</v>
      </c>
      <c r="C120" s="726"/>
      <c r="D120" s="726"/>
      <c r="E120" s="726"/>
      <c r="F120" s="726"/>
      <c r="G120" s="726"/>
      <c r="H120" s="726"/>
      <c r="I120" s="726"/>
    </row>
    <row r="121" spans="1:13">
      <c r="B121" s="727" t="str">
        <f>B5</f>
        <v>Base Period &amp; True-Up Period 12 - Months Ending December 31, 2018</v>
      </c>
      <c r="C121" s="727"/>
      <c r="D121" s="727"/>
      <c r="E121" s="727"/>
      <c r="F121" s="727"/>
      <c r="G121" s="727"/>
      <c r="H121" s="727"/>
      <c r="I121" s="727"/>
    </row>
    <row r="122" spans="1:13">
      <c r="B122" s="728" t="s">
        <v>1</v>
      </c>
      <c r="C122" s="729"/>
      <c r="D122" s="729"/>
      <c r="E122" s="729"/>
      <c r="F122" s="729"/>
      <c r="G122" s="729"/>
      <c r="H122" s="729"/>
      <c r="I122" s="729"/>
    </row>
    <row r="124" spans="1:13">
      <c r="A124" s="79" t="s">
        <v>2</v>
      </c>
      <c r="B124" s="164"/>
      <c r="C124" s="164"/>
      <c r="D124" s="164"/>
      <c r="E124" s="164"/>
      <c r="F124" s="164"/>
      <c r="G124" s="164"/>
      <c r="H124" s="164"/>
      <c r="I124" s="197"/>
      <c r="J124" s="79" t="s">
        <v>2</v>
      </c>
    </row>
    <row r="125" spans="1:13">
      <c r="A125" s="79" t="s">
        <v>14</v>
      </c>
      <c r="B125" s="79"/>
      <c r="C125" s="79"/>
      <c r="D125" s="79"/>
      <c r="E125" s="79"/>
      <c r="F125" s="79"/>
      <c r="G125" s="362" t="s">
        <v>22</v>
      </c>
      <c r="H125" s="164"/>
      <c r="I125" s="383" t="s">
        <v>6</v>
      </c>
      <c r="J125" s="79" t="s">
        <v>14</v>
      </c>
    </row>
    <row r="127" spans="1:13" ht="17.5">
      <c r="A127" s="79">
        <v>1</v>
      </c>
      <c r="B127" s="179" t="s">
        <v>338</v>
      </c>
      <c r="J127" s="79">
        <v>1</v>
      </c>
    </row>
    <row r="128" spans="1:13">
      <c r="A128" s="79">
        <f>A127+1</f>
        <v>2</v>
      </c>
      <c r="B128" s="219"/>
      <c r="J128" s="79">
        <f>J127+1</f>
        <v>2</v>
      </c>
    </row>
    <row r="129" spans="1:10">
      <c r="A129" s="79">
        <f>A128+1</f>
        <v>3</v>
      </c>
      <c r="B129" s="179" t="s">
        <v>85</v>
      </c>
      <c r="J129" s="79">
        <f>J128+1</f>
        <v>3</v>
      </c>
    </row>
    <row r="130" spans="1:10">
      <c r="A130" s="79">
        <f>A129+1</f>
        <v>4</v>
      </c>
      <c r="B130" s="164"/>
      <c r="J130" s="79">
        <f>J129+1</f>
        <v>4</v>
      </c>
    </row>
    <row r="131" spans="1:10">
      <c r="A131" s="79">
        <f t="shared" ref="A131:A157" si="4">A130+1</f>
        <v>5</v>
      </c>
      <c r="B131" s="174" t="s">
        <v>86</v>
      </c>
      <c r="J131" s="79">
        <f t="shared" ref="J131:J157" si="5">J130+1</f>
        <v>5</v>
      </c>
    </row>
    <row r="132" spans="1:10">
      <c r="A132" s="79">
        <f t="shared" si="4"/>
        <v>6</v>
      </c>
      <c r="B132" s="76" t="str">
        <f>B86</f>
        <v xml:space="preserve">     A = Sum of Preferred Stock and Return on Equity Component</v>
      </c>
      <c r="G132" s="221">
        <f>G65</f>
        <v>0</v>
      </c>
      <c r="I132" s="197" t="s">
        <v>507</v>
      </c>
      <c r="J132" s="79">
        <f t="shared" si="5"/>
        <v>6</v>
      </c>
    </row>
    <row r="133" spans="1:10">
      <c r="A133" s="79">
        <f t="shared" si="4"/>
        <v>7</v>
      </c>
      <c r="B133" s="76" t="str">
        <f>B87</f>
        <v xml:space="preserve">     B = Transmission Total Federal Tax Adjustments</v>
      </c>
      <c r="G133" s="384">
        <v>0</v>
      </c>
      <c r="I133" s="196" t="s">
        <v>24</v>
      </c>
      <c r="J133" s="79">
        <f t="shared" si="5"/>
        <v>7</v>
      </c>
    </row>
    <row r="134" spans="1:10">
      <c r="A134" s="79">
        <f t="shared" si="4"/>
        <v>8</v>
      </c>
      <c r="B134" s="76" t="s">
        <v>337</v>
      </c>
      <c r="G134" s="399">
        <v>0</v>
      </c>
      <c r="I134" s="196" t="s">
        <v>24</v>
      </c>
      <c r="J134" s="79">
        <f t="shared" si="5"/>
        <v>8</v>
      </c>
    </row>
    <row r="135" spans="1:10">
      <c r="A135" s="79">
        <f t="shared" si="4"/>
        <v>9</v>
      </c>
      <c r="B135" s="76" t="s">
        <v>325</v>
      </c>
      <c r="G135" s="399">
        <v>0</v>
      </c>
      <c r="I135" s="196" t="s">
        <v>24</v>
      </c>
      <c r="J135" s="79">
        <f t="shared" si="5"/>
        <v>9</v>
      </c>
    </row>
    <row r="136" spans="1:10">
      <c r="A136" s="79">
        <f t="shared" si="4"/>
        <v>10</v>
      </c>
      <c r="B136" s="76" t="str">
        <f>B90</f>
        <v xml:space="preserve">     FT = Federal Income Tax Rate for Rate Effective Period</v>
      </c>
      <c r="G136" s="385">
        <f>G90</f>
        <v>0.21</v>
      </c>
      <c r="I136" s="197" t="s">
        <v>508</v>
      </c>
      <c r="J136" s="79">
        <f t="shared" si="5"/>
        <v>10</v>
      </c>
    </row>
    <row r="137" spans="1:10">
      <c r="A137" s="79">
        <f t="shared" si="4"/>
        <v>11</v>
      </c>
      <c r="G137" s="79"/>
      <c r="J137" s="79">
        <f t="shared" si="5"/>
        <v>11</v>
      </c>
    </row>
    <row r="138" spans="1:10">
      <c r="A138" s="79">
        <f t="shared" si="4"/>
        <v>12</v>
      </c>
      <c r="B138" s="76" t="s">
        <v>326</v>
      </c>
      <c r="G138" s="228">
        <f>IFERROR((((G132)+(G134/G135))*G136-(G133/G135))/(1-G136),0)</f>
        <v>0</v>
      </c>
      <c r="I138" s="197" t="s">
        <v>330</v>
      </c>
      <c r="J138" s="79">
        <f t="shared" si="5"/>
        <v>12</v>
      </c>
    </row>
    <row r="139" spans="1:10">
      <c r="A139" s="79">
        <f t="shared" si="4"/>
        <v>13</v>
      </c>
      <c r="B139" s="230" t="s">
        <v>222</v>
      </c>
      <c r="G139" s="386"/>
      <c r="J139" s="79">
        <f t="shared" si="5"/>
        <v>13</v>
      </c>
    </row>
    <row r="140" spans="1:10">
      <c r="A140" s="79">
        <f t="shared" si="4"/>
        <v>14</v>
      </c>
      <c r="G140" s="79"/>
      <c r="J140" s="79">
        <f t="shared" si="5"/>
        <v>14</v>
      </c>
    </row>
    <row r="141" spans="1:10">
      <c r="A141" s="79">
        <f t="shared" si="4"/>
        <v>15</v>
      </c>
      <c r="B141" s="179" t="s">
        <v>90</v>
      </c>
      <c r="G141" s="231"/>
      <c r="I141" s="232"/>
      <c r="J141" s="79">
        <f t="shared" si="5"/>
        <v>15</v>
      </c>
    </row>
    <row r="142" spans="1:10">
      <c r="A142" s="79">
        <f t="shared" si="4"/>
        <v>16</v>
      </c>
      <c r="B142" s="184"/>
      <c r="G142" s="231"/>
      <c r="I142" s="220"/>
      <c r="J142" s="79">
        <f t="shared" si="5"/>
        <v>16</v>
      </c>
    </row>
    <row r="143" spans="1:10">
      <c r="A143" s="79">
        <f t="shared" si="4"/>
        <v>17</v>
      </c>
      <c r="B143" s="174" t="s">
        <v>86</v>
      </c>
      <c r="G143" s="231"/>
      <c r="I143" s="220"/>
      <c r="J143" s="79">
        <f t="shared" si="5"/>
        <v>17</v>
      </c>
    </row>
    <row r="144" spans="1:10">
      <c r="A144" s="79">
        <f t="shared" si="4"/>
        <v>18</v>
      </c>
      <c r="B144" s="76" t="str">
        <f>B98</f>
        <v xml:space="preserve">     A = Sum of Preferred Stock and Return on Equity Component</v>
      </c>
      <c r="G144" s="210">
        <f>G132</f>
        <v>0</v>
      </c>
      <c r="I144" s="197" t="s">
        <v>500</v>
      </c>
      <c r="J144" s="79">
        <f t="shared" si="5"/>
        <v>18</v>
      </c>
    </row>
    <row r="145" spans="1:10">
      <c r="A145" s="79">
        <f t="shared" si="4"/>
        <v>19</v>
      </c>
      <c r="B145" s="76" t="str">
        <f>B99</f>
        <v xml:space="preserve">     B = Equity AFUDC Component of Transmission Depreciation Expense</v>
      </c>
      <c r="G145" s="136">
        <f>G134</f>
        <v>0</v>
      </c>
      <c r="I145" s="197" t="s">
        <v>501</v>
      </c>
      <c r="J145" s="79">
        <f t="shared" si="5"/>
        <v>19</v>
      </c>
    </row>
    <row r="146" spans="1:10">
      <c r="A146" s="79">
        <f t="shared" si="4"/>
        <v>20</v>
      </c>
      <c r="B146" s="76" t="s">
        <v>327</v>
      </c>
      <c r="G146" s="136">
        <f>G135</f>
        <v>0</v>
      </c>
      <c r="I146" s="197" t="s">
        <v>502</v>
      </c>
      <c r="J146" s="79">
        <f t="shared" si="5"/>
        <v>20</v>
      </c>
    </row>
    <row r="147" spans="1:10">
      <c r="A147" s="79">
        <f t="shared" si="4"/>
        <v>21</v>
      </c>
      <c r="B147" s="76" t="str">
        <f>B101</f>
        <v xml:space="preserve">     FT = Federal Income Tax Expense</v>
      </c>
      <c r="G147" s="235">
        <f>G138</f>
        <v>0</v>
      </c>
      <c r="I147" s="197" t="s">
        <v>503</v>
      </c>
      <c r="J147" s="79">
        <f t="shared" si="5"/>
        <v>21</v>
      </c>
    </row>
    <row r="148" spans="1:10">
      <c r="A148" s="79">
        <f t="shared" si="4"/>
        <v>22</v>
      </c>
      <c r="B148" s="76" t="str">
        <f>B102</f>
        <v xml:space="preserve">     ST = State Income Tax Rate for Rate Effective Period</v>
      </c>
      <c r="G148" s="387" t="str">
        <f>G102</f>
        <v>8.84%</v>
      </c>
      <c r="I148" s="197" t="s">
        <v>509</v>
      </c>
      <c r="J148" s="79">
        <f t="shared" si="5"/>
        <v>22</v>
      </c>
    </row>
    <row r="149" spans="1:10">
      <c r="A149" s="79">
        <f t="shared" si="4"/>
        <v>23</v>
      </c>
      <c r="B149" s="78"/>
      <c r="G149" s="236"/>
      <c r="I149" s="234"/>
      <c r="J149" s="79">
        <f t="shared" si="5"/>
        <v>23</v>
      </c>
    </row>
    <row r="150" spans="1:10">
      <c r="A150" s="79">
        <f t="shared" si="4"/>
        <v>24</v>
      </c>
      <c r="B150" s="76" t="s">
        <v>224</v>
      </c>
      <c r="G150" s="388">
        <f>IFERROR(((G144)+(G145/G146)+G138)*G148/(1-G148),0)</f>
        <v>0</v>
      </c>
      <c r="I150" s="197" t="s">
        <v>103</v>
      </c>
      <c r="J150" s="79">
        <f t="shared" si="5"/>
        <v>24</v>
      </c>
    </row>
    <row r="151" spans="1:10">
      <c r="A151" s="79">
        <f t="shared" si="4"/>
        <v>25</v>
      </c>
      <c r="B151" s="230" t="s">
        <v>225</v>
      </c>
      <c r="G151" s="79"/>
      <c r="I151" s="197"/>
      <c r="J151" s="79">
        <f t="shared" si="5"/>
        <v>25</v>
      </c>
    </row>
    <row r="152" spans="1:10">
      <c r="A152" s="79">
        <f t="shared" si="4"/>
        <v>26</v>
      </c>
      <c r="G152" s="79"/>
      <c r="I152" s="197"/>
      <c r="J152" s="79">
        <f t="shared" si="5"/>
        <v>26</v>
      </c>
    </row>
    <row r="153" spans="1:10">
      <c r="A153" s="79">
        <f t="shared" si="4"/>
        <v>27</v>
      </c>
      <c r="B153" s="179" t="s">
        <v>92</v>
      </c>
      <c r="G153" s="228">
        <f>G150+G138</f>
        <v>0</v>
      </c>
      <c r="I153" s="197" t="s">
        <v>504</v>
      </c>
      <c r="J153" s="79">
        <f t="shared" si="5"/>
        <v>27</v>
      </c>
    </row>
    <row r="154" spans="1:10">
      <c r="A154" s="79">
        <f t="shared" si="4"/>
        <v>28</v>
      </c>
      <c r="G154" s="79"/>
      <c r="I154" s="197"/>
      <c r="J154" s="79">
        <f t="shared" si="5"/>
        <v>28</v>
      </c>
    </row>
    <row r="155" spans="1:10">
      <c r="A155" s="79">
        <f t="shared" si="4"/>
        <v>29</v>
      </c>
      <c r="B155" s="179" t="s">
        <v>328</v>
      </c>
      <c r="G155" s="389">
        <f>G63</f>
        <v>0</v>
      </c>
      <c r="I155" s="197" t="s">
        <v>510</v>
      </c>
      <c r="J155" s="79">
        <f t="shared" si="5"/>
        <v>29</v>
      </c>
    </row>
    <row r="156" spans="1:10">
      <c r="A156" s="79">
        <f t="shared" si="4"/>
        <v>30</v>
      </c>
      <c r="G156" s="79"/>
      <c r="I156" s="197"/>
      <c r="J156" s="79">
        <f t="shared" si="5"/>
        <v>30</v>
      </c>
    </row>
    <row r="157" spans="1:10" ht="18" thickBot="1">
      <c r="A157" s="79">
        <f t="shared" si="4"/>
        <v>31</v>
      </c>
      <c r="B157" s="179" t="s">
        <v>329</v>
      </c>
      <c r="G157" s="390">
        <f>G153+G155</f>
        <v>0</v>
      </c>
      <c r="I157" s="197" t="s">
        <v>506</v>
      </c>
      <c r="J157" s="79">
        <f t="shared" si="5"/>
        <v>31</v>
      </c>
    </row>
    <row r="158" spans="1:10" ht="16" thickTop="1"/>
    <row r="160" spans="1:10" ht="18">
      <c r="A160" s="194"/>
      <c r="B160" s="1"/>
    </row>
  </sheetData>
  <mergeCells count="15"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  <mergeCell ref="B72:I72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2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70" max="16383" man="1"/>
    <brk id="11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D4DF-64A9-46A4-85A7-48A443BBB1A6}">
  <dimension ref="A1:M161"/>
  <sheetViews>
    <sheetView zoomScale="80" zoomScaleNormal="80" workbookViewId="0"/>
  </sheetViews>
  <sheetFormatPr defaultColWidth="8.81640625" defaultRowHeight="15.5"/>
  <cols>
    <col min="1" max="1" width="5.1796875" style="79" customWidth="1"/>
    <col min="2" max="2" width="55.453125" style="76" customWidth="1"/>
    <col min="3" max="5" width="15.54296875" style="76" customWidth="1"/>
    <col min="6" max="6" width="1.54296875" style="76" customWidth="1"/>
    <col min="7" max="7" width="16.81640625" style="76" customWidth="1"/>
    <col min="8" max="8" width="1.54296875" style="76" customWidth="1"/>
    <col min="9" max="9" width="38.81640625" style="176" customWidth="1"/>
    <col min="10" max="10" width="5.1796875" style="76" customWidth="1"/>
    <col min="11" max="11" width="27" style="76" bestFit="1" customWidth="1"/>
    <col min="12" max="12" width="15" style="76" bestFit="1" customWidth="1"/>
    <col min="13" max="13" width="10.453125" style="76" bestFit="1" customWidth="1"/>
    <col min="14" max="16384" width="8.81640625" style="76"/>
  </cols>
  <sheetData>
    <row r="1" spans="1:10">
      <c r="A1" s="633" t="s">
        <v>650</v>
      </c>
    </row>
    <row r="2" spans="1:10">
      <c r="A2" s="195"/>
      <c r="G2" s="168"/>
      <c r="H2" s="168"/>
      <c r="I2" s="196"/>
      <c r="J2" s="79"/>
    </row>
    <row r="3" spans="1:10">
      <c r="B3" s="726" t="s">
        <v>0</v>
      </c>
      <c r="C3" s="726"/>
      <c r="D3" s="726"/>
      <c r="E3" s="726"/>
      <c r="F3" s="726"/>
      <c r="G3" s="726"/>
      <c r="H3" s="726"/>
      <c r="I3" s="726"/>
      <c r="J3" s="79"/>
    </row>
    <row r="4" spans="1:10">
      <c r="B4" s="726" t="s">
        <v>94</v>
      </c>
      <c r="C4" s="726"/>
      <c r="D4" s="726"/>
      <c r="E4" s="726"/>
      <c r="F4" s="726"/>
      <c r="G4" s="726"/>
      <c r="H4" s="726"/>
      <c r="I4" s="726"/>
      <c r="J4" s="79"/>
    </row>
    <row r="5" spans="1:10">
      <c r="B5" s="726" t="s">
        <v>69</v>
      </c>
      <c r="C5" s="726"/>
      <c r="D5" s="726"/>
      <c r="E5" s="726"/>
      <c r="F5" s="726"/>
      <c r="G5" s="726"/>
      <c r="H5" s="726"/>
      <c r="I5" s="726"/>
      <c r="J5" s="79"/>
    </row>
    <row r="6" spans="1:10">
      <c r="B6" s="727" t="s">
        <v>393</v>
      </c>
      <c r="C6" s="727"/>
      <c r="D6" s="727"/>
      <c r="E6" s="727"/>
      <c r="F6" s="727"/>
      <c r="G6" s="727"/>
      <c r="H6" s="727"/>
      <c r="I6" s="727"/>
      <c r="J6" s="79"/>
    </row>
    <row r="7" spans="1:10">
      <c r="B7" s="728" t="s">
        <v>1</v>
      </c>
      <c r="C7" s="729"/>
      <c r="D7" s="729"/>
      <c r="E7" s="729"/>
      <c r="F7" s="729"/>
      <c r="G7" s="729"/>
      <c r="H7" s="729"/>
      <c r="I7" s="729"/>
      <c r="J7" s="79"/>
    </row>
    <row r="8" spans="1:10">
      <c r="B8" s="79"/>
      <c r="C8" s="79"/>
      <c r="D8" s="79"/>
      <c r="E8" s="79"/>
      <c r="F8" s="79"/>
      <c r="G8" s="79"/>
      <c r="H8" s="79"/>
      <c r="I8" s="197"/>
      <c r="J8" s="79"/>
    </row>
    <row r="9" spans="1:10">
      <c r="A9" s="79" t="s">
        <v>2</v>
      </c>
      <c r="B9" s="164"/>
      <c r="C9" s="164"/>
      <c r="D9" s="164"/>
      <c r="E9" s="79" t="s">
        <v>162</v>
      </c>
      <c r="F9" s="164"/>
      <c r="G9" s="164"/>
      <c r="H9" s="164"/>
      <c r="I9" s="197"/>
      <c r="J9" s="79" t="s">
        <v>2</v>
      </c>
    </row>
    <row r="10" spans="1:10">
      <c r="A10" s="79" t="s">
        <v>14</v>
      </c>
      <c r="B10" s="79"/>
      <c r="C10" s="79"/>
      <c r="D10" s="79"/>
      <c r="E10" s="85" t="s">
        <v>163</v>
      </c>
      <c r="F10" s="79"/>
      <c r="G10" s="165" t="s">
        <v>22</v>
      </c>
      <c r="H10" s="164"/>
      <c r="I10" s="198" t="s">
        <v>6</v>
      </c>
      <c r="J10" s="79" t="s">
        <v>14</v>
      </c>
    </row>
    <row r="11" spans="1:10">
      <c r="B11" s="79"/>
      <c r="C11" s="79"/>
      <c r="D11" s="79"/>
      <c r="E11" s="79"/>
      <c r="F11" s="79"/>
      <c r="G11" s="79"/>
      <c r="H11" s="79"/>
      <c r="I11" s="197"/>
      <c r="J11" s="79"/>
    </row>
    <row r="12" spans="1:10">
      <c r="A12" s="79">
        <v>1</v>
      </c>
      <c r="B12" s="179" t="s">
        <v>70</v>
      </c>
      <c r="I12" s="197"/>
      <c r="J12" s="79">
        <f>A12</f>
        <v>1</v>
      </c>
    </row>
    <row r="13" spans="1:10">
      <c r="A13" s="79">
        <f>A12+1</f>
        <v>2</v>
      </c>
      <c r="B13" s="76" t="s">
        <v>182</v>
      </c>
      <c r="E13" s="79" t="s">
        <v>183</v>
      </c>
      <c r="G13" s="166">
        <v>4776266</v>
      </c>
      <c r="H13" s="164"/>
      <c r="I13" s="199"/>
      <c r="J13" s="79">
        <f>J12+1</f>
        <v>2</v>
      </c>
    </row>
    <row r="14" spans="1:10">
      <c r="A14" s="79">
        <f t="shared" ref="A14:A66" si="0">A13+1</f>
        <v>3</v>
      </c>
      <c r="B14" s="76" t="s">
        <v>184</v>
      </c>
      <c r="E14" s="79" t="s">
        <v>185</v>
      </c>
      <c r="G14" s="169">
        <v>0</v>
      </c>
      <c r="H14" s="164"/>
      <c r="I14" s="199"/>
      <c r="J14" s="79">
        <f t="shared" ref="J14:J66" si="1">J13+1</f>
        <v>3</v>
      </c>
    </row>
    <row r="15" spans="1:10">
      <c r="A15" s="79">
        <f t="shared" si="0"/>
        <v>4</v>
      </c>
      <c r="B15" s="76" t="s">
        <v>186</v>
      </c>
      <c r="E15" s="79" t="s">
        <v>187</v>
      </c>
      <c r="G15" s="169">
        <v>0</v>
      </c>
      <c r="H15" s="164"/>
      <c r="I15" s="199"/>
      <c r="J15" s="79">
        <f t="shared" si="1"/>
        <v>4</v>
      </c>
    </row>
    <row r="16" spans="1:10">
      <c r="A16" s="79">
        <f t="shared" si="0"/>
        <v>5</v>
      </c>
      <c r="B16" s="76" t="s">
        <v>188</v>
      </c>
      <c r="E16" s="79" t="s">
        <v>189</v>
      </c>
      <c r="G16" s="169">
        <v>0</v>
      </c>
      <c r="H16" s="164"/>
      <c r="I16" s="199"/>
      <c r="J16" s="79">
        <f t="shared" si="1"/>
        <v>5</v>
      </c>
    </row>
    <row r="17" spans="1:10">
      <c r="A17" s="79">
        <f t="shared" si="0"/>
        <v>6</v>
      </c>
      <c r="B17" s="76" t="s">
        <v>190</v>
      </c>
      <c r="E17" s="79" t="s">
        <v>191</v>
      </c>
      <c r="G17" s="169">
        <v>-12609.584859999999</v>
      </c>
      <c r="H17" s="164"/>
      <c r="I17" s="199"/>
      <c r="J17" s="79">
        <f t="shared" si="1"/>
        <v>6</v>
      </c>
    </row>
    <row r="18" spans="1:10">
      <c r="A18" s="79">
        <f t="shared" si="0"/>
        <v>7</v>
      </c>
      <c r="B18" s="76" t="s">
        <v>192</v>
      </c>
      <c r="G18" s="180">
        <f>SUM(G13:G17)</f>
        <v>4763656.4151400002</v>
      </c>
      <c r="H18" s="160"/>
      <c r="I18" s="197" t="s">
        <v>484</v>
      </c>
      <c r="J18" s="79">
        <f t="shared" si="1"/>
        <v>7</v>
      </c>
    </row>
    <row r="19" spans="1:10">
      <c r="A19" s="79">
        <f t="shared" si="0"/>
        <v>8</v>
      </c>
      <c r="I19" s="197"/>
      <c r="J19" s="79">
        <f t="shared" si="1"/>
        <v>8</v>
      </c>
    </row>
    <row r="20" spans="1:10">
      <c r="A20" s="79">
        <f t="shared" si="0"/>
        <v>9</v>
      </c>
      <c r="B20" s="179" t="s">
        <v>71</v>
      </c>
      <c r="G20" s="71"/>
      <c r="H20" s="71"/>
      <c r="I20" s="197"/>
      <c r="J20" s="79">
        <f t="shared" si="1"/>
        <v>9</v>
      </c>
    </row>
    <row r="21" spans="1:10">
      <c r="A21" s="79">
        <f t="shared" si="0"/>
        <v>10</v>
      </c>
      <c r="B21" s="76" t="s">
        <v>193</v>
      </c>
      <c r="E21" s="79" t="s">
        <v>194</v>
      </c>
      <c r="G21" s="166">
        <v>200012.28902</v>
      </c>
      <c r="H21" s="164"/>
      <c r="I21" s="199"/>
      <c r="J21" s="79">
        <f t="shared" si="1"/>
        <v>10</v>
      </c>
    </row>
    <row r="22" spans="1:10">
      <c r="A22" s="79">
        <f t="shared" si="0"/>
        <v>11</v>
      </c>
      <c r="B22" s="76" t="s">
        <v>195</v>
      </c>
      <c r="E22" s="79" t="s">
        <v>196</v>
      </c>
      <c r="G22" s="169">
        <v>3450.8071800000002</v>
      </c>
      <c r="H22" s="164"/>
      <c r="I22" s="199"/>
      <c r="J22" s="79">
        <f t="shared" si="1"/>
        <v>11</v>
      </c>
    </row>
    <row r="23" spans="1:10">
      <c r="A23" s="79">
        <f t="shared" si="0"/>
        <v>12</v>
      </c>
      <c r="B23" s="76" t="s">
        <v>197</v>
      </c>
      <c r="E23" s="79" t="s">
        <v>198</v>
      </c>
      <c r="G23" s="169">
        <v>2799.42463</v>
      </c>
      <c r="H23" s="164"/>
      <c r="I23" s="199"/>
      <c r="J23" s="79">
        <f t="shared" si="1"/>
        <v>12</v>
      </c>
    </row>
    <row r="24" spans="1:10">
      <c r="A24" s="79">
        <f t="shared" si="0"/>
        <v>13</v>
      </c>
      <c r="B24" s="76" t="s">
        <v>199</v>
      </c>
      <c r="E24" s="79" t="s">
        <v>200</v>
      </c>
      <c r="G24" s="169">
        <v>0</v>
      </c>
      <c r="H24" s="164"/>
      <c r="I24" s="199"/>
      <c r="J24" s="79">
        <f t="shared" si="1"/>
        <v>13</v>
      </c>
    </row>
    <row r="25" spans="1:10">
      <c r="A25" s="79">
        <f t="shared" si="0"/>
        <v>14</v>
      </c>
      <c r="B25" s="76" t="s">
        <v>201</v>
      </c>
      <c r="E25" s="79" t="s">
        <v>202</v>
      </c>
      <c r="G25" s="169">
        <v>0</v>
      </c>
      <c r="H25" s="164"/>
      <c r="I25" s="199"/>
      <c r="J25" s="79">
        <f t="shared" si="1"/>
        <v>14</v>
      </c>
    </row>
    <row r="26" spans="1:10">
      <c r="A26" s="79">
        <f t="shared" si="0"/>
        <v>15</v>
      </c>
      <c r="B26" s="76" t="s">
        <v>203</v>
      </c>
      <c r="G26" s="200">
        <f>SUM(G21:G25)</f>
        <v>206262.52082999999</v>
      </c>
      <c r="H26" s="170"/>
      <c r="I26" s="197" t="s">
        <v>485</v>
      </c>
      <c r="J26" s="79">
        <f t="shared" si="1"/>
        <v>15</v>
      </c>
    </row>
    <row r="27" spans="1:10">
      <c r="A27" s="79">
        <f t="shared" si="0"/>
        <v>16</v>
      </c>
      <c r="I27" s="197"/>
      <c r="J27" s="79">
        <f t="shared" si="1"/>
        <v>16</v>
      </c>
    </row>
    <row r="28" spans="1:10" ht="16" thickBot="1">
      <c r="A28" s="79">
        <f t="shared" si="0"/>
        <v>17</v>
      </c>
      <c r="B28" s="179" t="s">
        <v>72</v>
      </c>
      <c r="G28" s="201">
        <f>G26/G18</f>
        <v>4.329920188501632E-2</v>
      </c>
      <c r="H28" s="202"/>
      <c r="I28" s="197" t="s">
        <v>486</v>
      </c>
      <c r="J28" s="79">
        <f t="shared" si="1"/>
        <v>17</v>
      </c>
    </row>
    <row r="29" spans="1:10" ht="16" thickTop="1">
      <c r="A29" s="79">
        <f t="shared" si="0"/>
        <v>18</v>
      </c>
      <c r="I29" s="197"/>
      <c r="J29" s="79">
        <f t="shared" si="1"/>
        <v>18</v>
      </c>
    </row>
    <row r="30" spans="1:10">
      <c r="A30" s="79">
        <f t="shared" si="0"/>
        <v>19</v>
      </c>
      <c r="B30" s="179" t="s">
        <v>73</v>
      </c>
      <c r="I30" s="197"/>
      <c r="J30" s="79">
        <f t="shared" si="1"/>
        <v>19</v>
      </c>
    </row>
    <row r="31" spans="1:10">
      <c r="A31" s="79">
        <f t="shared" si="0"/>
        <v>20</v>
      </c>
      <c r="B31" s="76" t="s">
        <v>204</v>
      </c>
      <c r="E31" s="79" t="s">
        <v>205</v>
      </c>
      <c r="G31" s="166">
        <v>0</v>
      </c>
      <c r="H31" s="164"/>
      <c r="I31" s="199"/>
      <c r="J31" s="79">
        <f t="shared" si="1"/>
        <v>20</v>
      </c>
    </row>
    <row r="32" spans="1:10">
      <c r="A32" s="79">
        <f t="shared" si="0"/>
        <v>21</v>
      </c>
      <c r="B32" s="76" t="s">
        <v>206</v>
      </c>
      <c r="E32" s="79" t="s">
        <v>207</v>
      </c>
      <c r="G32" s="203">
        <v>0</v>
      </c>
      <c r="H32" s="164"/>
      <c r="I32" s="199"/>
      <c r="J32" s="79">
        <f t="shared" si="1"/>
        <v>21</v>
      </c>
    </row>
    <row r="33" spans="1:12" ht="16" thickBot="1">
      <c r="A33" s="79">
        <f t="shared" si="0"/>
        <v>22</v>
      </c>
      <c r="B33" s="76" t="s">
        <v>208</v>
      </c>
      <c r="G33" s="201">
        <f>IFERROR((G32/G31),0)</f>
        <v>0</v>
      </c>
      <c r="H33" s="202"/>
      <c r="I33" s="197" t="s">
        <v>487</v>
      </c>
      <c r="J33" s="79">
        <f t="shared" si="1"/>
        <v>22</v>
      </c>
    </row>
    <row r="34" spans="1:12" ht="16" thickTop="1">
      <c r="A34" s="79">
        <f t="shared" si="0"/>
        <v>23</v>
      </c>
      <c r="I34" s="197"/>
      <c r="J34" s="79">
        <f t="shared" si="1"/>
        <v>23</v>
      </c>
    </row>
    <row r="35" spans="1:12">
      <c r="A35" s="79">
        <f t="shared" si="0"/>
        <v>24</v>
      </c>
      <c r="B35" s="179" t="s">
        <v>74</v>
      </c>
      <c r="I35" s="197"/>
      <c r="J35" s="79">
        <f t="shared" si="1"/>
        <v>24</v>
      </c>
    </row>
    <row r="36" spans="1:12">
      <c r="A36" s="79">
        <f t="shared" si="0"/>
        <v>25</v>
      </c>
      <c r="B36" s="76" t="s">
        <v>209</v>
      </c>
      <c r="E36" s="79" t="s">
        <v>210</v>
      </c>
      <c r="G36" s="166">
        <v>6011923.3266400006</v>
      </c>
      <c r="H36" s="164"/>
      <c r="I36" s="199"/>
      <c r="J36" s="79">
        <f t="shared" si="1"/>
        <v>25</v>
      </c>
      <c r="K36" s="159"/>
      <c r="L36" s="318"/>
    </row>
    <row r="37" spans="1:12">
      <c r="A37" s="79">
        <f t="shared" si="0"/>
        <v>26</v>
      </c>
      <c r="B37" s="76" t="s">
        <v>211</v>
      </c>
      <c r="E37" s="79" t="s">
        <v>205</v>
      </c>
      <c r="G37" s="204">
        <v>0</v>
      </c>
      <c r="H37" s="204"/>
      <c r="I37" s="197" t="s">
        <v>488</v>
      </c>
      <c r="J37" s="79">
        <f t="shared" si="1"/>
        <v>26</v>
      </c>
    </row>
    <row r="38" spans="1:12">
      <c r="A38" s="79">
        <f t="shared" si="0"/>
        <v>27</v>
      </c>
      <c r="B38" s="76" t="s">
        <v>212</v>
      </c>
      <c r="E38" s="79" t="s">
        <v>213</v>
      </c>
      <c r="G38" s="169">
        <v>0</v>
      </c>
      <c r="H38" s="164"/>
      <c r="I38" s="199"/>
      <c r="J38" s="79">
        <f t="shared" si="1"/>
        <v>27</v>
      </c>
    </row>
    <row r="39" spans="1:12">
      <c r="A39" s="79">
        <f t="shared" si="0"/>
        <v>28</v>
      </c>
      <c r="B39" s="76" t="s">
        <v>214</v>
      </c>
      <c r="E39" s="79" t="s">
        <v>215</v>
      </c>
      <c r="G39" s="169">
        <v>9578.0788499999999</v>
      </c>
      <c r="H39" s="164"/>
      <c r="I39" s="199"/>
      <c r="J39" s="79">
        <f t="shared" si="1"/>
        <v>28</v>
      </c>
    </row>
    <row r="40" spans="1:12" ht="16" thickBot="1">
      <c r="A40" s="79">
        <f t="shared" si="0"/>
        <v>29</v>
      </c>
      <c r="B40" s="76" t="s">
        <v>216</v>
      </c>
      <c r="G40" s="205">
        <f>SUM(G36:G39)</f>
        <v>6021501.4054900007</v>
      </c>
      <c r="H40" s="206"/>
      <c r="I40" s="197" t="s">
        <v>489</v>
      </c>
      <c r="J40" s="79">
        <f t="shared" si="1"/>
        <v>29</v>
      </c>
    </row>
    <row r="41" spans="1:12" ht="16.5" thickTop="1" thickBot="1">
      <c r="A41" s="207">
        <f t="shared" si="0"/>
        <v>30</v>
      </c>
      <c r="B41" s="83"/>
      <c r="C41" s="83"/>
      <c r="D41" s="83"/>
      <c r="E41" s="83"/>
      <c r="F41" s="83"/>
      <c r="G41" s="83"/>
      <c r="H41" s="83"/>
      <c r="I41" s="208"/>
      <c r="J41" s="207">
        <f t="shared" si="1"/>
        <v>30</v>
      </c>
    </row>
    <row r="42" spans="1:12">
      <c r="A42" s="79">
        <f>A41+1</f>
        <v>31</v>
      </c>
      <c r="I42" s="197"/>
      <c r="J42" s="79">
        <f>J41+1</f>
        <v>31</v>
      </c>
    </row>
    <row r="43" spans="1:12" ht="19" thickBot="1">
      <c r="A43" s="79">
        <f>A42+1</f>
        <v>32</v>
      </c>
      <c r="B43" s="179" t="s">
        <v>324</v>
      </c>
      <c r="G43" s="209">
        <v>0.112</v>
      </c>
      <c r="H43" s="164"/>
      <c r="I43" s="197" t="s">
        <v>217</v>
      </c>
      <c r="J43" s="79">
        <f>J42+1</f>
        <v>32</v>
      </c>
    </row>
    <row r="44" spans="1:12" ht="16" thickTop="1">
      <c r="A44" s="79">
        <f t="shared" si="0"/>
        <v>33</v>
      </c>
      <c r="C44" s="172" t="s">
        <v>3</v>
      </c>
      <c r="D44" s="172" t="s">
        <v>4</v>
      </c>
      <c r="E44" s="172" t="s">
        <v>67</v>
      </c>
      <c r="F44" s="172"/>
      <c r="G44" s="172" t="s">
        <v>75</v>
      </c>
      <c r="H44" s="172"/>
      <c r="I44" s="197"/>
      <c r="J44" s="79">
        <f t="shared" si="1"/>
        <v>33</v>
      </c>
    </row>
    <row r="45" spans="1:12">
      <c r="A45" s="79">
        <f t="shared" si="0"/>
        <v>34</v>
      </c>
      <c r="D45" s="79" t="s">
        <v>76</v>
      </c>
      <c r="E45" s="79" t="s">
        <v>95</v>
      </c>
      <c r="F45" s="79"/>
      <c r="G45" s="79" t="s">
        <v>77</v>
      </c>
      <c r="H45" s="79"/>
      <c r="I45" s="197"/>
      <c r="J45" s="79">
        <f t="shared" si="1"/>
        <v>34</v>
      </c>
    </row>
    <row r="46" spans="1:12" ht="18">
      <c r="A46" s="79">
        <f t="shared" si="0"/>
        <v>35</v>
      </c>
      <c r="B46" s="179" t="s">
        <v>78</v>
      </c>
      <c r="C46" s="85" t="s">
        <v>241</v>
      </c>
      <c r="D46" s="85" t="s">
        <v>79</v>
      </c>
      <c r="E46" s="85" t="s">
        <v>96</v>
      </c>
      <c r="F46" s="85"/>
      <c r="G46" s="85" t="s">
        <v>80</v>
      </c>
      <c r="H46" s="79"/>
      <c r="I46" s="197"/>
      <c r="J46" s="79">
        <f t="shared" si="1"/>
        <v>35</v>
      </c>
    </row>
    <row r="47" spans="1:12">
      <c r="A47" s="79">
        <f t="shared" si="0"/>
        <v>36</v>
      </c>
      <c r="I47" s="197"/>
      <c r="J47" s="79">
        <f t="shared" si="1"/>
        <v>36</v>
      </c>
    </row>
    <row r="48" spans="1:12">
      <c r="A48" s="79">
        <f t="shared" si="0"/>
        <v>37</v>
      </c>
      <c r="B48" s="76" t="s">
        <v>81</v>
      </c>
      <c r="C48" s="191">
        <f>G18</f>
        <v>4763656.4151400002</v>
      </c>
      <c r="D48" s="210">
        <f>C48/C$51</f>
        <v>0.4416862965164971</v>
      </c>
      <c r="E48" s="211">
        <f>G28</f>
        <v>4.329920188501632E-2</v>
      </c>
      <c r="G48" s="212">
        <f>D48*E48</f>
        <v>1.9124664122712989E-2</v>
      </c>
      <c r="H48" s="212"/>
      <c r="I48" s="197" t="s">
        <v>490</v>
      </c>
      <c r="J48" s="79">
        <f t="shared" si="1"/>
        <v>37</v>
      </c>
    </row>
    <row r="49" spans="1:10">
      <c r="A49" s="79">
        <f t="shared" si="0"/>
        <v>38</v>
      </c>
      <c r="B49" s="76" t="s">
        <v>82</v>
      </c>
      <c r="C49" s="213">
        <f>G31</f>
        <v>0</v>
      </c>
      <c r="D49" s="210">
        <f>C49/C$51</f>
        <v>0</v>
      </c>
      <c r="E49" s="211">
        <f>G33</f>
        <v>0</v>
      </c>
      <c r="G49" s="212">
        <f>D49*E49</f>
        <v>0</v>
      </c>
      <c r="H49" s="212"/>
      <c r="I49" s="197" t="s">
        <v>491</v>
      </c>
      <c r="J49" s="79">
        <f t="shared" si="1"/>
        <v>38</v>
      </c>
    </row>
    <row r="50" spans="1:10">
      <c r="A50" s="79">
        <f t="shared" si="0"/>
        <v>39</v>
      </c>
      <c r="B50" s="76" t="s">
        <v>83</v>
      </c>
      <c r="C50" s="213">
        <f>G40</f>
        <v>6021501.4054900007</v>
      </c>
      <c r="D50" s="214">
        <f>C50/C$51</f>
        <v>0.55831370348350295</v>
      </c>
      <c r="E50" s="215">
        <f>G43</f>
        <v>0.112</v>
      </c>
      <c r="G50" s="216">
        <f>D50*E50</f>
        <v>6.2531134790152335E-2</v>
      </c>
      <c r="H50" s="202"/>
      <c r="I50" s="197" t="s">
        <v>492</v>
      </c>
      <c r="J50" s="79">
        <f t="shared" si="1"/>
        <v>39</v>
      </c>
    </row>
    <row r="51" spans="1:10" ht="16" thickBot="1">
      <c r="A51" s="79">
        <f t="shared" si="0"/>
        <v>40</v>
      </c>
      <c r="B51" s="76" t="s">
        <v>218</v>
      </c>
      <c r="C51" s="217">
        <f>SUM(C48:C50)</f>
        <v>10785157.820630001</v>
      </c>
      <c r="D51" s="218">
        <f>SUM(D48:D50)</f>
        <v>1</v>
      </c>
      <c r="G51" s="201">
        <f>SUM(G48:G50)</f>
        <v>8.1655798912865327E-2</v>
      </c>
      <c r="H51" s="202"/>
      <c r="I51" s="197" t="s">
        <v>493</v>
      </c>
      <c r="J51" s="79">
        <f t="shared" si="1"/>
        <v>40</v>
      </c>
    </row>
    <row r="52" spans="1:10" ht="16" thickTop="1">
      <c r="A52" s="79">
        <f t="shared" si="0"/>
        <v>41</v>
      </c>
      <c r="I52" s="197"/>
      <c r="J52" s="79">
        <f t="shared" si="1"/>
        <v>41</v>
      </c>
    </row>
    <row r="53" spans="1:10" ht="16" thickBot="1">
      <c r="A53" s="79">
        <f t="shared" si="0"/>
        <v>42</v>
      </c>
      <c r="B53" s="179" t="s">
        <v>97</v>
      </c>
      <c r="G53" s="201">
        <f>G49+G50</f>
        <v>6.2531134790152335E-2</v>
      </c>
      <c r="H53" s="202"/>
      <c r="I53" s="197" t="s">
        <v>494</v>
      </c>
      <c r="J53" s="79">
        <f t="shared" si="1"/>
        <v>42</v>
      </c>
    </row>
    <row r="54" spans="1:10" ht="16.5" thickTop="1" thickBot="1">
      <c r="A54" s="207">
        <f t="shared" si="0"/>
        <v>43</v>
      </c>
      <c r="B54" s="379"/>
      <c r="C54" s="83"/>
      <c r="D54" s="83"/>
      <c r="E54" s="83"/>
      <c r="F54" s="83"/>
      <c r="G54" s="380"/>
      <c r="H54" s="380"/>
      <c r="I54" s="208"/>
      <c r="J54" s="207">
        <f t="shared" si="1"/>
        <v>43</v>
      </c>
    </row>
    <row r="55" spans="1:10">
      <c r="A55" s="79">
        <f t="shared" si="0"/>
        <v>44</v>
      </c>
      <c r="B55" s="179"/>
      <c r="G55" s="215"/>
      <c r="H55" s="215"/>
      <c r="I55" s="197"/>
      <c r="J55" s="79">
        <f t="shared" si="1"/>
        <v>44</v>
      </c>
    </row>
    <row r="56" spans="1:10" ht="16" thickBot="1">
      <c r="A56" s="79">
        <f t="shared" si="0"/>
        <v>45</v>
      </c>
      <c r="B56" s="179" t="s">
        <v>332</v>
      </c>
      <c r="G56" s="392">
        <v>0</v>
      </c>
      <c r="H56" s="215"/>
      <c r="I56" s="197" t="s">
        <v>24</v>
      </c>
      <c r="J56" s="79">
        <f t="shared" si="1"/>
        <v>45</v>
      </c>
    </row>
    <row r="57" spans="1:10" ht="16" thickTop="1">
      <c r="A57" s="79">
        <f t="shared" si="0"/>
        <v>46</v>
      </c>
      <c r="C57" s="172" t="s">
        <v>3</v>
      </c>
      <c r="D57" s="172" t="s">
        <v>4</v>
      </c>
      <c r="E57" s="172" t="s">
        <v>67</v>
      </c>
      <c r="F57" s="172"/>
      <c r="G57" s="172" t="s">
        <v>75</v>
      </c>
      <c r="H57" s="215"/>
      <c r="I57" s="197"/>
      <c r="J57" s="79">
        <f t="shared" si="1"/>
        <v>46</v>
      </c>
    </row>
    <row r="58" spans="1:10">
      <c r="A58" s="79">
        <f t="shared" si="0"/>
        <v>47</v>
      </c>
      <c r="D58" s="79" t="s">
        <v>76</v>
      </c>
      <c r="E58" s="79" t="s">
        <v>95</v>
      </c>
      <c r="F58" s="79"/>
      <c r="G58" s="79" t="s">
        <v>77</v>
      </c>
      <c r="H58" s="215"/>
      <c r="I58" s="197"/>
      <c r="J58" s="79">
        <f t="shared" si="1"/>
        <v>47</v>
      </c>
    </row>
    <row r="59" spans="1:10" ht="18">
      <c r="A59" s="79">
        <f t="shared" si="0"/>
        <v>48</v>
      </c>
      <c r="B59" s="179" t="s">
        <v>322</v>
      </c>
      <c r="C59" s="362" t="s">
        <v>241</v>
      </c>
      <c r="D59" s="362" t="s">
        <v>79</v>
      </c>
      <c r="E59" s="362" t="s">
        <v>96</v>
      </c>
      <c r="F59" s="362"/>
      <c r="G59" s="362" t="s">
        <v>80</v>
      </c>
      <c r="H59" s="215"/>
      <c r="I59" s="197"/>
      <c r="J59" s="79">
        <f t="shared" si="1"/>
        <v>48</v>
      </c>
    </row>
    <row r="60" spans="1:10">
      <c r="A60" s="79">
        <f t="shared" si="0"/>
        <v>49</v>
      </c>
      <c r="G60" s="215"/>
      <c r="H60" s="215"/>
      <c r="I60" s="197"/>
      <c r="J60" s="79">
        <f t="shared" si="1"/>
        <v>49</v>
      </c>
    </row>
    <row r="61" spans="1:10">
      <c r="A61" s="79">
        <f t="shared" si="0"/>
        <v>50</v>
      </c>
      <c r="B61" s="76" t="s">
        <v>81</v>
      </c>
      <c r="C61" s="393">
        <v>0</v>
      </c>
      <c r="D61" s="395">
        <v>0</v>
      </c>
      <c r="E61" s="397">
        <v>0</v>
      </c>
      <c r="G61" s="212">
        <f>D61*E61</f>
        <v>0</v>
      </c>
      <c r="H61" s="215"/>
      <c r="I61" s="197" t="s">
        <v>24</v>
      </c>
      <c r="J61" s="79">
        <f t="shared" si="1"/>
        <v>50</v>
      </c>
    </row>
    <row r="62" spans="1:10">
      <c r="A62" s="79">
        <f t="shared" si="0"/>
        <v>51</v>
      </c>
      <c r="B62" s="76" t="s">
        <v>82</v>
      </c>
      <c r="C62" s="394">
        <v>0</v>
      </c>
      <c r="D62" s="395">
        <v>0</v>
      </c>
      <c r="E62" s="397">
        <v>0</v>
      </c>
      <c r="G62" s="212">
        <f>D62*E62</f>
        <v>0</v>
      </c>
      <c r="H62" s="215"/>
      <c r="I62" s="197" t="s">
        <v>24</v>
      </c>
      <c r="J62" s="79">
        <f t="shared" si="1"/>
        <v>51</v>
      </c>
    </row>
    <row r="63" spans="1:10">
      <c r="A63" s="79">
        <f t="shared" si="0"/>
        <v>52</v>
      </c>
      <c r="B63" s="76" t="s">
        <v>83</v>
      </c>
      <c r="C63" s="394">
        <v>0</v>
      </c>
      <c r="D63" s="396">
        <v>0</v>
      </c>
      <c r="E63" s="398">
        <v>0</v>
      </c>
      <c r="G63" s="382">
        <f>D63*E63</f>
        <v>0</v>
      </c>
      <c r="H63" s="215"/>
      <c r="I63" s="197" t="s">
        <v>24</v>
      </c>
      <c r="J63" s="79">
        <f t="shared" si="1"/>
        <v>52</v>
      </c>
    </row>
    <row r="64" spans="1:10" ht="16" thickBot="1">
      <c r="A64" s="79">
        <f t="shared" si="0"/>
        <v>53</v>
      </c>
      <c r="B64" s="76" t="s">
        <v>218</v>
      </c>
      <c r="C64" s="381">
        <f>SUM(C61:C63)</f>
        <v>0</v>
      </c>
      <c r="D64" s="201">
        <f>SUM(D61:D63)</f>
        <v>0</v>
      </c>
      <c r="G64" s="201">
        <f>SUM(G61:G63)</f>
        <v>0</v>
      </c>
      <c r="H64" s="215"/>
      <c r="I64" s="197" t="s">
        <v>495</v>
      </c>
      <c r="J64" s="79">
        <f t="shared" si="1"/>
        <v>53</v>
      </c>
    </row>
    <row r="65" spans="1:10" ht="16" thickTop="1">
      <c r="A65" s="79">
        <f t="shared" si="0"/>
        <v>54</v>
      </c>
      <c r="H65" s="215"/>
      <c r="I65" s="197"/>
      <c r="J65" s="79">
        <f t="shared" si="1"/>
        <v>54</v>
      </c>
    </row>
    <row r="66" spans="1:10" ht="16" thickBot="1">
      <c r="A66" s="79">
        <f t="shared" si="0"/>
        <v>55</v>
      </c>
      <c r="B66" s="179" t="s">
        <v>323</v>
      </c>
      <c r="G66" s="201">
        <f>G62+G63</f>
        <v>0</v>
      </c>
      <c r="H66" s="215"/>
      <c r="I66" s="197" t="s">
        <v>496</v>
      </c>
      <c r="J66" s="79">
        <f t="shared" si="1"/>
        <v>55</v>
      </c>
    </row>
    <row r="67" spans="1:10" ht="16" thickTop="1">
      <c r="B67" s="179"/>
      <c r="G67" s="215"/>
      <c r="H67" s="215"/>
      <c r="I67" s="197"/>
      <c r="J67" s="79"/>
    </row>
    <row r="68" spans="1:10">
      <c r="B68" s="179"/>
      <c r="G68" s="215"/>
      <c r="H68" s="215"/>
      <c r="I68" s="197"/>
      <c r="J68" s="79"/>
    </row>
    <row r="69" spans="1:10" ht="18">
      <c r="A69" s="194">
        <v>1</v>
      </c>
      <c r="B69" s="1" t="s">
        <v>98</v>
      </c>
      <c r="G69" s="168"/>
      <c r="H69" s="168"/>
      <c r="J69" s="79" t="s">
        <v>7</v>
      </c>
    </row>
    <row r="70" spans="1:10" ht="18">
      <c r="A70" s="194">
        <v>2</v>
      </c>
      <c r="B70" s="1" t="s">
        <v>333</v>
      </c>
      <c r="G70" s="168"/>
      <c r="H70" s="168"/>
      <c r="J70" s="79"/>
    </row>
    <row r="71" spans="1:10" ht="18">
      <c r="A71" s="194"/>
      <c r="B71" s="1"/>
      <c r="D71" s="79"/>
      <c r="G71" s="168"/>
      <c r="H71" s="168"/>
      <c r="J71" s="79"/>
    </row>
    <row r="72" spans="1:10" ht="18">
      <c r="A72" s="194"/>
      <c r="B72" s="1"/>
      <c r="D72" s="79"/>
      <c r="G72" s="168"/>
      <c r="H72" s="168"/>
      <c r="J72" s="79"/>
    </row>
    <row r="73" spans="1:10">
      <c r="B73" s="726" t="s">
        <v>0</v>
      </c>
      <c r="C73" s="726"/>
      <c r="D73" s="726"/>
      <c r="E73" s="726"/>
      <c r="F73" s="726"/>
      <c r="G73" s="726"/>
      <c r="H73" s="726"/>
      <c r="I73" s="726"/>
      <c r="J73" s="79"/>
    </row>
    <row r="74" spans="1:10">
      <c r="B74" s="726" t="s">
        <v>68</v>
      </c>
      <c r="C74" s="726"/>
      <c r="D74" s="726"/>
      <c r="E74" s="726"/>
      <c r="F74" s="726"/>
      <c r="G74" s="726"/>
      <c r="H74" s="726"/>
      <c r="I74" s="726"/>
      <c r="J74" s="79"/>
    </row>
    <row r="75" spans="1:10">
      <c r="B75" s="726" t="s">
        <v>69</v>
      </c>
      <c r="C75" s="726"/>
      <c r="D75" s="726"/>
      <c r="E75" s="726"/>
      <c r="F75" s="726"/>
      <c r="G75" s="726"/>
      <c r="H75" s="726"/>
      <c r="I75" s="726"/>
      <c r="J75" s="79"/>
    </row>
    <row r="76" spans="1:10">
      <c r="B76" s="727" t="str">
        <f>B6</f>
        <v>Base Period &amp; True-Up Period 12 - Months Ending December 31, 2018</v>
      </c>
      <c r="C76" s="727"/>
      <c r="D76" s="727"/>
      <c r="E76" s="727"/>
      <c r="F76" s="727"/>
      <c r="G76" s="727"/>
      <c r="H76" s="727"/>
      <c r="I76" s="727"/>
      <c r="J76" s="79"/>
    </row>
    <row r="77" spans="1:10">
      <c r="B77" s="728" t="s">
        <v>1</v>
      </c>
      <c r="C77" s="729"/>
      <c r="D77" s="729"/>
      <c r="E77" s="729"/>
      <c r="F77" s="729"/>
      <c r="G77" s="729"/>
      <c r="H77" s="729"/>
      <c r="I77" s="729"/>
      <c r="J77" s="79"/>
    </row>
    <row r="78" spans="1:10">
      <c r="B78" s="79"/>
      <c r="C78" s="79"/>
      <c r="D78" s="79"/>
      <c r="E78" s="79"/>
      <c r="F78" s="79"/>
      <c r="G78" s="79"/>
      <c r="H78" s="79"/>
      <c r="I78" s="197"/>
      <c r="J78" s="79"/>
    </row>
    <row r="79" spans="1:10">
      <c r="A79" s="79" t="s">
        <v>2</v>
      </c>
      <c r="B79" s="164"/>
      <c r="C79" s="164"/>
      <c r="D79" s="164"/>
      <c r="E79" s="164"/>
      <c r="F79" s="164"/>
      <c r="G79" s="164"/>
      <c r="H79" s="164"/>
      <c r="I79" s="197"/>
      <c r="J79" s="79" t="s">
        <v>2</v>
      </c>
    </row>
    <row r="80" spans="1:10">
      <c r="A80" s="79" t="s">
        <v>14</v>
      </c>
      <c r="B80" s="79"/>
      <c r="C80" s="79"/>
      <c r="D80" s="79"/>
      <c r="E80" s="79"/>
      <c r="F80" s="79"/>
      <c r="G80" s="85" t="s">
        <v>22</v>
      </c>
      <c r="H80" s="164"/>
      <c r="I80" s="198" t="s">
        <v>6</v>
      </c>
      <c r="J80" s="79" t="s">
        <v>14</v>
      </c>
    </row>
    <row r="81" spans="1:13">
      <c r="G81" s="79"/>
      <c r="H81" s="79"/>
      <c r="I81" s="197"/>
      <c r="J81" s="79"/>
    </row>
    <row r="82" spans="1:13" ht="17.5">
      <c r="A82" s="79">
        <v>1</v>
      </c>
      <c r="B82" s="179" t="s">
        <v>84</v>
      </c>
      <c r="E82" s="164"/>
      <c r="F82" s="164"/>
      <c r="G82" s="167"/>
      <c r="H82" s="167"/>
      <c r="I82" s="197"/>
      <c r="J82" s="79">
        <v>1</v>
      </c>
    </row>
    <row r="83" spans="1:13">
      <c r="A83" s="79">
        <f>A82+1</f>
        <v>2</v>
      </c>
      <c r="B83" s="219"/>
      <c r="E83" s="164"/>
      <c r="F83" s="164"/>
      <c r="G83" s="167"/>
      <c r="H83" s="167"/>
      <c r="I83" s="197"/>
      <c r="J83" s="79">
        <f>J82+1</f>
        <v>2</v>
      </c>
    </row>
    <row r="84" spans="1:13">
      <c r="A84" s="79">
        <f>A83+1</f>
        <v>3</v>
      </c>
      <c r="B84" s="179" t="s">
        <v>85</v>
      </c>
      <c r="E84" s="164"/>
      <c r="F84" s="164"/>
      <c r="G84" s="167"/>
      <c r="H84" s="167"/>
      <c r="I84" s="197"/>
      <c r="J84" s="79">
        <f>J83+1</f>
        <v>3</v>
      </c>
    </row>
    <row r="85" spans="1:13">
      <c r="A85" s="79">
        <f>A84+1</f>
        <v>4</v>
      </c>
      <c r="B85" s="164"/>
      <c r="C85" s="164"/>
      <c r="D85" s="164"/>
      <c r="E85" s="164"/>
      <c r="F85" s="164"/>
      <c r="G85" s="167"/>
      <c r="H85" s="167"/>
      <c r="I85" s="197"/>
      <c r="J85" s="79">
        <f>J84+1</f>
        <v>4</v>
      </c>
    </row>
    <row r="86" spans="1:13">
      <c r="A86" s="79">
        <f t="shared" ref="A86:A112" si="2">A85+1</f>
        <v>5</v>
      </c>
      <c r="B86" s="174" t="s">
        <v>86</v>
      </c>
      <c r="C86" s="164"/>
      <c r="D86" s="164"/>
      <c r="E86" s="164"/>
      <c r="F86" s="164"/>
      <c r="G86" s="167"/>
      <c r="H86" s="167"/>
      <c r="I86" s="220"/>
      <c r="J86" s="79">
        <f t="shared" ref="J86:J112" si="3">J85+1</f>
        <v>5</v>
      </c>
    </row>
    <row r="87" spans="1:13">
      <c r="A87" s="79">
        <f t="shared" si="2"/>
        <v>6</v>
      </c>
      <c r="B87" s="76" t="s">
        <v>87</v>
      </c>
      <c r="D87" s="164"/>
      <c r="E87" s="164"/>
      <c r="F87" s="164"/>
      <c r="G87" s="221">
        <f>G53</f>
        <v>6.2531134790152335E-2</v>
      </c>
      <c r="H87" s="164"/>
      <c r="I87" s="197" t="s">
        <v>497</v>
      </c>
      <c r="J87" s="79">
        <f t="shared" si="3"/>
        <v>6</v>
      </c>
      <c r="L87" s="79"/>
    </row>
    <row r="88" spans="1:13">
      <c r="A88" s="79">
        <f t="shared" si="2"/>
        <v>7</v>
      </c>
      <c r="B88" s="76" t="s">
        <v>219</v>
      </c>
      <c r="D88" s="164"/>
      <c r="E88" s="164"/>
      <c r="F88" s="164"/>
      <c r="G88" s="222">
        <v>264.76299999999998</v>
      </c>
      <c r="H88" s="164"/>
      <c r="I88" s="197" t="s">
        <v>498</v>
      </c>
      <c r="J88" s="79">
        <f t="shared" si="3"/>
        <v>7</v>
      </c>
      <c r="L88" s="79"/>
    </row>
    <row r="89" spans="1:13" ht="18">
      <c r="A89" s="79">
        <f t="shared" si="2"/>
        <v>8</v>
      </c>
      <c r="B89" s="76" t="s">
        <v>226</v>
      </c>
      <c r="D89" s="164"/>
      <c r="E89" s="164"/>
      <c r="F89" s="164"/>
      <c r="G89" s="223">
        <v>6529.0768399999988</v>
      </c>
      <c r="H89" s="164"/>
      <c r="I89" s="196" t="s">
        <v>499</v>
      </c>
      <c r="J89" s="79">
        <f t="shared" si="3"/>
        <v>8</v>
      </c>
      <c r="L89" s="164"/>
    </row>
    <row r="90" spans="1:13">
      <c r="A90" s="79">
        <f t="shared" si="2"/>
        <v>9</v>
      </c>
      <c r="B90" s="76" t="s">
        <v>88</v>
      </c>
      <c r="D90" s="164"/>
      <c r="E90" s="224"/>
      <c r="F90" s="164"/>
      <c r="G90" s="565">
        <v>3927744.6376995523</v>
      </c>
      <c r="H90" s="460" t="s">
        <v>361</v>
      </c>
      <c r="I90" s="196" t="s">
        <v>598</v>
      </c>
      <c r="J90" s="79">
        <f t="shared" si="3"/>
        <v>9</v>
      </c>
    </row>
    <row r="91" spans="1:13">
      <c r="A91" s="79">
        <f t="shared" si="2"/>
        <v>10</v>
      </c>
      <c r="B91" s="76" t="s">
        <v>220</v>
      </c>
      <c r="D91" s="225"/>
      <c r="E91" s="164"/>
      <c r="F91" s="164"/>
      <c r="G91" s="316">
        <v>0.21</v>
      </c>
      <c r="H91" s="164"/>
      <c r="I91" s="197" t="s">
        <v>89</v>
      </c>
      <c r="J91" s="79">
        <f t="shared" si="3"/>
        <v>10</v>
      </c>
      <c r="M91" s="227"/>
    </row>
    <row r="92" spans="1:13">
      <c r="A92" s="79">
        <f t="shared" si="2"/>
        <v>11</v>
      </c>
      <c r="G92" s="79"/>
      <c r="H92" s="79"/>
      <c r="J92" s="79">
        <f t="shared" si="3"/>
        <v>11</v>
      </c>
    </row>
    <row r="93" spans="1:13">
      <c r="A93" s="79">
        <f t="shared" si="2"/>
        <v>12</v>
      </c>
      <c r="B93" s="76" t="s">
        <v>221</v>
      </c>
      <c r="D93" s="164"/>
      <c r="E93" s="164"/>
      <c r="F93" s="164"/>
      <c r="G93" s="228">
        <f>(((G87)+(G89/G90))*G91-(G88/G90))/(1-G91)</f>
        <v>1.6978749623280772E-2</v>
      </c>
      <c r="H93" s="228"/>
      <c r="I93" s="197" t="s">
        <v>99</v>
      </c>
      <c r="J93" s="79">
        <f t="shared" si="3"/>
        <v>12</v>
      </c>
      <c r="M93" s="229"/>
    </row>
    <row r="94" spans="1:13">
      <c r="A94" s="79">
        <f t="shared" si="2"/>
        <v>13</v>
      </c>
      <c r="B94" s="230" t="s">
        <v>222</v>
      </c>
      <c r="G94" s="79"/>
      <c r="H94" s="79"/>
      <c r="J94" s="79">
        <f t="shared" si="3"/>
        <v>13</v>
      </c>
    </row>
    <row r="95" spans="1:13">
      <c r="A95" s="79">
        <f t="shared" si="2"/>
        <v>14</v>
      </c>
      <c r="G95" s="79"/>
      <c r="H95" s="79"/>
      <c r="J95" s="79">
        <f t="shared" si="3"/>
        <v>14</v>
      </c>
    </row>
    <row r="96" spans="1:13">
      <c r="A96" s="79">
        <f t="shared" si="2"/>
        <v>15</v>
      </c>
      <c r="B96" s="179" t="s">
        <v>90</v>
      </c>
      <c r="C96" s="164"/>
      <c r="D96" s="164"/>
      <c r="E96" s="164"/>
      <c r="F96" s="164"/>
      <c r="G96" s="231"/>
      <c r="H96" s="231"/>
      <c r="I96" s="232"/>
      <c r="J96" s="79">
        <f t="shared" si="3"/>
        <v>15</v>
      </c>
      <c r="L96" s="233"/>
    </row>
    <row r="97" spans="1:13">
      <c r="A97" s="79">
        <f t="shared" si="2"/>
        <v>16</v>
      </c>
      <c r="B97" s="184"/>
      <c r="C97" s="164"/>
      <c r="D97" s="164"/>
      <c r="E97" s="164"/>
      <c r="F97" s="164"/>
      <c r="G97" s="231"/>
      <c r="H97" s="231"/>
      <c r="I97" s="234"/>
      <c r="J97" s="79">
        <f t="shared" si="3"/>
        <v>16</v>
      </c>
      <c r="L97" s="164"/>
    </row>
    <row r="98" spans="1:13">
      <c r="A98" s="79">
        <f t="shared" si="2"/>
        <v>17</v>
      </c>
      <c r="B98" s="174" t="s">
        <v>86</v>
      </c>
      <c r="C98" s="164"/>
      <c r="D98" s="164"/>
      <c r="E98" s="164"/>
      <c r="F98" s="164"/>
      <c r="G98" s="231"/>
      <c r="H98" s="231"/>
      <c r="I98" s="234"/>
      <c r="J98" s="79">
        <f t="shared" si="3"/>
        <v>17</v>
      </c>
      <c r="L98" s="164"/>
    </row>
    <row r="99" spans="1:13">
      <c r="A99" s="79">
        <f t="shared" si="2"/>
        <v>18</v>
      </c>
      <c r="B99" s="76" t="s">
        <v>87</v>
      </c>
      <c r="D99" s="164"/>
      <c r="E99" s="164"/>
      <c r="F99" s="164"/>
      <c r="G99" s="210">
        <f>G87</f>
        <v>6.2531134790152335E-2</v>
      </c>
      <c r="H99" s="210"/>
      <c r="I99" s="197" t="s">
        <v>500</v>
      </c>
      <c r="J99" s="79">
        <f t="shared" si="3"/>
        <v>18</v>
      </c>
      <c r="L99" s="79"/>
    </row>
    <row r="100" spans="1:13">
      <c r="A100" s="79">
        <f t="shared" si="2"/>
        <v>19</v>
      </c>
      <c r="B100" s="76" t="s">
        <v>100</v>
      </c>
      <c r="D100" s="164"/>
      <c r="E100" s="164"/>
      <c r="F100" s="164"/>
      <c r="G100" s="136">
        <f>G89</f>
        <v>6529.0768399999988</v>
      </c>
      <c r="H100" s="136"/>
      <c r="I100" s="197" t="s">
        <v>501</v>
      </c>
      <c r="J100" s="79">
        <f t="shared" si="3"/>
        <v>19</v>
      </c>
      <c r="L100" s="79"/>
    </row>
    <row r="101" spans="1:13">
      <c r="A101" s="79">
        <f t="shared" si="2"/>
        <v>20</v>
      </c>
      <c r="B101" s="76" t="s">
        <v>101</v>
      </c>
      <c r="D101" s="164"/>
      <c r="E101" s="164"/>
      <c r="F101" s="164"/>
      <c r="G101" s="590">
        <f>G90</f>
        <v>3927744.6376995523</v>
      </c>
      <c r="H101" s="460" t="s">
        <v>361</v>
      </c>
      <c r="I101" s="197" t="s">
        <v>502</v>
      </c>
      <c r="J101" s="79">
        <f t="shared" si="3"/>
        <v>20</v>
      </c>
      <c r="L101" s="79"/>
    </row>
    <row r="102" spans="1:13">
      <c r="A102" s="79">
        <f t="shared" si="2"/>
        <v>21</v>
      </c>
      <c r="B102" s="76" t="s">
        <v>102</v>
      </c>
      <c r="D102" s="164"/>
      <c r="E102" s="164"/>
      <c r="F102" s="164"/>
      <c r="G102" s="235">
        <f>G93</f>
        <v>1.6978749623280772E-2</v>
      </c>
      <c r="H102" s="235"/>
      <c r="I102" s="197" t="s">
        <v>503</v>
      </c>
      <c r="J102" s="79">
        <f t="shared" si="3"/>
        <v>21</v>
      </c>
    </row>
    <row r="103" spans="1:13">
      <c r="A103" s="79">
        <f t="shared" si="2"/>
        <v>22</v>
      </c>
      <c r="B103" s="76" t="s">
        <v>223</v>
      </c>
      <c r="D103" s="164"/>
      <c r="E103" s="164"/>
      <c r="F103" s="164"/>
      <c r="G103" s="226" t="s">
        <v>146</v>
      </c>
      <c r="H103" s="164"/>
      <c r="I103" s="197" t="s">
        <v>91</v>
      </c>
      <c r="J103" s="79">
        <f t="shared" si="3"/>
        <v>22</v>
      </c>
    </row>
    <row r="104" spans="1:13">
      <c r="A104" s="79">
        <f t="shared" si="2"/>
        <v>23</v>
      </c>
      <c r="B104" s="78"/>
      <c r="D104" s="164"/>
      <c r="E104" s="164"/>
      <c r="F104" s="164"/>
      <c r="G104" s="236"/>
      <c r="H104" s="236"/>
      <c r="I104" s="234"/>
      <c r="J104" s="79">
        <f t="shared" si="3"/>
        <v>23</v>
      </c>
    </row>
    <row r="105" spans="1:13">
      <c r="A105" s="79">
        <f t="shared" si="2"/>
        <v>24</v>
      </c>
      <c r="B105" s="76" t="s">
        <v>224</v>
      </c>
      <c r="C105" s="79"/>
      <c r="D105" s="79"/>
      <c r="E105" s="164"/>
      <c r="F105" s="164"/>
      <c r="G105" s="237">
        <f>((G99)+(G100/G101)+G93)*G103/(1-G103)</f>
        <v>7.8714576655975529E-3</v>
      </c>
      <c r="H105" s="238"/>
      <c r="I105" s="197" t="s">
        <v>103</v>
      </c>
      <c r="J105" s="79">
        <f t="shared" si="3"/>
        <v>24</v>
      </c>
    </row>
    <row r="106" spans="1:13">
      <c r="A106" s="79">
        <f t="shared" si="2"/>
        <v>25</v>
      </c>
      <c r="B106" s="230" t="s">
        <v>225</v>
      </c>
      <c r="G106" s="79"/>
      <c r="H106" s="79"/>
      <c r="I106" s="197"/>
      <c r="J106" s="79">
        <f t="shared" si="3"/>
        <v>25</v>
      </c>
      <c r="L106" s="79"/>
    </row>
    <row r="107" spans="1:13">
      <c r="A107" s="79">
        <f t="shared" si="2"/>
        <v>26</v>
      </c>
      <c r="G107" s="79"/>
      <c r="H107" s="79"/>
      <c r="I107" s="197"/>
      <c r="J107" s="79">
        <f t="shared" si="3"/>
        <v>26</v>
      </c>
      <c r="L107" s="79"/>
    </row>
    <row r="108" spans="1:13">
      <c r="A108" s="79">
        <f t="shared" si="2"/>
        <v>27</v>
      </c>
      <c r="B108" s="179" t="s">
        <v>92</v>
      </c>
      <c r="G108" s="228">
        <f>G105+G93</f>
        <v>2.4850207288878323E-2</v>
      </c>
      <c r="H108" s="228"/>
      <c r="I108" s="197" t="s">
        <v>504</v>
      </c>
      <c r="J108" s="79">
        <f t="shared" si="3"/>
        <v>27</v>
      </c>
      <c r="L108" s="79"/>
    </row>
    <row r="109" spans="1:13">
      <c r="A109" s="79">
        <f t="shared" si="2"/>
        <v>28</v>
      </c>
      <c r="G109" s="79"/>
      <c r="H109" s="79"/>
      <c r="I109" s="197"/>
      <c r="J109" s="79">
        <f t="shared" si="3"/>
        <v>28</v>
      </c>
      <c r="L109" s="79"/>
    </row>
    <row r="110" spans="1:13">
      <c r="A110" s="79">
        <f t="shared" si="2"/>
        <v>29</v>
      </c>
      <c r="B110" s="179" t="s">
        <v>104</v>
      </c>
      <c r="G110" s="239">
        <f>G51</f>
        <v>8.1655798912865327E-2</v>
      </c>
      <c r="H110" s="164"/>
      <c r="I110" s="197" t="s">
        <v>505</v>
      </c>
      <c r="J110" s="79">
        <f t="shared" si="3"/>
        <v>29</v>
      </c>
      <c r="L110" s="79"/>
    </row>
    <row r="111" spans="1:13">
      <c r="A111" s="79">
        <f t="shared" si="2"/>
        <v>30</v>
      </c>
      <c r="G111" s="210"/>
      <c r="H111" s="210"/>
      <c r="I111" s="197"/>
      <c r="J111" s="79">
        <f t="shared" si="3"/>
        <v>30</v>
      </c>
      <c r="L111" s="79"/>
    </row>
    <row r="112" spans="1:13" ht="18" thickBot="1">
      <c r="A112" s="79">
        <f t="shared" si="2"/>
        <v>31</v>
      </c>
      <c r="B112" s="179" t="s">
        <v>93</v>
      </c>
      <c r="G112" s="240">
        <f>G108+G110</f>
        <v>0.10650600620174365</v>
      </c>
      <c r="H112" s="238"/>
      <c r="I112" s="197" t="s">
        <v>506</v>
      </c>
      <c r="J112" s="79">
        <f t="shared" si="3"/>
        <v>31</v>
      </c>
      <c r="L112" s="241"/>
      <c r="M112" s="229"/>
    </row>
    <row r="113" spans="1:13" ht="16" thickTop="1">
      <c r="B113" s="179"/>
      <c r="G113" s="238"/>
      <c r="H113" s="238"/>
      <c r="I113" s="197"/>
      <c r="J113" s="79"/>
      <c r="L113" s="241"/>
      <c r="M113" s="229"/>
    </row>
    <row r="114" spans="1:13">
      <c r="B114" s="179"/>
      <c r="G114" s="242"/>
      <c r="H114" s="242"/>
      <c r="I114" s="197"/>
      <c r="J114" s="79"/>
      <c r="L114" s="241"/>
      <c r="M114" s="229"/>
    </row>
    <row r="115" spans="1:13">
      <c r="A115" s="460" t="s">
        <v>361</v>
      </c>
      <c r="B115" s="5" t="s">
        <v>574</v>
      </c>
      <c r="G115" s="242"/>
      <c r="H115" s="242"/>
      <c r="I115" s="197"/>
      <c r="J115" s="79"/>
      <c r="L115" s="241"/>
      <c r="M115" s="229"/>
    </row>
    <row r="116" spans="1:13" ht="18.5">
      <c r="A116" s="171">
        <v>1</v>
      </c>
      <c r="B116" s="1" t="s">
        <v>282</v>
      </c>
      <c r="G116" s="242"/>
      <c r="H116" s="242"/>
      <c r="I116" s="197"/>
      <c r="J116" s="79"/>
      <c r="L116" s="241"/>
      <c r="M116" s="229"/>
    </row>
    <row r="117" spans="1:13" ht="18.5">
      <c r="A117" s="171"/>
      <c r="B117" s="1"/>
      <c r="G117" s="242"/>
      <c r="H117" s="242"/>
      <c r="I117" s="197"/>
      <c r="J117" s="79"/>
      <c r="L117" s="241"/>
      <c r="M117" s="229"/>
    </row>
    <row r="118" spans="1:13">
      <c r="A118" s="243"/>
      <c r="B118" s="78"/>
      <c r="C118" s="244"/>
      <c r="D118" s="244"/>
      <c r="E118" s="244"/>
      <c r="F118" s="244"/>
      <c r="G118" s="245"/>
      <c r="H118" s="245"/>
      <c r="I118" s="246"/>
      <c r="J118" s="79"/>
    </row>
    <row r="119" spans="1:13">
      <c r="B119" s="726" t="s">
        <v>12</v>
      </c>
      <c r="C119" s="726"/>
      <c r="D119" s="726"/>
      <c r="E119" s="726"/>
      <c r="F119" s="726"/>
      <c r="G119" s="726"/>
      <c r="H119" s="726"/>
      <c r="I119" s="726"/>
    </row>
    <row r="120" spans="1:13">
      <c r="B120" s="726" t="s">
        <v>68</v>
      </c>
      <c r="C120" s="726"/>
      <c r="D120" s="726"/>
      <c r="E120" s="726"/>
      <c r="F120" s="726"/>
      <c r="G120" s="726"/>
      <c r="H120" s="726"/>
      <c r="I120" s="726"/>
    </row>
    <row r="121" spans="1:13">
      <c r="B121" s="726" t="s">
        <v>69</v>
      </c>
      <c r="C121" s="726"/>
      <c r="D121" s="726"/>
      <c r="E121" s="726"/>
      <c r="F121" s="726"/>
      <c r="G121" s="726"/>
      <c r="H121" s="726"/>
      <c r="I121" s="726"/>
    </row>
    <row r="122" spans="1:13">
      <c r="B122" s="727" t="str">
        <f>B6</f>
        <v>Base Period &amp; True-Up Period 12 - Months Ending December 31, 2018</v>
      </c>
      <c r="C122" s="727"/>
      <c r="D122" s="727"/>
      <c r="E122" s="727"/>
      <c r="F122" s="727"/>
      <c r="G122" s="727"/>
      <c r="H122" s="727"/>
      <c r="I122" s="727"/>
    </row>
    <row r="123" spans="1:13">
      <c r="B123" s="728" t="s">
        <v>1</v>
      </c>
      <c r="C123" s="729"/>
      <c r="D123" s="729"/>
      <c r="E123" s="729"/>
      <c r="F123" s="729"/>
      <c r="G123" s="729"/>
      <c r="H123" s="729"/>
      <c r="I123" s="729"/>
    </row>
    <row r="125" spans="1:13">
      <c r="A125" s="79" t="s">
        <v>2</v>
      </c>
      <c r="B125" s="164"/>
      <c r="C125" s="164"/>
      <c r="D125" s="164"/>
      <c r="E125" s="164"/>
      <c r="F125" s="164"/>
      <c r="G125" s="164"/>
      <c r="H125" s="164"/>
      <c r="I125" s="197"/>
      <c r="J125" s="79" t="s">
        <v>2</v>
      </c>
    </row>
    <row r="126" spans="1:13">
      <c r="A126" s="79" t="s">
        <v>14</v>
      </c>
      <c r="B126" s="79"/>
      <c r="C126" s="79"/>
      <c r="D126" s="79"/>
      <c r="E126" s="79"/>
      <c r="F126" s="79"/>
      <c r="G126" s="362" t="s">
        <v>22</v>
      </c>
      <c r="H126" s="164"/>
      <c r="I126" s="383" t="s">
        <v>6</v>
      </c>
      <c r="J126" s="79" t="s">
        <v>14</v>
      </c>
    </row>
    <row r="128" spans="1:13" ht="17.5">
      <c r="A128" s="79">
        <v>1</v>
      </c>
      <c r="B128" s="179" t="s">
        <v>338</v>
      </c>
      <c r="J128" s="79">
        <v>1</v>
      </c>
    </row>
    <row r="129" spans="1:10">
      <c r="A129" s="79">
        <f>A128+1</f>
        <v>2</v>
      </c>
      <c r="B129" s="219"/>
      <c r="J129" s="79">
        <f>J128+1</f>
        <v>2</v>
      </c>
    </row>
    <row r="130" spans="1:10">
      <c r="A130" s="79">
        <f>A129+1</f>
        <v>3</v>
      </c>
      <c r="B130" s="179" t="s">
        <v>85</v>
      </c>
      <c r="J130" s="79">
        <f>J129+1</f>
        <v>3</v>
      </c>
    </row>
    <row r="131" spans="1:10">
      <c r="A131" s="79">
        <f>A130+1</f>
        <v>4</v>
      </c>
      <c r="B131" s="164"/>
      <c r="J131" s="79">
        <f>J130+1</f>
        <v>4</v>
      </c>
    </row>
    <row r="132" spans="1:10">
      <c r="A132" s="79">
        <f t="shared" ref="A132:A158" si="4">A131+1</f>
        <v>5</v>
      </c>
      <c r="B132" s="174" t="s">
        <v>86</v>
      </c>
      <c r="J132" s="79">
        <f t="shared" ref="J132:J158" si="5">J131+1</f>
        <v>5</v>
      </c>
    </row>
    <row r="133" spans="1:10">
      <c r="A133" s="79">
        <f t="shared" si="4"/>
        <v>6</v>
      </c>
      <c r="B133" s="76" t="str">
        <f>B87</f>
        <v xml:space="preserve">     A = Sum of Preferred Stock and Return on Equity Component</v>
      </c>
      <c r="G133" s="221">
        <f>G66</f>
        <v>0</v>
      </c>
      <c r="I133" s="197" t="s">
        <v>507</v>
      </c>
      <c r="J133" s="79">
        <f t="shared" si="5"/>
        <v>6</v>
      </c>
    </row>
    <row r="134" spans="1:10">
      <c r="A134" s="79">
        <f t="shared" si="4"/>
        <v>7</v>
      </c>
      <c r="B134" s="76" t="str">
        <f>B88</f>
        <v xml:space="preserve">     B = Transmission Total Federal Tax Adjustments</v>
      </c>
      <c r="G134" s="384">
        <v>0</v>
      </c>
      <c r="I134" s="196" t="s">
        <v>24</v>
      </c>
      <c r="J134" s="79">
        <f t="shared" si="5"/>
        <v>7</v>
      </c>
    </row>
    <row r="135" spans="1:10">
      <c r="A135" s="79">
        <f t="shared" si="4"/>
        <v>8</v>
      </c>
      <c r="B135" s="76" t="s">
        <v>337</v>
      </c>
      <c r="G135" s="399">
        <v>0</v>
      </c>
      <c r="I135" s="196" t="s">
        <v>24</v>
      </c>
      <c r="J135" s="79">
        <f t="shared" si="5"/>
        <v>8</v>
      </c>
    </row>
    <row r="136" spans="1:10">
      <c r="A136" s="79">
        <f t="shared" si="4"/>
        <v>9</v>
      </c>
      <c r="B136" s="76" t="s">
        <v>325</v>
      </c>
      <c r="G136" s="399">
        <v>0</v>
      </c>
      <c r="I136" s="196" t="s">
        <v>24</v>
      </c>
      <c r="J136" s="79">
        <f t="shared" si="5"/>
        <v>9</v>
      </c>
    </row>
    <row r="137" spans="1:10">
      <c r="A137" s="79">
        <f t="shared" si="4"/>
        <v>10</v>
      </c>
      <c r="B137" s="76" t="str">
        <f>B91</f>
        <v xml:space="preserve">     FT = Federal Income Tax Rate for Rate Effective Period</v>
      </c>
      <c r="G137" s="385">
        <f>G91</f>
        <v>0.21</v>
      </c>
      <c r="I137" s="197" t="s">
        <v>508</v>
      </c>
      <c r="J137" s="79">
        <f t="shared" si="5"/>
        <v>10</v>
      </c>
    </row>
    <row r="138" spans="1:10">
      <c r="A138" s="79">
        <f t="shared" si="4"/>
        <v>11</v>
      </c>
      <c r="G138" s="79"/>
      <c r="J138" s="79">
        <f t="shared" si="5"/>
        <v>11</v>
      </c>
    </row>
    <row r="139" spans="1:10">
      <c r="A139" s="79">
        <f t="shared" si="4"/>
        <v>12</v>
      </c>
      <c r="B139" s="76" t="s">
        <v>326</v>
      </c>
      <c r="G139" s="228">
        <f>IFERROR((((G133)+(G135/G136))*G137-(G134/G136))/(1-G137),0)</f>
        <v>0</v>
      </c>
      <c r="I139" s="197" t="s">
        <v>330</v>
      </c>
      <c r="J139" s="79">
        <f t="shared" si="5"/>
        <v>12</v>
      </c>
    </row>
    <row r="140" spans="1:10">
      <c r="A140" s="79">
        <f t="shared" si="4"/>
        <v>13</v>
      </c>
      <c r="B140" s="230" t="s">
        <v>222</v>
      </c>
      <c r="G140" s="386"/>
      <c r="J140" s="79">
        <f t="shared" si="5"/>
        <v>13</v>
      </c>
    </row>
    <row r="141" spans="1:10">
      <c r="A141" s="79">
        <f t="shared" si="4"/>
        <v>14</v>
      </c>
      <c r="G141" s="79"/>
      <c r="J141" s="79">
        <f t="shared" si="5"/>
        <v>14</v>
      </c>
    </row>
    <row r="142" spans="1:10">
      <c r="A142" s="79">
        <f t="shared" si="4"/>
        <v>15</v>
      </c>
      <c r="B142" s="179" t="s">
        <v>90</v>
      </c>
      <c r="G142" s="231"/>
      <c r="I142" s="232"/>
      <c r="J142" s="79">
        <f t="shared" si="5"/>
        <v>15</v>
      </c>
    </row>
    <row r="143" spans="1:10">
      <c r="A143" s="79">
        <f t="shared" si="4"/>
        <v>16</v>
      </c>
      <c r="B143" s="184"/>
      <c r="G143" s="231"/>
      <c r="I143" s="220"/>
      <c r="J143" s="79">
        <f t="shared" si="5"/>
        <v>16</v>
      </c>
    </row>
    <row r="144" spans="1:10">
      <c r="A144" s="79">
        <f t="shared" si="4"/>
        <v>17</v>
      </c>
      <c r="B144" s="174" t="s">
        <v>86</v>
      </c>
      <c r="G144" s="231"/>
      <c r="I144" s="220"/>
      <c r="J144" s="79">
        <f t="shared" si="5"/>
        <v>17</v>
      </c>
    </row>
    <row r="145" spans="1:10">
      <c r="A145" s="79">
        <f t="shared" si="4"/>
        <v>18</v>
      </c>
      <c r="B145" s="76" t="str">
        <f>B99</f>
        <v xml:space="preserve">     A = Sum of Preferred Stock and Return on Equity Component</v>
      </c>
      <c r="G145" s="210">
        <f>G133</f>
        <v>0</v>
      </c>
      <c r="I145" s="197" t="s">
        <v>500</v>
      </c>
      <c r="J145" s="79">
        <f t="shared" si="5"/>
        <v>18</v>
      </c>
    </row>
    <row r="146" spans="1:10">
      <c r="A146" s="79">
        <f t="shared" si="4"/>
        <v>19</v>
      </c>
      <c r="B146" s="76" t="str">
        <f>B100</f>
        <v xml:space="preserve">     B = Equity AFUDC Component of Transmission Depreciation Expense</v>
      </c>
      <c r="G146" s="136">
        <f>G135</f>
        <v>0</v>
      </c>
      <c r="I146" s="197" t="s">
        <v>501</v>
      </c>
      <c r="J146" s="79">
        <f t="shared" si="5"/>
        <v>19</v>
      </c>
    </row>
    <row r="147" spans="1:10">
      <c r="A147" s="79">
        <f t="shared" si="4"/>
        <v>20</v>
      </c>
      <c r="B147" s="76" t="s">
        <v>327</v>
      </c>
      <c r="G147" s="136">
        <f>G136</f>
        <v>0</v>
      </c>
      <c r="I147" s="197" t="s">
        <v>502</v>
      </c>
      <c r="J147" s="79">
        <f t="shared" si="5"/>
        <v>20</v>
      </c>
    </row>
    <row r="148" spans="1:10">
      <c r="A148" s="79">
        <f t="shared" si="4"/>
        <v>21</v>
      </c>
      <c r="B148" s="76" t="str">
        <f>B102</f>
        <v xml:space="preserve">     FT = Federal Income Tax Expense</v>
      </c>
      <c r="G148" s="235">
        <f>G139</f>
        <v>0</v>
      </c>
      <c r="I148" s="197" t="s">
        <v>503</v>
      </c>
      <c r="J148" s="79">
        <f t="shared" si="5"/>
        <v>21</v>
      </c>
    </row>
    <row r="149" spans="1:10">
      <c r="A149" s="79">
        <f t="shared" si="4"/>
        <v>22</v>
      </c>
      <c r="B149" s="76" t="str">
        <f>B103</f>
        <v xml:space="preserve">     ST = State Income Tax Rate for Rate Effective Period</v>
      </c>
      <c r="G149" s="387" t="str">
        <f>G103</f>
        <v>8.84%</v>
      </c>
      <c r="I149" s="197" t="s">
        <v>509</v>
      </c>
      <c r="J149" s="79">
        <f t="shared" si="5"/>
        <v>22</v>
      </c>
    </row>
    <row r="150" spans="1:10">
      <c r="A150" s="79">
        <f t="shared" si="4"/>
        <v>23</v>
      </c>
      <c r="B150" s="78"/>
      <c r="G150" s="236"/>
      <c r="I150" s="234"/>
      <c r="J150" s="79">
        <f t="shared" si="5"/>
        <v>23</v>
      </c>
    </row>
    <row r="151" spans="1:10">
      <c r="A151" s="79">
        <f t="shared" si="4"/>
        <v>24</v>
      </c>
      <c r="B151" s="76" t="s">
        <v>224</v>
      </c>
      <c r="G151" s="388">
        <f>IFERROR(((G145)+(G146/G147)+G139)*G149/(1-G149),0)</f>
        <v>0</v>
      </c>
      <c r="I151" s="197" t="s">
        <v>103</v>
      </c>
      <c r="J151" s="79">
        <f t="shared" si="5"/>
        <v>24</v>
      </c>
    </row>
    <row r="152" spans="1:10">
      <c r="A152" s="79">
        <f t="shared" si="4"/>
        <v>25</v>
      </c>
      <c r="B152" s="230" t="s">
        <v>225</v>
      </c>
      <c r="G152" s="79"/>
      <c r="I152" s="197"/>
      <c r="J152" s="79">
        <f t="shared" si="5"/>
        <v>25</v>
      </c>
    </row>
    <row r="153" spans="1:10">
      <c r="A153" s="79">
        <f t="shared" si="4"/>
        <v>26</v>
      </c>
      <c r="G153" s="79"/>
      <c r="I153" s="197"/>
      <c r="J153" s="79">
        <f t="shared" si="5"/>
        <v>26</v>
      </c>
    </row>
    <row r="154" spans="1:10">
      <c r="A154" s="79">
        <f t="shared" si="4"/>
        <v>27</v>
      </c>
      <c r="B154" s="179" t="s">
        <v>92</v>
      </c>
      <c r="G154" s="228">
        <f>G151+G139</f>
        <v>0</v>
      </c>
      <c r="I154" s="197" t="s">
        <v>504</v>
      </c>
      <c r="J154" s="79">
        <f t="shared" si="5"/>
        <v>27</v>
      </c>
    </row>
    <row r="155" spans="1:10">
      <c r="A155" s="79">
        <f t="shared" si="4"/>
        <v>28</v>
      </c>
      <c r="G155" s="79"/>
      <c r="I155" s="197"/>
      <c r="J155" s="79">
        <f t="shared" si="5"/>
        <v>28</v>
      </c>
    </row>
    <row r="156" spans="1:10">
      <c r="A156" s="79">
        <f t="shared" si="4"/>
        <v>29</v>
      </c>
      <c r="B156" s="179" t="s">
        <v>328</v>
      </c>
      <c r="G156" s="389">
        <f>G64</f>
        <v>0</v>
      </c>
      <c r="I156" s="197" t="s">
        <v>510</v>
      </c>
      <c r="J156" s="79">
        <f t="shared" si="5"/>
        <v>29</v>
      </c>
    </row>
    <row r="157" spans="1:10">
      <c r="A157" s="79">
        <f t="shared" si="4"/>
        <v>30</v>
      </c>
      <c r="G157" s="79"/>
      <c r="I157" s="197"/>
      <c r="J157" s="79">
        <f t="shared" si="5"/>
        <v>30</v>
      </c>
    </row>
    <row r="158" spans="1:10" ht="18" thickBot="1">
      <c r="A158" s="79">
        <f t="shared" si="4"/>
        <v>31</v>
      </c>
      <c r="B158" s="179" t="s">
        <v>329</v>
      </c>
      <c r="G158" s="390">
        <f>G154+G156</f>
        <v>0</v>
      </c>
      <c r="I158" s="197" t="s">
        <v>506</v>
      </c>
      <c r="J158" s="79">
        <f t="shared" si="5"/>
        <v>31</v>
      </c>
    </row>
    <row r="159" spans="1:10" ht="16" thickTop="1"/>
    <row r="161" spans="1:2" ht="18">
      <c r="A161" s="194"/>
      <c r="B161" s="1"/>
    </row>
  </sheetData>
  <mergeCells count="15">
    <mergeCell ref="B73:I73"/>
    <mergeCell ref="B3:I3"/>
    <mergeCell ref="B4:I4"/>
    <mergeCell ref="B5:I5"/>
    <mergeCell ref="B6:I6"/>
    <mergeCell ref="B7:I7"/>
    <mergeCell ref="B121:I121"/>
    <mergeCell ref="B122:I122"/>
    <mergeCell ref="B123:I123"/>
    <mergeCell ref="B74:I74"/>
    <mergeCell ref="B75:I75"/>
    <mergeCell ref="B76:I76"/>
    <mergeCell ref="B77:I77"/>
    <mergeCell ref="B119:I119"/>
    <mergeCell ref="B120:I120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STMT AV WITH FERC AUDIT ADJ INCL IN APPENDIX XII CYCLE 6 (ER24-175)</oddHeader>
    <oddFooter>&amp;L&amp;F&amp;CPage 10.&amp;P&amp;R&amp;A</oddFooter>
  </headerFooter>
  <rowBreaks count="2" manualBreakCount="2">
    <brk id="71" max="16383" man="1"/>
    <brk id="11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7F619-AB47-4CA0-8AB6-FA37C2AE9946}">
  <dimension ref="A1:H90"/>
  <sheetViews>
    <sheetView zoomScale="80" zoomScaleNormal="80" workbookViewId="0"/>
  </sheetViews>
  <sheetFormatPr defaultColWidth="8.81640625" defaultRowHeight="15.5"/>
  <cols>
    <col min="1" max="1" width="5.1796875" style="55" customWidth="1"/>
    <col min="2" max="2" width="84.81640625" style="10" customWidth="1"/>
    <col min="3" max="3" width="22.453125" style="10" customWidth="1"/>
    <col min="4" max="4" width="1.54296875" style="10" customWidth="1"/>
    <col min="5" max="5" width="46.08984375" style="10" customWidth="1"/>
    <col min="6" max="6" width="5.1796875" style="55" customWidth="1"/>
    <col min="7" max="16384" width="8.81640625" style="10"/>
  </cols>
  <sheetData>
    <row r="1" spans="1:6">
      <c r="A1" s="61"/>
      <c r="B1" s="40"/>
      <c r="C1" s="42"/>
      <c r="D1" s="42"/>
      <c r="E1" s="50"/>
      <c r="F1" s="61"/>
    </row>
    <row r="2" spans="1:6">
      <c r="A2" s="61"/>
      <c r="B2" s="719" t="s">
        <v>12</v>
      </c>
      <c r="C2" s="739"/>
      <c r="D2" s="739"/>
      <c r="E2" s="739"/>
      <c r="F2" s="61"/>
    </row>
    <row r="3" spans="1:6">
      <c r="A3" s="61" t="s">
        <v>7</v>
      </c>
      <c r="B3" s="719" t="s">
        <v>121</v>
      </c>
      <c r="C3" s="739"/>
      <c r="D3" s="739"/>
      <c r="E3" s="739"/>
      <c r="F3" s="61" t="s">
        <v>7</v>
      </c>
    </row>
    <row r="4" spans="1:6">
      <c r="A4" s="61"/>
      <c r="B4" s="736" t="s">
        <v>393</v>
      </c>
      <c r="C4" s="737"/>
      <c r="D4" s="737"/>
      <c r="E4" s="737"/>
      <c r="F4" s="61"/>
    </row>
    <row r="5" spans="1:6">
      <c r="A5" s="61"/>
      <c r="B5" s="738" t="s">
        <v>1</v>
      </c>
      <c r="C5" s="739"/>
      <c r="D5" s="739"/>
      <c r="E5" s="739"/>
      <c r="F5" s="61"/>
    </row>
    <row r="6" spans="1:6">
      <c r="A6" s="61"/>
      <c r="B6" s="51"/>
      <c r="C6" s="40"/>
      <c r="D6" s="40"/>
      <c r="E6" s="40"/>
      <c r="F6" s="61"/>
    </row>
    <row r="7" spans="1:6">
      <c r="A7" s="61" t="s">
        <v>2</v>
      </c>
      <c r="B7" s="40"/>
      <c r="C7" s="43"/>
      <c r="D7" s="43"/>
      <c r="E7" s="50"/>
      <c r="F7" s="61" t="s">
        <v>2</v>
      </c>
    </row>
    <row r="8" spans="1:6">
      <c r="A8" s="61" t="s">
        <v>14</v>
      </c>
      <c r="B8" s="40" t="s">
        <v>7</v>
      </c>
      <c r="C8" s="247" t="s">
        <v>22</v>
      </c>
      <c r="D8" s="43"/>
      <c r="E8" s="39" t="s">
        <v>6</v>
      </c>
      <c r="F8" s="61" t="s">
        <v>14</v>
      </c>
    </row>
    <row r="9" spans="1:6">
      <c r="A9" s="61"/>
      <c r="B9" s="15" t="s">
        <v>122</v>
      </c>
      <c r="C9" s="45"/>
      <c r="D9" s="43"/>
      <c r="E9" s="50"/>
      <c r="F9" s="61"/>
    </row>
    <row r="10" spans="1:6">
      <c r="A10" s="61"/>
      <c r="B10" s="44"/>
      <c r="C10" s="45"/>
      <c r="D10" s="43"/>
      <c r="E10" s="50"/>
      <c r="F10" s="61"/>
    </row>
    <row r="11" spans="1:6">
      <c r="A11" s="61">
        <v>1</v>
      </c>
      <c r="B11" s="15" t="s">
        <v>123</v>
      </c>
      <c r="C11" s="45"/>
      <c r="D11" s="45"/>
      <c r="E11" s="50"/>
      <c r="F11" s="61">
        <f>A11</f>
        <v>1</v>
      </c>
    </row>
    <row r="12" spans="1:6">
      <c r="A12" s="61">
        <f>A11+1</f>
        <v>2</v>
      </c>
      <c r="B12" s="12" t="s">
        <v>19</v>
      </c>
      <c r="C12" s="296">
        <f>C78</f>
        <v>4557795.1373096146</v>
      </c>
      <c r="D12" s="460"/>
      <c r="E12" s="41" t="s">
        <v>396</v>
      </c>
      <c r="F12" s="61">
        <f>F11+1</f>
        <v>2</v>
      </c>
    </row>
    <row r="13" spans="1:6">
      <c r="A13" s="61">
        <f t="shared" ref="A13:A48" si="0">A12+1</f>
        <v>3</v>
      </c>
      <c r="B13" s="12" t="s">
        <v>9</v>
      </c>
      <c r="C13" s="154">
        <f>C79</f>
        <v>5861.8326175189723</v>
      </c>
      <c r="D13" s="460"/>
      <c r="E13" s="41" t="s">
        <v>511</v>
      </c>
      <c r="F13" s="61">
        <f t="shared" ref="F13:F48" si="1">F12+1</f>
        <v>3</v>
      </c>
    </row>
    <row r="14" spans="1:6">
      <c r="A14" s="61">
        <f t="shared" si="0"/>
        <v>4</v>
      </c>
      <c r="B14" s="12" t="s">
        <v>10</v>
      </c>
      <c r="C14" s="154">
        <f>C80</f>
        <v>23699.850905090541</v>
      </c>
      <c r="D14" s="460"/>
      <c r="E14" s="41" t="s">
        <v>512</v>
      </c>
      <c r="F14" s="61">
        <f t="shared" si="1"/>
        <v>4</v>
      </c>
    </row>
    <row r="15" spans="1:6">
      <c r="A15" s="61">
        <f t="shared" si="0"/>
        <v>5</v>
      </c>
      <c r="B15" s="12" t="s">
        <v>124</v>
      </c>
      <c r="C15" s="297">
        <f>C81</f>
        <v>47877.916250110597</v>
      </c>
      <c r="D15" s="460"/>
      <c r="E15" s="41" t="s">
        <v>513</v>
      </c>
      <c r="F15" s="61">
        <f t="shared" si="1"/>
        <v>5</v>
      </c>
    </row>
    <row r="16" spans="1:6">
      <c r="A16" s="61">
        <f t="shared" si="0"/>
        <v>6</v>
      </c>
      <c r="B16" s="12" t="s">
        <v>125</v>
      </c>
      <c r="C16" s="298">
        <f>SUM(C12:C15)</f>
        <v>4635234.7370823352</v>
      </c>
      <c r="D16" s="460"/>
      <c r="E16" s="41" t="s">
        <v>514</v>
      </c>
      <c r="F16" s="61">
        <f t="shared" si="1"/>
        <v>6</v>
      </c>
    </row>
    <row r="17" spans="1:6">
      <c r="A17" s="61">
        <f t="shared" si="0"/>
        <v>7</v>
      </c>
      <c r="B17" s="11"/>
      <c r="C17" s="299"/>
      <c r="D17" s="46"/>
      <c r="E17" s="50"/>
      <c r="F17" s="61">
        <f t="shared" si="1"/>
        <v>7</v>
      </c>
    </row>
    <row r="18" spans="1:6">
      <c r="A18" s="61">
        <f t="shared" si="0"/>
        <v>8</v>
      </c>
      <c r="B18" s="15" t="s">
        <v>126</v>
      </c>
      <c r="C18" s="299"/>
      <c r="D18" s="46"/>
      <c r="E18" s="50"/>
      <c r="F18" s="61">
        <f t="shared" si="1"/>
        <v>8</v>
      </c>
    </row>
    <row r="19" spans="1:6">
      <c r="A19" s="61">
        <f t="shared" si="0"/>
        <v>9</v>
      </c>
      <c r="B19" s="12" t="s">
        <v>127</v>
      </c>
      <c r="C19" s="300">
        <v>950.34505384615397</v>
      </c>
      <c r="D19" s="43"/>
      <c r="E19" s="41" t="s">
        <v>515</v>
      </c>
      <c r="F19" s="61">
        <f t="shared" si="1"/>
        <v>9</v>
      </c>
    </row>
    <row r="20" spans="1:6">
      <c r="A20" s="61">
        <f t="shared" si="0"/>
        <v>10</v>
      </c>
      <c r="B20" s="12" t="s">
        <v>128</v>
      </c>
      <c r="C20" s="364">
        <v>0</v>
      </c>
      <c r="D20" s="43"/>
      <c r="E20" s="41" t="s">
        <v>516</v>
      </c>
      <c r="F20" s="61">
        <f t="shared" si="1"/>
        <v>10</v>
      </c>
    </row>
    <row r="21" spans="1:6">
      <c r="A21" s="61">
        <f t="shared" si="0"/>
        <v>11</v>
      </c>
      <c r="B21" s="12" t="s">
        <v>129</v>
      </c>
      <c r="C21" s="301">
        <f>C19+C20</f>
        <v>950.34505384615397</v>
      </c>
      <c r="D21" s="256"/>
      <c r="E21" s="41" t="s">
        <v>517</v>
      </c>
      <c r="F21" s="61">
        <f t="shared" si="1"/>
        <v>11</v>
      </c>
    </row>
    <row r="22" spans="1:6">
      <c r="A22" s="61">
        <f t="shared" si="0"/>
        <v>12</v>
      </c>
      <c r="B22" s="12"/>
      <c r="C22" s="302"/>
      <c r="D22" s="42"/>
      <c r="E22" s="50"/>
      <c r="F22" s="61">
        <f t="shared" si="1"/>
        <v>12</v>
      </c>
    </row>
    <row r="23" spans="1:6">
      <c r="A23" s="61">
        <f t="shared" si="0"/>
        <v>13</v>
      </c>
      <c r="B23" s="15" t="s">
        <v>130</v>
      </c>
      <c r="C23" s="299"/>
      <c r="D23" s="46"/>
      <c r="E23" s="50"/>
      <c r="F23" s="61">
        <f t="shared" si="1"/>
        <v>13</v>
      </c>
    </row>
    <row r="24" spans="1:6">
      <c r="A24" s="61">
        <f t="shared" si="0"/>
        <v>14</v>
      </c>
      <c r="B24" s="11" t="s">
        <v>131</v>
      </c>
      <c r="C24" s="303">
        <v>-788740.4621952395</v>
      </c>
      <c r="D24" s="460"/>
      <c r="E24" s="41" t="s">
        <v>599</v>
      </c>
      <c r="F24" s="61">
        <f t="shared" si="1"/>
        <v>14</v>
      </c>
    </row>
    <row r="25" spans="1:6">
      <c r="A25" s="61">
        <f t="shared" si="0"/>
        <v>15</v>
      </c>
      <c r="B25" s="11" t="s">
        <v>132</v>
      </c>
      <c r="C25" s="304">
        <v>0</v>
      </c>
      <c r="D25" s="43"/>
      <c r="E25" s="41" t="s">
        <v>518</v>
      </c>
      <c r="F25" s="61">
        <f t="shared" si="1"/>
        <v>15</v>
      </c>
    </row>
    <row r="26" spans="1:6">
      <c r="A26" s="61">
        <f t="shared" si="0"/>
        <v>16</v>
      </c>
      <c r="B26" s="12" t="s">
        <v>133</v>
      </c>
      <c r="C26" s="298">
        <f>SUM(C24:C25)</f>
        <v>-788740.4621952395</v>
      </c>
      <c r="D26" s="460"/>
      <c r="E26" s="41" t="s">
        <v>519</v>
      </c>
      <c r="F26" s="61">
        <f t="shared" si="1"/>
        <v>16</v>
      </c>
    </row>
    <row r="27" spans="1:6">
      <c r="A27" s="61">
        <f t="shared" si="0"/>
        <v>17</v>
      </c>
      <c r="B27" s="40"/>
      <c r="C27" s="305"/>
      <c r="D27" s="47"/>
      <c r="E27" s="50"/>
      <c r="F27" s="61">
        <f t="shared" si="1"/>
        <v>17</v>
      </c>
    </row>
    <row r="28" spans="1:6">
      <c r="A28" s="61">
        <f t="shared" si="0"/>
        <v>18</v>
      </c>
      <c r="B28" s="15" t="s">
        <v>134</v>
      </c>
      <c r="C28" s="305"/>
      <c r="D28" s="47"/>
      <c r="E28" s="50"/>
      <c r="F28" s="61">
        <f t="shared" si="1"/>
        <v>18</v>
      </c>
    </row>
    <row r="29" spans="1:6">
      <c r="A29" s="61">
        <f t="shared" si="0"/>
        <v>19</v>
      </c>
      <c r="B29" s="12" t="s">
        <v>135</v>
      </c>
      <c r="C29" s="296">
        <v>52108.758401442392</v>
      </c>
      <c r="D29" s="460"/>
      <c r="E29" s="41" t="s">
        <v>630</v>
      </c>
      <c r="F29" s="61">
        <f t="shared" si="1"/>
        <v>19</v>
      </c>
    </row>
    <row r="30" spans="1:6">
      <c r="A30" s="61">
        <f t="shared" si="0"/>
        <v>20</v>
      </c>
      <c r="B30" s="12" t="s">
        <v>136</v>
      </c>
      <c r="C30" s="154">
        <v>19693.640781694332</v>
      </c>
      <c r="D30" s="460"/>
      <c r="E30" s="41" t="s">
        <v>631</v>
      </c>
      <c r="F30" s="61">
        <f t="shared" si="1"/>
        <v>20</v>
      </c>
    </row>
    <row r="31" spans="1:6">
      <c r="A31" s="61">
        <f t="shared" si="0"/>
        <v>21</v>
      </c>
      <c r="B31" s="12" t="s">
        <v>137</v>
      </c>
      <c r="C31" s="580">
        <f>'Pg8 Rev Stmt AL'!E29</f>
        <v>8502.152383897208</v>
      </c>
      <c r="D31" s="460" t="s">
        <v>361</v>
      </c>
      <c r="E31" s="41" t="s">
        <v>629</v>
      </c>
      <c r="F31" s="61">
        <f t="shared" si="1"/>
        <v>21</v>
      </c>
    </row>
    <row r="32" spans="1:6">
      <c r="A32" s="61">
        <f t="shared" si="0"/>
        <v>22</v>
      </c>
      <c r="B32" s="12" t="s">
        <v>240</v>
      </c>
      <c r="C32" s="581">
        <f>SUM(C29:C31)</f>
        <v>80304.551567033937</v>
      </c>
      <c r="D32" s="460" t="s">
        <v>361</v>
      </c>
      <c r="E32" s="41" t="s">
        <v>520</v>
      </c>
      <c r="F32" s="61">
        <f t="shared" si="1"/>
        <v>22</v>
      </c>
    </row>
    <row r="33" spans="1:6">
      <c r="A33" s="61">
        <f t="shared" si="0"/>
        <v>23</v>
      </c>
      <c r="B33" s="35"/>
      <c r="C33" s="306"/>
      <c r="D33" s="48"/>
      <c r="E33" s="50"/>
      <c r="F33" s="61">
        <f t="shared" si="1"/>
        <v>23</v>
      </c>
    </row>
    <row r="34" spans="1:6">
      <c r="A34" s="61">
        <f t="shared" si="0"/>
        <v>24</v>
      </c>
      <c r="B34" s="12" t="s">
        <v>138</v>
      </c>
      <c r="C34" s="365">
        <v>0</v>
      </c>
      <c r="D34" s="43"/>
      <c r="E34" s="41" t="s">
        <v>521</v>
      </c>
      <c r="F34" s="61">
        <f t="shared" si="1"/>
        <v>24</v>
      </c>
    </row>
    <row r="35" spans="1:6">
      <c r="A35" s="61">
        <f t="shared" si="0"/>
        <v>25</v>
      </c>
      <c r="B35" s="12"/>
      <c r="C35" s="306"/>
      <c r="D35" s="48"/>
      <c r="E35" s="50"/>
      <c r="F35" s="61">
        <f t="shared" si="1"/>
        <v>25</v>
      </c>
    </row>
    <row r="36" spans="1:6" ht="16" thickBot="1">
      <c r="A36" s="61">
        <f t="shared" si="0"/>
        <v>26</v>
      </c>
      <c r="B36" s="12" t="s">
        <v>239</v>
      </c>
      <c r="C36" s="582">
        <f>C16+C21+C26+C32+C34</f>
        <v>3927749.1715079756</v>
      </c>
      <c r="D36" s="460" t="s">
        <v>361</v>
      </c>
      <c r="E36" s="41" t="s">
        <v>522</v>
      </c>
      <c r="F36" s="61">
        <f t="shared" si="1"/>
        <v>26</v>
      </c>
    </row>
    <row r="37" spans="1:6" ht="16" thickTop="1">
      <c r="A37" s="61">
        <f t="shared" si="0"/>
        <v>27</v>
      </c>
      <c r="B37" s="35"/>
      <c r="C37" s="307"/>
      <c r="D37" s="49"/>
      <c r="E37" s="50"/>
      <c r="F37" s="61">
        <f t="shared" si="1"/>
        <v>27</v>
      </c>
    </row>
    <row r="38" spans="1:6">
      <c r="A38" s="61">
        <f t="shared" si="0"/>
        <v>28</v>
      </c>
      <c r="B38" s="15" t="s">
        <v>334</v>
      </c>
      <c r="C38" s="307"/>
      <c r="D38" s="49"/>
      <c r="E38" s="50"/>
      <c r="F38" s="61">
        <f t="shared" si="1"/>
        <v>28</v>
      </c>
    </row>
    <row r="39" spans="1:6">
      <c r="A39" s="61">
        <f t="shared" si="0"/>
        <v>29</v>
      </c>
      <c r="B39" s="12" t="s">
        <v>316</v>
      </c>
      <c r="C39" s="377">
        <v>0</v>
      </c>
      <c r="D39" s="375"/>
      <c r="E39" s="41" t="s">
        <v>24</v>
      </c>
      <c r="F39" s="61">
        <f t="shared" si="1"/>
        <v>29</v>
      </c>
    </row>
    <row r="40" spans="1:6">
      <c r="A40" s="61">
        <f t="shared" si="0"/>
        <v>30</v>
      </c>
      <c r="B40" s="12" t="s">
        <v>317</v>
      </c>
      <c r="C40" s="400">
        <v>0</v>
      </c>
      <c r="D40" s="43"/>
      <c r="E40" s="41" t="s">
        <v>24</v>
      </c>
      <c r="F40" s="61">
        <f t="shared" si="1"/>
        <v>30</v>
      </c>
    </row>
    <row r="41" spans="1:6">
      <c r="A41" s="61">
        <f t="shared" si="0"/>
        <v>31</v>
      </c>
      <c r="B41" s="11" t="s">
        <v>318</v>
      </c>
      <c r="C41" s="376">
        <f>C39+C40</f>
        <v>0</v>
      </c>
      <c r="D41" s="49"/>
      <c r="E41" s="41" t="s">
        <v>523</v>
      </c>
      <c r="F41" s="61">
        <f t="shared" si="1"/>
        <v>31</v>
      </c>
    </row>
    <row r="42" spans="1:6">
      <c r="A42" s="61">
        <f t="shared" si="0"/>
        <v>32</v>
      </c>
      <c r="B42" s="35"/>
      <c r="C42" s="307"/>
      <c r="D42" s="49"/>
      <c r="E42" s="50"/>
      <c r="F42" s="61">
        <f t="shared" si="1"/>
        <v>32</v>
      </c>
    </row>
    <row r="43" spans="1:6">
      <c r="A43" s="61">
        <f t="shared" si="0"/>
        <v>33</v>
      </c>
      <c r="B43" s="15" t="s">
        <v>335</v>
      </c>
      <c r="C43" s="307"/>
      <c r="D43" s="49"/>
      <c r="E43" s="50"/>
      <c r="F43" s="61">
        <f t="shared" si="1"/>
        <v>33</v>
      </c>
    </row>
    <row r="44" spans="1:6">
      <c r="A44" s="61">
        <f t="shared" si="0"/>
        <v>34</v>
      </c>
      <c r="B44" s="12" t="s">
        <v>319</v>
      </c>
      <c r="C44" s="377">
        <v>0</v>
      </c>
      <c r="D44" s="43"/>
      <c r="E44" s="41" t="s">
        <v>24</v>
      </c>
      <c r="F44" s="61">
        <f t="shared" si="1"/>
        <v>34</v>
      </c>
    </row>
    <row r="45" spans="1:6">
      <c r="A45" s="61">
        <f t="shared" si="0"/>
        <v>35</v>
      </c>
      <c r="B45" s="11" t="s">
        <v>320</v>
      </c>
      <c r="C45" s="401">
        <v>0</v>
      </c>
      <c r="D45" s="43"/>
      <c r="E45" s="41" t="s">
        <v>24</v>
      </c>
      <c r="F45" s="61">
        <f t="shared" si="1"/>
        <v>35</v>
      </c>
    </row>
    <row r="46" spans="1:6">
      <c r="A46" s="61">
        <f t="shared" si="0"/>
        <v>36</v>
      </c>
      <c r="B46" s="11" t="s">
        <v>321</v>
      </c>
      <c r="C46" s="376">
        <f>C44+C45</f>
        <v>0</v>
      </c>
      <c r="D46" s="49"/>
      <c r="E46" s="41" t="s">
        <v>524</v>
      </c>
      <c r="F46" s="61">
        <f t="shared" si="1"/>
        <v>36</v>
      </c>
    </row>
    <row r="47" spans="1:6">
      <c r="A47" s="61">
        <f t="shared" si="0"/>
        <v>37</v>
      </c>
      <c r="B47" s="35"/>
      <c r="C47" s="307"/>
      <c r="D47" s="49"/>
      <c r="E47" s="50"/>
      <c r="F47" s="61">
        <f t="shared" si="1"/>
        <v>37</v>
      </c>
    </row>
    <row r="48" spans="1:6" ht="16" thickBot="1">
      <c r="A48" s="61">
        <f t="shared" si="0"/>
        <v>38</v>
      </c>
      <c r="B48" s="15" t="s">
        <v>336</v>
      </c>
      <c r="C48" s="378">
        <v>0</v>
      </c>
      <c r="D48" s="43"/>
      <c r="E48" s="41" t="s">
        <v>24</v>
      </c>
      <c r="F48" s="61">
        <f t="shared" si="1"/>
        <v>38</v>
      </c>
    </row>
    <row r="49" spans="1:8" ht="16" thickTop="1">
      <c r="A49" s="61"/>
      <c r="B49" s="35"/>
      <c r="C49" s="307"/>
      <c r="D49" s="49"/>
      <c r="E49" s="50"/>
      <c r="F49" s="61"/>
    </row>
    <row r="50" spans="1:8">
      <c r="A50" s="61"/>
      <c r="B50" s="35"/>
      <c r="C50" s="307"/>
      <c r="D50" s="49"/>
      <c r="E50" s="50"/>
      <c r="F50" s="61"/>
    </row>
    <row r="51" spans="1:8">
      <c r="A51" s="460" t="s">
        <v>361</v>
      </c>
      <c r="B51" s="5" t="str">
        <f>'Pg9 Rev Stmt AV'!B114</f>
        <v>Items in BOLD have changed to correct the over-allocation of "Duplicate Charges (Company Energy Use)" Credit in FERC Account no. 929.</v>
      </c>
      <c r="C51" s="307"/>
      <c r="D51" s="49"/>
      <c r="E51" s="50"/>
      <c r="F51" s="61"/>
    </row>
    <row r="52" spans="1:8">
      <c r="A52" s="61"/>
      <c r="B52" s="50"/>
      <c r="C52" s="40"/>
      <c r="D52" s="40"/>
      <c r="E52" s="40"/>
      <c r="F52" s="61"/>
    </row>
    <row r="53" spans="1:8">
      <c r="A53" s="61"/>
      <c r="B53" s="50"/>
      <c r="C53" s="40"/>
      <c r="D53" s="40"/>
      <c r="E53" s="40"/>
      <c r="F53" s="61"/>
    </row>
    <row r="54" spans="1:8">
      <c r="A54" s="61"/>
      <c r="B54" s="719" t="str">
        <f>B2</f>
        <v>SAN DIEGO GAS &amp; ELECTRIC COMPANY</v>
      </c>
      <c r="C54" s="739"/>
      <c r="D54" s="739"/>
      <c r="E54" s="739"/>
      <c r="F54" s="61"/>
    </row>
    <row r="55" spans="1:8">
      <c r="A55" s="61"/>
      <c r="B55" s="719" t="str">
        <f>B3</f>
        <v xml:space="preserve">Derivation of End Use Transmission Rate Base </v>
      </c>
      <c r="C55" s="739"/>
      <c r="D55" s="739"/>
      <c r="E55" s="739"/>
      <c r="F55" s="61"/>
    </row>
    <row r="56" spans="1:8">
      <c r="A56" s="61"/>
      <c r="B56" s="736" t="str">
        <f>B4</f>
        <v>Base Period &amp; True-Up Period 12 - Months Ending December 31, 2018</v>
      </c>
      <c r="C56" s="737"/>
      <c r="D56" s="737"/>
      <c r="E56" s="737"/>
      <c r="F56" s="61"/>
    </row>
    <row r="57" spans="1:8">
      <c r="A57" s="61"/>
      <c r="B57" s="738" t="s">
        <v>1</v>
      </c>
      <c r="C57" s="739"/>
      <c r="D57" s="739"/>
      <c r="E57" s="739"/>
      <c r="F57" s="61"/>
    </row>
    <row r="58" spans="1:8">
      <c r="A58" s="61"/>
      <c r="B58" s="51"/>
      <c r="C58" s="40"/>
      <c r="D58" s="40"/>
      <c r="E58" s="40"/>
      <c r="F58" s="61"/>
    </row>
    <row r="59" spans="1:8">
      <c r="A59" s="61" t="s">
        <v>2</v>
      </c>
      <c r="B59" s="51"/>
      <c r="C59" s="40"/>
      <c r="D59" s="40"/>
      <c r="E59" s="40"/>
      <c r="F59" s="61"/>
    </row>
    <row r="60" spans="1:8">
      <c r="A60" s="61" t="s">
        <v>14</v>
      </c>
      <c r="B60" s="51"/>
      <c r="C60" s="40"/>
      <c r="D60" s="40"/>
      <c r="E60" s="40"/>
      <c r="F60" s="61"/>
    </row>
    <row r="61" spans="1:8">
      <c r="A61" s="61"/>
      <c r="B61" s="15" t="s">
        <v>311</v>
      </c>
      <c r="C61" s="40"/>
      <c r="D61" s="40"/>
      <c r="E61" s="40"/>
      <c r="F61" s="61"/>
    </row>
    <row r="62" spans="1:8">
      <c r="A62" s="61"/>
      <c r="B62" s="44"/>
      <c r="C62" s="43"/>
      <c r="D62" s="43"/>
      <c r="E62" s="50"/>
      <c r="F62" s="61"/>
    </row>
    <row r="63" spans="1:8">
      <c r="A63" s="61">
        <v>1</v>
      </c>
      <c r="B63" s="15" t="s">
        <v>139</v>
      </c>
      <c r="C63" s="43"/>
      <c r="D63" s="43"/>
      <c r="E63" s="50"/>
      <c r="F63" s="61">
        <f t="shared" ref="F63:F87" si="2">A63</f>
        <v>1</v>
      </c>
    </row>
    <row r="64" spans="1:8">
      <c r="A64" s="61">
        <v>2</v>
      </c>
      <c r="B64" s="12" t="s">
        <v>19</v>
      </c>
      <c r="C64" s="309">
        <v>5677787.7698607687</v>
      </c>
      <c r="D64" s="460"/>
      <c r="E64" s="41" t="s">
        <v>602</v>
      </c>
      <c r="F64" s="61">
        <f t="shared" si="2"/>
        <v>2</v>
      </c>
      <c r="G64" s="56"/>
      <c r="H64" s="57"/>
    </row>
    <row r="65" spans="1:8">
      <c r="A65" s="61">
        <v>3</v>
      </c>
      <c r="B65" s="12" t="s">
        <v>140</v>
      </c>
      <c r="C65" s="310">
        <v>17864.840753886077</v>
      </c>
      <c r="D65" s="460"/>
      <c r="E65" s="41" t="s">
        <v>603</v>
      </c>
      <c r="F65" s="61">
        <f t="shared" si="2"/>
        <v>3</v>
      </c>
      <c r="G65" s="56"/>
      <c r="H65" s="57"/>
    </row>
    <row r="66" spans="1:8">
      <c r="A66" s="61">
        <v>4</v>
      </c>
      <c r="B66" s="12" t="s">
        <v>10</v>
      </c>
      <c r="C66" s="310">
        <v>39534.838264525148</v>
      </c>
      <c r="D66" s="460"/>
      <c r="E66" s="41" t="s">
        <v>590</v>
      </c>
      <c r="F66" s="61">
        <f t="shared" si="2"/>
        <v>4</v>
      </c>
      <c r="G66" s="56"/>
      <c r="H66" s="58"/>
    </row>
    <row r="67" spans="1:8">
      <c r="A67" s="61">
        <v>5</v>
      </c>
      <c r="B67" s="12" t="s">
        <v>124</v>
      </c>
      <c r="C67" s="308">
        <v>92179.090079871457</v>
      </c>
      <c r="D67" s="460"/>
      <c r="E67" s="41" t="s">
        <v>591</v>
      </c>
      <c r="F67" s="61">
        <f t="shared" si="2"/>
        <v>5</v>
      </c>
      <c r="G67" s="57"/>
      <c r="H67" s="57"/>
    </row>
    <row r="68" spans="1:8">
      <c r="A68" s="61">
        <v>6</v>
      </c>
      <c r="B68" s="12" t="s">
        <v>141</v>
      </c>
      <c r="C68" s="298">
        <f>SUM(C64:C67)</f>
        <v>5827366.5389590506</v>
      </c>
      <c r="D68" s="460"/>
      <c r="E68" s="41" t="s">
        <v>514</v>
      </c>
      <c r="F68" s="61">
        <f t="shared" si="2"/>
        <v>6</v>
      </c>
      <c r="G68" s="56"/>
      <c r="H68" s="57"/>
    </row>
    <row r="69" spans="1:8">
      <c r="A69" s="61">
        <v>7</v>
      </c>
      <c r="B69" s="11"/>
      <c r="C69" s="653"/>
      <c r="D69" s="43"/>
      <c r="E69" s="50"/>
      <c r="F69" s="61">
        <f t="shared" si="2"/>
        <v>7</v>
      </c>
      <c r="G69" s="57"/>
      <c r="H69" s="57"/>
    </row>
    <row r="70" spans="1:8">
      <c r="A70" s="61">
        <v>8</v>
      </c>
      <c r="B70" s="14" t="s">
        <v>142</v>
      </c>
      <c r="C70" s="653"/>
      <c r="D70" s="43"/>
      <c r="E70" s="50"/>
      <c r="F70" s="61">
        <f t="shared" si="2"/>
        <v>8</v>
      </c>
      <c r="G70" s="57"/>
      <c r="H70" s="57"/>
    </row>
    <row r="71" spans="1:8">
      <c r="A71" s="61">
        <v>9</v>
      </c>
      <c r="B71" s="11" t="s">
        <v>143</v>
      </c>
      <c r="C71" s="309">
        <v>1119992.6325511539</v>
      </c>
      <c r="D71" s="460"/>
      <c r="E71" s="41" t="s">
        <v>604</v>
      </c>
      <c r="F71" s="61">
        <f t="shared" si="2"/>
        <v>9</v>
      </c>
      <c r="G71" s="57"/>
      <c r="H71" s="57"/>
    </row>
    <row r="72" spans="1:8">
      <c r="A72" s="61">
        <v>10</v>
      </c>
      <c r="B72" s="11" t="s">
        <v>18</v>
      </c>
      <c r="C72" s="310">
        <v>12003.008136367105</v>
      </c>
      <c r="D72" s="43"/>
      <c r="E72" s="41" t="s">
        <v>605</v>
      </c>
      <c r="F72" s="61">
        <f t="shared" si="2"/>
        <v>10</v>
      </c>
      <c r="G72" s="57"/>
      <c r="H72" s="57"/>
    </row>
    <row r="73" spans="1:8">
      <c r="A73" s="61">
        <v>11</v>
      </c>
      <c r="B73" s="11" t="s">
        <v>144</v>
      </c>
      <c r="C73" s="310">
        <v>15834.987359434606</v>
      </c>
      <c r="D73" s="460"/>
      <c r="E73" s="41" t="s">
        <v>606</v>
      </c>
      <c r="F73" s="61">
        <f t="shared" si="2"/>
        <v>11</v>
      </c>
      <c r="G73" s="57"/>
      <c r="H73" s="57"/>
    </row>
    <row r="74" spans="1:8">
      <c r="A74" s="61">
        <v>12</v>
      </c>
      <c r="B74" s="11" t="s">
        <v>145</v>
      </c>
      <c r="C74" s="308">
        <v>44301.173829760861</v>
      </c>
      <c r="D74" s="460"/>
      <c r="E74" s="41" t="s">
        <v>607</v>
      </c>
      <c r="F74" s="61">
        <f t="shared" si="2"/>
        <v>12</v>
      </c>
      <c r="G74" s="57"/>
      <c r="H74" s="57"/>
    </row>
    <row r="75" spans="1:8">
      <c r="A75" s="61">
        <v>13</v>
      </c>
      <c r="B75" s="257" t="s">
        <v>17</v>
      </c>
      <c r="C75" s="298">
        <f>SUM(C71:C74)</f>
        <v>1192131.8018767165</v>
      </c>
      <c r="D75" s="460"/>
      <c r="E75" s="41" t="s">
        <v>525</v>
      </c>
      <c r="F75" s="61">
        <f t="shared" si="2"/>
        <v>13</v>
      </c>
      <c r="G75" s="57"/>
      <c r="H75" s="57"/>
    </row>
    <row r="76" spans="1:8">
      <c r="A76" s="61">
        <v>14</v>
      </c>
      <c r="B76" s="257"/>
      <c r="C76" s="313"/>
      <c r="D76" s="47"/>
      <c r="E76" s="50"/>
      <c r="F76" s="61">
        <f t="shared" si="2"/>
        <v>14</v>
      </c>
      <c r="G76" s="57"/>
      <c r="H76" s="57"/>
    </row>
    <row r="77" spans="1:8">
      <c r="A77" s="61">
        <v>15</v>
      </c>
      <c r="B77" s="15" t="s">
        <v>123</v>
      </c>
      <c r="C77" s="313"/>
      <c r="D77" s="47"/>
      <c r="E77" s="50"/>
      <c r="F77" s="61">
        <f t="shared" si="2"/>
        <v>15</v>
      </c>
      <c r="G77" s="57"/>
      <c r="H77" s="57"/>
    </row>
    <row r="78" spans="1:8">
      <c r="A78" s="61">
        <v>16</v>
      </c>
      <c r="B78" s="12" t="s">
        <v>19</v>
      </c>
      <c r="C78" s="312">
        <f>C64-C71</f>
        <v>4557795.1373096146</v>
      </c>
      <c r="D78" s="460"/>
      <c r="E78" s="41" t="s">
        <v>526</v>
      </c>
      <c r="F78" s="61">
        <f t="shared" si="2"/>
        <v>16</v>
      </c>
      <c r="G78" s="57"/>
      <c r="H78" s="57"/>
    </row>
    <row r="79" spans="1:8">
      <c r="A79" s="61">
        <v>17</v>
      </c>
      <c r="B79" s="12" t="s">
        <v>9</v>
      </c>
      <c r="C79" s="313">
        <f>C65-C72</f>
        <v>5861.8326175189723</v>
      </c>
      <c r="D79" s="460"/>
      <c r="E79" s="41" t="s">
        <v>527</v>
      </c>
      <c r="F79" s="61">
        <f t="shared" si="2"/>
        <v>17</v>
      </c>
      <c r="G79" s="57"/>
      <c r="H79" s="57"/>
    </row>
    <row r="80" spans="1:8">
      <c r="A80" s="61">
        <v>18</v>
      </c>
      <c r="B80" s="12" t="s">
        <v>10</v>
      </c>
      <c r="C80" s="313">
        <f>C66-C73</f>
        <v>23699.850905090541</v>
      </c>
      <c r="D80" s="460"/>
      <c r="E80" s="41" t="s">
        <v>528</v>
      </c>
      <c r="F80" s="61">
        <f t="shared" si="2"/>
        <v>18</v>
      </c>
    </row>
    <row r="81" spans="1:6">
      <c r="A81" s="61">
        <v>19</v>
      </c>
      <c r="B81" s="12" t="s">
        <v>124</v>
      </c>
      <c r="C81" s="314">
        <f>C67-C74</f>
        <v>47877.916250110597</v>
      </c>
      <c r="D81" s="460"/>
      <c r="E81" s="41" t="s">
        <v>529</v>
      </c>
      <c r="F81" s="61">
        <f t="shared" si="2"/>
        <v>19</v>
      </c>
    </row>
    <row r="82" spans="1:6" ht="16" thickBot="1">
      <c r="A82" s="61">
        <v>20</v>
      </c>
      <c r="B82" s="11" t="s">
        <v>125</v>
      </c>
      <c r="C82" s="315">
        <f>SUM(C78:C81)</f>
        <v>4635234.7370823352</v>
      </c>
      <c r="D82" s="460"/>
      <c r="E82" s="41" t="s">
        <v>530</v>
      </c>
      <c r="F82" s="61">
        <f t="shared" si="2"/>
        <v>20</v>
      </c>
    </row>
    <row r="83" spans="1:6" ht="16" thickTop="1">
      <c r="A83" s="61">
        <v>21</v>
      </c>
      <c r="B83" s="35"/>
      <c r="C83" s="49"/>
      <c r="D83" s="49"/>
      <c r="E83" s="50"/>
      <c r="F83" s="61">
        <f t="shared" si="2"/>
        <v>21</v>
      </c>
    </row>
    <row r="84" spans="1:6">
      <c r="A84" s="61">
        <v>22</v>
      </c>
      <c r="B84" s="15" t="s">
        <v>315</v>
      </c>
      <c r="C84" s="49"/>
      <c r="D84" s="49"/>
      <c r="E84" s="50"/>
      <c r="F84" s="61">
        <f t="shared" si="2"/>
        <v>22</v>
      </c>
    </row>
    <row r="85" spans="1:6">
      <c r="A85" s="61">
        <v>23</v>
      </c>
      <c r="B85" s="12" t="s">
        <v>312</v>
      </c>
      <c r="C85" s="377">
        <v>0</v>
      </c>
      <c r="D85" s="49"/>
      <c r="E85" s="41" t="s">
        <v>24</v>
      </c>
      <c r="F85" s="61">
        <f t="shared" si="2"/>
        <v>23</v>
      </c>
    </row>
    <row r="86" spans="1:6">
      <c r="A86" s="61">
        <v>24</v>
      </c>
      <c r="B86" s="11" t="s">
        <v>313</v>
      </c>
      <c r="C86" s="401">
        <v>0</v>
      </c>
      <c r="D86" s="49"/>
      <c r="E86" s="41" t="s">
        <v>24</v>
      </c>
      <c r="F86" s="61">
        <f t="shared" si="2"/>
        <v>24</v>
      </c>
    </row>
    <row r="87" spans="1:6" ht="16" thickBot="1">
      <c r="A87" s="61">
        <v>25</v>
      </c>
      <c r="B87" s="12" t="s">
        <v>314</v>
      </c>
      <c r="C87" s="374">
        <f>C85-C86</f>
        <v>0</v>
      </c>
      <c r="D87" s="49"/>
      <c r="E87" s="41" t="s">
        <v>531</v>
      </c>
      <c r="F87" s="61">
        <f t="shared" si="2"/>
        <v>25</v>
      </c>
    </row>
    <row r="88" spans="1:6" ht="16" thickTop="1">
      <c r="A88" s="61"/>
    </row>
    <row r="90" spans="1:6">
      <c r="B90" s="54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11.&amp;P&amp;R&amp;A</oddFooter>
  </headerFooter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4581-40C8-4A22-9457-3A3E16D608D4}">
  <dimension ref="A1:H92"/>
  <sheetViews>
    <sheetView zoomScale="80" zoomScaleNormal="80" workbookViewId="0"/>
  </sheetViews>
  <sheetFormatPr defaultColWidth="8.81640625" defaultRowHeight="15.5"/>
  <cols>
    <col min="1" max="1" width="5.1796875" style="55" customWidth="1"/>
    <col min="2" max="2" width="84.81640625" style="10" customWidth="1"/>
    <col min="3" max="3" width="22.453125" style="10" customWidth="1"/>
    <col min="4" max="4" width="1.54296875" style="10" customWidth="1"/>
    <col min="5" max="5" width="46.08984375" style="10" customWidth="1"/>
    <col min="6" max="6" width="5.1796875" style="55" customWidth="1"/>
    <col min="7" max="16384" width="8.81640625" style="10"/>
  </cols>
  <sheetData>
    <row r="1" spans="1:6">
      <c r="A1" s="633" t="s">
        <v>651</v>
      </c>
    </row>
    <row r="2" spans="1:6">
      <c r="A2" s="61"/>
      <c r="B2" s="40"/>
      <c r="C2" s="42"/>
      <c r="D2" s="42"/>
      <c r="E2" s="50"/>
      <c r="F2" s="61"/>
    </row>
    <row r="3" spans="1:6">
      <c r="A3" s="61"/>
      <c r="B3" s="719" t="s">
        <v>12</v>
      </c>
      <c r="C3" s="739"/>
      <c r="D3" s="739"/>
      <c r="E3" s="739"/>
      <c r="F3" s="61"/>
    </row>
    <row r="4" spans="1:6">
      <c r="A4" s="61" t="s">
        <v>7</v>
      </c>
      <c r="B4" s="719" t="s">
        <v>121</v>
      </c>
      <c r="C4" s="739"/>
      <c r="D4" s="739"/>
      <c r="E4" s="739"/>
      <c r="F4" s="61" t="s">
        <v>7</v>
      </c>
    </row>
    <row r="5" spans="1:6">
      <c r="A5" s="61"/>
      <c r="B5" s="736" t="s">
        <v>393</v>
      </c>
      <c r="C5" s="737"/>
      <c r="D5" s="737"/>
      <c r="E5" s="737"/>
      <c r="F5" s="61"/>
    </row>
    <row r="6" spans="1:6">
      <c r="A6" s="61"/>
      <c r="B6" s="738" t="s">
        <v>1</v>
      </c>
      <c r="C6" s="739"/>
      <c r="D6" s="739"/>
      <c r="E6" s="739"/>
      <c r="F6" s="61"/>
    </row>
    <row r="7" spans="1:6">
      <c r="A7" s="61"/>
      <c r="B7" s="51"/>
      <c r="C7" s="40"/>
      <c r="D7" s="40"/>
      <c r="E7" s="40"/>
      <c r="F7" s="61"/>
    </row>
    <row r="8" spans="1:6">
      <c r="A8" s="61" t="s">
        <v>2</v>
      </c>
      <c r="B8" s="40"/>
      <c r="C8" s="43"/>
      <c r="D8" s="43"/>
      <c r="E8" s="50"/>
      <c r="F8" s="61" t="s">
        <v>2</v>
      </c>
    </row>
    <row r="9" spans="1:6">
      <c r="A9" s="61" t="s">
        <v>14</v>
      </c>
      <c r="B9" s="40" t="s">
        <v>7</v>
      </c>
      <c r="C9" s="247" t="s">
        <v>22</v>
      </c>
      <c r="D9" s="43"/>
      <c r="E9" s="39" t="s">
        <v>6</v>
      </c>
      <c r="F9" s="61" t="s">
        <v>14</v>
      </c>
    </row>
    <row r="10" spans="1:6">
      <c r="A10" s="61"/>
      <c r="B10" s="15" t="s">
        <v>122</v>
      </c>
      <c r="C10" s="45"/>
      <c r="D10" s="43"/>
      <c r="E10" s="50"/>
      <c r="F10" s="61"/>
    </row>
    <row r="11" spans="1:6">
      <c r="A11" s="61"/>
      <c r="B11" s="44"/>
      <c r="C11" s="45"/>
      <c r="D11" s="43"/>
      <c r="E11" s="50"/>
      <c r="F11" s="61"/>
    </row>
    <row r="12" spans="1:6">
      <c r="A12" s="61">
        <v>1</v>
      </c>
      <c r="B12" s="15" t="s">
        <v>123</v>
      </c>
      <c r="C12" s="45"/>
      <c r="D12" s="45"/>
      <c r="E12" s="50"/>
      <c r="F12" s="61">
        <f>A12</f>
        <v>1</v>
      </c>
    </row>
    <row r="13" spans="1:6">
      <c r="A13" s="61">
        <f>A12+1</f>
        <v>2</v>
      </c>
      <c r="B13" s="12" t="s">
        <v>19</v>
      </c>
      <c r="C13" s="579">
        <f>C79</f>
        <v>4557795.1373096146</v>
      </c>
      <c r="D13" s="460" t="s">
        <v>361</v>
      </c>
      <c r="E13" s="41" t="s">
        <v>396</v>
      </c>
      <c r="F13" s="61">
        <f>F12+1</f>
        <v>2</v>
      </c>
    </row>
    <row r="14" spans="1:6">
      <c r="A14" s="61">
        <f t="shared" ref="A14:A49" si="0">A13+1</f>
        <v>3</v>
      </c>
      <c r="B14" s="12" t="s">
        <v>9</v>
      </c>
      <c r="C14" s="577">
        <f>C80</f>
        <v>5861.8326175189723</v>
      </c>
      <c r="D14" s="460" t="s">
        <v>361</v>
      </c>
      <c r="E14" s="41" t="s">
        <v>511</v>
      </c>
      <c r="F14" s="61">
        <f t="shared" ref="F14:F49" si="1">F13+1</f>
        <v>3</v>
      </c>
    </row>
    <row r="15" spans="1:6">
      <c r="A15" s="61">
        <f t="shared" si="0"/>
        <v>4</v>
      </c>
      <c r="B15" s="12" t="s">
        <v>10</v>
      </c>
      <c r="C15" s="577">
        <f>C81</f>
        <v>23699.850905090541</v>
      </c>
      <c r="D15" s="460" t="s">
        <v>361</v>
      </c>
      <c r="E15" s="41" t="s">
        <v>512</v>
      </c>
      <c r="F15" s="61">
        <f t="shared" si="1"/>
        <v>4</v>
      </c>
    </row>
    <row r="16" spans="1:6">
      <c r="A16" s="61">
        <f t="shared" si="0"/>
        <v>5</v>
      </c>
      <c r="B16" s="12" t="s">
        <v>124</v>
      </c>
      <c r="C16" s="580">
        <f>C82</f>
        <v>47877.916250110597</v>
      </c>
      <c r="D16" s="460" t="s">
        <v>361</v>
      </c>
      <c r="E16" s="41" t="s">
        <v>513</v>
      </c>
      <c r="F16" s="61">
        <f t="shared" si="1"/>
        <v>5</v>
      </c>
    </row>
    <row r="17" spans="1:6">
      <c r="A17" s="61">
        <f t="shared" si="0"/>
        <v>6</v>
      </c>
      <c r="B17" s="12" t="s">
        <v>125</v>
      </c>
      <c r="C17" s="581">
        <f>SUM(C13:C16)</f>
        <v>4635234.7370823352</v>
      </c>
      <c r="D17" s="460" t="s">
        <v>361</v>
      </c>
      <c r="E17" s="41" t="s">
        <v>514</v>
      </c>
      <c r="F17" s="61">
        <f t="shared" si="1"/>
        <v>6</v>
      </c>
    </row>
    <row r="18" spans="1:6">
      <c r="A18" s="61">
        <f t="shared" si="0"/>
        <v>7</v>
      </c>
      <c r="B18" s="11"/>
      <c r="C18" s="299"/>
      <c r="D18" s="46"/>
      <c r="E18" s="50"/>
      <c r="F18" s="61">
        <f t="shared" si="1"/>
        <v>7</v>
      </c>
    </row>
    <row r="19" spans="1:6">
      <c r="A19" s="61">
        <f t="shared" si="0"/>
        <v>8</v>
      </c>
      <c r="B19" s="15" t="s">
        <v>126</v>
      </c>
      <c r="C19" s="299"/>
      <c r="D19" s="46"/>
      <c r="E19" s="50"/>
      <c r="F19" s="61">
        <f t="shared" si="1"/>
        <v>8</v>
      </c>
    </row>
    <row r="20" spans="1:6">
      <c r="A20" s="61">
        <f t="shared" si="0"/>
        <v>9</v>
      </c>
      <c r="B20" s="12" t="s">
        <v>127</v>
      </c>
      <c r="C20" s="300">
        <v>950.34505384615397</v>
      </c>
      <c r="D20" s="43"/>
      <c r="E20" s="41" t="s">
        <v>515</v>
      </c>
      <c r="F20" s="61">
        <f t="shared" si="1"/>
        <v>9</v>
      </c>
    </row>
    <row r="21" spans="1:6">
      <c r="A21" s="61">
        <f t="shared" si="0"/>
        <v>10</v>
      </c>
      <c r="B21" s="12" t="s">
        <v>128</v>
      </c>
      <c r="C21" s="364">
        <v>0</v>
      </c>
      <c r="D21" s="43"/>
      <c r="E21" s="41" t="s">
        <v>516</v>
      </c>
      <c r="F21" s="61">
        <f t="shared" si="1"/>
        <v>10</v>
      </c>
    </row>
    <row r="22" spans="1:6">
      <c r="A22" s="61">
        <f t="shared" si="0"/>
        <v>11</v>
      </c>
      <c r="B22" s="12" t="s">
        <v>129</v>
      </c>
      <c r="C22" s="301">
        <f>C20+C21</f>
        <v>950.34505384615397</v>
      </c>
      <c r="D22" s="256"/>
      <c r="E22" s="41" t="s">
        <v>517</v>
      </c>
      <c r="F22" s="61">
        <f t="shared" si="1"/>
        <v>11</v>
      </c>
    </row>
    <row r="23" spans="1:6">
      <c r="A23" s="61">
        <f t="shared" si="0"/>
        <v>12</v>
      </c>
      <c r="B23" s="12"/>
      <c r="C23" s="302"/>
      <c r="D23" s="42"/>
      <c r="E23" s="50"/>
      <c r="F23" s="61">
        <f t="shared" si="1"/>
        <v>12</v>
      </c>
    </row>
    <row r="24" spans="1:6">
      <c r="A24" s="61">
        <f t="shared" si="0"/>
        <v>13</v>
      </c>
      <c r="B24" s="15" t="s">
        <v>130</v>
      </c>
      <c r="C24" s="299"/>
      <c r="D24" s="46"/>
      <c r="E24" s="50"/>
      <c r="F24" s="61">
        <f t="shared" si="1"/>
        <v>13</v>
      </c>
    </row>
    <row r="25" spans="1:6">
      <c r="A25" s="61">
        <f t="shared" si="0"/>
        <v>14</v>
      </c>
      <c r="B25" s="11" t="s">
        <v>131</v>
      </c>
      <c r="C25" s="627">
        <v>-788740.4621952395</v>
      </c>
      <c r="D25" s="460" t="s">
        <v>361</v>
      </c>
      <c r="E25" s="41" t="s">
        <v>599</v>
      </c>
      <c r="F25" s="61">
        <f t="shared" si="1"/>
        <v>14</v>
      </c>
    </row>
    <row r="26" spans="1:6">
      <c r="A26" s="61">
        <f t="shared" si="0"/>
        <v>15</v>
      </c>
      <c r="B26" s="11" t="s">
        <v>132</v>
      </c>
      <c r="C26" s="304">
        <v>0</v>
      </c>
      <c r="D26" s="43"/>
      <c r="E26" s="41" t="s">
        <v>518</v>
      </c>
      <c r="F26" s="61">
        <f t="shared" si="1"/>
        <v>15</v>
      </c>
    </row>
    <row r="27" spans="1:6">
      <c r="A27" s="61">
        <f t="shared" si="0"/>
        <v>16</v>
      </c>
      <c r="B27" s="12" t="s">
        <v>133</v>
      </c>
      <c r="C27" s="581">
        <f>SUM(C25:C26)</f>
        <v>-788740.4621952395</v>
      </c>
      <c r="D27" s="460" t="s">
        <v>361</v>
      </c>
      <c r="E27" s="41" t="s">
        <v>519</v>
      </c>
      <c r="F27" s="61">
        <f t="shared" si="1"/>
        <v>16</v>
      </c>
    </row>
    <row r="28" spans="1:6">
      <c r="A28" s="61">
        <f t="shared" si="0"/>
        <v>17</v>
      </c>
      <c r="B28" s="40"/>
      <c r="C28" s="305"/>
      <c r="D28" s="47"/>
      <c r="E28" s="50"/>
      <c r="F28" s="61">
        <f t="shared" si="1"/>
        <v>17</v>
      </c>
    </row>
    <row r="29" spans="1:6">
      <c r="A29" s="61">
        <f t="shared" si="0"/>
        <v>18</v>
      </c>
      <c r="B29" s="15" t="s">
        <v>134</v>
      </c>
      <c r="C29" s="305"/>
      <c r="D29" s="47"/>
      <c r="E29" s="50"/>
      <c r="F29" s="61">
        <f t="shared" si="1"/>
        <v>18</v>
      </c>
    </row>
    <row r="30" spans="1:6">
      <c r="A30" s="61">
        <f t="shared" si="0"/>
        <v>19</v>
      </c>
      <c r="B30" s="12" t="s">
        <v>135</v>
      </c>
      <c r="C30" s="579">
        <v>52108.758401442392</v>
      </c>
      <c r="D30" s="460" t="s">
        <v>361</v>
      </c>
      <c r="E30" s="41" t="s">
        <v>580</v>
      </c>
      <c r="F30" s="61">
        <f t="shared" si="1"/>
        <v>19</v>
      </c>
    </row>
    <row r="31" spans="1:6">
      <c r="A31" s="61">
        <f t="shared" si="0"/>
        <v>20</v>
      </c>
      <c r="B31" s="12" t="s">
        <v>136</v>
      </c>
      <c r="C31" s="577">
        <v>19693.640781694332</v>
      </c>
      <c r="D31" s="460" t="s">
        <v>361</v>
      </c>
      <c r="E31" s="41" t="s">
        <v>581</v>
      </c>
      <c r="F31" s="61">
        <f t="shared" si="1"/>
        <v>20</v>
      </c>
    </row>
    <row r="32" spans="1:6">
      <c r="A32" s="61">
        <f t="shared" si="0"/>
        <v>21</v>
      </c>
      <c r="B32" s="12" t="s">
        <v>137</v>
      </c>
      <c r="C32" s="580">
        <v>8497.6185754739545</v>
      </c>
      <c r="D32" s="460" t="s">
        <v>361</v>
      </c>
      <c r="E32" s="41" t="s">
        <v>582</v>
      </c>
      <c r="F32" s="61">
        <f t="shared" si="1"/>
        <v>21</v>
      </c>
    </row>
    <row r="33" spans="1:6">
      <c r="A33" s="61">
        <f t="shared" si="0"/>
        <v>22</v>
      </c>
      <c r="B33" s="12" t="s">
        <v>240</v>
      </c>
      <c r="C33" s="581">
        <f>SUM(C30:C32)</f>
        <v>80300.017758610687</v>
      </c>
      <c r="D33" s="460" t="s">
        <v>361</v>
      </c>
      <c r="E33" s="41" t="s">
        <v>520</v>
      </c>
      <c r="F33" s="61">
        <f t="shared" si="1"/>
        <v>22</v>
      </c>
    </row>
    <row r="34" spans="1:6">
      <c r="A34" s="61">
        <f t="shared" si="0"/>
        <v>23</v>
      </c>
      <c r="B34" s="35"/>
      <c r="C34" s="306"/>
      <c r="D34" s="48"/>
      <c r="E34" s="50"/>
      <c r="F34" s="61">
        <f t="shared" si="1"/>
        <v>23</v>
      </c>
    </row>
    <row r="35" spans="1:6">
      <c r="A35" s="61">
        <f t="shared" si="0"/>
        <v>24</v>
      </c>
      <c r="B35" s="12" t="s">
        <v>138</v>
      </c>
      <c r="C35" s="365">
        <v>0</v>
      </c>
      <c r="D35" s="43"/>
      <c r="E35" s="41" t="s">
        <v>521</v>
      </c>
      <c r="F35" s="61">
        <f t="shared" si="1"/>
        <v>24</v>
      </c>
    </row>
    <row r="36" spans="1:6">
      <c r="A36" s="61">
        <f t="shared" si="0"/>
        <v>25</v>
      </c>
      <c r="B36" s="12"/>
      <c r="C36" s="306"/>
      <c r="D36" s="48"/>
      <c r="E36" s="50"/>
      <c r="F36" s="61">
        <f t="shared" si="1"/>
        <v>25</v>
      </c>
    </row>
    <row r="37" spans="1:6" ht="16" thickBot="1">
      <c r="A37" s="61">
        <f t="shared" si="0"/>
        <v>26</v>
      </c>
      <c r="B37" s="12" t="s">
        <v>239</v>
      </c>
      <c r="C37" s="582">
        <f>C17+C22+C27+C33+C35</f>
        <v>3927744.6376995523</v>
      </c>
      <c r="D37" s="460" t="s">
        <v>361</v>
      </c>
      <c r="E37" s="41" t="s">
        <v>522</v>
      </c>
      <c r="F37" s="61">
        <f t="shared" si="1"/>
        <v>26</v>
      </c>
    </row>
    <row r="38" spans="1:6" ht="16" thickTop="1">
      <c r="A38" s="61">
        <f t="shared" si="0"/>
        <v>27</v>
      </c>
      <c r="B38" s="35"/>
      <c r="C38" s="307"/>
      <c r="D38" s="49"/>
      <c r="E38" s="50"/>
      <c r="F38" s="61">
        <f t="shared" si="1"/>
        <v>27</v>
      </c>
    </row>
    <row r="39" spans="1:6">
      <c r="A39" s="61">
        <f t="shared" si="0"/>
        <v>28</v>
      </c>
      <c r="B39" s="15" t="s">
        <v>334</v>
      </c>
      <c r="C39" s="307"/>
      <c r="D39" s="49"/>
      <c r="E39" s="50"/>
      <c r="F39" s="61">
        <f t="shared" si="1"/>
        <v>28</v>
      </c>
    </row>
    <row r="40" spans="1:6">
      <c r="A40" s="61">
        <f t="shared" si="0"/>
        <v>29</v>
      </c>
      <c r="B40" s="12" t="s">
        <v>316</v>
      </c>
      <c r="C40" s="377">
        <v>0</v>
      </c>
      <c r="D40" s="375"/>
      <c r="E40" s="41" t="s">
        <v>24</v>
      </c>
      <c r="F40" s="61">
        <f t="shared" si="1"/>
        <v>29</v>
      </c>
    </row>
    <row r="41" spans="1:6">
      <c r="A41" s="61">
        <f t="shared" si="0"/>
        <v>30</v>
      </c>
      <c r="B41" s="12" t="s">
        <v>317</v>
      </c>
      <c r="C41" s="400">
        <v>0</v>
      </c>
      <c r="D41" s="43"/>
      <c r="E41" s="41" t="s">
        <v>24</v>
      </c>
      <c r="F41" s="61">
        <f t="shared" si="1"/>
        <v>30</v>
      </c>
    </row>
    <row r="42" spans="1:6">
      <c r="A42" s="61">
        <f t="shared" si="0"/>
        <v>31</v>
      </c>
      <c r="B42" s="11" t="s">
        <v>318</v>
      </c>
      <c r="C42" s="376">
        <f>C40+C41</f>
        <v>0</v>
      </c>
      <c r="D42" s="49"/>
      <c r="E42" s="41" t="s">
        <v>523</v>
      </c>
      <c r="F42" s="61">
        <f t="shared" si="1"/>
        <v>31</v>
      </c>
    </row>
    <row r="43" spans="1:6">
      <c r="A43" s="61">
        <f t="shared" si="0"/>
        <v>32</v>
      </c>
      <c r="B43" s="35"/>
      <c r="C43" s="307"/>
      <c r="D43" s="49"/>
      <c r="E43" s="50"/>
      <c r="F43" s="61">
        <f t="shared" si="1"/>
        <v>32</v>
      </c>
    </row>
    <row r="44" spans="1:6">
      <c r="A44" s="61">
        <f t="shared" si="0"/>
        <v>33</v>
      </c>
      <c r="B44" s="15" t="s">
        <v>335</v>
      </c>
      <c r="C44" s="307"/>
      <c r="D44" s="49"/>
      <c r="E44" s="50"/>
      <c r="F44" s="61">
        <f t="shared" si="1"/>
        <v>33</v>
      </c>
    </row>
    <row r="45" spans="1:6">
      <c r="A45" s="61">
        <f t="shared" si="0"/>
        <v>34</v>
      </c>
      <c r="B45" s="12" t="s">
        <v>319</v>
      </c>
      <c r="C45" s="377">
        <v>0</v>
      </c>
      <c r="D45" s="43"/>
      <c r="E45" s="41" t="s">
        <v>24</v>
      </c>
      <c r="F45" s="61">
        <f t="shared" si="1"/>
        <v>34</v>
      </c>
    </row>
    <row r="46" spans="1:6">
      <c r="A46" s="61">
        <f t="shared" si="0"/>
        <v>35</v>
      </c>
      <c r="B46" s="11" t="s">
        <v>320</v>
      </c>
      <c r="C46" s="401">
        <v>0</v>
      </c>
      <c r="D46" s="43"/>
      <c r="E46" s="41" t="s">
        <v>24</v>
      </c>
      <c r="F46" s="61">
        <f t="shared" si="1"/>
        <v>35</v>
      </c>
    </row>
    <row r="47" spans="1:6">
      <c r="A47" s="61">
        <f t="shared" si="0"/>
        <v>36</v>
      </c>
      <c r="B47" s="11" t="s">
        <v>321</v>
      </c>
      <c r="C47" s="376">
        <f>C45+C46</f>
        <v>0</v>
      </c>
      <c r="D47" s="49"/>
      <c r="E47" s="41" t="s">
        <v>524</v>
      </c>
      <c r="F47" s="61">
        <f t="shared" si="1"/>
        <v>36</v>
      </c>
    </row>
    <row r="48" spans="1:6">
      <c r="A48" s="61">
        <f t="shared" si="0"/>
        <v>37</v>
      </c>
      <c r="B48" s="35"/>
      <c r="C48" s="307"/>
      <c r="D48" s="49"/>
      <c r="E48" s="50"/>
      <c r="F48" s="61">
        <f t="shared" si="1"/>
        <v>37</v>
      </c>
    </row>
    <row r="49" spans="1:6" ht="16" thickBot="1">
      <c r="A49" s="61">
        <f t="shared" si="0"/>
        <v>38</v>
      </c>
      <c r="B49" s="15" t="s">
        <v>336</v>
      </c>
      <c r="C49" s="378">
        <v>0</v>
      </c>
      <c r="D49" s="43"/>
      <c r="E49" s="41" t="s">
        <v>24</v>
      </c>
      <c r="F49" s="61">
        <f t="shared" si="1"/>
        <v>38</v>
      </c>
    </row>
    <row r="50" spans="1:6" ht="16" thickTop="1">
      <c r="A50" s="61"/>
      <c r="B50" s="35"/>
      <c r="C50" s="307"/>
      <c r="D50" s="49"/>
      <c r="E50" s="50"/>
      <c r="F50" s="61"/>
    </row>
    <row r="51" spans="1:6">
      <c r="A51" s="61"/>
      <c r="B51" s="35"/>
      <c r="C51" s="307"/>
      <c r="D51" s="49"/>
      <c r="E51" s="50"/>
      <c r="F51" s="61"/>
    </row>
    <row r="52" spans="1:6">
      <c r="A52" s="460" t="s">
        <v>361</v>
      </c>
      <c r="B52" s="54" t="str">
        <f>'Pg10 As Filed Stmt AV FERC Adj'!B115</f>
        <v xml:space="preserve">Items in bold have changed due to various FERC Audit adj. compared to Appendix XII Cycle 2 filing per ER20-209 and cost adj. incl. in Appendix XII Cycle 4 per ER22-133.  </v>
      </c>
      <c r="C52" s="307"/>
      <c r="D52" s="49"/>
      <c r="E52" s="50"/>
      <c r="F52" s="61"/>
    </row>
    <row r="53" spans="1:6">
      <c r="A53" s="61"/>
      <c r="B53" s="50"/>
      <c r="C53" s="40"/>
      <c r="D53" s="40"/>
      <c r="E53" s="40"/>
      <c r="F53" s="61"/>
    </row>
    <row r="54" spans="1:6">
      <c r="A54" s="61"/>
      <c r="B54" s="50"/>
      <c r="C54" s="40"/>
      <c r="D54" s="40"/>
      <c r="E54" s="40"/>
      <c r="F54" s="61"/>
    </row>
    <row r="55" spans="1:6">
      <c r="A55" s="61"/>
      <c r="B55" s="719" t="str">
        <f>B3</f>
        <v>SAN DIEGO GAS &amp; ELECTRIC COMPANY</v>
      </c>
      <c r="C55" s="739"/>
      <c r="D55" s="739"/>
      <c r="E55" s="739"/>
      <c r="F55" s="61"/>
    </row>
    <row r="56" spans="1:6">
      <c r="A56" s="61"/>
      <c r="B56" s="719" t="str">
        <f>B4</f>
        <v xml:space="preserve">Derivation of End Use Transmission Rate Base </v>
      </c>
      <c r="C56" s="739"/>
      <c r="D56" s="739"/>
      <c r="E56" s="739"/>
      <c r="F56" s="61"/>
    </row>
    <row r="57" spans="1:6">
      <c r="A57" s="61"/>
      <c r="B57" s="736" t="str">
        <f>B5</f>
        <v>Base Period &amp; True-Up Period 12 - Months Ending December 31, 2018</v>
      </c>
      <c r="C57" s="737"/>
      <c r="D57" s="737"/>
      <c r="E57" s="737"/>
      <c r="F57" s="61"/>
    </row>
    <row r="58" spans="1:6">
      <c r="A58" s="61"/>
      <c r="B58" s="738" t="s">
        <v>1</v>
      </c>
      <c r="C58" s="739"/>
      <c r="D58" s="739"/>
      <c r="E58" s="739"/>
      <c r="F58" s="61"/>
    </row>
    <row r="59" spans="1:6">
      <c r="A59" s="61"/>
      <c r="B59" s="51"/>
      <c r="C59" s="40"/>
      <c r="D59" s="40"/>
      <c r="E59" s="40"/>
      <c r="F59" s="61"/>
    </row>
    <row r="60" spans="1:6">
      <c r="A60" s="61" t="s">
        <v>2</v>
      </c>
      <c r="B60" s="51"/>
      <c r="C60" s="40"/>
      <c r="D60" s="40"/>
      <c r="E60" s="40"/>
      <c r="F60" s="61"/>
    </row>
    <row r="61" spans="1:6">
      <c r="A61" s="61" t="s">
        <v>14</v>
      </c>
      <c r="B61" s="51"/>
      <c r="C61" s="40"/>
      <c r="D61" s="40"/>
      <c r="E61" s="40"/>
      <c r="F61" s="61"/>
    </row>
    <row r="62" spans="1:6">
      <c r="A62" s="61"/>
      <c r="B62" s="15" t="s">
        <v>311</v>
      </c>
      <c r="C62" s="40"/>
      <c r="D62" s="40"/>
      <c r="E62" s="40"/>
      <c r="F62" s="61"/>
    </row>
    <row r="63" spans="1:6">
      <c r="A63" s="61"/>
      <c r="B63" s="44"/>
      <c r="C63" s="43"/>
      <c r="D63" s="43"/>
      <c r="E63" s="50"/>
      <c r="F63" s="61"/>
    </row>
    <row r="64" spans="1:6">
      <c r="A64" s="61">
        <v>1</v>
      </c>
      <c r="B64" s="15" t="s">
        <v>139</v>
      </c>
      <c r="C64" s="43"/>
      <c r="D64" s="43"/>
      <c r="E64" s="50"/>
      <c r="F64" s="61">
        <f t="shared" ref="F64:F88" si="2">A64</f>
        <v>1</v>
      </c>
    </row>
    <row r="65" spans="1:8">
      <c r="A65" s="61">
        <v>2</v>
      </c>
      <c r="B65" s="12" t="s">
        <v>19</v>
      </c>
      <c r="C65" s="583">
        <v>5677787.7698607687</v>
      </c>
      <c r="D65" s="460" t="s">
        <v>361</v>
      </c>
      <c r="E65" s="41" t="s">
        <v>602</v>
      </c>
      <c r="F65" s="61">
        <f t="shared" si="2"/>
        <v>2</v>
      </c>
      <c r="G65" s="56"/>
      <c r="H65" s="57"/>
    </row>
    <row r="66" spans="1:8">
      <c r="A66" s="61">
        <v>3</v>
      </c>
      <c r="B66" s="12" t="s">
        <v>140</v>
      </c>
      <c r="C66" s="584">
        <v>17864.840753886077</v>
      </c>
      <c r="D66" s="460" t="s">
        <v>361</v>
      </c>
      <c r="E66" s="41" t="s">
        <v>603</v>
      </c>
      <c r="F66" s="61">
        <f t="shared" si="2"/>
        <v>3</v>
      </c>
      <c r="G66" s="56"/>
      <c r="H66" s="57"/>
    </row>
    <row r="67" spans="1:8">
      <c r="A67" s="61">
        <v>4</v>
      </c>
      <c r="B67" s="12" t="s">
        <v>10</v>
      </c>
      <c r="C67" s="584">
        <v>39534.838264525148</v>
      </c>
      <c r="D67" s="460" t="s">
        <v>361</v>
      </c>
      <c r="E67" s="41" t="s">
        <v>590</v>
      </c>
      <c r="F67" s="61">
        <f t="shared" si="2"/>
        <v>4</v>
      </c>
      <c r="G67" s="56"/>
      <c r="H67" s="58"/>
    </row>
    <row r="68" spans="1:8">
      <c r="A68" s="61">
        <v>5</v>
      </c>
      <c r="B68" s="12" t="s">
        <v>124</v>
      </c>
      <c r="C68" s="585">
        <v>92179.090079871457</v>
      </c>
      <c r="D68" s="460" t="s">
        <v>361</v>
      </c>
      <c r="E68" s="41" t="s">
        <v>591</v>
      </c>
      <c r="F68" s="61">
        <f t="shared" si="2"/>
        <v>5</v>
      </c>
      <c r="G68" s="57"/>
      <c r="H68" s="57"/>
    </row>
    <row r="69" spans="1:8">
      <c r="A69" s="61">
        <v>6</v>
      </c>
      <c r="B69" s="12" t="s">
        <v>141</v>
      </c>
      <c r="C69" s="581">
        <f>SUM(C65:C68)</f>
        <v>5827366.5389590506</v>
      </c>
      <c r="D69" s="460" t="s">
        <v>361</v>
      </c>
      <c r="E69" s="41" t="s">
        <v>514</v>
      </c>
      <c r="F69" s="61">
        <f t="shared" si="2"/>
        <v>6</v>
      </c>
      <c r="G69" s="56"/>
      <c r="H69" s="57"/>
    </row>
    <row r="70" spans="1:8">
      <c r="A70" s="61">
        <v>7</v>
      </c>
      <c r="B70" s="11"/>
      <c r="C70" s="311"/>
      <c r="D70" s="43"/>
      <c r="E70" s="50"/>
      <c r="F70" s="61">
        <f t="shared" si="2"/>
        <v>7</v>
      </c>
      <c r="G70" s="57"/>
      <c r="H70" s="57"/>
    </row>
    <row r="71" spans="1:8">
      <c r="A71" s="61">
        <v>8</v>
      </c>
      <c r="B71" s="14" t="s">
        <v>142</v>
      </c>
      <c r="C71" s="311"/>
      <c r="D71" s="43"/>
      <c r="E71" s="50"/>
      <c r="F71" s="61">
        <f t="shared" si="2"/>
        <v>8</v>
      </c>
      <c r="G71" s="57"/>
      <c r="H71" s="57"/>
    </row>
    <row r="72" spans="1:8">
      <c r="A72" s="61">
        <v>9</v>
      </c>
      <c r="B72" s="11" t="s">
        <v>143</v>
      </c>
      <c r="C72" s="583">
        <v>1119992.6325511539</v>
      </c>
      <c r="D72" s="460" t="s">
        <v>361</v>
      </c>
      <c r="E72" s="41" t="s">
        <v>604</v>
      </c>
      <c r="F72" s="61">
        <f t="shared" si="2"/>
        <v>9</v>
      </c>
      <c r="G72" s="57"/>
      <c r="H72" s="57"/>
    </row>
    <row r="73" spans="1:8">
      <c r="A73" s="61">
        <v>10</v>
      </c>
      <c r="B73" s="11" t="s">
        <v>18</v>
      </c>
      <c r="C73" s="310">
        <v>12003.008136367105</v>
      </c>
      <c r="D73" s="43"/>
      <c r="E73" s="41" t="s">
        <v>605</v>
      </c>
      <c r="F73" s="61">
        <f t="shared" si="2"/>
        <v>10</v>
      </c>
      <c r="G73" s="57"/>
      <c r="H73" s="57"/>
    </row>
    <row r="74" spans="1:8">
      <c r="A74" s="61">
        <v>11</v>
      </c>
      <c r="B74" s="11" t="s">
        <v>144</v>
      </c>
      <c r="C74" s="584">
        <v>15834.987359434606</v>
      </c>
      <c r="D74" s="460" t="s">
        <v>361</v>
      </c>
      <c r="E74" s="41" t="s">
        <v>606</v>
      </c>
      <c r="F74" s="61">
        <f t="shared" si="2"/>
        <v>11</v>
      </c>
      <c r="G74" s="57"/>
      <c r="H74" s="57"/>
    </row>
    <row r="75" spans="1:8">
      <c r="A75" s="61">
        <v>12</v>
      </c>
      <c r="B75" s="11" t="s">
        <v>145</v>
      </c>
      <c r="C75" s="585">
        <v>44301.173829760861</v>
      </c>
      <c r="D75" s="460" t="s">
        <v>361</v>
      </c>
      <c r="E75" s="41" t="s">
        <v>607</v>
      </c>
      <c r="F75" s="61">
        <f t="shared" si="2"/>
        <v>12</v>
      </c>
      <c r="G75" s="57"/>
      <c r="H75" s="57"/>
    </row>
    <row r="76" spans="1:8">
      <c r="A76" s="61">
        <v>13</v>
      </c>
      <c r="B76" s="257" t="s">
        <v>17</v>
      </c>
      <c r="C76" s="581">
        <f>SUM(C72:C75)</f>
        <v>1192131.8018767165</v>
      </c>
      <c r="D76" s="460" t="s">
        <v>361</v>
      </c>
      <c r="E76" s="41" t="s">
        <v>525</v>
      </c>
      <c r="F76" s="61">
        <f t="shared" si="2"/>
        <v>13</v>
      </c>
      <c r="G76" s="57"/>
      <c r="H76" s="57"/>
    </row>
    <row r="77" spans="1:8">
      <c r="A77" s="61">
        <v>14</v>
      </c>
      <c r="B77" s="257"/>
      <c r="C77" s="305"/>
      <c r="D77" s="47"/>
      <c r="E77" s="50"/>
      <c r="F77" s="61">
        <f t="shared" si="2"/>
        <v>14</v>
      </c>
      <c r="G77" s="57"/>
      <c r="H77" s="57"/>
    </row>
    <row r="78" spans="1:8">
      <c r="A78" s="61">
        <v>15</v>
      </c>
      <c r="B78" s="15" t="s">
        <v>123</v>
      </c>
      <c r="C78" s="305"/>
      <c r="D78" s="47"/>
      <c r="E78" s="50"/>
      <c r="F78" s="61">
        <f t="shared" si="2"/>
        <v>15</v>
      </c>
      <c r="G78" s="57"/>
      <c r="H78" s="57"/>
    </row>
    <row r="79" spans="1:8">
      <c r="A79" s="61">
        <v>16</v>
      </c>
      <c r="B79" s="12" t="s">
        <v>19</v>
      </c>
      <c r="C79" s="586">
        <f>C65-C72</f>
        <v>4557795.1373096146</v>
      </c>
      <c r="D79" s="460" t="s">
        <v>361</v>
      </c>
      <c r="E79" s="41" t="s">
        <v>526</v>
      </c>
      <c r="F79" s="61">
        <f t="shared" si="2"/>
        <v>16</v>
      </c>
      <c r="G79" s="57"/>
      <c r="H79" s="57"/>
    </row>
    <row r="80" spans="1:8">
      <c r="A80" s="61">
        <v>17</v>
      </c>
      <c r="B80" s="12" t="s">
        <v>9</v>
      </c>
      <c r="C80" s="305">
        <f>C66-C73</f>
        <v>5861.8326175189723</v>
      </c>
      <c r="D80" s="460" t="s">
        <v>361</v>
      </c>
      <c r="E80" s="41" t="s">
        <v>527</v>
      </c>
      <c r="F80" s="61">
        <f t="shared" si="2"/>
        <v>17</v>
      </c>
      <c r="G80" s="57"/>
      <c r="H80" s="57"/>
    </row>
    <row r="81" spans="1:6">
      <c r="A81" s="61">
        <v>18</v>
      </c>
      <c r="B81" s="12" t="s">
        <v>10</v>
      </c>
      <c r="C81" s="305">
        <f>C67-C74</f>
        <v>23699.850905090541</v>
      </c>
      <c r="D81" s="460" t="s">
        <v>361</v>
      </c>
      <c r="E81" s="41" t="s">
        <v>528</v>
      </c>
      <c r="F81" s="61">
        <f t="shared" si="2"/>
        <v>18</v>
      </c>
    </row>
    <row r="82" spans="1:6">
      <c r="A82" s="61">
        <v>19</v>
      </c>
      <c r="B82" s="12" t="s">
        <v>124</v>
      </c>
      <c r="C82" s="587">
        <f>C68-C75</f>
        <v>47877.916250110597</v>
      </c>
      <c r="D82" s="460" t="s">
        <v>361</v>
      </c>
      <c r="E82" s="41" t="s">
        <v>529</v>
      </c>
      <c r="F82" s="61">
        <f t="shared" si="2"/>
        <v>19</v>
      </c>
    </row>
    <row r="83" spans="1:6" ht="16" thickBot="1">
      <c r="A83" s="61">
        <v>20</v>
      </c>
      <c r="B83" s="11" t="s">
        <v>125</v>
      </c>
      <c r="C83" s="588">
        <f>SUM(C79:C82)</f>
        <v>4635234.7370823352</v>
      </c>
      <c r="D83" s="460" t="s">
        <v>361</v>
      </c>
      <c r="E83" s="41" t="s">
        <v>530</v>
      </c>
      <c r="F83" s="61">
        <f t="shared" si="2"/>
        <v>20</v>
      </c>
    </row>
    <row r="84" spans="1:6" ht="16" thickTop="1">
      <c r="A84" s="61">
        <v>21</v>
      </c>
      <c r="B84" s="35"/>
      <c r="C84" s="49"/>
      <c r="D84" s="49"/>
      <c r="E84" s="50"/>
      <c r="F84" s="61">
        <f t="shared" si="2"/>
        <v>21</v>
      </c>
    </row>
    <row r="85" spans="1:6">
      <c r="A85" s="61">
        <v>22</v>
      </c>
      <c r="B85" s="15" t="s">
        <v>315</v>
      </c>
      <c r="C85" s="49"/>
      <c r="D85" s="49"/>
      <c r="E85" s="50"/>
      <c r="F85" s="61">
        <f t="shared" si="2"/>
        <v>22</v>
      </c>
    </row>
    <row r="86" spans="1:6">
      <c r="A86" s="61">
        <v>23</v>
      </c>
      <c r="B86" s="12" t="s">
        <v>312</v>
      </c>
      <c r="C86" s="377">
        <v>0</v>
      </c>
      <c r="D86" s="49"/>
      <c r="E86" s="41" t="s">
        <v>24</v>
      </c>
      <c r="F86" s="61">
        <f t="shared" si="2"/>
        <v>23</v>
      </c>
    </row>
    <row r="87" spans="1:6">
      <c r="A87" s="61">
        <v>24</v>
      </c>
      <c r="B87" s="11" t="s">
        <v>313</v>
      </c>
      <c r="C87" s="401">
        <v>0</v>
      </c>
      <c r="D87" s="49"/>
      <c r="E87" s="41" t="s">
        <v>24</v>
      </c>
      <c r="F87" s="61">
        <f t="shared" si="2"/>
        <v>24</v>
      </c>
    </row>
    <row r="88" spans="1:6" ht="16" thickBot="1">
      <c r="A88" s="61">
        <v>25</v>
      </c>
      <c r="B88" s="12" t="s">
        <v>314</v>
      </c>
      <c r="C88" s="374">
        <f>C86-C87</f>
        <v>0</v>
      </c>
      <c r="D88" s="49"/>
      <c r="E88" s="41" t="s">
        <v>531</v>
      </c>
      <c r="F88" s="61">
        <f t="shared" si="2"/>
        <v>25</v>
      </c>
    </row>
    <row r="89" spans="1:6" ht="16" thickTop="1">
      <c r="A89" s="61"/>
    </row>
    <row r="91" spans="1:6">
      <c r="A91" s="460" t="s">
        <v>361</v>
      </c>
      <c r="B91" s="54" t="s">
        <v>574</v>
      </c>
    </row>
    <row r="92" spans="1:6">
      <c r="B92" s="54"/>
    </row>
  </sheetData>
  <mergeCells count="8">
    <mergeCell ref="B57:E57"/>
    <mergeCell ref="B58:E58"/>
    <mergeCell ref="B3:E3"/>
    <mergeCell ref="B4:E4"/>
    <mergeCell ref="B5:E5"/>
    <mergeCell ref="B6:E6"/>
    <mergeCell ref="B55:E55"/>
    <mergeCell ref="B56:E56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AV-4 WITH FERC AUDIT ADJ INCL IN APPENDIX XII CYCLE 6 (ER24-175)</oddHeader>
    <oddFooter>&amp;L&amp;F&amp;CPage 12.&amp;P&amp;R&amp;A</oddFooter>
  </headerFooter>
  <rowBreaks count="1" manualBreakCount="1">
    <brk id="5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E01D-3AC1-4F2A-B07D-78858B9632C2}">
  <dimension ref="A1:L109"/>
  <sheetViews>
    <sheetView zoomScale="80" zoomScaleNormal="80" workbookViewId="0"/>
  </sheetViews>
  <sheetFormatPr defaultColWidth="9.08984375" defaultRowHeight="15.5"/>
  <cols>
    <col min="1" max="1" width="5.08984375" style="55" customWidth="1"/>
    <col min="2" max="2" width="12.6328125" style="65" customWidth="1"/>
    <col min="3" max="3" width="20" style="65" customWidth="1"/>
    <col min="4" max="8" width="21.6328125" style="65" customWidth="1"/>
    <col min="9" max="9" width="5.08984375" style="55" customWidth="1"/>
    <col min="10" max="10" width="13.6328125" style="65" customWidth="1"/>
    <col min="11" max="11" width="12.6328125" style="65" customWidth="1"/>
    <col min="12" max="16384" width="9.08984375" style="65"/>
  </cols>
  <sheetData>
    <row r="1" spans="1:9">
      <c r="D1" s="64"/>
    </row>
    <row r="2" spans="1:9">
      <c r="B2" s="740" t="s">
        <v>12</v>
      </c>
      <c r="C2" s="740"/>
      <c r="D2" s="740"/>
      <c r="E2" s="740"/>
      <c r="F2" s="740"/>
      <c r="G2" s="740"/>
      <c r="H2" s="740"/>
      <c r="I2" s="589"/>
    </row>
    <row r="3" spans="1:9">
      <c r="B3" s="740" t="s">
        <v>339</v>
      </c>
      <c r="C3" s="740"/>
      <c r="D3" s="740"/>
      <c r="E3" s="740"/>
      <c r="F3" s="740"/>
      <c r="G3" s="740"/>
      <c r="H3" s="740"/>
      <c r="I3" s="589"/>
    </row>
    <row r="4" spans="1:9">
      <c r="B4" s="741" t="s">
        <v>613</v>
      </c>
      <c r="C4" s="741"/>
      <c r="D4" s="741"/>
      <c r="E4" s="741"/>
      <c r="F4" s="741"/>
      <c r="G4" s="741"/>
      <c r="H4" s="741"/>
      <c r="I4" s="589"/>
    </row>
    <row r="5" spans="1:9">
      <c r="B5" s="741" t="s">
        <v>532</v>
      </c>
      <c r="C5" s="741"/>
      <c r="D5" s="741"/>
      <c r="E5" s="741"/>
      <c r="F5" s="741"/>
      <c r="G5" s="741"/>
      <c r="H5" s="741"/>
      <c r="I5" s="589"/>
    </row>
    <row r="6" spans="1:9">
      <c r="B6" s="742" t="s">
        <v>1</v>
      </c>
      <c r="C6" s="742"/>
      <c r="D6" s="742"/>
      <c r="E6" s="742"/>
      <c r="F6" s="742"/>
      <c r="G6" s="742"/>
      <c r="H6" s="742"/>
      <c r="I6" s="589"/>
    </row>
    <row r="7" spans="1:9">
      <c r="A7" s="589"/>
      <c r="B7" s="589"/>
      <c r="C7" s="589"/>
      <c r="D7" s="589"/>
      <c r="E7" s="589"/>
      <c r="F7" s="589"/>
      <c r="G7" s="589"/>
      <c r="H7" s="589"/>
      <c r="I7" s="589"/>
    </row>
    <row r="8" spans="1:9">
      <c r="A8" s="79" t="s">
        <v>2</v>
      </c>
      <c r="B8" s="184"/>
      <c r="I8" s="79" t="s">
        <v>2</v>
      </c>
    </row>
    <row r="9" spans="1:9">
      <c r="A9" s="513" t="s">
        <v>14</v>
      </c>
      <c r="B9" s="184"/>
      <c r="I9" s="513" t="s">
        <v>14</v>
      </c>
    </row>
    <row r="10" spans="1:9">
      <c r="A10" s="79">
        <v>1</v>
      </c>
      <c r="C10" s="591" t="s">
        <v>533</v>
      </c>
      <c r="D10" s="591" t="s">
        <v>534</v>
      </c>
      <c r="E10" s="591" t="s">
        <v>535</v>
      </c>
      <c r="F10" s="591" t="s">
        <v>536</v>
      </c>
      <c r="G10" s="591" t="s">
        <v>537</v>
      </c>
      <c r="H10" s="591" t="s">
        <v>538</v>
      </c>
      <c r="I10" s="79">
        <v>1</v>
      </c>
    </row>
    <row r="11" spans="1:9">
      <c r="A11" s="79">
        <f t="shared" ref="A11:A74" si="0">A10+1</f>
        <v>2</v>
      </c>
      <c r="B11" s="67" t="s">
        <v>539</v>
      </c>
      <c r="C11" s="79"/>
      <c r="D11" s="172" t="s">
        <v>540</v>
      </c>
      <c r="E11" s="79"/>
      <c r="F11" s="79" t="s">
        <v>541</v>
      </c>
      <c r="G11" s="79" t="s">
        <v>542</v>
      </c>
      <c r="H11" s="172" t="s">
        <v>543</v>
      </c>
      <c r="I11" s="79">
        <f t="shared" ref="I11:I74" si="1">I10+1</f>
        <v>2</v>
      </c>
    </row>
    <row r="12" spans="1:9">
      <c r="A12" s="79">
        <f t="shared" si="0"/>
        <v>3</v>
      </c>
      <c r="C12" s="591"/>
      <c r="F12" s="164" t="s">
        <v>544</v>
      </c>
      <c r="H12" s="164" t="s">
        <v>544</v>
      </c>
      <c r="I12" s="79">
        <f t="shared" si="1"/>
        <v>3</v>
      </c>
    </row>
    <row r="13" spans="1:9">
      <c r="A13" s="79">
        <f t="shared" si="0"/>
        <v>4</v>
      </c>
      <c r="C13" s="591"/>
      <c r="D13" s="164" t="s">
        <v>545</v>
      </c>
      <c r="E13" s="164"/>
      <c r="F13" s="164" t="s">
        <v>546</v>
      </c>
      <c r="H13" s="164" t="s">
        <v>546</v>
      </c>
      <c r="I13" s="79">
        <f t="shared" si="1"/>
        <v>4</v>
      </c>
    </row>
    <row r="14" spans="1:9">
      <c r="A14" s="79">
        <f t="shared" si="0"/>
        <v>5</v>
      </c>
      <c r="C14" s="164"/>
      <c r="D14" s="164" t="s">
        <v>546</v>
      </c>
      <c r="E14" s="164" t="s">
        <v>545</v>
      </c>
      <c r="F14" s="164" t="s">
        <v>547</v>
      </c>
      <c r="H14" s="164" t="s">
        <v>547</v>
      </c>
      <c r="I14" s="79">
        <f t="shared" si="1"/>
        <v>5</v>
      </c>
    </row>
    <row r="15" spans="1:9">
      <c r="A15" s="79">
        <f t="shared" si="0"/>
        <v>6</v>
      </c>
      <c r="C15" s="164"/>
      <c r="D15" s="164" t="s">
        <v>547</v>
      </c>
      <c r="E15" s="164" t="s">
        <v>548</v>
      </c>
      <c r="F15" s="164" t="s">
        <v>549</v>
      </c>
      <c r="G15" s="164"/>
      <c r="H15" s="164" t="s">
        <v>549</v>
      </c>
      <c r="I15" s="79">
        <f t="shared" si="1"/>
        <v>6</v>
      </c>
    </row>
    <row r="16" spans="1:9" ht="18">
      <c r="A16" s="79">
        <f t="shared" si="0"/>
        <v>7</v>
      </c>
      <c r="B16" s="617" t="s">
        <v>13</v>
      </c>
      <c r="C16" s="617" t="s">
        <v>550</v>
      </c>
      <c r="D16" s="530" t="s">
        <v>549</v>
      </c>
      <c r="E16" s="530" t="s">
        <v>551</v>
      </c>
      <c r="F16" s="530" t="s">
        <v>552</v>
      </c>
      <c r="G16" s="592" t="s">
        <v>548</v>
      </c>
      <c r="H16" s="530" t="s">
        <v>553</v>
      </c>
      <c r="I16" s="79">
        <f t="shared" si="1"/>
        <v>7</v>
      </c>
    </row>
    <row r="17" spans="1:12">
      <c r="A17" s="79">
        <f t="shared" si="0"/>
        <v>8</v>
      </c>
      <c r="B17" s="618" t="s">
        <v>554</v>
      </c>
      <c r="C17" s="619">
        <v>2018</v>
      </c>
      <c r="D17" s="670">
        <f>'Pg2 App XII C2 Comparison'!G28/12</f>
        <v>1.8023873279389591E-2</v>
      </c>
      <c r="E17" s="620">
        <v>3.5999999999999999E-3</v>
      </c>
      <c r="F17" s="673">
        <f>+D17</f>
        <v>1.8023873279389591E-2</v>
      </c>
      <c r="G17" s="674">
        <f>(D17/2)*E17</f>
        <v>3.2442971902901263E-5</v>
      </c>
      <c r="H17" s="674">
        <f t="shared" ref="H17:H80" si="2">F17+G17</f>
        <v>1.8056316251292493E-2</v>
      </c>
      <c r="I17" s="79">
        <f t="shared" si="1"/>
        <v>8</v>
      </c>
      <c r="J17" s="594"/>
    </row>
    <row r="18" spans="1:12">
      <c r="A18" s="79">
        <f t="shared" si="0"/>
        <v>9</v>
      </c>
      <c r="B18" s="618" t="s">
        <v>555</v>
      </c>
      <c r="C18" s="619">
        <f>C17</f>
        <v>2018</v>
      </c>
      <c r="D18" s="671">
        <f>D17</f>
        <v>1.8023873279389591E-2</v>
      </c>
      <c r="E18" s="593">
        <v>3.3E-3</v>
      </c>
      <c r="F18" s="675">
        <f>H17+D18</f>
        <v>3.608018953068208E-2</v>
      </c>
      <c r="G18" s="676">
        <f t="shared" ref="G18:G81" si="3">(H17+F18)/2*E18</f>
        <v>8.932523454025804E-5</v>
      </c>
      <c r="H18" s="676">
        <f t="shared" si="2"/>
        <v>3.6169514765222337E-2</v>
      </c>
      <c r="I18" s="79">
        <f t="shared" si="1"/>
        <v>9</v>
      </c>
      <c r="J18" s="595"/>
    </row>
    <row r="19" spans="1:12">
      <c r="A19" s="79">
        <f t="shared" si="0"/>
        <v>10</v>
      </c>
      <c r="B19" s="618" t="s">
        <v>556</v>
      </c>
      <c r="C19" s="619">
        <f>C17</f>
        <v>2018</v>
      </c>
      <c r="D19" s="671">
        <f t="shared" ref="D19:D27" si="4">D18</f>
        <v>1.8023873279389591E-2</v>
      </c>
      <c r="E19" s="593">
        <v>3.5999999999999999E-3</v>
      </c>
      <c r="F19" s="675">
        <f>H18+D19</f>
        <v>5.4193388044611927E-2</v>
      </c>
      <c r="G19" s="676">
        <f t="shared" si="3"/>
        <v>1.6265322505770166E-4</v>
      </c>
      <c r="H19" s="676">
        <f t="shared" si="2"/>
        <v>5.4356041269669628E-2</v>
      </c>
      <c r="I19" s="79">
        <f t="shared" si="1"/>
        <v>10</v>
      </c>
      <c r="J19" s="595"/>
    </row>
    <row r="20" spans="1:12">
      <c r="A20" s="79">
        <f t="shared" si="0"/>
        <v>11</v>
      </c>
      <c r="B20" s="618" t="s">
        <v>557</v>
      </c>
      <c r="C20" s="619">
        <f>C17</f>
        <v>2018</v>
      </c>
      <c r="D20" s="671">
        <f t="shared" si="4"/>
        <v>1.8023873279389591E-2</v>
      </c>
      <c r="E20" s="593">
        <v>3.7000000000000002E-3</v>
      </c>
      <c r="F20" s="675">
        <f>H19+D20</f>
        <v>7.2379914549059218E-2</v>
      </c>
      <c r="G20" s="676">
        <f t="shared" si="3"/>
        <v>2.3446151826464836E-4</v>
      </c>
      <c r="H20" s="676">
        <f t="shared" si="2"/>
        <v>7.2614376067323863E-2</v>
      </c>
      <c r="I20" s="79">
        <f t="shared" si="1"/>
        <v>11</v>
      </c>
      <c r="J20" s="595"/>
      <c r="L20" s="596"/>
    </row>
    <row r="21" spans="1:12">
      <c r="A21" s="79">
        <f t="shared" si="0"/>
        <v>12</v>
      </c>
      <c r="B21" s="618" t="s">
        <v>558</v>
      </c>
      <c r="C21" s="619">
        <f>C17</f>
        <v>2018</v>
      </c>
      <c r="D21" s="671">
        <f t="shared" si="4"/>
        <v>1.8023873279389591E-2</v>
      </c>
      <c r="E21" s="593">
        <v>3.8E-3</v>
      </c>
      <c r="F21" s="675">
        <f t="shared" ref="F21:F81" si="5">H20+D21</f>
        <v>9.0638249346713454E-2</v>
      </c>
      <c r="G21" s="676">
        <f t="shared" si="3"/>
        <v>3.1017998828667092E-4</v>
      </c>
      <c r="H21" s="676">
        <f t="shared" si="2"/>
        <v>9.0948429335000122E-2</v>
      </c>
      <c r="I21" s="79">
        <f t="shared" si="1"/>
        <v>12</v>
      </c>
      <c r="J21" s="595"/>
    </row>
    <row r="22" spans="1:12">
      <c r="A22" s="79">
        <f t="shared" si="0"/>
        <v>13</v>
      </c>
      <c r="B22" s="618" t="s">
        <v>559</v>
      </c>
      <c r="C22" s="619">
        <f>C17</f>
        <v>2018</v>
      </c>
      <c r="D22" s="671">
        <f t="shared" si="4"/>
        <v>1.8023873279389591E-2</v>
      </c>
      <c r="E22" s="593">
        <v>3.7000000000000002E-3</v>
      </c>
      <c r="F22" s="675">
        <f t="shared" si="5"/>
        <v>0.10897230261438971</v>
      </c>
      <c r="G22" s="676">
        <f t="shared" si="3"/>
        <v>3.6985335410637119E-4</v>
      </c>
      <c r="H22" s="676">
        <f t="shared" si="2"/>
        <v>0.10934215596849609</v>
      </c>
      <c r="I22" s="79">
        <f t="shared" si="1"/>
        <v>13</v>
      </c>
      <c r="J22" s="595"/>
    </row>
    <row r="23" spans="1:12">
      <c r="A23" s="79">
        <f t="shared" si="0"/>
        <v>14</v>
      </c>
      <c r="B23" s="618" t="s">
        <v>560</v>
      </c>
      <c r="C23" s="619">
        <f>C17</f>
        <v>2018</v>
      </c>
      <c r="D23" s="671">
        <f t="shared" si="4"/>
        <v>1.8023873279389591E-2</v>
      </c>
      <c r="E23" s="593">
        <v>4.0000000000000001E-3</v>
      </c>
      <c r="F23" s="675">
        <f t="shared" si="5"/>
        <v>0.12736602924788568</v>
      </c>
      <c r="G23" s="676">
        <f t="shared" si="3"/>
        <v>4.7341637043276351E-4</v>
      </c>
      <c r="H23" s="676">
        <f t="shared" si="2"/>
        <v>0.12783944561831845</v>
      </c>
      <c r="I23" s="79">
        <f t="shared" si="1"/>
        <v>14</v>
      </c>
      <c r="J23" s="595"/>
    </row>
    <row r="24" spans="1:12">
      <c r="A24" s="79">
        <f t="shared" si="0"/>
        <v>15</v>
      </c>
      <c r="B24" s="618" t="s">
        <v>561</v>
      </c>
      <c r="C24" s="619">
        <f>C17</f>
        <v>2018</v>
      </c>
      <c r="D24" s="671">
        <f t="shared" si="4"/>
        <v>1.8023873279389591E-2</v>
      </c>
      <c r="E24" s="593">
        <v>4.0000000000000001E-3</v>
      </c>
      <c r="F24" s="675">
        <f t="shared" si="5"/>
        <v>0.14586331889770804</v>
      </c>
      <c r="G24" s="676">
        <f t="shared" si="3"/>
        <v>5.4740552903205302E-4</v>
      </c>
      <c r="H24" s="676">
        <f t="shared" si="2"/>
        <v>0.14641072442674008</v>
      </c>
      <c r="I24" s="79">
        <f t="shared" si="1"/>
        <v>15</v>
      </c>
      <c r="J24" s="595"/>
    </row>
    <row r="25" spans="1:12">
      <c r="A25" s="79">
        <f t="shared" si="0"/>
        <v>16</v>
      </c>
      <c r="B25" s="618" t="s">
        <v>562</v>
      </c>
      <c r="C25" s="619">
        <f>C17</f>
        <v>2018</v>
      </c>
      <c r="D25" s="671">
        <f t="shared" si="4"/>
        <v>1.8023873279389591E-2</v>
      </c>
      <c r="E25" s="593">
        <v>3.8999999999999998E-3</v>
      </c>
      <c r="F25" s="675">
        <f t="shared" si="5"/>
        <v>0.16443459770612967</v>
      </c>
      <c r="G25" s="676">
        <f t="shared" si="3"/>
        <v>6.0614837815909598E-4</v>
      </c>
      <c r="H25" s="676">
        <f t="shared" si="2"/>
        <v>0.16504074608428876</v>
      </c>
      <c r="I25" s="79">
        <f t="shared" si="1"/>
        <v>16</v>
      </c>
      <c r="J25" s="595"/>
    </row>
    <row r="26" spans="1:12">
      <c r="A26" s="79">
        <f t="shared" si="0"/>
        <v>17</v>
      </c>
      <c r="B26" s="618" t="s">
        <v>563</v>
      </c>
      <c r="C26" s="619">
        <f>C17</f>
        <v>2018</v>
      </c>
      <c r="D26" s="671">
        <f t="shared" si="4"/>
        <v>1.8023873279389591E-2</v>
      </c>
      <c r="E26" s="593">
        <v>4.1999999999999997E-3</v>
      </c>
      <c r="F26" s="675">
        <f t="shared" si="5"/>
        <v>0.18306461936367835</v>
      </c>
      <c r="G26" s="676">
        <f t="shared" si="3"/>
        <v>7.310212674407309E-4</v>
      </c>
      <c r="H26" s="676">
        <f t="shared" si="2"/>
        <v>0.18379564063111908</v>
      </c>
      <c r="I26" s="79">
        <f t="shared" si="1"/>
        <v>17</v>
      </c>
      <c r="J26" s="595"/>
    </row>
    <row r="27" spans="1:12">
      <c r="A27" s="79">
        <f t="shared" si="0"/>
        <v>18</v>
      </c>
      <c r="B27" s="618" t="s">
        <v>564</v>
      </c>
      <c r="C27" s="619">
        <f>C17</f>
        <v>2018</v>
      </c>
      <c r="D27" s="671">
        <f t="shared" si="4"/>
        <v>1.8023873279389591E-2</v>
      </c>
      <c r="E27" s="593">
        <v>4.1000000000000003E-3</v>
      </c>
      <c r="F27" s="675">
        <f t="shared" si="5"/>
        <v>0.20181951391050867</v>
      </c>
      <c r="G27" s="676">
        <f t="shared" si="3"/>
        <v>7.9051106681033692E-4</v>
      </c>
      <c r="H27" s="677">
        <f t="shared" si="2"/>
        <v>0.202610024977319</v>
      </c>
      <c r="I27" s="79">
        <f t="shared" si="1"/>
        <v>18</v>
      </c>
      <c r="J27" s="595"/>
    </row>
    <row r="28" spans="1:12">
      <c r="A28" s="79">
        <f t="shared" si="0"/>
        <v>19</v>
      </c>
      <c r="B28" s="621" t="s">
        <v>565</v>
      </c>
      <c r="C28" s="622">
        <f>C17</f>
        <v>2018</v>
      </c>
      <c r="D28" s="672">
        <f>D27</f>
        <v>1.8023873279389591E-2</v>
      </c>
      <c r="E28" s="597">
        <v>4.1999999999999997E-3</v>
      </c>
      <c r="F28" s="678">
        <f t="shared" si="5"/>
        <v>0.22063389825670859</v>
      </c>
      <c r="G28" s="679">
        <f t="shared" si="3"/>
        <v>8.8881223879145785E-4</v>
      </c>
      <c r="H28" s="680">
        <f t="shared" si="2"/>
        <v>0.22152271049550004</v>
      </c>
      <c r="I28" s="79">
        <f t="shared" si="1"/>
        <v>19</v>
      </c>
      <c r="J28" s="595"/>
    </row>
    <row r="29" spans="1:12">
      <c r="A29" s="79">
        <f t="shared" si="0"/>
        <v>20</v>
      </c>
      <c r="B29" s="618" t="s">
        <v>554</v>
      </c>
      <c r="C29" s="619">
        <f>C28+1</f>
        <v>2019</v>
      </c>
      <c r="D29" s="598"/>
      <c r="E29" s="593">
        <v>4.4000000000000003E-3</v>
      </c>
      <c r="F29" s="681">
        <f t="shared" si="5"/>
        <v>0.22152271049550004</v>
      </c>
      <c r="G29" s="676">
        <f t="shared" si="3"/>
        <v>9.7469992618020023E-4</v>
      </c>
      <c r="H29" s="682">
        <f t="shared" si="2"/>
        <v>0.22249741042168025</v>
      </c>
      <c r="I29" s="79">
        <f t="shared" si="1"/>
        <v>20</v>
      </c>
      <c r="J29" s="595"/>
    </row>
    <row r="30" spans="1:12">
      <c r="A30" s="79">
        <f t="shared" si="0"/>
        <v>21</v>
      </c>
      <c r="B30" s="618" t="s">
        <v>555</v>
      </c>
      <c r="C30" s="619">
        <f>C29</f>
        <v>2019</v>
      </c>
      <c r="D30" s="598"/>
      <c r="E30" s="593">
        <v>4.0000000000000001E-3</v>
      </c>
      <c r="F30" s="681">
        <f t="shared" si="5"/>
        <v>0.22249741042168025</v>
      </c>
      <c r="G30" s="676">
        <f t="shared" si="3"/>
        <v>8.89989641686721E-4</v>
      </c>
      <c r="H30" s="682">
        <f t="shared" si="2"/>
        <v>0.22338740006336696</v>
      </c>
      <c r="I30" s="79">
        <f t="shared" si="1"/>
        <v>21</v>
      </c>
      <c r="J30" s="595"/>
    </row>
    <row r="31" spans="1:12">
      <c r="A31" s="79">
        <f t="shared" si="0"/>
        <v>22</v>
      </c>
      <c r="B31" s="618" t="s">
        <v>556</v>
      </c>
      <c r="C31" s="619">
        <f t="shared" ref="C31:C39" si="6">C30</f>
        <v>2019</v>
      </c>
      <c r="D31" s="598"/>
      <c r="E31" s="593">
        <v>4.4000000000000003E-3</v>
      </c>
      <c r="F31" s="681">
        <f t="shared" si="5"/>
        <v>0.22338740006336696</v>
      </c>
      <c r="G31" s="676">
        <f t="shared" si="3"/>
        <v>9.829045602788146E-4</v>
      </c>
      <c r="H31" s="682">
        <f t="shared" si="2"/>
        <v>0.22437030462364577</v>
      </c>
      <c r="I31" s="79">
        <f t="shared" si="1"/>
        <v>22</v>
      </c>
      <c r="J31" s="595"/>
    </row>
    <row r="32" spans="1:12">
      <c r="A32" s="79">
        <f t="shared" si="0"/>
        <v>23</v>
      </c>
      <c r="B32" s="618" t="s">
        <v>557</v>
      </c>
      <c r="C32" s="619">
        <f t="shared" si="6"/>
        <v>2019</v>
      </c>
      <c r="D32" s="598"/>
      <c r="E32" s="593">
        <v>4.4999999999999997E-3</v>
      </c>
      <c r="F32" s="681">
        <f t="shared" si="5"/>
        <v>0.22437030462364577</v>
      </c>
      <c r="G32" s="676">
        <f t="shared" si="3"/>
        <v>1.009666370806406E-3</v>
      </c>
      <c r="H32" s="682">
        <f t="shared" si="2"/>
        <v>0.22537997099445217</v>
      </c>
      <c r="I32" s="79">
        <f t="shared" si="1"/>
        <v>23</v>
      </c>
      <c r="J32" s="595"/>
    </row>
    <row r="33" spans="1:10">
      <c r="A33" s="79">
        <f t="shared" si="0"/>
        <v>24</v>
      </c>
      <c r="B33" s="618" t="s">
        <v>558</v>
      </c>
      <c r="C33" s="619">
        <f t="shared" si="6"/>
        <v>2019</v>
      </c>
      <c r="D33" s="598"/>
      <c r="E33" s="593">
        <v>4.5999999999999999E-3</v>
      </c>
      <c r="F33" s="681">
        <f t="shared" si="5"/>
        <v>0.22537997099445217</v>
      </c>
      <c r="G33" s="676">
        <f t="shared" si="3"/>
        <v>1.0367478665744799E-3</v>
      </c>
      <c r="H33" s="682">
        <f t="shared" si="2"/>
        <v>0.22641671886102666</v>
      </c>
      <c r="I33" s="79">
        <f t="shared" si="1"/>
        <v>24</v>
      </c>
      <c r="J33" s="595"/>
    </row>
    <row r="34" spans="1:10">
      <c r="A34" s="79">
        <f t="shared" si="0"/>
        <v>25</v>
      </c>
      <c r="B34" s="618" t="s">
        <v>559</v>
      </c>
      <c r="C34" s="619">
        <f t="shared" si="6"/>
        <v>2019</v>
      </c>
      <c r="D34" s="598"/>
      <c r="E34" s="593">
        <v>4.4999999999999997E-3</v>
      </c>
      <c r="F34" s="681">
        <f t="shared" si="5"/>
        <v>0.22641671886102666</v>
      </c>
      <c r="G34" s="676">
        <f t="shared" si="3"/>
        <v>1.0188752348746198E-3</v>
      </c>
      <c r="H34" s="682">
        <f t="shared" si="2"/>
        <v>0.22743559409590128</v>
      </c>
      <c r="I34" s="79">
        <f t="shared" si="1"/>
        <v>25</v>
      </c>
      <c r="J34" s="595"/>
    </row>
    <row r="35" spans="1:10">
      <c r="A35" s="79">
        <f t="shared" si="0"/>
        <v>26</v>
      </c>
      <c r="B35" s="618" t="s">
        <v>560</v>
      </c>
      <c r="C35" s="619">
        <f t="shared" si="6"/>
        <v>2019</v>
      </c>
      <c r="D35" s="598"/>
      <c r="E35" s="593">
        <v>4.7000000000000002E-3</v>
      </c>
      <c r="F35" s="681">
        <f t="shared" si="5"/>
        <v>0.22743559409590128</v>
      </c>
      <c r="G35" s="676">
        <f t="shared" si="3"/>
        <v>1.068947292250736E-3</v>
      </c>
      <c r="H35" s="682">
        <f t="shared" si="2"/>
        <v>0.22850454138815202</v>
      </c>
      <c r="I35" s="79">
        <f t="shared" si="1"/>
        <v>26</v>
      </c>
      <c r="J35" s="595"/>
    </row>
    <row r="36" spans="1:10">
      <c r="A36" s="79">
        <f t="shared" si="0"/>
        <v>27</v>
      </c>
      <c r="B36" s="618" t="s">
        <v>561</v>
      </c>
      <c r="C36" s="619">
        <f t="shared" si="6"/>
        <v>2019</v>
      </c>
      <c r="D36" s="598"/>
      <c r="E36" s="593">
        <v>4.7000000000000002E-3</v>
      </c>
      <c r="F36" s="681">
        <f t="shared" si="5"/>
        <v>0.22850454138815202</v>
      </c>
      <c r="G36" s="676">
        <f t="shared" si="3"/>
        <v>1.0739713445243144E-3</v>
      </c>
      <c r="H36" s="682">
        <f t="shared" si="2"/>
        <v>0.22957851273267632</v>
      </c>
      <c r="I36" s="79">
        <f t="shared" si="1"/>
        <v>27</v>
      </c>
      <c r="J36" s="595"/>
    </row>
    <row r="37" spans="1:10">
      <c r="A37" s="79">
        <f t="shared" si="0"/>
        <v>28</v>
      </c>
      <c r="B37" s="618" t="s">
        <v>562</v>
      </c>
      <c r="C37" s="619">
        <f t="shared" si="6"/>
        <v>2019</v>
      </c>
      <c r="D37" s="598"/>
      <c r="E37" s="593">
        <v>4.4999999999999997E-3</v>
      </c>
      <c r="F37" s="681">
        <f t="shared" si="5"/>
        <v>0.22957851273267632</v>
      </c>
      <c r="G37" s="676">
        <f t="shared" si="3"/>
        <v>1.0331033072970433E-3</v>
      </c>
      <c r="H37" s="682">
        <f t="shared" si="2"/>
        <v>0.23061161603997338</v>
      </c>
      <c r="I37" s="79">
        <f t="shared" si="1"/>
        <v>28</v>
      </c>
      <c r="J37" s="595"/>
    </row>
    <row r="38" spans="1:10">
      <c r="A38" s="79">
        <f t="shared" si="0"/>
        <v>29</v>
      </c>
      <c r="B38" s="618" t="s">
        <v>563</v>
      </c>
      <c r="C38" s="619">
        <f t="shared" si="6"/>
        <v>2019</v>
      </c>
      <c r="D38" s="598"/>
      <c r="E38" s="593">
        <v>4.5999999999999999E-3</v>
      </c>
      <c r="F38" s="681">
        <f t="shared" si="5"/>
        <v>0.23061161603997338</v>
      </c>
      <c r="G38" s="676">
        <f t="shared" si="3"/>
        <v>1.0608134337838776E-3</v>
      </c>
      <c r="H38" s="682">
        <f t="shared" si="2"/>
        <v>0.23167242947375727</v>
      </c>
      <c r="I38" s="79">
        <f t="shared" si="1"/>
        <v>29</v>
      </c>
      <c r="J38" s="595"/>
    </row>
    <row r="39" spans="1:10">
      <c r="A39" s="79">
        <f t="shared" si="0"/>
        <v>30</v>
      </c>
      <c r="B39" s="618" t="s">
        <v>564</v>
      </c>
      <c r="C39" s="619">
        <f t="shared" si="6"/>
        <v>2019</v>
      </c>
      <c r="D39" s="598"/>
      <c r="E39" s="593">
        <v>4.4999999999999997E-3</v>
      </c>
      <c r="F39" s="681">
        <f t="shared" si="5"/>
        <v>0.23167242947375727</v>
      </c>
      <c r="G39" s="676">
        <f t="shared" si="3"/>
        <v>1.0425259326319076E-3</v>
      </c>
      <c r="H39" s="682">
        <f t="shared" si="2"/>
        <v>0.23271495540638917</v>
      </c>
      <c r="I39" s="79">
        <f t="shared" si="1"/>
        <v>30</v>
      </c>
      <c r="J39" s="595"/>
    </row>
    <row r="40" spans="1:10">
      <c r="A40" s="79">
        <f t="shared" si="0"/>
        <v>31</v>
      </c>
      <c r="B40" s="621" t="s">
        <v>565</v>
      </c>
      <c r="C40" s="622">
        <f>C39</f>
        <v>2019</v>
      </c>
      <c r="D40" s="599"/>
      <c r="E40" s="597">
        <v>4.5999999999999999E-3</v>
      </c>
      <c r="F40" s="678">
        <f t="shared" si="5"/>
        <v>0.23271495540638917</v>
      </c>
      <c r="G40" s="679">
        <f t="shared" si="3"/>
        <v>1.0704887948693902E-3</v>
      </c>
      <c r="H40" s="680">
        <f t="shared" si="2"/>
        <v>0.23378544420125857</v>
      </c>
      <c r="I40" s="79">
        <f t="shared" si="1"/>
        <v>31</v>
      </c>
      <c r="J40" s="595"/>
    </row>
    <row r="41" spans="1:10">
      <c r="A41" s="79">
        <f t="shared" si="0"/>
        <v>32</v>
      </c>
      <c r="B41" s="618" t="s">
        <v>554</v>
      </c>
      <c r="C41" s="619">
        <f>C40+1</f>
        <v>2020</v>
      </c>
      <c r="D41" s="598"/>
      <c r="E41" s="593">
        <v>4.1999999999999997E-3</v>
      </c>
      <c r="F41" s="681">
        <f t="shared" si="5"/>
        <v>0.23378544420125857</v>
      </c>
      <c r="G41" s="676">
        <f t="shared" si="3"/>
        <v>9.8189886564528585E-4</v>
      </c>
      <c r="H41" s="682">
        <f t="shared" si="2"/>
        <v>0.23476734306690386</v>
      </c>
      <c r="I41" s="79">
        <f t="shared" si="1"/>
        <v>32</v>
      </c>
      <c r="J41" s="595"/>
    </row>
    <row r="42" spans="1:10">
      <c r="A42" s="79">
        <f t="shared" si="0"/>
        <v>33</v>
      </c>
      <c r="B42" s="618" t="s">
        <v>555</v>
      </c>
      <c r="C42" s="619">
        <f>C41</f>
        <v>2020</v>
      </c>
      <c r="D42" s="598"/>
      <c r="E42" s="593">
        <v>3.8999999999999998E-3</v>
      </c>
      <c r="F42" s="681">
        <f t="shared" si="5"/>
        <v>0.23476734306690386</v>
      </c>
      <c r="G42" s="676">
        <f t="shared" si="3"/>
        <v>9.1559263796092498E-4</v>
      </c>
      <c r="H42" s="682">
        <f t="shared" si="2"/>
        <v>0.23568293570486479</v>
      </c>
      <c r="I42" s="79">
        <f t="shared" si="1"/>
        <v>33</v>
      </c>
      <c r="J42" s="595"/>
    </row>
    <row r="43" spans="1:10">
      <c r="A43" s="79">
        <f t="shared" si="0"/>
        <v>34</v>
      </c>
      <c r="B43" s="618" t="s">
        <v>556</v>
      </c>
      <c r="C43" s="619">
        <f t="shared" ref="C43:C51" si="7">C42</f>
        <v>2020</v>
      </c>
      <c r="D43" s="598"/>
      <c r="E43" s="593">
        <v>4.1999999999999997E-3</v>
      </c>
      <c r="F43" s="681">
        <f t="shared" si="5"/>
        <v>0.23568293570486479</v>
      </c>
      <c r="G43" s="676">
        <f t="shared" si="3"/>
        <v>9.8986832996043211E-4</v>
      </c>
      <c r="H43" s="682">
        <f t="shared" si="2"/>
        <v>0.23667280403482521</v>
      </c>
      <c r="I43" s="79">
        <f t="shared" si="1"/>
        <v>34</v>
      </c>
      <c r="J43" s="595"/>
    </row>
    <row r="44" spans="1:10">
      <c r="A44" s="79">
        <f t="shared" si="0"/>
        <v>35</v>
      </c>
      <c r="B44" s="618" t="s">
        <v>557</v>
      </c>
      <c r="C44" s="619">
        <f t="shared" si="7"/>
        <v>2020</v>
      </c>
      <c r="D44" s="598"/>
      <c r="E44" s="593">
        <v>3.8999999999999998E-3</v>
      </c>
      <c r="F44" s="681">
        <f t="shared" si="5"/>
        <v>0.23667280403482521</v>
      </c>
      <c r="G44" s="676">
        <f t="shared" si="3"/>
        <v>9.2302393573581829E-4</v>
      </c>
      <c r="H44" s="682">
        <f t="shared" si="2"/>
        <v>0.23759582797056103</v>
      </c>
      <c r="I44" s="79">
        <f t="shared" si="1"/>
        <v>35</v>
      </c>
      <c r="J44" s="595"/>
    </row>
    <row r="45" spans="1:10">
      <c r="A45" s="79">
        <f t="shared" si="0"/>
        <v>36</v>
      </c>
      <c r="B45" s="618" t="s">
        <v>558</v>
      </c>
      <c r="C45" s="619">
        <f t="shared" si="7"/>
        <v>2020</v>
      </c>
      <c r="D45" s="598"/>
      <c r="E45" s="593">
        <v>4.0000000000000001E-3</v>
      </c>
      <c r="F45" s="681">
        <f t="shared" si="5"/>
        <v>0.23759582797056103</v>
      </c>
      <c r="G45" s="676">
        <f t="shared" si="3"/>
        <v>9.5038331188224416E-4</v>
      </c>
      <c r="H45" s="682">
        <f t="shared" si="2"/>
        <v>0.23854621128244327</v>
      </c>
      <c r="I45" s="79">
        <f t="shared" si="1"/>
        <v>36</v>
      </c>
      <c r="J45" s="595"/>
    </row>
    <row r="46" spans="1:10">
      <c r="A46" s="79">
        <f t="shared" si="0"/>
        <v>37</v>
      </c>
      <c r="B46" s="618" t="s">
        <v>559</v>
      </c>
      <c r="C46" s="619">
        <f t="shared" si="7"/>
        <v>2020</v>
      </c>
      <c r="D46" s="598"/>
      <c r="E46" s="593">
        <v>3.8999999999999998E-3</v>
      </c>
      <c r="F46" s="681">
        <f t="shared" si="5"/>
        <v>0.23854621128244327</v>
      </c>
      <c r="G46" s="676">
        <f t="shared" si="3"/>
        <v>9.3033022400152874E-4</v>
      </c>
      <c r="H46" s="682">
        <f t="shared" si="2"/>
        <v>0.23947654150644479</v>
      </c>
      <c r="I46" s="79">
        <f t="shared" si="1"/>
        <v>37</v>
      </c>
      <c r="J46" s="595"/>
    </row>
    <row r="47" spans="1:10">
      <c r="A47" s="79">
        <f t="shared" si="0"/>
        <v>38</v>
      </c>
      <c r="B47" s="618" t="s">
        <v>560</v>
      </c>
      <c r="C47" s="619">
        <f t="shared" si="7"/>
        <v>2020</v>
      </c>
      <c r="D47" s="598"/>
      <c r="E47" s="593">
        <v>2.8999999999999998E-3</v>
      </c>
      <c r="F47" s="681">
        <f t="shared" si="5"/>
        <v>0.23947654150644479</v>
      </c>
      <c r="G47" s="676">
        <f t="shared" si="3"/>
        <v>6.9448197036868985E-4</v>
      </c>
      <c r="H47" s="682">
        <f t="shared" si="2"/>
        <v>0.24017102347681349</v>
      </c>
      <c r="I47" s="79">
        <f t="shared" si="1"/>
        <v>38</v>
      </c>
      <c r="J47" s="595"/>
    </row>
    <row r="48" spans="1:10">
      <c r="A48" s="79">
        <f t="shared" si="0"/>
        <v>39</v>
      </c>
      <c r="B48" s="618" t="s">
        <v>561</v>
      </c>
      <c r="C48" s="619">
        <f t="shared" si="7"/>
        <v>2020</v>
      </c>
      <c r="D48" s="598"/>
      <c r="E48" s="593">
        <v>2.8999999999999998E-3</v>
      </c>
      <c r="F48" s="681">
        <f t="shared" si="5"/>
        <v>0.24017102347681349</v>
      </c>
      <c r="G48" s="676">
        <f t="shared" si="3"/>
        <v>6.9649596808275902E-4</v>
      </c>
      <c r="H48" s="682">
        <f t="shared" si="2"/>
        <v>0.24086751944489626</v>
      </c>
      <c r="I48" s="79">
        <f t="shared" si="1"/>
        <v>39</v>
      </c>
      <c r="J48" s="595"/>
    </row>
    <row r="49" spans="1:10">
      <c r="A49" s="79">
        <f t="shared" si="0"/>
        <v>40</v>
      </c>
      <c r="B49" s="618" t="s">
        <v>562</v>
      </c>
      <c r="C49" s="619">
        <f t="shared" si="7"/>
        <v>2020</v>
      </c>
      <c r="D49" s="598"/>
      <c r="E49" s="593">
        <v>2.8E-3</v>
      </c>
      <c r="F49" s="681">
        <f t="shared" si="5"/>
        <v>0.24086751944489626</v>
      </c>
      <c r="G49" s="676">
        <f t="shared" si="3"/>
        <v>6.7442905444570949E-4</v>
      </c>
      <c r="H49" s="682">
        <f t="shared" si="2"/>
        <v>0.24154194849934196</v>
      </c>
      <c r="I49" s="79">
        <f t="shared" si="1"/>
        <v>40</v>
      </c>
      <c r="J49" s="595"/>
    </row>
    <row r="50" spans="1:10">
      <c r="A50" s="79">
        <f t="shared" si="0"/>
        <v>41</v>
      </c>
      <c r="B50" s="618" t="s">
        <v>563</v>
      </c>
      <c r="C50" s="619">
        <f t="shared" si="7"/>
        <v>2020</v>
      </c>
      <c r="D50" s="598"/>
      <c r="E50" s="593">
        <v>2.8E-3</v>
      </c>
      <c r="F50" s="681">
        <f t="shared" si="5"/>
        <v>0.24154194849934196</v>
      </c>
      <c r="G50" s="676">
        <f t="shared" si="3"/>
        <v>6.7631745579815753E-4</v>
      </c>
      <c r="H50" s="682">
        <f t="shared" si="2"/>
        <v>0.24221826595514012</v>
      </c>
      <c r="I50" s="79">
        <f t="shared" si="1"/>
        <v>41</v>
      </c>
      <c r="J50" s="595"/>
    </row>
    <row r="51" spans="1:10">
      <c r="A51" s="79">
        <f t="shared" si="0"/>
        <v>42</v>
      </c>
      <c r="B51" s="618" t="s">
        <v>564</v>
      </c>
      <c r="C51" s="619">
        <f t="shared" si="7"/>
        <v>2020</v>
      </c>
      <c r="D51" s="598"/>
      <c r="E51" s="593">
        <v>2.7000000000000001E-3</v>
      </c>
      <c r="F51" s="681">
        <f t="shared" si="5"/>
        <v>0.24221826595514012</v>
      </c>
      <c r="G51" s="676">
        <f t="shared" si="3"/>
        <v>6.5398931807887834E-4</v>
      </c>
      <c r="H51" s="682">
        <f t="shared" si="2"/>
        <v>0.24287225527321901</v>
      </c>
      <c r="I51" s="79">
        <f t="shared" si="1"/>
        <v>42</v>
      </c>
      <c r="J51" s="595"/>
    </row>
    <row r="52" spans="1:10">
      <c r="A52" s="79">
        <f t="shared" si="0"/>
        <v>43</v>
      </c>
      <c r="B52" s="621" t="s">
        <v>565</v>
      </c>
      <c r="C52" s="622">
        <f>C51</f>
        <v>2020</v>
      </c>
      <c r="D52" s="599"/>
      <c r="E52" s="597">
        <v>2.8E-3</v>
      </c>
      <c r="F52" s="678">
        <f t="shared" si="5"/>
        <v>0.24287225527321901</v>
      </c>
      <c r="G52" s="679">
        <f t="shared" si="3"/>
        <v>6.8004231476501327E-4</v>
      </c>
      <c r="H52" s="680">
        <f t="shared" si="2"/>
        <v>0.24355229758798402</v>
      </c>
      <c r="I52" s="79">
        <f t="shared" si="1"/>
        <v>43</v>
      </c>
      <c r="J52" s="595"/>
    </row>
    <row r="53" spans="1:10">
      <c r="A53" s="79">
        <f t="shared" si="0"/>
        <v>44</v>
      </c>
      <c r="B53" s="618" t="s">
        <v>554</v>
      </c>
      <c r="C53" s="619">
        <f>C52+1</f>
        <v>2021</v>
      </c>
      <c r="D53" s="598"/>
      <c r="E53" s="593">
        <v>2.8E-3</v>
      </c>
      <c r="F53" s="681">
        <f t="shared" si="5"/>
        <v>0.24355229758798402</v>
      </c>
      <c r="G53" s="676">
        <f t="shared" si="3"/>
        <v>6.8194643324635525E-4</v>
      </c>
      <c r="H53" s="682">
        <f t="shared" si="2"/>
        <v>0.24423424402123037</v>
      </c>
      <c r="I53" s="79">
        <f t="shared" si="1"/>
        <v>44</v>
      </c>
      <c r="J53" s="595"/>
    </row>
    <row r="54" spans="1:10">
      <c r="A54" s="79">
        <f t="shared" si="0"/>
        <v>45</v>
      </c>
      <c r="B54" s="618" t="s">
        <v>555</v>
      </c>
      <c r="C54" s="619">
        <f>C53</f>
        <v>2021</v>
      </c>
      <c r="D54" s="598"/>
      <c r="E54" s="593">
        <v>2.5000000000000001E-3</v>
      </c>
      <c r="F54" s="681">
        <f t="shared" si="5"/>
        <v>0.24423424402123037</v>
      </c>
      <c r="G54" s="676">
        <f t="shared" si="3"/>
        <v>6.1058561005307595E-4</v>
      </c>
      <c r="H54" s="682">
        <f t="shared" si="2"/>
        <v>0.24484482963128346</v>
      </c>
      <c r="I54" s="79">
        <f t="shared" si="1"/>
        <v>45</v>
      </c>
      <c r="J54" s="595"/>
    </row>
    <row r="55" spans="1:10">
      <c r="A55" s="79">
        <f t="shared" si="0"/>
        <v>46</v>
      </c>
      <c r="B55" s="618" t="s">
        <v>556</v>
      </c>
      <c r="C55" s="619">
        <f t="shared" ref="C55:C63" si="8">C54</f>
        <v>2021</v>
      </c>
      <c r="D55" s="598"/>
      <c r="E55" s="593">
        <v>2.8E-3</v>
      </c>
      <c r="F55" s="681">
        <f t="shared" si="5"/>
        <v>0.24484482963128346</v>
      </c>
      <c r="G55" s="676">
        <f t="shared" si="3"/>
        <v>6.8556552296759367E-4</v>
      </c>
      <c r="H55" s="682">
        <f t="shared" si="2"/>
        <v>0.24553039515425104</v>
      </c>
      <c r="I55" s="79">
        <f t="shared" si="1"/>
        <v>46</v>
      </c>
      <c r="J55" s="595"/>
    </row>
    <row r="56" spans="1:10">
      <c r="A56" s="79">
        <f t="shared" si="0"/>
        <v>47</v>
      </c>
      <c r="B56" s="618" t="s">
        <v>557</v>
      </c>
      <c r="C56" s="619">
        <f t="shared" si="8"/>
        <v>2021</v>
      </c>
      <c r="D56" s="598"/>
      <c r="E56" s="593">
        <v>2.7000000000000001E-3</v>
      </c>
      <c r="F56" s="681">
        <f t="shared" si="5"/>
        <v>0.24553039515425104</v>
      </c>
      <c r="G56" s="676">
        <f t="shared" si="3"/>
        <v>6.6293206691647787E-4</v>
      </c>
      <c r="H56" s="682">
        <f t="shared" si="2"/>
        <v>0.24619332722116752</v>
      </c>
      <c r="I56" s="79">
        <f t="shared" si="1"/>
        <v>47</v>
      </c>
      <c r="J56" s="595"/>
    </row>
    <row r="57" spans="1:10">
      <c r="A57" s="79">
        <f t="shared" si="0"/>
        <v>48</v>
      </c>
      <c r="B57" s="618" t="s">
        <v>558</v>
      </c>
      <c r="C57" s="619">
        <f t="shared" si="8"/>
        <v>2021</v>
      </c>
      <c r="D57" s="598"/>
      <c r="E57" s="593">
        <v>2.8E-3</v>
      </c>
      <c r="F57" s="681">
        <f t="shared" si="5"/>
        <v>0.24619332722116752</v>
      </c>
      <c r="G57" s="676">
        <f t="shared" si="3"/>
        <v>6.8934131621926908E-4</v>
      </c>
      <c r="H57" s="682">
        <f t="shared" si="2"/>
        <v>0.24688266853738677</v>
      </c>
      <c r="I57" s="79">
        <f t="shared" si="1"/>
        <v>48</v>
      </c>
      <c r="J57" s="595"/>
    </row>
    <row r="58" spans="1:10">
      <c r="A58" s="79">
        <f t="shared" si="0"/>
        <v>49</v>
      </c>
      <c r="B58" s="618" t="s">
        <v>559</v>
      </c>
      <c r="C58" s="619">
        <f t="shared" si="8"/>
        <v>2021</v>
      </c>
      <c r="D58" s="598"/>
      <c r="E58" s="593">
        <v>2.7000000000000001E-3</v>
      </c>
      <c r="F58" s="681">
        <f t="shared" si="5"/>
        <v>0.24688266853738677</v>
      </c>
      <c r="G58" s="676">
        <f t="shared" si="3"/>
        <v>6.6658320505094432E-4</v>
      </c>
      <c r="H58" s="682">
        <f t="shared" si="2"/>
        <v>0.24754925174243772</v>
      </c>
      <c r="I58" s="79">
        <f t="shared" si="1"/>
        <v>49</v>
      </c>
      <c r="J58" s="595"/>
    </row>
    <row r="59" spans="1:10">
      <c r="A59" s="79">
        <f t="shared" si="0"/>
        <v>50</v>
      </c>
      <c r="B59" s="618" t="s">
        <v>560</v>
      </c>
      <c r="C59" s="619">
        <f t="shared" si="8"/>
        <v>2021</v>
      </c>
      <c r="D59" s="598"/>
      <c r="E59" s="593">
        <v>2.8E-3</v>
      </c>
      <c r="F59" s="681">
        <f t="shared" si="5"/>
        <v>0.24754925174243772</v>
      </c>
      <c r="G59" s="676">
        <f t="shared" si="3"/>
        <v>6.9313790487882565E-4</v>
      </c>
      <c r="H59" s="682">
        <f t="shared" si="2"/>
        <v>0.24824238964731654</v>
      </c>
      <c r="I59" s="79">
        <f t="shared" si="1"/>
        <v>50</v>
      </c>
      <c r="J59" s="595"/>
    </row>
    <row r="60" spans="1:10">
      <c r="A60" s="79">
        <f t="shared" si="0"/>
        <v>51</v>
      </c>
      <c r="B60" s="618" t="s">
        <v>561</v>
      </c>
      <c r="C60" s="619">
        <f t="shared" si="8"/>
        <v>2021</v>
      </c>
      <c r="D60" s="598"/>
      <c r="E60" s="593">
        <v>2.8E-3</v>
      </c>
      <c r="F60" s="681">
        <f t="shared" si="5"/>
        <v>0.24824238964731654</v>
      </c>
      <c r="G60" s="676">
        <f t="shared" si="3"/>
        <v>6.9507869101248629E-4</v>
      </c>
      <c r="H60" s="682">
        <f t="shared" si="2"/>
        <v>0.24893746833832903</v>
      </c>
      <c r="I60" s="79">
        <f t="shared" si="1"/>
        <v>51</v>
      </c>
      <c r="J60" s="595"/>
    </row>
    <row r="61" spans="1:10">
      <c r="A61" s="79">
        <f t="shared" si="0"/>
        <v>52</v>
      </c>
      <c r="B61" s="618" t="s">
        <v>562</v>
      </c>
      <c r="C61" s="619">
        <f t="shared" si="8"/>
        <v>2021</v>
      </c>
      <c r="D61" s="598"/>
      <c r="E61" s="593">
        <v>2.7000000000000001E-3</v>
      </c>
      <c r="F61" s="681">
        <f t="shared" si="5"/>
        <v>0.24893746833832903</v>
      </c>
      <c r="G61" s="676">
        <f t="shared" si="3"/>
        <v>6.7213116451348841E-4</v>
      </c>
      <c r="H61" s="682">
        <f t="shared" si="2"/>
        <v>0.24960959950284251</v>
      </c>
      <c r="I61" s="79">
        <f t="shared" si="1"/>
        <v>52</v>
      </c>
      <c r="J61" s="595"/>
    </row>
    <row r="62" spans="1:10">
      <c r="A62" s="79">
        <f t="shared" si="0"/>
        <v>53</v>
      </c>
      <c r="B62" s="618" t="s">
        <v>563</v>
      </c>
      <c r="C62" s="619">
        <f t="shared" si="8"/>
        <v>2021</v>
      </c>
      <c r="D62" s="598"/>
      <c r="E62" s="593">
        <v>2.8E-3</v>
      </c>
      <c r="F62" s="681">
        <f t="shared" si="5"/>
        <v>0.24960959950284251</v>
      </c>
      <c r="G62" s="676">
        <f t="shared" si="3"/>
        <v>6.9890687860795896E-4</v>
      </c>
      <c r="H62" s="682">
        <f t="shared" si="2"/>
        <v>0.25030850638145047</v>
      </c>
      <c r="I62" s="79">
        <f t="shared" si="1"/>
        <v>53</v>
      </c>
      <c r="J62" s="595"/>
    </row>
    <row r="63" spans="1:10">
      <c r="A63" s="79">
        <f t="shared" si="0"/>
        <v>54</v>
      </c>
      <c r="B63" s="618" t="s">
        <v>564</v>
      </c>
      <c r="C63" s="619">
        <f t="shared" si="8"/>
        <v>2021</v>
      </c>
      <c r="D63" s="598"/>
      <c r="E63" s="593">
        <v>2.7000000000000001E-3</v>
      </c>
      <c r="F63" s="681">
        <f t="shared" si="5"/>
        <v>0.25030850638145047</v>
      </c>
      <c r="G63" s="676">
        <f t="shared" si="3"/>
        <v>6.7583296722991629E-4</v>
      </c>
      <c r="H63" s="682">
        <f t="shared" si="2"/>
        <v>0.25098433934868036</v>
      </c>
      <c r="I63" s="79">
        <f t="shared" si="1"/>
        <v>54</v>
      </c>
      <c r="J63" s="595"/>
    </row>
    <row r="64" spans="1:10">
      <c r="A64" s="79">
        <f t="shared" si="0"/>
        <v>55</v>
      </c>
      <c r="B64" s="621" t="s">
        <v>565</v>
      </c>
      <c r="C64" s="622">
        <f>C63</f>
        <v>2021</v>
      </c>
      <c r="D64" s="599"/>
      <c r="E64" s="597">
        <v>2.8E-3</v>
      </c>
      <c r="F64" s="678">
        <f t="shared" si="5"/>
        <v>0.25098433934868036</v>
      </c>
      <c r="G64" s="679">
        <f t="shared" si="3"/>
        <v>7.02756150176305E-4</v>
      </c>
      <c r="H64" s="680">
        <f t="shared" si="2"/>
        <v>0.25168709549885665</v>
      </c>
      <c r="I64" s="79">
        <f t="shared" si="1"/>
        <v>55</v>
      </c>
      <c r="J64" s="595"/>
    </row>
    <row r="65" spans="1:10">
      <c r="A65" s="79">
        <f t="shared" si="0"/>
        <v>56</v>
      </c>
      <c r="B65" s="618" t="s">
        <v>554</v>
      </c>
      <c r="C65" s="619">
        <v>2022</v>
      </c>
      <c r="D65" s="598"/>
      <c r="E65" s="593">
        <v>2.8E-3</v>
      </c>
      <c r="F65" s="681">
        <f t="shared" si="5"/>
        <v>0.25168709549885665</v>
      </c>
      <c r="G65" s="683">
        <f t="shared" si="3"/>
        <v>7.0472386739679857E-4</v>
      </c>
      <c r="H65" s="682">
        <f t="shared" si="2"/>
        <v>0.25239181936625343</v>
      </c>
      <c r="I65" s="79">
        <f t="shared" si="1"/>
        <v>56</v>
      </c>
      <c r="J65" s="595"/>
    </row>
    <row r="66" spans="1:10">
      <c r="A66" s="79">
        <f t="shared" si="0"/>
        <v>57</v>
      </c>
      <c r="B66" s="618" t="s">
        <v>555</v>
      </c>
      <c r="C66" s="619">
        <v>2022</v>
      </c>
      <c r="D66" s="598"/>
      <c r="E66" s="593">
        <v>2.5000000000000001E-3</v>
      </c>
      <c r="F66" s="681">
        <f t="shared" si="5"/>
        <v>0.25239181936625343</v>
      </c>
      <c r="G66" s="683">
        <f t="shared" si="3"/>
        <v>6.3097954841563359E-4</v>
      </c>
      <c r="H66" s="682">
        <f t="shared" si="2"/>
        <v>0.25302279891466906</v>
      </c>
      <c r="I66" s="79">
        <f t="shared" si="1"/>
        <v>57</v>
      </c>
      <c r="J66" s="595"/>
    </row>
    <row r="67" spans="1:10">
      <c r="A67" s="79">
        <f t="shared" si="0"/>
        <v>58</v>
      </c>
      <c r="B67" s="618" t="s">
        <v>556</v>
      </c>
      <c r="C67" s="619">
        <v>2022</v>
      </c>
      <c r="D67" s="598"/>
      <c r="E67" s="593">
        <v>2.8E-3</v>
      </c>
      <c r="F67" s="681">
        <f t="shared" si="5"/>
        <v>0.25302279891466906</v>
      </c>
      <c r="G67" s="683">
        <f t="shared" si="3"/>
        <v>7.0846383696107336E-4</v>
      </c>
      <c r="H67" s="682">
        <f t="shared" si="2"/>
        <v>0.2537312627516301</v>
      </c>
      <c r="I67" s="79">
        <f t="shared" si="1"/>
        <v>58</v>
      </c>
      <c r="J67" s="595"/>
    </row>
    <row r="68" spans="1:10">
      <c r="A68" s="79">
        <f t="shared" si="0"/>
        <v>59</v>
      </c>
      <c r="B68" s="618" t="s">
        <v>557</v>
      </c>
      <c r="C68" s="619">
        <v>2022</v>
      </c>
      <c r="D68" s="598"/>
      <c r="E68" s="593">
        <v>2.7000000000000001E-3</v>
      </c>
      <c r="F68" s="681">
        <f t="shared" si="5"/>
        <v>0.2537312627516301</v>
      </c>
      <c r="G68" s="683">
        <f t="shared" si="3"/>
        <v>6.8507440942940133E-4</v>
      </c>
      <c r="H68" s="682">
        <f t="shared" si="2"/>
        <v>0.25441633716105949</v>
      </c>
      <c r="I68" s="79">
        <f t="shared" si="1"/>
        <v>59</v>
      </c>
      <c r="J68" s="595"/>
    </row>
    <row r="69" spans="1:10">
      <c r="A69" s="79">
        <f t="shared" si="0"/>
        <v>60</v>
      </c>
      <c r="B69" s="618" t="s">
        <v>558</v>
      </c>
      <c r="C69" s="619">
        <v>2022</v>
      </c>
      <c r="D69" s="598"/>
      <c r="E69" s="593">
        <v>2.8E-3</v>
      </c>
      <c r="F69" s="681">
        <f t="shared" si="5"/>
        <v>0.25441633716105949</v>
      </c>
      <c r="G69" s="683">
        <f t="shared" si="3"/>
        <v>7.1236574405096652E-4</v>
      </c>
      <c r="H69" s="682">
        <f t="shared" si="2"/>
        <v>0.25512870290511047</v>
      </c>
      <c r="I69" s="79">
        <f t="shared" si="1"/>
        <v>60</v>
      </c>
      <c r="J69" s="595"/>
    </row>
    <row r="70" spans="1:10">
      <c r="A70" s="79">
        <f t="shared" si="0"/>
        <v>61</v>
      </c>
      <c r="B70" s="618" t="s">
        <v>559</v>
      </c>
      <c r="C70" s="619">
        <v>2022</v>
      </c>
      <c r="D70" s="598"/>
      <c r="E70" s="593">
        <v>2.7000000000000001E-3</v>
      </c>
      <c r="F70" s="681">
        <f t="shared" si="5"/>
        <v>0.25512870290511047</v>
      </c>
      <c r="G70" s="683">
        <f t="shared" si="3"/>
        <v>6.8884749784379833E-4</v>
      </c>
      <c r="H70" s="682">
        <f t="shared" si="2"/>
        <v>0.25581755040295429</v>
      </c>
      <c r="I70" s="79">
        <f t="shared" si="1"/>
        <v>61</v>
      </c>
      <c r="J70" s="595"/>
    </row>
    <row r="71" spans="1:10">
      <c r="A71" s="79">
        <f t="shared" si="0"/>
        <v>62</v>
      </c>
      <c r="B71" s="618" t="s">
        <v>560</v>
      </c>
      <c r="C71" s="619">
        <v>2022</v>
      </c>
      <c r="D71" s="598"/>
      <c r="E71" s="593">
        <v>3.0999999999999999E-3</v>
      </c>
      <c r="F71" s="681">
        <f t="shared" si="5"/>
        <v>0.25581755040295429</v>
      </c>
      <c r="G71" s="683">
        <f t="shared" si="3"/>
        <v>7.9303440624915831E-4</v>
      </c>
      <c r="H71" s="682">
        <f t="shared" si="2"/>
        <v>0.25661058480920346</v>
      </c>
      <c r="I71" s="79">
        <f t="shared" si="1"/>
        <v>62</v>
      </c>
      <c r="J71" s="595"/>
    </row>
    <row r="72" spans="1:10">
      <c r="A72" s="79">
        <f t="shared" si="0"/>
        <v>63</v>
      </c>
      <c r="B72" s="618" t="s">
        <v>561</v>
      </c>
      <c r="C72" s="619">
        <v>2022</v>
      </c>
      <c r="D72" s="598"/>
      <c r="E72" s="593">
        <v>3.0999999999999999E-3</v>
      </c>
      <c r="F72" s="681">
        <f t="shared" si="5"/>
        <v>0.25661058480920346</v>
      </c>
      <c r="G72" s="683">
        <f t="shared" si="3"/>
        <v>7.9549281290853071E-4</v>
      </c>
      <c r="H72" s="682">
        <f t="shared" si="2"/>
        <v>0.25740607762211198</v>
      </c>
      <c r="I72" s="79">
        <f t="shared" si="1"/>
        <v>63</v>
      </c>
      <c r="J72" s="595"/>
    </row>
    <row r="73" spans="1:10">
      <c r="A73" s="79">
        <f t="shared" si="0"/>
        <v>64</v>
      </c>
      <c r="B73" s="618" t="s">
        <v>562</v>
      </c>
      <c r="C73" s="619">
        <v>2022</v>
      </c>
      <c r="D73" s="598"/>
      <c r="E73" s="593">
        <v>3.0000000000000001E-3</v>
      </c>
      <c r="F73" s="681">
        <f t="shared" si="5"/>
        <v>0.25740607762211198</v>
      </c>
      <c r="G73" s="683">
        <f t="shared" si="3"/>
        <v>7.7221823286633599E-4</v>
      </c>
      <c r="H73" s="682">
        <f t="shared" si="2"/>
        <v>0.25817829585497831</v>
      </c>
      <c r="I73" s="79">
        <f t="shared" si="1"/>
        <v>64</v>
      </c>
      <c r="J73" s="595"/>
    </row>
    <row r="74" spans="1:10">
      <c r="A74" s="79">
        <f t="shared" si="0"/>
        <v>65</v>
      </c>
      <c r="B74" s="618" t="s">
        <v>563</v>
      </c>
      <c r="C74" s="619">
        <v>2022</v>
      </c>
      <c r="D74" s="598"/>
      <c r="E74" s="593">
        <v>4.1999999999999997E-3</v>
      </c>
      <c r="F74" s="681">
        <f t="shared" si="5"/>
        <v>0.25817829585497831</v>
      </c>
      <c r="G74" s="683">
        <f t="shared" si="3"/>
        <v>1.0843488425909089E-3</v>
      </c>
      <c r="H74" s="682">
        <f t="shared" si="2"/>
        <v>0.25926264469756921</v>
      </c>
      <c r="I74" s="79">
        <f t="shared" si="1"/>
        <v>65</v>
      </c>
      <c r="J74" s="595"/>
    </row>
    <row r="75" spans="1:10">
      <c r="A75" s="79">
        <f t="shared" ref="A75:A81" si="9">A74+1</f>
        <v>66</v>
      </c>
      <c r="B75" s="618" t="s">
        <v>564</v>
      </c>
      <c r="C75" s="619">
        <v>2022</v>
      </c>
      <c r="D75" s="598"/>
      <c r="E75" s="593">
        <v>4.0000000000000001E-3</v>
      </c>
      <c r="F75" s="681">
        <f t="shared" si="5"/>
        <v>0.25926264469756921</v>
      </c>
      <c r="G75" s="683">
        <f t="shared" si="3"/>
        <v>1.0370505787902769E-3</v>
      </c>
      <c r="H75" s="682">
        <f t="shared" si="2"/>
        <v>0.26029969527635949</v>
      </c>
      <c r="I75" s="79">
        <f t="shared" ref="I75:I81" si="10">I74+1</f>
        <v>66</v>
      </c>
      <c r="J75" s="595"/>
    </row>
    <row r="76" spans="1:10">
      <c r="A76" s="79">
        <f t="shared" si="9"/>
        <v>67</v>
      </c>
      <c r="B76" s="621" t="s">
        <v>565</v>
      </c>
      <c r="C76" s="622">
        <v>2022</v>
      </c>
      <c r="D76" s="599"/>
      <c r="E76" s="597">
        <v>4.1999999999999997E-3</v>
      </c>
      <c r="F76" s="678">
        <f t="shared" si="5"/>
        <v>0.26029969527635949</v>
      </c>
      <c r="G76" s="679">
        <f t="shared" si="3"/>
        <v>1.0932587201607099E-3</v>
      </c>
      <c r="H76" s="680">
        <f t="shared" si="2"/>
        <v>0.26139295399652018</v>
      </c>
      <c r="I76" s="79">
        <f t="shared" si="10"/>
        <v>67</v>
      </c>
      <c r="J76" s="595"/>
    </row>
    <row r="77" spans="1:10">
      <c r="A77" s="79">
        <f t="shared" si="9"/>
        <v>68</v>
      </c>
      <c r="B77" s="618" t="s">
        <v>554</v>
      </c>
      <c r="C77" s="619">
        <v>2023</v>
      </c>
      <c r="D77" s="598"/>
      <c r="E77" s="593">
        <v>5.4000000000000003E-3</v>
      </c>
      <c r="F77" s="681">
        <f t="shared" si="5"/>
        <v>0.26139295399652018</v>
      </c>
      <c r="G77" s="683">
        <f t="shared" si="3"/>
        <v>1.411521951581209E-3</v>
      </c>
      <c r="H77" s="682">
        <f t="shared" si="2"/>
        <v>0.26280447594810141</v>
      </c>
      <c r="I77" s="79">
        <f t="shared" si="10"/>
        <v>68</v>
      </c>
      <c r="J77" s="595"/>
    </row>
    <row r="78" spans="1:10">
      <c r="A78" s="79">
        <f t="shared" si="9"/>
        <v>69</v>
      </c>
      <c r="B78" s="618" t="s">
        <v>555</v>
      </c>
      <c r="C78" s="619">
        <v>2023</v>
      </c>
      <c r="D78" s="598"/>
      <c r="E78" s="593">
        <v>4.7999999999999996E-3</v>
      </c>
      <c r="F78" s="681">
        <f t="shared" si="5"/>
        <v>0.26280447594810141</v>
      </c>
      <c r="G78" s="683">
        <f t="shared" si="3"/>
        <v>1.2614614845508866E-3</v>
      </c>
      <c r="H78" s="682">
        <f t="shared" si="2"/>
        <v>0.26406593743265228</v>
      </c>
      <c r="I78" s="79">
        <f t="shared" si="10"/>
        <v>69</v>
      </c>
      <c r="J78" s="595"/>
    </row>
    <row r="79" spans="1:10">
      <c r="A79" s="79">
        <f t="shared" si="9"/>
        <v>70</v>
      </c>
      <c r="B79" s="618" t="s">
        <v>556</v>
      </c>
      <c r="C79" s="619">
        <v>2023</v>
      </c>
      <c r="D79" s="598"/>
      <c r="E79" s="593">
        <v>5.4000000000000003E-3</v>
      </c>
      <c r="F79" s="681">
        <f t="shared" si="5"/>
        <v>0.26406593743265228</v>
      </c>
      <c r="G79" s="683">
        <f t="shared" si="3"/>
        <v>1.4259560621363223E-3</v>
      </c>
      <c r="H79" s="682">
        <f t="shared" si="2"/>
        <v>0.26549189349478858</v>
      </c>
      <c r="I79" s="79">
        <f t="shared" si="10"/>
        <v>70</v>
      </c>
      <c r="J79" s="595"/>
    </row>
    <row r="80" spans="1:10">
      <c r="A80" s="79">
        <f t="shared" si="9"/>
        <v>71</v>
      </c>
      <c r="B80" s="618" t="s">
        <v>557</v>
      </c>
      <c r="C80" s="619">
        <v>2023</v>
      </c>
      <c r="D80" s="598"/>
      <c r="E80" s="593">
        <v>6.1999999999999998E-3</v>
      </c>
      <c r="F80" s="681">
        <f t="shared" si="5"/>
        <v>0.26549189349478858</v>
      </c>
      <c r="G80" s="683">
        <f t="shared" si="3"/>
        <v>1.6460497396676892E-3</v>
      </c>
      <c r="H80" s="682">
        <f t="shared" si="2"/>
        <v>0.26713794323445628</v>
      </c>
      <c r="I80" s="79">
        <f t="shared" si="10"/>
        <v>71</v>
      </c>
      <c r="J80" s="595"/>
    </row>
    <row r="81" spans="1:10">
      <c r="A81" s="79">
        <f t="shared" si="9"/>
        <v>72</v>
      </c>
      <c r="B81" s="618" t="s">
        <v>558</v>
      </c>
      <c r="C81" s="619">
        <v>2023</v>
      </c>
      <c r="D81" s="598"/>
      <c r="E81" s="593">
        <v>6.4000000000000003E-3</v>
      </c>
      <c r="F81" s="681">
        <f t="shared" si="5"/>
        <v>0.26713794323445628</v>
      </c>
      <c r="G81" s="683">
        <f t="shared" si="3"/>
        <v>1.7096828367005202E-3</v>
      </c>
      <c r="H81" s="682">
        <f t="shared" ref="H81" si="11">F81+G81</f>
        <v>0.26884762607115681</v>
      </c>
      <c r="I81" s="79">
        <f t="shared" si="10"/>
        <v>72</v>
      </c>
      <c r="J81" s="595"/>
    </row>
    <row r="82" spans="1:10">
      <c r="A82" s="79">
        <f>A81+1</f>
        <v>73</v>
      </c>
      <c r="B82" s="618" t="s">
        <v>559</v>
      </c>
      <c r="C82" s="619">
        <v>2023</v>
      </c>
      <c r="D82" s="598"/>
      <c r="E82" s="593">
        <v>6.1999999999999998E-3</v>
      </c>
      <c r="F82" s="681">
        <f>H81+D82</f>
        <v>0.26884762607115681</v>
      </c>
      <c r="G82" s="683">
        <f>(H81+F82)/2*E82</f>
        <v>1.6668552816411723E-3</v>
      </c>
      <c r="H82" s="682">
        <f>F82+G82</f>
        <v>0.27051448135279799</v>
      </c>
      <c r="I82" s="79">
        <f>I81+1</f>
        <v>73</v>
      </c>
      <c r="J82" s="623"/>
    </row>
    <row r="83" spans="1:10">
      <c r="A83" s="79">
        <f t="shared" ref="A83:A101" si="12">A82+1</f>
        <v>74</v>
      </c>
      <c r="B83" s="618" t="s">
        <v>560</v>
      </c>
      <c r="C83" s="619">
        <v>2023</v>
      </c>
      <c r="D83" s="598"/>
      <c r="E83" s="593">
        <v>6.7999999999999996E-3</v>
      </c>
      <c r="F83" s="681">
        <f t="shared" ref="F83:F93" si="13">H82+D83</f>
        <v>0.27051448135279799</v>
      </c>
      <c r="G83" s="683">
        <f t="shared" ref="G83:G93" si="14">(H82+F83)/2*E83</f>
        <v>1.8394984731990261E-3</v>
      </c>
      <c r="H83" s="682">
        <f t="shared" ref="H83:H100" si="15">F83+G83</f>
        <v>0.27235397982599702</v>
      </c>
      <c r="I83" s="79">
        <f t="shared" ref="I83:I101" si="16">I82+1</f>
        <v>74</v>
      </c>
      <c r="J83" s="595"/>
    </row>
    <row r="84" spans="1:10">
      <c r="A84" s="79">
        <f t="shared" si="12"/>
        <v>75</v>
      </c>
      <c r="B84" s="618" t="s">
        <v>561</v>
      </c>
      <c r="C84" s="619">
        <v>2023</v>
      </c>
      <c r="D84" s="598"/>
      <c r="E84" s="593">
        <v>6.7999999999999996E-3</v>
      </c>
      <c r="F84" s="681">
        <f t="shared" si="13"/>
        <v>0.27235397982599702</v>
      </c>
      <c r="G84" s="683">
        <f t="shared" si="14"/>
        <v>1.8520070628167797E-3</v>
      </c>
      <c r="H84" s="682">
        <f t="shared" si="15"/>
        <v>0.27420598688881381</v>
      </c>
      <c r="I84" s="79">
        <f t="shared" si="16"/>
        <v>75</v>
      </c>
      <c r="J84" s="595"/>
    </row>
    <row r="85" spans="1:10">
      <c r="A85" s="79">
        <f t="shared" si="12"/>
        <v>76</v>
      </c>
      <c r="B85" s="618" t="s">
        <v>562</v>
      </c>
      <c r="C85" s="619">
        <v>2023</v>
      </c>
      <c r="D85" s="598"/>
      <c r="E85" s="593">
        <v>6.6E-3</v>
      </c>
      <c r="F85" s="681">
        <f t="shared" si="13"/>
        <v>0.27420598688881381</v>
      </c>
      <c r="G85" s="683">
        <f t="shared" si="14"/>
        <v>1.8097595134661713E-3</v>
      </c>
      <c r="H85" s="682">
        <f t="shared" si="15"/>
        <v>0.27601574640227999</v>
      </c>
      <c r="I85" s="79">
        <f t="shared" si="16"/>
        <v>76</v>
      </c>
      <c r="J85" s="595"/>
    </row>
    <row r="86" spans="1:10">
      <c r="A86" s="79">
        <f t="shared" si="12"/>
        <v>77</v>
      </c>
      <c r="B86" s="618" t="s">
        <v>563</v>
      </c>
      <c r="C86" s="619">
        <v>2023</v>
      </c>
      <c r="D86" s="598"/>
      <c r="E86" s="593">
        <v>7.1000000000000004E-3</v>
      </c>
      <c r="F86" s="681">
        <f t="shared" si="13"/>
        <v>0.27601574640227999</v>
      </c>
      <c r="G86" s="683">
        <f t="shared" si="14"/>
        <v>1.9597117994561881E-3</v>
      </c>
      <c r="H86" s="682">
        <f t="shared" si="15"/>
        <v>0.27797545820173619</v>
      </c>
      <c r="I86" s="79">
        <f t="shared" si="16"/>
        <v>77</v>
      </c>
      <c r="J86" s="595"/>
    </row>
    <row r="87" spans="1:10">
      <c r="A87" s="79">
        <f t="shared" si="12"/>
        <v>78</v>
      </c>
      <c r="B87" s="618" t="s">
        <v>564</v>
      </c>
      <c r="C87" s="619">
        <v>2023</v>
      </c>
      <c r="D87" s="598"/>
      <c r="E87" s="593">
        <v>6.8999999999999999E-3</v>
      </c>
      <c r="F87" s="681">
        <f t="shared" si="13"/>
        <v>0.27797545820173619</v>
      </c>
      <c r="G87" s="683">
        <f t="shared" si="14"/>
        <v>1.9180306615919796E-3</v>
      </c>
      <c r="H87" s="682">
        <f t="shared" si="15"/>
        <v>0.27989348886332815</v>
      </c>
      <c r="I87" s="79">
        <f t="shared" si="16"/>
        <v>78</v>
      </c>
      <c r="J87" s="595"/>
    </row>
    <row r="88" spans="1:10">
      <c r="A88" s="79">
        <f t="shared" si="12"/>
        <v>79</v>
      </c>
      <c r="B88" s="621" t="s">
        <v>565</v>
      </c>
      <c r="C88" s="622">
        <v>2023</v>
      </c>
      <c r="D88" s="599"/>
      <c r="E88" s="597">
        <v>7.1000000000000004E-3</v>
      </c>
      <c r="F88" s="678">
        <f t="shared" si="13"/>
        <v>0.27989348886332815</v>
      </c>
      <c r="G88" s="679">
        <f t="shared" si="14"/>
        <v>1.9872437709296301E-3</v>
      </c>
      <c r="H88" s="680">
        <f t="shared" si="15"/>
        <v>0.28188073263425778</v>
      </c>
      <c r="I88" s="79">
        <f t="shared" si="16"/>
        <v>79</v>
      </c>
      <c r="J88" s="595"/>
    </row>
    <row r="89" spans="1:10">
      <c r="A89" s="79">
        <f t="shared" si="12"/>
        <v>80</v>
      </c>
      <c r="B89" s="618" t="s">
        <v>554</v>
      </c>
      <c r="C89" s="619">
        <v>2024</v>
      </c>
      <c r="D89" s="655"/>
      <c r="E89" s="593">
        <v>7.1999999999999998E-3</v>
      </c>
      <c r="F89" s="681">
        <f t="shared" si="13"/>
        <v>0.28188073263425778</v>
      </c>
      <c r="G89" s="676">
        <f t="shared" si="14"/>
        <v>2.0295412749666559E-3</v>
      </c>
      <c r="H89" s="682">
        <f t="shared" si="15"/>
        <v>0.28391027390922441</v>
      </c>
      <c r="I89" s="79">
        <f t="shared" si="16"/>
        <v>80</v>
      </c>
      <c r="J89" s="595"/>
    </row>
    <row r="90" spans="1:10">
      <c r="A90" s="79">
        <f t="shared" si="12"/>
        <v>81</v>
      </c>
      <c r="B90" s="618" t="s">
        <v>555</v>
      </c>
      <c r="C90" s="619">
        <v>2024</v>
      </c>
      <c r="D90" s="655"/>
      <c r="E90" s="593">
        <v>6.7999999999999996E-3</v>
      </c>
      <c r="F90" s="681">
        <f t="shared" si="13"/>
        <v>0.28391027390922441</v>
      </c>
      <c r="G90" s="676">
        <f t="shared" si="14"/>
        <v>1.9305898625827259E-3</v>
      </c>
      <c r="H90" s="682">
        <f t="shared" si="15"/>
        <v>0.28584086377180712</v>
      </c>
      <c r="I90" s="79">
        <f t="shared" si="16"/>
        <v>81</v>
      </c>
      <c r="J90" s="595"/>
    </row>
    <row r="91" spans="1:10">
      <c r="A91" s="79">
        <f t="shared" si="12"/>
        <v>82</v>
      </c>
      <c r="B91" s="618" t="s">
        <v>556</v>
      </c>
      <c r="C91" s="619">
        <v>2024</v>
      </c>
      <c r="D91" s="655"/>
      <c r="E91" s="593">
        <v>7.1999999999999998E-3</v>
      </c>
      <c r="F91" s="681">
        <f t="shared" si="13"/>
        <v>0.28584086377180712</v>
      </c>
      <c r="G91" s="676">
        <f t="shared" si="14"/>
        <v>2.0580542191570112E-3</v>
      </c>
      <c r="H91" s="682">
        <f t="shared" si="15"/>
        <v>0.28789891799096412</v>
      </c>
      <c r="I91" s="79">
        <f t="shared" si="16"/>
        <v>82</v>
      </c>
      <c r="J91" s="595"/>
    </row>
    <row r="92" spans="1:10">
      <c r="A92" s="79">
        <f t="shared" si="12"/>
        <v>83</v>
      </c>
      <c r="B92" s="618" t="s">
        <v>557</v>
      </c>
      <c r="C92" s="619">
        <v>2024</v>
      </c>
      <c r="D92" s="655"/>
      <c r="E92" s="593">
        <v>7.0000000000000001E-3</v>
      </c>
      <c r="F92" s="681">
        <f t="shared" si="13"/>
        <v>0.28789891799096412</v>
      </c>
      <c r="G92" s="676">
        <f t="shared" si="14"/>
        <v>2.0152924259367487E-3</v>
      </c>
      <c r="H92" s="682">
        <f t="shared" si="15"/>
        <v>0.28991421041690085</v>
      </c>
      <c r="I92" s="79">
        <f t="shared" si="16"/>
        <v>83</v>
      </c>
      <c r="J92" s="595"/>
    </row>
    <row r="93" spans="1:10">
      <c r="A93" s="79">
        <f t="shared" si="12"/>
        <v>84</v>
      </c>
      <c r="B93" s="618" t="s">
        <v>558</v>
      </c>
      <c r="C93" s="619">
        <v>2024</v>
      </c>
      <c r="D93" s="655"/>
      <c r="E93" s="593">
        <v>7.1999999999999998E-3</v>
      </c>
      <c r="F93" s="681">
        <f t="shared" si="13"/>
        <v>0.28991421041690085</v>
      </c>
      <c r="G93" s="676">
        <f t="shared" si="14"/>
        <v>2.0873823150016862E-3</v>
      </c>
      <c r="H93" s="682">
        <f t="shared" si="15"/>
        <v>0.29200159273190252</v>
      </c>
      <c r="I93" s="79">
        <f t="shared" si="16"/>
        <v>84</v>
      </c>
      <c r="J93" s="595"/>
    </row>
    <row r="94" spans="1:10">
      <c r="A94" s="79">
        <f t="shared" si="12"/>
        <v>85</v>
      </c>
      <c r="B94" s="618" t="s">
        <v>559</v>
      </c>
      <c r="C94" s="619">
        <v>2024</v>
      </c>
      <c r="D94" s="656"/>
      <c r="E94" s="593">
        <v>7.0000000000000001E-3</v>
      </c>
      <c r="F94" s="681">
        <f>H93+D94</f>
        <v>0.29200159273190252</v>
      </c>
      <c r="G94" s="683">
        <f>(H93+F94)/2*E94</f>
        <v>2.0440111491233175E-3</v>
      </c>
      <c r="H94" s="682">
        <f t="shared" si="15"/>
        <v>0.29404560388102585</v>
      </c>
      <c r="I94" s="79">
        <f t="shared" si="16"/>
        <v>85</v>
      </c>
      <c r="J94" s="595"/>
    </row>
    <row r="95" spans="1:10">
      <c r="A95" s="79">
        <f t="shared" si="12"/>
        <v>86</v>
      </c>
      <c r="B95" s="618" t="s">
        <v>560</v>
      </c>
      <c r="C95" s="619">
        <v>2024</v>
      </c>
      <c r="D95" s="655"/>
      <c r="E95" s="593">
        <v>7.1999999999999998E-3</v>
      </c>
      <c r="F95" s="681">
        <f t="shared" ref="F95:F100" si="17">H94+D95</f>
        <v>0.29404560388102585</v>
      </c>
      <c r="G95" s="683">
        <f t="shared" ref="G95:G100" si="18">(H94+F95)/2*E95</f>
        <v>2.1171283479433861E-3</v>
      </c>
      <c r="H95" s="682">
        <f t="shared" si="15"/>
        <v>0.29616273222896922</v>
      </c>
      <c r="I95" s="79">
        <f t="shared" si="16"/>
        <v>86</v>
      </c>
      <c r="J95" s="595"/>
    </row>
    <row r="96" spans="1:10">
      <c r="A96" s="79">
        <f t="shared" si="12"/>
        <v>87</v>
      </c>
      <c r="B96" s="618" t="s">
        <v>561</v>
      </c>
      <c r="C96" s="619">
        <v>2024</v>
      </c>
      <c r="D96" s="655"/>
      <c r="E96" s="593">
        <v>7.1999999999999998E-3</v>
      </c>
      <c r="F96" s="681">
        <f t="shared" si="17"/>
        <v>0.29616273222896922</v>
      </c>
      <c r="G96" s="683">
        <f t="shared" si="18"/>
        <v>2.1323716720485783E-3</v>
      </c>
      <c r="H96" s="682">
        <f t="shared" si="15"/>
        <v>0.29829510390101782</v>
      </c>
      <c r="I96" s="79">
        <f t="shared" si="16"/>
        <v>87</v>
      </c>
      <c r="J96" s="595"/>
    </row>
    <row r="97" spans="1:10">
      <c r="A97" s="79">
        <f t="shared" si="12"/>
        <v>88</v>
      </c>
      <c r="B97" s="618" t="s">
        <v>562</v>
      </c>
      <c r="C97" s="619">
        <v>2024</v>
      </c>
      <c r="D97" s="655"/>
      <c r="E97" s="593">
        <v>7.0000000000000001E-3</v>
      </c>
      <c r="F97" s="681">
        <f t="shared" si="17"/>
        <v>0.29829510390101782</v>
      </c>
      <c r="G97" s="683">
        <f t="shared" si="18"/>
        <v>2.0880657273071247E-3</v>
      </c>
      <c r="H97" s="682">
        <f t="shared" si="15"/>
        <v>0.30038316962832495</v>
      </c>
      <c r="I97" s="79">
        <f t="shared" si="16"/>
        <v>88</v>
      </c>
      <c r="J97" s="595"/>
    </row>
    <row r="98" spans="1:10">
      <c r="A98" s="79">
        <f t="shared" si="12"/>
        <v>89</v>
      </c>
      <c r="B98" s="618" t="s">
        <v>563</v>
      </c>
      <c r="C98" s="619">
        <v>2024</v>
      </c>
      <c r="D98" s="655"/>
      <c r="E98" s="657">
        <v>7.0000000000000001E-3</v>
      </c>
      <c r="F98" s="681">
        <f t="shared" si="17"/>
        <v>0.30038316962832495</v>
      </c>
      <c r="G98" s="683">
        <f t="shared" si="18"/>
        <v>2.1026821873982747E-3</v>
      </c>
      <c r="H98" s="682">
        <f t="shared" si="15"/>
        <v>0.30248585181572324</v>
      </c>
      <c r="I98" s="79">
        <f t="shared" si="16"/>
        <v>89</v>
      </c>
      <c r="J98" s="595"/>
    </row>
    <row r="99" spans="1:10">
      <c r="A99" s="79">
        <f t="shared" si="12"/>
        <v>90</v>
      </c>
      <c r="B99" s="618" t="s">
        <v>564</v>
      </c>
      <c r="C99" s="619">
        <v>2024</v>
      </c>
      <c r="D99" s="655"/>
      <c r="E99" s="657">
        <v>7.0000000000000001E-3</v>
      </c>
      <c r="F99" s="681">
        <f t="shared" si="17"/>
        <v>0.30248585181572324</v>
      </c>
      <c r="G99" s="683">
        <f t="shared" si="18"/>
        <v>2.1174009627100629E-3</v>
      </c>
      <c r="H99" s="682">
        <f t="shared" si="15"/>
        <v>0.30460325277843331</v>
      </c>
      <c r="I99" s="79">
        <f t="shared" si="16"/>
        <v>90</v>
      </c>
      <c r="J99" s="595"/>
    </row>
    <row r="100" spans="1:10">
      <c r="A100" s="79">
        <f t="shared" si="12"/>
        <v>91</v>
      </c>
      <c r="B100" s="621" t="s">
        <v>565</v>
      </c>
      <c r="C100" s="622">
        <v>2024</v>
      </c>
      <c r="D100" s="658"/>
      <c r="E100" s="659">
        <v>7.0000000000000001E-3</v>
      </c>
      <c r="F100" s="678">
        <f t="shared" si="17"/>
        <v>0.30460325277843331</v>
      </c>
      <c r="G100" s="679">
        <f t="shared" si="18"/>
        <v>2.1322227694490332E-3</v>
      </c>
      <c r="H100" s="684">
        <f t="shared" si="15"/>
        <v>0.30673547554788233</v>
      </c>
      <c r="I100" s="79">
        <f t="shared" si="16"/>
        <v>91</v>
      </c>
      <c r="J100" s="595"/>
    </row>
    <row r="101" spans="1:10" ht="16" thickBot="1">
      <c r="A101" s="79">
        <f t="shared" si="12"/>
        <v>92</v>
      </c>
      <c r="D101" s="668">
        <f>SUM(D17:D100)</f>
        <v>0.21628647935267509</v>
      </c>
      <c r="E101" s="624"/>
      <c r="F101" s="600"/>
      <c r="G101" s="669">
        <f>SUM(G17:G100)</f>
        <v>9.0448996195207423E-2</v>
      </c>
      <c r="H101" s="601"/>
      <c r="I101" s="79">
        <f t="shared" si="16"/>
        <v>92</v>
      </c>
    </row>
    <row r="102" spans="1:10" ht="16" thickTop="1">
      <c r="D102" s="602"/>
      <c r="E102" s="602"/>
      <c r="F102" s="602"/>
      <c r="G102" s="603"/>
      <c r="H102" s="603"/>
    </row>
    <row r="103" spans="1:10">
      <c r="D103" s="602"/>
      <c r="E103" s="602"/>
      <c r="F103" s="602"/>
      <c r="G103" s="603"/>
      <c r="H103" s="603"/>
    </row>
    <row r="104" spans="1:10" ht="18">
      <c r="A104" s="604">
        <v>1</v>
      </c>
      <c r="B104" s="65" t="s">
        <v>566</v>
      </c>
      <c r="C104" s="66"/>
    </row>
    <row r="105" spans="1:10" ht="18">
      <c r="A105" s="604">
        <v>2</v>
      </c>
      <c r="B105" s="65" t="s">
        <v>567</v>
      </c>
    </row>
    <row r="106" spans="1:10" ht="18">
      <c r="A106" s="604">
        <v>3</v>
      </c>
      <c r="B106" s="65" t="s">
        <v>568</v>
      </c>
    </row>
    <row r="107" spans="1:10">
      <c r="B107" s="65" t="s">
        <v>569</v>
      </c>
    </row>
    <row r="108" spans="1:10">
      <c r="A108" s="625"/>
      <c r="B108" s="626" t="s">
        <v>571</v>
      </c>
      <c r="C108" s="626"/>
    </row>
    <row r="109" spans="1:10">
      <c r="A109" s="660"/>
      <c r="B109" s="661" t="s">
        <v>633</v>
      </c>
      <c r="C109" s="661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5" right="0.5" top="0.5" bottom="0.5" header="0.35" footer="0.25"/>
  <pageSetup scale="63" orientation="portrait" r:id="rId1"/>
  <headerFooter scaleWithDoc="0" alignWithMargins="0">
    <oddFooter>&amp;L&amp;F&amp;CPage 13.&amp;P&amp;R&amp;A</oddFooter>
  </headerFooter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1BA89-ED55-4C3F-975A-5A56332A739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3533485-01ac-4c85-a144-d07c02817ce0"/>
    <ds:schemaRef ds:uri="6fc4548d-ff52-42f9-a254-3bffe515715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48B4E-10FC-43F0-8D7F-B1EAFBB9A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Pg1 App XII C2 Cost Adj</vt:lpstr>
      <vt:lpstr>Pg2 App XII C2 Comparison</vt:lpstr>
      <vt:lpstr>Pg3 Rev App XII C2</vt:lpstr>
      <vt:lpstr>Pg4 As Filed App XII C2 FERC</vt:lpstr>
      <vt:lpstr>Pg5 Rev Sec.2-Non-Dir Exp</vt:lpstr>
      <vt:lpstr>Pg6 As Filed Non-Dir Exp FERC</vt:lpstr>
      <vt:lpstr>Pg7 Rev Stmt AH</vt:lpstr>
      <vt:lpstr>Pg7.1 As Filed Stmt AH FERC Adj</vt:lpstr>
      <vt:lpstr>Pg7.2 Rev AH-3</vt:lpstr>
      <vt:lpstr>Pg7.3 As Filed AH-3 FERC Adj</vt:lpstr>
      <vt:lpstr>Pg8 Rev Stmt AL</vt:lpstr>
      <vt:lpstr>Pg8.1 As Filed Stmt AL FERC Adj</vt:lpstr>
      <vt:lpstr>Pg9 Rev Stmt AV</vt:lpstr>
      <vt:lpstr>Pg10 As Filed Stmt AV FERC Adj</vt:lpstr>
      <vt:lpstr>Pg11 Rev AV-4</vt:lpstr>
      <vt:lpstr>Pg12 As Filed AV-4 FERC Adj</vt:lpstr>
      <vt:lpstr>Pg13 App XII C2 Int Calc</vt:lpstr>
      <vt:lpstr>'Pg10 As Filed Stmt AV FERC Adj'!Print_Area</vt:lpstr>
      <vt:lpstr>'Pg12 As Filed AV-4 FERC Adj'!Print_Area</vt:lpstr>
      <vt:lpstr>'Pg4 As Filed App XII C2 FERC'!Print_Area</vt:lpstr>
      <vt:lpstr>'Pg6 As Filed Non-Dir Exp FERC'!Print_Area</vt:lpstr>
      <vt:lpstr>'Pg7.1 As Filed Stmt AH FERC Adj'!Print_Area</vt:lpstr>
      <vt:lpstr>'Pg7.3 As Filed AH-3 FERC Adj'!Print_Area</vt:lpstr>
      <vt:lpstr>'Pg8.1 As Filed Stmt AL FERC Adj'!Print_Area</vt:lpstr>
      <vt:lpstr>'Pg13 App XII C2 Int Calc'!Print_Titles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Tanedo, Lolit</cp:lastModifiedBy>
  <cp:lastPrinted>2024-05-03T20:35:32Z</cp:lastPrinted>
  <dcterms:created xsi:type="dcterms:W3CDTF">2016-08-29T13:22:03Z</dcterms:created>
  <dcterms:modified xsi:type="dcterms:W3CDTF">2024-07-02T22:09:28Z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0x01010020AF033832634A47ACBF5D0BC7D2D682</vt:lpwstr>
  </property>
  <property fmtid="{D5CDD505-2E9C-101B-9397-08002B2CF9AE}" pid="4" name="Order">
    <vt:r8>76800</vt:r8>
  </property>
  <property fmtid="{D5CDD505-2E9C-101B-9397-08002B2CF9AE}" pid="5" name="MediaServiceImageTags">
    <vt:lpwstr/>
  </property>
</Properties>
</file>