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1/Citizens/Sunrise/Cycle 10 Annual Filing/Sunrise Cycle 10 Oct Filing/Cost Adj Workpapers/"/>
    </mc:Choice>
  </mc:AlternateContent>
  <xr:revisionPtr revIDLastSave="2" documentId="8_{8F3C54FF-BE71-4968-AF02-E2AB6A8C391B}" xr6:coauthVersionLast="47" xr6:coauthVersionMax="47" xr10:uidLastSave="{E934E461-F40F-4CD2-806A-58B857BE98EC}"/>
  <bookViews>
    <workbookView xWindow="38280" yWindow="3990" windowWidth="20730" windowHeight="11160" xr2:uid="{A1AA674E-836A-4CFE-B14F-C8BAAC5651C2}"/>
  </bookViews>
  <sheets>
    <sheet name="Pg1 Appendix X C9 Cost Adj" sheetId="1" r:id="rId1"/>
    <sheet name="Pg2 Appendix X C9 Comparison" sheetId="16" r:id="rId2"/>
    <sheet name="Pg3 Revised Appendix X C9" sheetId="15" r:id="rId3"/>
    <sheet name="Pg4 As Filed Appendix X C9" sheetId="14" r:id="rId4"/>
    <sheet name="Pg5 Rev B.Sec.2-Non-Direct Exp" sheetId="13" r:id="rId5"/>
    <sheet name="Pg6 Revised D.Sec.4-TU" sheetId="12" r:id="rId6"/>
    <sheet name="Pg7 Revised Stmt AE" sheetId="22" r:id="rId7"/>
    <sheet name="Pg 7.1 Revised AE-1" sheetId="23" r:id="rId8"/>
    <sheet name="Pg 7.1A Revised AE-1A" sheetId="24" r:id="rId9"/>
    <sheet name="Pg 7.1B As Filed AE-1A" sheetId="25" r:id="rId10"/>
    <sheet name="Pg8 Revised Stmt AH" sheetId="19" r:id="rId11"/>
    <sheet name="Pg8.1 Revised AH-2" sheetId="20" r:id="rId12"/>
    <sheet name="Pg8.2 Revised AH-3" sheetId="18" r:id="rId13"/>
    <sheet name="Pg9 Revised Stmt AL" sheetId="17" r:id="rId14"/>
    <sheet name="Pg10 Revised Stmt AV" sheetId="11" r:id="rId15"/>
    <sheet name="Pg11 Revised AV-4" sheetId="21" r:id="rId16"/>
    <sheet name="Pg12 Appendix X C9 Int Calc" sheetId="2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8" l="1"/>
  <c r="C73" i="21"/>
  <c r="C72" i="21"/>
  <c r="C71" i="21"/>
  <c r="C70" i="21"/>
  <c r="C30" i="21"/>
  <c r="C29" i="21"/>
  <c r="E24" i="17"/>
  <c r="E22" i="17"/>
  <c r="E46" i="19"/>
  <c r="E43" i="19"/>
  <c r="E42" i="19"/>
  <c r="E41" i="19"/>
  <c r="E40" i="19"/>
  <c r="E39" i="19"/>
  <c r="E38" i="19"/>
  <c r="E37" i="19"/>
  <c r="E36" i="19"/>
  <c r="E35" i="19"/>
  <c r="E34" i="19"/>
  <c r="E33" i="19"/>
  <c r="E31" i="19"/>
  <c r="E27" i="19"/>
  <c r="E25" i="19"/>
  <c r="E24" i="19"/>
  <c r="E23" i="19"/>
  <c r="E22" i="19"/>
  <c r="E21" i="19"/>
  <c r="E20" i="19"/>
  <c r="E19" i="19"/>
  <c r="E18" i="19"/>
  <c r="E17" i="19"/>
  <c r="E15" i="19"/>
  <c r="E34" i="23"/>
  <c r="E51" i="16" l="1"/>
  <c r="C51" i="16"/>
  <c r="C47" i="16"/>
  <c r="C26" i="16"/>
  <c r="C19" i="26" l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C47" i="26" s="1"/>
  <c r="C48" i="26" s="1"/>
  <c r="C49" i="26" s="1"/>
  <c r="C50" i="26" s="1"/>
  <c r="C51" i="26" s="1"/>
  <c r="C52" i="26" s="1"/>
  <c r="C53" i="26" s="1"/>
  <c r="I11" i="26"/>
  <c r="I12" i="26" s="1"/>
  <c r="I13" i="26" s="1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I53" i="26" s="1"/>
  <c r="I54" i="26" s="1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E32" i="16" l="1"/>
  <c r="C32" i="16"/>
  <c r="C31" i="25"/>
  <c r="C28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A15" i="25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G14" i="25"/>
  <c r="G15" i="25" s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G31" i="25" s="1"/>
  <c r="G32" i="25" s="1"/>
  <c r="E14" i="25"/>
  <c r="E28" i="25" s="1"/>
  <c r="E31" i="25" s="1"/>
  <c r="D31" i="25" l="1"/>
  <c r="F28" i="25"/>
  <c r="F31" i="25"/>
  <c r="D28" i="25"/>
  <c r="A27" i="25"/>
  <c r="A28" i="25" s="1"/>
  <c r="A29" i="25" s="1"/>
  <c r="A30" i="25" s="1"/>
  <c r="A31" i="25" s="1"/>
  <c r="A32" i="25" s="1"/>
  <c r="F86" i="21" l="1"/>
  <c r="C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C80" i="21"/>
  <c r="C15" i="21" s="1"/>
  <c r="E87" i="13" s="1"/>
  <c r="F65" i="21"/>
  <c r="C79" i="21"/>
  <c r="C14" i="21" s="1"/>
  <c r="E85" i="13" s="1"/>
  <c r="F64" i="21"/>
  <c r="F63" i="21"/>
  <c r="C77" i="21"/>
  <c r="F62" i="21"/>
  <c r="B54" i="21"/>
  <c r="B53" i="21"/>
  <c r="C46" i="21"/>
  <c r="C41" i="21"/>
  <c r="C26" i="21"/>
  <c r="C21" i="21"/>
  <c r="A12" i="2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B55" i="21"/>
  <c r="G146" i="11"/>
  <c r="B146" i="11"/>
  <c r="B145" i="11"/>
  <c r="G144" i="11"/>
  <c r="G143" i="11"/>
  <c r="B143" i="11"/>
  <c r="B142" i="11"/>
  <c r="G134" i="11"/>
  <c r="B134" i="11"/>
  <c r="B131" i="11"/>
  <c r="A131" i="11"/>
  <c r="A132" i="11" s="1"/>
  <c r="I143" i="11" s="1"/>
  <c r="B130" i="11"/>
  <c r="A129" i="11"/>
  <c r="A130" i="11" s="1"/>
  <c r="I142" i="11" s="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A127" i="11"/>
  <c r="A128" i="11" s="1"/>
  <c r="J126" i="11"/>
  <c r="J127" i="11" s="1"/>
  <c r="A126" i="11"/>
  <c r="G98" i="11"/>
  <c r="J82" i="1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2" i="11"/>
  <c r="A83" i="11" s="1"/>
  <c r="A84" i="11" s="1"/>
  <c r="A85" i="11" s="1"/>
  <c r="J81" i="11"/>
  <c r="A81" i="11"/>
  <c r="D63" i="11"/>
  <c r="C63" i="11"/>
  <c r="G62" i="11"/>
  <c r="G61" i="11"/>
  <c r="G65" i="11" s="1"/>
  <c r="G130" i="11" s="1"/>
  <c r="G60" i="11"/>
  <c r="G63" i="11" s="1"/>
  <c r="G153" i="11" s="1"/>
  <c r="E49" i="11"/>
  <c r="C48" i="11"/>
  <c r="G39" i="11"/>
  <c r="C49" i="11" s="1"/>
  <c r="G32" i="11"/>
  <c r="E48" i="11" s="1"/>
  <c r="G25" i="11"/>
  <c r="G27" i="11" s="1"/>
  <c r="E47" i="11" s="1"/>
  <c r="G17" i="11"/>
  <c r="C47" i="11" s="1"/>
  <c r="J12" i="1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A12" i="11"/>
  <c r="A13" i="11" s="1"/>
  <c r="A14" i="11" s="1"/>
  <c r="A15" i="11" s="1"/>
  <c r="A16" i="11" s="1"/>
  <c r="A17" i="11" s="1"/>
  <c r="A18" i="11" s="1"/>
  <c r="A19" i="11" s="1"/>
  <c r="A20" i="11" s="1"/>
  <c r="J11" i="11"/>
  <c r="B119" i="11"/>
  <c r="M12" i="12"/>
  <c r="L12" i="12"/>
  <c r="K12" i="12"/>
  <c r="I12" i="12"/>
  <c r="H12" i="12"/>
  <c r="N11" i="12"/>
  <c r="N12" i="12" s="1"/>
  <c r="N13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N29" i="12" s="1"/>
  <c r="N30" i="12" s="1"/>
  <c r="N31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F12" i="12" s="1"/>
  <c r="C19" i="12"/>
  <c r="A51" i="13"/>
  <c r="A52" i="13" s="1"/>
  <c r="A50" i="13"/>
  <c r="H49" i="13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B44" i="13"/>
  <c r="B42" i="13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3" i="13"/>
  <c r="B41" i="13"/>
  <c r="B40" i="13"/>
  <c r="B52" i="15"/>
  <c r="C46" i="15"/>
  <c r="B46" i="15"/>
  <c r="C44" i="15"/>
  <c r="C45" i="16" s="1"/>
  <c r="B44" i="15"/>
  <c r="B42" i="15"/>
  <c r="B38" i="15"/>
  <c r="B36" i="15"/>
  <c r="E34" i="15"/>
  <c r="B34" i="15"/>
  <c r="E32" i="15"/>
  <c r="C32" i="15"/>
  <c r="C38" i="15"/>
  <c r="C39" i="16" s="1"/>
  <c r="A12" i="15"/>
  <c r="A1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D26" i="24"/>
  <c r="G26" i="24" s="1"/>
  <c r="D25" i="24"/>
  <c r="G25" i="24" s="1"/>
  <c r="D24" i="24"/>
  <c r="G24" i="24" s="1"/>
  <c r="D23" i="24"/>
  <c r="G22" i="24"/>
  <c r="G21" i="24"/>
  <c r="G20" i="24"/>
  <c r="G19" i="24"/>
  <c r="G18" i="24"/>
  <c r="G17" i="24"/>
  <c r="G16" i="24"/>
  <c r="G15" i="24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J14" i="24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G14" i="24"/>
  <c r="E28" i="23"/>
  <c r="E31" i="23" s="1"/>
  <c r="C28" i="23"/>
  <c r="C31" i="23" s="1"/>
  <c r="A15" i="23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H14" i="23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E36" i="23" l="1"/>
  <c r="I11" i="22" s="1"/>
  <c r="B74" i="11"/>
  <c r="C78" i="21"/>
  <c r="C13" i="21" s="1"/>
  <c r="C74" i="21"/>
  <c r="E89" i="13"/>
  <c r="H30" i="12"/>
  <c r="C12" i="21"/>
  <c r="C16" i="21" s="1"/>
  <c r="A13" i="21"/>
  <c r="A14" i="21" s="1"/>
  <c r="A15" i="21" s="1"/>
  <c r="A16" i="21" s="1"/>
  <c r="C67" i="21"/>
  <c r="A21" i="11"/>
  <c r="A22" i="11" s="1"/>
  <c r="A23" i="11" s="1"/>
  <c r="A24" i="11" s="1"/>
  <c r="A25" i="11" s="1"/>
  <c r="A86" i="11"/>
  <c r="A87" i="11" s="1"/>
  <c r="I97" i="11"/>
  <c r="G136" i="11"/>
  <c r="G145" i="11" s="1"/>
  <c r="G142" i="11"/>
  <c r="G148" i="11" s="1"/>
  <c r="G151" i="11" s="1"/>
  <c r="G155" i="11" s="1"/>
  <c r="C50" i="11"/>
  <c r="D49" i="11" s="1"/>
  <c r="G49" i="11" s="1"/>
  <c r="I17" i="11"/>
  <c r="A133" i="11"/>
  <c r="C30" i="12"/>
  <c r="C29" i="12"/>
  <c r="C28" i="12"/>
  <c r="C27" i="12"/>
  <c r="C26" i="12"/>
  <c r="C25" i="12"/>
  <c r="C24" i="12"/>
  <c r="C23" i="12"/>
  <c r="C22" i="12"/>
  <c r="C21" i="12"/>
  <c r="C20" i="12"/>
  <c r="G31" i="12"/>
  <c r="H23" i="12"/>
  <c r="H19" i="12"/>
  <c r="H24" i="12"/>
  <c r="E31" i="12"/>
  <c r="A53" i="13"/>
  <c r="A54" i="13" s="1"/>
  <c r="G24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14" i="15"/>
  <c r="A15" i="15" s="1"/>
  <c r="C34" i="15"/>
  <c r="C35" i="16" s="1"/>
  <c r="E36" i="15"/>
  <c r="D28" i="24"/>
  <c r="D31" i="24" s="1"/>
  <c r="F31" i="24"/>
  <c r="I28" i="24"/>
  <c r="I31" i="24"/>
  <c r="F28" i="24"/>
  <c r="A27" i="24"/>
  <c r="A28" i="24" s="1"/>
  <c r="A29" i="24" s="1"/>
  <c r="A30" i="24" s="1"/>
  <c r="A31" i="24" s="1"/>
  <c r="A32" i="24" s="1"/>
  <c r="G23" i="24"/>
  <c r="G28" i="24" s="1"/>
  <c r="G31" i="24" s="1"/>
  <c r="D31" i="23"/>
  <c r="G28" i="23"/>
  <c r="D28" i="23"/>
  <c r="A27" i="23"/>
  <c r="A28" i="23" s="1"/>
  <c r="A29" i="23" s="1"/>
  <c r="A30" i="23" s="1"/>
  <c r="A31" i="23" s="1"/>
  <c r="C81" i="21" l="1"/>
  <c r="E49" i="13"/>
  <c r="F31" i="12"/>
  <c r="A17" i="21"/>
  <c r="A18" i="21" s="1"/>
  <c r="A19" i="21" s="1"/>
  <c r="A88" i="11"/>
  <c r="I98" i="11"/>
  <c r="I27" i="11"/>
  <c r="A26" i="11"/>
  <c r="A27" i="11" s="1"/>
  <c r="I144" i="11"/>
  <c r="A134" i="11"/>
  <c r="A135" i="11" s="1"/>
  <c r="A136" i="11" s="1"/>
  <c r="D48" i="11"/>
  <c r="G48" i="11" s="1"/>
  <c r="G52" i="11" s="1"/>
  <c r="G85" i="11" s="1"/>
  <c r="D47" i="11"/>
  <c r="I25" i="11"/>
  <c r="H26" i="12"/>
  <c r="H25" i="12"/>
  <c r="H28" i="12"/>
  <c r="H22" i="12"/>
  <c r="H20" i="12"/>
  <c r="H29" i="12"/>
  <c r="H27" i="12"/>
  <c r="H21" i="12"/>
  <c r="G28" i="13"/>
  <c r="G26" i="13"/>
  <c r="A25" i="13"/>
  <c r="A26" i="13" s="1"/>
  <c r="A27" i="13" s="1"/>
  <c r="A28" i="13" s="1"/>
  <c r="G12" i="13"/>
  <c r="A55" i="13"/>
  <c r="A56" i="13" s="1"/>
  <c r="A57" i="13" s="1"/>
  <c r="A16" i="15"/>
  <c r="A17" i="15" s="1"/>
  <c r="E38" i="15"/>
  <c r="A32" i="23"/>
  <c r="A33" i="23" s="1"/>
  <c r="A34" i="23" s="1"/>
  <c r="A35" i="23" s="1"/>
  <c r="A36" i="23" s="1"/>
  <c r="E64" i="13" l="1"/>
  <c r="E16" i="13" s="1"/>
  <c r="E69" i="13"/>
  <c r="E18" i="13" s="1"/>
  <c r="H31" i="12"/>
  <c r="A20" i="21"/>
  <c r="A21" i="21" s="1"/>
  <c r="I47" i="11"/>
  <c r="A28" i="11"/>
  <c r="A29" i="11" s="1"/>
  <c r="A30" i="11" s="1"/>
  <c r="D50" i="11"/>
  <c r="G47" i="11"/>
  <c r="G50" i="11" s="1"/>
  <c r="G108" i="11" s="1"/>
  <c r="G97" i="11"/>
  <c r="I145" i="11"/>
  <c r="A137" i="1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89" i="11"/>
  <c r="I99" i="11"/>
  <c r="A58" i="13"/>
  <c r="A59" i="13" s="1"/>
  <c r="G33" i="13"/>
  <c r="A29" i="13"/>
  <c r="A30" i="13" s="1"/>
  <c r="A31" i="13" s="1"/>
  <c r="A18" i="15"/>
  <c r="A19" i="15" s="1"/>
  <c r="G36" i="23"/>
  <c r="A22" i="21" l="1"/>
  <c r="A23" i="21" s="1"/>
  <c r="A24" i="21" s="1"/>
  <c r="I151" i="11"/>
  <c r="I134" i="11"/>
  <c r="A90" i="11"/>
  <c r="A91" i="11" s="1"/>
  <c r="I36" i="11"/>
  <c r="A31" i="11"/>
  <c r="A152" i="11"/>
  <c r="A153" i="11" s="1"/>
  <c r="A154" i="11" s="1"/>
  <c r="A155" i="11" s="1"/>
  <c r="A32" i="13"/>
  <c r="A33" i="13" s="1"/>
  <c r="A34" i="13" s="1"/>
  <c r="A35" i="13" s="1"/>
  <c r="G35" i="13"/>
  <c r="G14" i="13"/>
  <c r="A60" i="13"/>
  <c r="A61" i="13" s="1"/>
  <c r="A62" i="13" s="1"/>
  <c r="A20" i="15"/>
  <c r="A21" i="15" s="1"/>
  <c r="E42" i="15"/>
  <c r="A25" i="21" l="1"/>
  <c r="A26" i="21" s="1"/>
  <c r="I155" i="11"/>
  <c r="I100" i="11"/>
  <c r="A92" i="11"/>
  <c r="A93" i="11" s="1"/>
  <c r="A94" i="11" s="1"/>
  <c r="A95" i="11" s="1"/>
  <c r="A96" i="11" s="1"/>
  <c r="A97" i="11" s="1"/>
  <c r="A98" i="11" s="1"/>
  <c r="A99" i="11" s="1"/>
  <c r="A100" i="11" s="1"/>
  <c r="A101" i="11" s="1"/>
  <c r="A32" i="11"/>
  <c r="I32" i="11"/>
  <c r="A63" i="13"/>
  <c r="A64" i="13" s="1"/>
  <c r="E44" i="15"/>
  <c r="A22" i="15"/>
  <c r="A23" i="15" s="1"/>
  <c r="A27" i="21" l="1"/>
  <c r="A28" i="21" s="1"/>
  <c r="A29" i="21" s="1"/>
  <c r="I146" i="11"/>
  <c r="A102" i="11"/>
  <c r="A103" i="11" s="1"/>
  <c r="A33" i="11"/>
  <c r="A34" i="11" s="1"/>
  <c r="A35" i="11" s="1"/>
  <c r="I48" i="11"/>
  <c r="G16" i="13"/>
  <c r="A65" i="13"/>
  <c r="A66" i="13" s="1"/>
  <c r="A67" i="13" s="1"/>
  <c r="A24" i="15"/>
  <c r="A25" i="15" s="1"/>
  <c r="A30" i="21" l="1"/>
  <c r="A31" i="21" s="1"/>
  <c r="A32" i="21" s="1"/>
  <c r="A36" i="11"/>
  <c r="A37" i="11" s="1"/>
  <c r="A38" i="11" s="1"/>
  <c r="A39" i="11" s="1"/>
  <c r="A40" i="11" s="1"/>
  <c r="A41" i="11" s="1"/>
  <c r="A42" i="11" s="1"/>
  <c r="A104" i="11"/>
  <c r="A105" i="11" s="1"/>
  <c r="A106" i="11" s="1"/>
  <c r="I106" i="11"/>
  <c r="A68" i="13"/>
  <c r="A69" i="13" s="1"/>
  <c r="A26" i="15"/>
  <c r="A27" i="15" s="1"/>
  <c r="A28" i="15" s="1"/>
  <c r="A33" i="15" s="1"/>
  <c r="A34" i="15" s="1"/>
  <c r="E46" i="15"/>
  <c r="A33" i="21" l="1"/>
  <c r="A34" i="21" s="1"/>
  <c r="A35" i="21" s="1"/>
  <c r="A36" i="21" s="1"/>
  <c r="A37" i="21" s="1"/>
  <c r="A38" i="21" s="1"/>
  <c r="A39" i="21" s="1"/>
  <c r="A43" i="11"/>
  <c r="A44" i="11" s="1"/>
  <c r="A45" i="11" s="1"/>
  <c r="A46" i="11" s="1"/>
  <c r="A47" i="11" s="1"/>
  <c r="I49" i="11"/>
  <c r="A107" i="11"/>
  <c r="A108" i="11" s="1"/>
  <c r="A109" i="11" s="1"/>
  <c r="A110" i="11" s="1"/>
  <c r="I110" i="11"/>
  <c r="I39" i="11"/>
  <c r="G18" i="13"/>
  <c r="A70" i="13"/>
  <c r="A71" i="13" s="1"/>
  <c r="A72" i="13" s="1"/>
  <c r="A73" i="13" s="1"/>
  <c r="A35" i="15"/>
  <c r="A36" i="15" s="1"/>
  <c r="A37" i="15" s="1"/>
  <c r="A38" i="15" s="1"/>
  <c r="A39" i="15" s="1"/>
  <c r="A40" i="15" s="1"/>
  <c r="A40" i="21" l="1"/>
  <c r="A41" i="21" s="1"/>
  <c r="A42" i="21" s="1"/>
  <c r="A43" i="21" s="1"/>
  <c r="A44" i="21" s="1"/>
  <c r="A48" i="11"/>
  <c r="A74" i="13"/>
  <c r="A75" i="13" s="1"/>
  <c r="A76" i="13" s="1"/>
  <c r="A41" i="15"/>
  <c r="A42" i="15" s="1"/>
  <c r="A43" i="15" s="1"/>
  <c r="A44" i="15" s="1"/>
  <c r="A45" i="15" s="1"/>
  <c r="A46" i="15" s="1"/>
  <c r="A47" i="15" s="1"/>
  <c r="A48" i="15" s="1"/>
  <c r="E40" i="15"/>
  <c r="A45" i="21" l="1"/>
  <c r="A46" i="21" s="1"/>
  <c r="A47" i="21" s="1"/>
  <c r="A48" i="21" s="1"/>
  <c r="A49" i="11"/>
  <c r="I52" i="11"/>
  <c r="A77" i="13"/>
  <c r="A78" i="13" s="1"/>
  <c r="A49" i="15"/>
  <c r="A50" i="15" s="1"/>
  <c r="A51" i="15" s="1"/>
  <c r="A52" i="15" s="1"/>
  <c r="A53" i="15" s="1"/>
  <c r="E48" i="15"/>
  <c r="A50" i="11" l="1"/>
  <c r="I50" i="11"/>
  <c r="A79" i="13"/>
  <c r="A80" i="13" s="1"/>
  <c r="E52" i="15"/>
  <c r="I108" i="11" l="1"/>
  <c r="A51" i="11"/>
  <c r="A52" i="11" s="1"/>
  <c r="A81" i="13"/>
  <c r="A82" i="13" s="1"/>
  <c r="A53" i="11" l="1"/>
  <c r="A54" i="11" s="1"/>
  <c r="A55" i="11" s="1"/>
  <c r="A56" i="11" s="1"/>
  <c r="A57" i="11" s="1"/>
  <c r="A58" i="11" s="1"/>
  <c r="A59" i="11" s="1"/>
  <c r="A60" i="11" s="1"/>
  <c r="G20" i="13"/>
  <c r="A83" i="13"/>
  <c r="A84" i="13" s="1"/>
  <c r="A85" i="13" s="1"/>
  <c r="A61" i="11" l="1"/>
  <c r="A86" i="13"/>
  <c r="A87" i="13" s="1"/>
  <c r="A88" i="13" s="1"/>
  <c r="A89" i="13" s="1"/>
  <c r="A62" i="11" l="1"/>
  <c r="A90" i="13"/>
  <c r="A91" i="13" s="1"/>
  <c r="A92" i="13" s="1"/>
  <c r="A93" i="13" s="1"/>
  <c r="A63" i="11" l="1"/>
  <c r="I63" i="11"/>
  <c r="I65" i="11"/>
  <c r="A94" i="13"/>
  <c r="A95" i="13" s="1"/>
  <c r="A96" i="13" s="1"/>
  <c r="A97" i="13" s="1"/>
  <c r="A64" i="11" l="1"/>
  <c r="A65" i="11" s="1"/>
  <c r="I130" i="11" s="1"/>
  <c r="I153" i="11"/>
  <c r="A98" i="13"/>
  <c r="A99" i="13" s="1"/>
  <c r="G22" i="13" s="1"/>
  <c r="I15" i="22" l="1"/>
  <c r="I23" i="22" s="1"/>
  <c r="I13" i="22"/>
  <c r="I21" i="22" s="1"/>
  <c r="A13" i="22"/>
  <c r="A14" i="22" s="1"/>
  <c r="A15" i="22" s="1"/>
  <c r="A12" i="22"/>
  <c r="L11" i="22"/>
  <c r="L12" i="22" s="1"/>
  <c r="L13" i="22" s="1"/>
  <c r="L14" i="22" s="1"/>
  <c r="L15" i="22" s="1"/>
  <c r="L16" i="22" s="1"/>
  <c r="L17" i="22" s="1"/>
  <c r="L18" i="22" s="1"/>
  <c r="L19" i="22" s="1"/>
  <c r="L20" i="22" s="1"/>
  <c r="L21" i="22" s="1"/>
  <c r="L22" i="22" s="1"/>
  <c r="L23" i="22" s="1"/>
  <c r="L24" i="22" s="1"/>
  <c r="L25" i="22" s="1"/>
  <c r="L26" i="22" s="1"/>
  <c r="L27" i="22" s="1"/>
  <c r="L28" i="22" s="1"/>
  <c r="L29" i="22" s="1"/>
  <c r="E54" i="18"/>
  <c r="E52" i="18"/>
  <c r="E49" i="18"/>
  <c r="E20" i="18" s="1"/>
  <c r="F20" i="18" s="1"/>
  <c r="J20" i="18" s="1"/>
  <c r="E43" i="18"/>
  <c r="E41" i="18"/>
  <c r="E38" i="18"/>
  <c r="E56" i="18" s="1"/>
  <c r="F29" i="18"/>
  <c r="J29" i="18" s="1"/>
  <c r="D27" i="18"/>
  <c r="D31" i="18" s="1"/>
  <c r="E25" i="18"/>
  <c r="F25" i="18" s="1"/>
  <c r="J25" i="18" s="1"/>
  <c r="F24" i="18"/>
  <c r="J24" i="18" s="1"/>
  <c r="F23" i="18"/>
  <c r="J23" i="18" s="1"/>
  <c r="E23" i="18"/>
  <c r="J22" i="18"/>
  <c r="F22" i="18"/>
  <c r="E22" i="18"/>
  <c r="F21" i="18"/>
  <c r="J21" i="18" s="1"/>
  <c r="E19" i="18"/>
  <c r="F19" i="18" s="1"/>
  <c r="J19" i="18" s="1"/>
  <c r="F18" i="18"/>
  <c r="J18" i="18" s="1"/>
  <c r="E18" i="18"/>
  <c r="E17" i="18"/>
  <c r="F17" i="18" s="1"/>
  <c r="J17" i="18" s="1"/>
  <c r="F16" i="18"/>
  <c r="J16" i="18" s="1"/>
  <c r="H27" i="18"/>
  <c r="H31" i="18" s="1"/>
  <c r="E44" i="19" s="1"/>
  <c r="E14" i="18"/>
  <c r="F14" i="18" s="1"/>
  <c r="J14" i="18" s="1"/>
  <c r="F13" i="18"/>
  <c r="J13" i="18" s="1"/>
  <c r="L12" i="18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F12" i="18"/>
  <c r="J12" i="18" s="1"/>
  <c r="E12" i="18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L11" i="18"/>
  <c r="E11" i="18"/>
  <c r="B52" i="14"/>
  <c r="C46" i="14"/>
  <c r="B46" i="14"/>
  <c r="B44" i="14"/>
  <c r="B42" i="14"/>
  <c r="B38" i="14"/>
  <c r="B36" i="14"/>
  <c r="D34" i="14"/>
  <c r="B34" i="14"/>
  <c r="D32" i="14"/>
  <c r="C32" i="14"/>
  <c r="C44" i="14"/>
  <c r="C42" i="14"/>
  <c r="C38" i="14"/>
  <c r="A12" i="14"/>
  <c r="A13" i="14" s="1"/>
  <c r="E11" i="14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C34" i="14"/>
  <c r="I17" i="22" l="1"/>
  <c r="I25" i="22" s="1"/>
  <c r="I27" i="22" s="1"/>
  <c r="A16" i="22"/>
  <c r="A17" i="22" s="1"/>
  <c r="E27" i="18"/>
  <c r="E31" i="18" s="1"/>
  <c r="K27" i="18"/>
  <c r="A26" i="18"/>
  <c r="A27" i="18" s="1"/>
  <c r="F11" i="18"/>
  <c r="C17" i="14"/>
  <c r="C23" i="14" s="1"/>
  <c r="C27" i="14" s="1"/>
  <c r="D36" i="14"/>
  <c r="A14" i="14"/>
  <c r="A15" i="14" s="1"/>
  <c r="C36" i="14"/>
  <c r="C40" i="14" s="1"/>
  <c r="C48" i="14" s="1"/>
  <c r="C52" i="14" s="1"/>
  <c r="A18" i="22" l="1"/>
  <c r="A19" i="22" s="1"/>
  <c r="J11" i="18"/>
  <c r="J27" i="18" s="1"/>
  <c r="J31" i="18" s="1"/>
  <c r="F27" i="18"/>
  <c r="F31" i="18" s="1"/>
  <c r="A28" i="18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K31" i="18"/>
  <c r="D38" i="14"/>
  <c r="A16" i="14"/>
  <c r="A17" i="14" s="1"/>
  <c r="A20" i="22" l="1"/>
  <c r="A21" i="22" s="1"/>
  <c r="A18" i="14"/>
  <c r="A19" i="14" s="1"/>
  <c r="A22" i="22" l="1"/>
  <c r="A23" i="22" s="1"/>
  <c r="A24" i="22" s="1"/>
  <c r="A25" i="22" s="1"/>
  <c r="A26" i="22" s="1"/>
  <c r="A27" i="22" s="1"/>
  <c r="A28" i="22" s="1"/>
  <c r="A29" i="22" s="1"/>
  <c r="D42" i="14"/>
  <c r="A20" i="14"/>
  <c r="A21" i="14" s="1"/>
  <c r="A22" i="14" l="1"/>
  <c r="A23" i="14" s="1"/>
  <c r="D44" i="14"/>
  <c r="A24" i="14" l="1"/>
  <c r="A25" i="14" s="1"/>
  <c r="D46" i="14" l="1"/>
  <c r="A26" i="14"/>
  <c r="A27" i="14" s="1"/>
  <c r="A28" i="14" s="1"/>
  <c r="A33" i="14" s="1"/>
  <c r="A34" i="14" s="1"/>
  <c r="A35" i="14" l="1"/>
  <c r="A36" i="14" s="1"/>
  <c r="A37" i="14" s="1"/>
  <c r="A38" i="14" s="1"/>
  <c r="A39" i="14" s="1"/>
  <c r="A40" i="14" s="1"/>
  <c r="D40" i="14" l="1"/>
  <c r="D48" i="14"/>
  <c r="A41" i="14"/>
  <c r="A42" i="14" s="1"/>
  <c r="A43" i="14" s="1"/>
  <c r="A44" i="14" s="1"/>
  <c r="A45" i="14" s="1"/>
  <c r="A46" i="14" s="1"/>
  <c r="A47" i="14" s="1"/>
  <c r="A48" i="14" s="1"/>
  <c r="A49" i="14" l="1"/>
  <c r="A50" i="14" s="1"/>
  <c r="A51" i="14" s="1"/>
  <c r="A52" i="14" s="1"/>
  <c r="A53" i="14" s="1"/>
  <c r="D52" i="14"/>
  <c r="G12" i="1" l="1"/>
  <c r="G13" i="1" s="1"/>
  <c r="G14" i="1" s="1"/>
  <c r="A12" i="1"/>
  <c r="A13" i="1" s="1"/>
  <c r="A14" i="1" s="1"/>
  <c r="E62" i="20" l="1"/>
  <c r="E67" i="20" s="1"/>
  <c r="F45" i="20"/>
  <c r="I45" i="20" s="1"/>
  <c r="H41" i="20"/>
  <c r="D41" i="20"/>
  <c r="D43" i="20" s="1"/>
  <c r="D47" i="20" s="1"/>
  <c r="F39" i="20"/>
  <c r="I39" i="20" s="1"/>
  <c r="F38" i="20"/>
  <c r="I38" i="20" s="1"/>
  <c r="E38" i="20"/>
  <c r="E37" i="20"/>
  <c r="F37" i="20" s="1"/>
  <c r="I37" i="20" s="1"/>
  <c r="F36" i="20"/>
  <c r="F41" i="20" s="1"/>
  <c r="E36" i="20"/>
  <c r="E41" i="20" s="1"/>
  <c r="I35" i="20"/>
  <c r="F35" i="20"/>
  <c r="I34" i="20"/>
  <c r="F34" i="20"/>
  <c r="I33" i="20"/>
  <c r="F33" i="20"/>
  <c r="I32" i="20"/>
  <c r="F32" i="20"/>
  <c r="I31" i="20"/>
  <c r="F31" i="20"/>
  <c r="I30" i="20"/>
  <c r="F30" i="20"/>
  <c r="H27" i="20"/>
  <c r="H43" i="20" s="1"/>
  <c r="H47" i="20" s="1"/>
  <c r="D27" i="20"/>
  <c r="I25" i="20"/>
  <c r="F25" i="20"/>
  <c r="E24" i="20"/>
  <c r="F24" i="20" s="1"/>
  <c r="I24" i="20" s="1"/>
  <c r="F23" i="20"/>
  <c r="I23" i="20" s="1"/>
  <c r="E23" i="20"/>
  <c r="E22" i="20"/>
  <c r="F22" i="20" s="1"/>
  <c r="I22" i="20" s="1"/>
  <c r="F21" i="20"/>
  <c r="I21" i="20" s="1"/>
  <c r="F20" i="20"/>
  <c r="I20" i="20" s="1"/>
  <c r="E20" i="20"/>
  <c r="E19" i="20"/>
  <c r="F19" i="20" s="1"/>
  <c r="I19" i="20" s="1"/>
  <c r="F18" i="20"/>
  <c r="I18" i="20" s="1"/>
  <c r="F17" i="20"/>
  <c r="I17" i="20" s="1"/>
  <c r="F16" i="20"/>
  <c r="I16" i="20" s="1"/>
  <c r="F15" i="20"/>
  <c r="I15" i="20" s="1"/>
  <c r="E15" i="20"/>
  <c r="I14" i="20"/>
  <c r="F14" i="20"/>
  <c r="I13" i="20"/>
  <c r="F13" i="20"/>
  <c r="I12" i="20"/>
  <c r="F12" i="20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K11" i="20"/>
  <c r="K12" i="20" s="1"/>
  <c r="K13" i="20" s="1"/>
  <c r="K14" i="20" s="1"/>
  <c r="K15" i="20" s="1"/>
  <c r="K16" i="20" s="1"/>
  <c r="K17" i="20" s="1"/>
  <c r="K18" i="20" s="1"/>
  <c r="K19" i="20" s="1"/>
  <c r="K20" i="20" s="1"/>
  <c r="K21" i="20" s="1"/>
  <c r="K22" i="20" s="1"/>
  <c r="K23" i="20" s="1"/>
  <c r="K24" i="20" s="1"/>
  <c r="K25" i="20" s="1"/>
  <c r="K26" i="20" s="1"/>
  <c r="K27" i="20" s="1"/>
  <c r="K28" i="20" s="1"/>
  <c r="K29" i="20" s="1"/>
  <c r="K30" i="20" s="1"/>
  <c r="K31" i="20" s="1"/>
  <c r="K32" i="20" s="1"/>
  <c r="K33" i="20" s="1"/>
  <c r="K34" i="20" s="1"/>
  <c r="K35" i="20" s="1"/>
  <c r="K36" i="20" s="1"/>
  <c r="K37" i="20" s="1"/>
  <c r="K38" i="20" s="1"/>
  <c r="K39" i="20" s="1"/>
  <c r="K40" i="20" s="1"/>
  <c r="K41" i="20" s="1"/>
  <c r="K42" i="20" s="1"/>
  <c r="K43" i="20" s="1"/>
  <c r="K44" i="20" s="1"/>
  <c r="K45" i="20" s="1"/>
  <c r="K46" i="20" s="1"/>
  <c r="K47" i="20" s="1"/>
  <c r="K48" i="20" s="1"/>
  <c r="K49" i="20" s="1"/>
  <c r="K50" i="20" s="1"/>
  <c r="K51" i="20" s="1"/>
  <c r="K52" i="20" s="1"/>
  <c r="K53" i="20" s="1"/>
  <c r="K54" i="20" s="1"/>
  <c r="K55" i="20" s="1"/>
  <c r="K56" i="20" s="1"/>
  <c r="K57" i="20" s="1"/>
  <c r="K58" i="20" s="1"/>
  <c r="K59" i="20" s="1"/>
  <c r="K60" i="20" s="1"/>
  <c r="K61" i="20" s="1"/>
  <c r="K62" i="20" s="1"/>
  <c r="K63" i="20" s="1"/>
  <c r="K64" i="20" s="1"/>
  <c r="K65" i="20" s="1"/>
  <c r="K66" i="20" s="1"/>
  <c r="K67" i="20" s="1"/>
  <c r="K68" i="20" s="1"/>
  <c r="K69" i="20" s="1"/>
  <c r="K70" i="20" s="1"/>
  <c r="K71" i="20" s="1"/>
  <c r="K72" i="20" s="1"/>
  <c r="K73" i="20" s="1"/>
  <c r="K74" i="20" s="1"/>
  <c r="K75" i="20" s="1"/>
  <c r="K76" i="20" s="1"/>
  <c r="K77" i="20" s="1"/>
  <c r="E11" i="20"/>
  <c r="F11" i="20" s="1"/>
  <c r="E58" i="19"/>
  <c r="E60" i="19"/>
  <c r="E68" i="19" s="1"/>
  <c r="E45" i="19"/>
  <c r="E47" i="19" s="1"/>
  <c r="E49" i="19" s="1"/>
  <c r="E28" i="19"/>
  <c r="E52" i="13" s="1"/>
  <c r="E54" i="13" s="1"/>
  <c r="E12" i="13" s="1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J27" i="20" l="1"/>
  <c r="A26" i="20"/>
  <c r="A27" i="20" s="1"/>
  <c r="I11" i="20"/>
  <c r="I27" i="20" s="1"/>
  <c r="F27" i="20"/>
  <c r="F43" i="20" s="1"/>
  <c r="F47" i="20" s="1"/>
  <c r="E27" i="20"/>
  <c r="E43" i="20" s="1"/>
  <c r="E47" i="20" s="1"/>
  <c r="I36" i="20"/>
  <c r="I41" i="20" s="1"/>
  <c r="E70" i="19"/>
  <c r="E50" i="19" s="1"/>
  <c r="E51" i="19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E57" i="13" l="1"/>
  <c r="E59" i="13" s="1"/>
  <c r="E14" i="13" s="1"/>
  <c r="E23" i="17"/>
  <c r="I43" i="20"/>
  <c r="I47" i="20" s="1"/>
  <c r="A28" i="20"/>
  <c r="A29" i="20" s="1"/>
  <c r="A30" i="20" s="1"/>
  <c r="A32" i="19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31" i="20" l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6" i="19"/>
  <c r="J41" i="20" l="1"/>
  <c r="A42" i="20"/>
  <c r="A43" i="20" s="1"/>
  <c r="J43" i="20"/>
  <c r="A47" i="19"/>
  <c r="A44" i="20" l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48" i="19"/>
  <c r="A49" i="19" s="1"/>
  <c r="J47" i="20" l="1"/>
  <c r="A50" i="19"/>
  <c r="A51" i="19" s="1"/>
  <c r="A52" i="19" s="1"/>
  <c r="A53" i="19" s="1"/>
  <c r="A54" i="19" s="1"/>
  <c r="A55" i="19" l="1"/>
  <c r="A56" i="19" s="1"/>
  <c r="A57" i="19" s="1"/>
  <c r="A58" i="19" s="1"/>
  <c r="A59" i="19" l="1"/>
  <c r="A60" i="19" s="1"/>
  <c r="A61" i="19" l="1"/>
  <c r="A62" i="19" s="1"/>
  <c r="A63" i="19" s="1"/>
  <c r="A64" i="19" s="1"/>
  <c r="A65" i="19" s="1"/>
  <c r="A66" i="19" s="1"/>
  <c r="A67" i="19" s="1"/>
  <c r="A68" i="19" s="1"/>
  <c r="A69" i="19" l="1"/>
  <c r="A70" i="19" s="1"/>
  <c r="E22" i="16" l="1"/>
  <c r="E20" i="16"/>
  <c r="E14" i="16"/>
  <c r="E12" i="16"/>
  <c r="E27" i="17"/>
  <c r="G19" i="17"/>
  <c r="E74" i="13" s="1"/>
  <c r="A12" i="17"/>
  <c r="A13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G15" i="17"/>
  <c r="E73" i="13" s="1"/>
  <c r="C16" i="16"/>
  <c r="E25" i="17" l="1"/>
  <c r="E29" i="17" s="1"/>
  <c r="C12" i="16"/>
  <c r="C22" i="16"/>
  <c r="A14" i="17"/>
  <c r="A15" i="17" s="1"/>
  <c r="A16" i="17" s="1"/>
  <c r="A17" i="17" s="1"/>
  <c r="A18" i="17" s="1"/>
  <c r="A19" i="17" s="1"/>
  <c r="A20" i="17" s="1"/>
  <c r="A21" i="17" s="1"/>
  <c r="A22" i="17" s="1"/>
  <c r="E75" i="13" l="1"/>
  <c r="E76" i="13" s="1"/>
  <c r="C31" i="21"/>
  <c r="C32" i="21" s="1"/>
  <c r="C36" i="21" s="1"/>
  <c r="G88" i="11" s="1"/>
  <c r="A23" i="17"/>
  <c r="A24" i="17" s="1"/>
  <c r="A25" i="17" s="1"/>
  <c r="G99" i="11" l="1"/>
  <c r="G91" i="11"/>
  <c r="G100" i="11" s="1"/>
  <c r="A26" i="17"/>
  <c r="A27" i="17" s="1"/>
  <c r="A28" i="17" s="1"/>
  <c r="A29" i="17" s="1"/>
  <c r="G103" i="11" l="1"/>
  <c r="G106" i="11" s="1"/>
  <c r="G110" i="11" s="1"/>
  <c r="E78" i="13" s="1"/>
  <c r="E91" i="13" l="1"/>
  <c r="E93" i="13" s="1"/>
  <c r="E97" i="13" s="1"/>
  <c r="E99" i="13" s="1"/>
  <c r="E22" i="13" s="1"/>
  <c r="E80" i="13"/>
  <c r="E82" i="13" s="1"/>
  <c r="E20" i="13" s="1"/>
  <c r="E24" i="13" s="1"/>
  <c r="E26" i="13" s="1"/>
  <c r="E28" i="13" s="1"/>
  <c r="E33" i="13" s="1"/>
  <c r="E35" i="13" s="1"/>
  <c r="C13" i="15" s="1"/>
  <c r="G51" i="16"/>
  <c r="E47" i="16"/>
  <c r="E45" i="16"/>
  <c r="E43" i="16"/>
  <c r="E39" i="16"/>
  <c r="E37" i="16"/>
  <c r="E35" i="16"/>
  <c r="G33" i="16"/>
  <c r="G32" i="16"/>
  <c r="E33" i="16"/>
  <c r="E26" i="16"/>
  <c r="E16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C14" i="16" l="1"/>
  <c r="C17" i="15"/>
  <c r="C36" i="15"/>
  <c r="G47" i="16"/>
  <c r="G45" i="16"/>
  <c r="E41" i="16"/>
  <c r="E49" i="16" s="1"/>
  <c r="E53" i="16" s="1"/>
  <c r="G39" i="16"/>
  <c r="E18" i="16"/>
  <c r="E24" i="16" s="1"/>
  <c r="E28" i="16" s="1"/>
  <c r="G12" i="16"/>
  <c r="G14" i="16"/>
  <c r="G22" i="16"/>
  <c r="G16" i="16"/>
  <c r="C18" i="16"/>
  <c r="A15" i="16"/>
  <c r="A16" i="16" s="1"/>
  <c r="C40" i="15" l="1"/>
  <c r="D19" i="12" s="1"/>
  <c r="C37" i="16"/>
  <c r="G37" i="16" s="1"/>
  <c r="C41" i="16"/>
  <c r="G35" i="16"/>
  <c r="G18" i="16"/>
  <c r="A17" i="16"/>
  <c r="A18" i="16" s="1"/>
  <c r="H18" i="16"/>
  <c r="D25" i="12" l="1"/>
  <c r="I25" i="12" s="1"/>
  <c r="D22" i="12"/>
  <c r="I22" i="12" s="1"/>
  <c r="D28" i="12"/>
  <c r="I28" i="12" s="1"/>
  <c r="D21" i="12"/>
  <c r="I21" i="12" s="1"/>
  <c r="D26" i="12"/>
  <c r="I26" i="12" s="1"/>
  <c r="D27" i="12"/>
  <c r="I27" i="12" s="1"/>
  <c r="D23" i="12"/>
  <c r="I23" i="12" s="1"/>
  <c r="D24" i="12"/>
  <c r="I24" i="12" s="1"/>
  <c r="I19" i="12"/>
  <c r="D30" i="12"/>
  <c r="I30" i="12" s="1"/>
  <c r="D20" i="12"/>
  <c r="I20" i="12" s="1"/>
  <c r="D29" i="12"/>
  <c r="I29" i="12" s="1"/>
  <c r="G41" i="16"/>
  <c r="A19" i="16"/>
  <c r="A20" i="16" s="1"/>
  <c r="D31" i="12" l="1"/>
  <c r="I31" i="12"/>
  <c r="L19" i="12"/>
  <c r="K19" i="12"/>
  <c r="A21" i="16"/>
  <c r="A22" i="16" s="1"/>
  <c r="H24" i="16" s="1"/>
  <c r="M19" i="12" l="1"/>
  <c r="K20" i="12" s="1"/>
  <c r="L20" i="12" s="1"/>
  <c r="M20" i="12" s="1"/>
  <c r="K21" i="12" s="1"/>
  <c r="L21" i="12" s="1"/>
  <c r="M21" i="12" s="1"/>
  <c r="K22" i="12" s="1"/>
  <c r="L22" i="12" s="1"/>
  <c r="M22" i="12" s="1"/>
  <c r="A23" i="16"/>
  <c r="A24" i="16" s="1"/>
  <c r="K23" i="12" l="1"/>
  <c r="L23" i="12" s="1"/>
  <c r="M23" i="12" s="1"/>
  <c r="A25" i="16"/>
  <c r="A26" i="16" s="1"/>
  <c r="K24" i="12" l="1"/>
  <c r="L24" i="12"/>
  <c r="M24" i="12" s="1"/>
  <c r="A27" i="16"/>
  <c r="A28" i="16" s="1"/>
  <c r="A29" i="16" s="1"/>
  <c r="A34" i="16" s="1"/>
  <c r="A35" i="16" s="1"/>
  <c r="H28" i="16"/>
  <c r="K25" i="12" l="1"/>
  <c r="L25" i="12" s="1"/>
  <c r="M25" i="12" s="1"/>
  <c r="A36" i="16"/>
  <c r="A37" i="16" s="1"/>
  <c r="A38" i="16" s="1"/>
  <c r="A39" i="16" s="1"/>
  <c r="A40" i="16" s="1"/>
  <c r="A41" i="16" s="1"/>
  <c r="K26" i="12" l="1"/>
  <c r="L26" i="12"/>
  <c r="M26" i="12" s="1"/>
  <c r="A42" i="16"/>
  <c r="A43" i="16" s="1"/>
  <c r="A44" i="16" s="1"/>
  <c r="A45" i="16" s="1"/>
  <c r="A46" i="16" s="1"/>
  <c r="A47" i="16" s="1"/>
  <c r="A48" i="16" s="1"/>
  <c r="A49" i="16" s="1"/>
  <c r="H41" i="16"/>
  <c r="K27" i="12" l="1"/>
  <c r="L27" i="12" s="1"/>
  <c r="A50" i="16"/>
  <c r="A51" i="16" s="1"/>
  <c r="A52" i="16" s="1"/>
  <c r="A53" i="16" s="1"/>
  <c r="A54" i="16" s="1"/>
  <c r="H49" i="16"/>
  <c r="M27" i="12" l="1"/>
  <c r="K28" i="12" s="1"/>
  <c r="L28" i="12" s="1"/>
  <c r="M28" i="12" s="1"/>
  <c r="K29" i="12" s="1"/>
  <c r="L29" i="12" s="1"/>
  <c r="M29" i="12" s="1"/>
  <c r="K30" i="12" s="1"/>
  <c r="G15" i="1"/>
  <c r="G16" i="1" s="1"/>
  <c r="G17" i="1" s="1"/>
  <c r="G18" i="1" s="1"/>
  <c r="G19" i="1" s="1"/>
  <c r="G20" i="1" s="1"/>
  <c r="G21" i="1" s="1"/>
  <c r="A15" i="1"/>
  <c r="A16" i="1" s="1"/>
  <c r="A17" i="1" s="1"/>
  <c r="A18" i="1" s="1"/>
  <c r="A19" i="1" s="1"/>
  <c r="A20" i="1" s="1"/>
  <c r="A21" i="1" s="1"/>
  <c r="L30" i="12" l="1"/>
  <c r="L31" i="12" s="1"/>
  <c r="M30" i="12" l="1"/>
  <c r="C19" i="15" s="1"/>
  <c r="C23" i="15" l="1"/>
  <c r="C27" i="15" s="1"/>
  <c r="C20" i="16"/>
  <c r="C42" i="15"/>
  <c r="C48" i="15" l="1"/>
  <c r="C52" i="15" s="1"/>
  <c r="C43" i="16"/>
  <c r="C24" i="16"/>
  <c r="C28" i="16" s="1"/>
  <c r="G28" i="16" s="1"/>
  <c r="G20" i="16"/>
  <c r="G24" i="16" s="1"/>
  <c r="D18" i="26" l="1"/>
  <c r="D13" i="1"/>
  <c r="C49" i="16"/>
  <c r="C53" i="16" s="1"/>
  <c r="G53" i="16" s="1"/>
  <c r="G43" i="16"/>
  <c r="G49" i="16" s="1"/>
  <c r="G18" i="26" l="1"/>
  <c r="F18" i="26"/>
  <c r="H18" i="26" s="1"/>
  <c r="D19" i="26"/>
  <c r="D20" i="26" s="1"/>
  <c r="D21" i="26" s="1"/>
  <c r="D22" i="26" s="1"/>
  <c r="D23" i="26" s="1"/>
  <c r="D24" i="26" s="1"/>
  <c r="D25" i="26" s="1"/>
  <c r="D26" i="26" s="1"/>
  <c r="D27" i="26" s="1"/>
  <c r="D28" i="26" s="1"/>
  <c r="D29" i="26" s="1"/>
  <c r="F19" i="26" l="1"/>
  <c r="G19" i="26" s="1"/>
  <c r="H19" i="26" s="1"/>
  <c r="F20" i="26" s="1"/>
  <c r="G20" i="26" s="1"/>
  <c r="H20" i="26" s="1"/>
  <c r="F21" i="26" s="1"/>
  <c r="G21" i="26" s="1"/>
  <c r="H21" i="26" s="1"/>
  <c r="D54" i="26"/>
  <c r="F22" i="26" l="1"/>
  <c r="G22" i="26" s="1"/>
  <c r="H22" i="26" l="1"/>
  <c r="F23" i="26" s="1"/>
  <c r="G23" i="26" s="1"/>
  <c r="H23" i="26" s="1"/>
  <c r="F24" i="26" s="1"/>
  <c r="G24" i="26" s="1"/>
  <c r="H24" i="26" s="1"/>
  <c r="F25" i="26" s="1"/>
  <c r="G25" i="26" s="1"/>
  <c r="H25" i="26" s="1"/>
  <c r="F26" i="26" l="1"/>
  <c r="G26" i="26"/>
  <c r="H26" i="26" s="1"/>
  <c r="F27" i="26" s="1"/>
  <c r="G27" i="26" s="1"/>
  <c r="H27" i="26" s="1"/>
  <c r="F28" i="26" s="1"/>
  <c r="G28" i="26" s="1"/>
  <c r="H28" i="26" s="1"/>
  <c r="F29" i="26" s="1"/>
  <c r="G29" i="26" s="1"/>
  <c r="H29" i="26" s="1"/>
  <c r="F30" i="26" s="1"/>
  <c r="G30" i="26" s="1"/>
  <c r="H30" i="26" s="1"/>
  <c r="F31" i="26" s="1"/>
  <c r="G31" i="26" s="1"/>
  <c r="H31" i="26" s="1"/>
  <c r="F32" i="26" l="1"/>
  <c r="G32" i="26" s="1"/>
  <c r="H32" i="26" s="1"/>
  <c r="F33" i="26" l="1"/>
  <c r="G33" i="26" s="1"/>
  <c r="H33" i="26" s="1"/>
  <c r="F34" i="26" l="1"/>
  <c r="G34" i="26" s="1"/>
  <c r="H34" i="26" s="1"/>
  <c r="F35" i="26" l="1"/>
  <c r="G35" i="26" s="1"/>
  <c r="H35" i="26" s="1"/>
  <c r="F36" i="26" l="1"/>
  <c r="G36" i="26" s="1"/>
  <c r="H36" i="26" s="1"/>
  <c r="F37" i="26" l="1"/>
  <c r="G37" i="26" s="1"/>
  <c r="H37" i="26" s="1"/>
  <c r="F38" i="26" l="1"/>
  <c r="G38" i="26" s="1"/>
  <c r="H38" i="26" s="1"/>
  <c r="F39" i="26" l="1"/>
  <c r="G39" i="26" s="1"/>
  <c r="H39" i="26" s="1"/>
  <c r="F40" i="26" l="1"/>
  <c r="G40" i="26" s="1"/>
  <c r="H40" i="26" s="1"/>
  <c r="F41" i="26" l="1"/>
  <c r="G41" i="26" s="1"/>
  <c r="H41" i="26" s="1"/>
  <c r="F42" i="26" l="1"/>
  <c r="G42" i="26" s="1"/>
  <c r="H42" i="26" s="1"/>
  <c r="F43" i="26" l="1"/>
  <c r="G43" i="26" s="1"/>
  <c r="H43" i="26" s="1"/>
  <c r="F44" i="26" l="1"/>
  <c r="G44" i="26" s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l="1"/>
  <c r="G48" i="26" s="1"/>
  <c r="H48" i="26" s="1"/>
  <c r="F49" i="26" l="1"/>
  <c r="G49" i="26" s="1"/>
  <c r="H49" i="26" s="1"/>
  <c r="F50" i="26" l="1"/>
  <c r="G50" i="26" s="1"/>
  <c r="H50" i="26" s="1"/>
  <c r="F51" i="26" l="1"/>
  <c r="G51" i="26" s="1"/>
  <c r="H51" i="26" s="1"/>
  <c r="F52" i="26" l="1"/>
  <c r="G52" i="26" s="1"/>
  <c r="H52" i="26" s="1"/>
  <c r="F53" i="26" l="1"/>
  <c r="G53" i="26" s="1"/>
  <c r="G54" i="26" s="1"/>
  <c r="D15" i="1" s="1"/>
  <c r="D17" i="1" s="1"/>
  <c r="D21" i="1" s="1"/>
  <c r="H53" i="26" l="1"/>
</calcChain>
</file>

<file path=xl/sharedStrings.xml><?xml version="1.0" encoding="utf-8"?>
<sst xmlns="http://schemas.openxmlformats.org/spreadsheetml/2006/main" count="1325" uniqueCount="727">
  <si>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</si>
  <si>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</si>
  <si>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</si>
  <si>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</si>
  <si>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</si>
  <si>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</si>
  <si>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</si>
  <si>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B</t>
  </si>
  <si>
    <t>Interest Expense</t>
  </si>
  <si>
    <t>Total</t>
  </si>
  <si>
    <t>(a)</t>
  </si>
  <si>
    <t xml:space="preserve"> </t>
  </si>
  <si>
    <t>A</t>
  </si>
  <si>
    <t>C = A - B</t>
  </si>
  <si>
    <t>Difference</t>
  </si>
  <si>
    <t>Incr (Decr)</t>
  </si>
  <si>
    <t>√</t>
  </si>
  <si>
    <t>Shall be Zero</t>
  </si>
  <si>
    <t>Transmission Related Electric Miscellaneous Intangible Plant</t>
  </si>
  <si>
    <t>Transmission Related General Plant</t>
  </si>
  <si>
    <t>Cost Adjustment Workpapers</t>
  </si>
  <si>
    <t>SAN DIEGO GAS &amp; ELECTRIC COMPANY</t>
  </si>
  <si>
    <t>Statement AH</t>
  </si>
  <si>
    <t>Operation and Maintenance Expenses</t>
  </si>
  <si>
    <t>FERC Form 1</t>
  </si>
  <si>
    <t>Page; Line; Col.</t>
  </si>
  <si>
    <t>Adjustments to Per Book Transmission O&amp;M Expense:</t>
  </si>
  <si>
    <t>Adjustments to Per Book A&amp;G Expense:</t>
  </si>
  <si>
    <t xml:space="preserve">   Abandoned Projects</t>
  </si>
  <si>
    <t xml:space="preserve">   CPUC energy efficiency programs</t>
  </si>
  <si>
    <t xml:space="preserve">   CPUC Intervenor Funding Expense - Distribution</t>
  </si>
  <si>
    <t xml:space="preserve">   CPUC reimbursement fees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</si>
  <si>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</si>
  <si>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</si>
  <si>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</si>
  <si>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</si>
  <si>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</si>
  <si>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</si>
  <si>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>Less: Property Insurance (Due to different allocation factor)</t>
  </si>
  <si>
    <t>Transmission Wages and Salaries Allocation Factor</t>
  </si>
  <si>
    <t>Property Insurance Allocated to Transmission, General, and Common Plant</t>
  </si>
  <si>
    <t>Derivation of Transmission Plant Property Insurance Allocation Factor:</t>
  </si>
  <si>
    <t>Transmission Plant &amp; Incentive Transmission Plant</t>
  </si>
  <si>
    <t xml:space="preserve">Transmission Related Common Plant </t>
  </si>
  <si>
    <t xml:space="preserve">     Total Transmission Related Investment in Plant</t>
  </si>
  <si>
    <t>Total Transmission Plant &amp; Incentive Transmission Plant</t>
  </si>
  <si>
    <t>Total Steam Production Plant</t>
  </si>
  <si>
    <t>Total Nuclear Production Plant</t>
  </si>
  <si>
    <t>Total Other Production Plant</t>
  </si>
  <si>
    <t>Total Distribution Plant</t>
  </si>
  <si>
    <t>Total General Plant</t>
  </si>
  <si>
    <t>Total Common Plant</t>
  </si>
  <si>
    <t xml:space="preserve">     Total Plant in Service Excluding SONGS</t>
  </si>
  <si>
    <t>Electric Transmission O&amp;M Expenses</t>
  </si>
  <si>
    <t>(b)</t>
  </si>
  <si>
    <t>(c) = (a) - (b)</t>
  </si>
  <si>
    <t>(e) = (c) + (d)</t>
  </si>
  <si>
    <t>FERC</t>
  </si>
  <si>
    <t>Excluded</t>
  </si>
  <si>
    <t>Revised</t>
  </si>
  <si>
    <t>Acct</t>
  </si>
  <si>
    <t>Per Books</t>
  </si>
  <si>
    <t>Expenses</t>
  </si>
  <si>
    <t>Adjusted</t>
  </si>
  <si>
    <t xml:space="preserve">O&amp;M </t>
  </si>
  <si>
    <t>Electric Transmission Operation</t>
  </si>
  <si>
    <t>Operation Supervision and Engineering</t>
  </si>
  <si>
    <t>Form 1; Page 321; Line 83</t>
  </si>
  <si>
    <t>Load Dispatch - Reliability</t>
  </si>
  <si>
    <t>Form 1; Page 321; Line 85</t>
  </si>
  <si>
    <t>Load Dispatch - Monitor and Operate Transmission System</t>
  </si>
  <si>
    <t>Form 1; Page 321; Line 86</t>
  </si>
  <si>
    <t>Load Dispatch - Transmission Service and Scheduling</t>
  </si>
  <si>
    <t>Form 1; Page 321; Line 87</t>
  </si>
  <si>
    <t xml:space="preserve">Scheduling, System Control and Dispatch Services </t>
  </si>
  <si>
    <t>Form 1; Page 321; Line 88</t>
  </si>
  <si>
    <t>Reliability, Planning and Standards Development</t>
  </si>
  <si>
    <t>Form 1; Page 321; Line 89</t>
  </si>
  <si>
    <t>Transmission Service Studies</t>
  </si>
  <si>
    <t>Form 1; Page 321; Line 90</t>
  </si>
  <si>
    <t>Generation Interconnection Studies</t>
  </si>
  <si>
    <t>Form 1; Page 321; Line 91</t>
  </si>
  <si>
    <t xml:space="preserve">Reliability, Planning and Standards Development Services </t>
  </si>
  <si>
    <t>Form 1; Page 321; Line 92</t>
  </si>
  <si>
    <t>Form 1; Page 321; Line 93</t>
  </si>
  <si>
    <t>Form 1; Page 321; Line 94</t>
  </si>
  <si>
    <t>Underground Line Expenses</t>
  </si>
  <si>
    <t>Form 1; Page 321; Line 95</t>
  </si>
  <si>
    <t>Transmission of Electricity by Others</t>
  </si>
  <si>
    <t>Form 1; Page 321; Line 96</t>
  </si>
  <si>
    <t>Misc. Transmission Expenses</t>
  </si>
  <si>
    <t>Form 1; Page 321; Line 97</t>
  </si>
  <si>
    <t>Rents</t>
  </si>
  <si>
    <t>Form 1; Page 321; Line 98</t>
  </si>
  <si>
    <t xml:space="preserve">     Total Electric Transmission Operation </t>
  </si>
  <si>
    <t>Electric Transmission Maintenance</t>
  </si>
  <si>
    <t>Maintenance Supervision and Engineering</t>
  </si>
  <si>
    <t>Form 1; Page 321; Line 101</t>
  </si>
  <si>
    <t>Maintenance of Structures</t>
  </si>
  <si>
    <t>Form 1; Page 321; Line 102</t>
  </si>
  <si>
    <t>Maintenance of Computer Hardware</t>
  </si>
  <si>
    <t>Form 1; Page 321; Line 103</t>
  </si>
  <si>
    <t>Maintenance of Computer Software</t>
  </si>
  <si>
    <t>Form 1; Page 321; Line 104</t>
  </si>
  <si>
    <t>Maintenance of Communication Equipment</t>
  </si>
  <si>
    <t>Form 1; Page 321; Line 105</t>
  </si>
  <si>
    <t>Maintenance of Misc. Regional Transmission Plant</t>
  </si>
  <si>
    <t>Form 1; Page 321; Line 106</t>
  </si>
  <si>
    <t>Form 1; Page 321; Line 107</t>
  </si>
  <si>
    <t>Form 1; Page 321; Line 108</t>
  </si>
  <si>
    <t>Form 1; Page 321; Line 109</t>
  </si>
  <si>
    <t>Maintenance of Misc. Transmission Plant</t>
  </si>
  <si>
    <t>Form 1; Page 321; Line 110</t>
  </si>
  <si>
    <t>Total Electric Transmission O&amp;M Expenses</t>
  </si>
  <si>
    <t>560</t>
  </si>
  <si>
    <t>Executive ICP</t>
  </si>
  <si>
    <t>Scheduling, System Control and Dispatch Services (ERRA)</t>
  </si>
  <si>
    <t>Reliability, Planning and Standards Development Services (ERRA)</t>
  </si>
  <si>
    <t>Transmission of Electricity by Others (ERRA)</t>
  </si>
  <si>
    <t>Total Excluded Expenses</t>
  </si>
  <si>
    <t>Statement AL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</si>
  <si>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</si>
  <si>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</si>
  <si>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</si>
  <si>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</si>
  <si>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</si>
  <si>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</si>
  <si>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450.1; Sch. Pg. 227; 12; c</t>
  </si>
  <si>
    <t>Transmission Plant Allocation Factor</t>
  </si>
  <si>
    <t xml:space="preserve">     Transmission Related Materials and Supplies 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</si>
  <si>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</si>
  <si>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</si>
  <si>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 xml:space="preserve">     Transmission Related Prepayments 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</si>
  <si>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</si>
  <si>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</si>
  <si>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</si>
  <si>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</si>
  <si>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</si>
  <si>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 xml:space="preserve">   One Eighth O&amp;M Rule</t>
  </si>
  <si>
    <t>FERC Method = 1/8 of O&amp;M Expense</t>
  </si>
  <si>
    <t xml:space="preserve">     Transmission Related Cash Working Capital - Retail Customers</t>
  </si>
  <si>
    <t>The balances for Materials &amp; Supplies and Prepayments are derived based on a 13-month average balance.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</si>
  <si>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</si>
  <si>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</si>
  <si>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</si>
  <si>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</si>
  <si>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</si>
  <si>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</si>
  <si>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</si>
  <si>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</si>
  <si>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</si>
  <si>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</si>
  <si>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</si>
  <si>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</si>
  <si>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</si>
  <si>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</si>
  <si>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</si>
  <si>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</si>
  <si>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</si>
  <si>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</si>
  <si>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</si>
  <si>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</si>
  <si>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</si>
  <si>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</si>
  <si>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</si>
  <si>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</si>
  <si>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</si>
  <si>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</si>
  <si>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</si>
  <si>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</si>
  <si>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</si>
  <si>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</si>
  <si>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</si>
  <si>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</si>
  <si>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</si>
  <si>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</si>
  <si>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</si>
  <si>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</si>
  <si>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</si>
  <si>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</si>
  <si>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</si>
  <si>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</si>
  <si>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</si>
  <si>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</si>
  <si>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</si>
  <si>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</si>
  <si>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</si>
  <si>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</si>
  <si>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</si>
  <si>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</si>
  <si>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</si>
  <si>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</si>
  <si>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</si>
  <si>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</si>
  <si>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</si>
  <si>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</si>
  <si>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</si>
  <si>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</si>
  <si>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</si>
  <si>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</si>
  <si>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Amount is based upon December 31 balances.</t>
  </si>
  <si>
    <t>Incentive Weighted Cost of Capital:</t>
  </si>
  <si>
    <t>Incentive Cost of Equity Component (Preferred &amp; Common):</t>
  </si>
  <si>
    <t>Where:</t>
  </si>
  <si>
    <t xml:space="preserve">     A = Sum of Preferred Stock and Return on Equity Component</t>
  </si>
  <si>
    <t xml:space="preserve">     B = Transmission Total Federal Tax Adjustments</t>
  </si>
  <si>
    <t xml:space="preserve">     C = Equity AFUDC Component of Transmission Depreciation Expense</t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</si>
  <si>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</si>
  <si>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</si>
  <si>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</si>
  <si>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</si>
  <si>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</si>
  <si>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</si>
  <si>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</si>
  <si>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</si>
  <si>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</si>
  <si>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</si>
  <si>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</si>
  <si>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</si>
  <si>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</si>
  <si>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</si>
  <si>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</si>
  <si>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</si>
  <si>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</si>
  <si>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</si>
  <si>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</si>
  <si>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</si>
  <si>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</si>
  <si>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</si>
  <si>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t>Summary of Cost Components</t>
  </si>
  <si>
    <t>Description of Annual Costs</t>
  </si>
  <si>
    <t>Section 1 - Direct Maintenance Expense Cost Component</t>
  </si>
  <si>
    <t>Section 2 - Non-Direct Expense Cost Component</t>
  </si>
  <si>
    <t>Section 3 - Cost Component Containing Other Specific Expenses</t>
  </si>
  <si>
    <t>Section 4 - True-Up Adjustment Cost Component (Over)/Undercollection</t>
  </si>
  <si>
    <t>Section 5 - Interest True-Up Adjustment Cost Component</t>
  </si>
  <si>
    <t>Subtotal Annual Costs</t>
  </si>
  <si>
    <t>Other Adjustments</t>
  </si>
  <si>
    <t>Total Annual Costs</t>
  </si>
  <si>
    <t>Description of Monthly Costs</t>
  </si>
  <si>
    <t>Total Monthly Costs</t>
  </si>
  <si>
    <t>Number of Months in Base Period</t>
  </si>
  <si>
    <t xml:space="preserve">Total Annual Costs Adjustment 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</si>
  <si>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</si>
  <si>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</si>
  <si>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</si>
  <si>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</si>
  <si>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</si>
  <si>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</si>
  <si>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</si>
  <si>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</si>
  <si>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</si>
  <si>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</si>
  <si>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</si>
  <si>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</si>
  <si>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</si>
  <si>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</si>
  <si>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</si>
  <si>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</si>
  <si>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</si>
  <si>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</si>
  <si>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</si>
  <si>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</si>
  <si>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</si>
  <si>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</si>
  <si>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</si>
  <si>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</si>
  <si>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</si>
  <si>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</si>
  <si>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</si>
  <si>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</si>
  <si>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</si>
  <si>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</si>
  <si>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</si>
  <si>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</si>
  <si>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</si>
  <si>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</si>
  <si>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</si>
  <si>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</si>
  <si>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</si>
  <si>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</si>
  <si>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</si>
  <si>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</si>
  <si>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</si>
  <si>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</si>
  <si>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</si>
  <si>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</si>
  <si>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</si>
  <si>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</si>
  <si>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</si>
  <si>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</si>
  <si>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</si>
  <si>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</si>
  <si>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</si>
  <si>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</si>
  <si>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</si>
  <si>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</si>
  <si>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</si>
  <si>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</si>
  <si>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 xml:space="preserve">   Scheduling, System Control &amp; Dispatch Services</t>
  </si>
  <si>
    <t xml:space="preserve">   Reliability, Planning &amp; Standards Development</t>
  </si>
  <si>
    <t xml:space="preserve">   Station Expenses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</si>
  <si>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</si>
  <si>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</si>
  <si>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</si>
  <si>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</si>
  <si>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</si>
  <si>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</si>
  <si>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Other Cost Adjustments</t>
  </si>
  <si>
    <t>AH-2; Line 37; Col. d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</si>
  <si>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</si>
  <si>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</si>
  <si>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</si>
  <si>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Negative of AH-3; Line 36; Col. a</t>
  </si>
  <si>
    <t>Negative of AH-3; Line 37; Col. a</t>
  </si>
  <si>
    <t>Negative of AH-3; Line 42; Col. a</t>
  </si>
  <si>
    <t xml:space="preserve">     Total Adjusted Non-Direct A&amp;G Expenses Including Property Insurance</t>
  </si>
  <si>
    <t>Total Adjusted Non-Direct A&amp;G Expenses Excluding Property Insurance</t>
  </si>
  <si>
    <t>Transmission Related Non-Direct Administrative &amp; General Expenses</t>
  </si>
  <si>
    <t xml:space="preserve">     Transmission Related Non-Direct A&amp;G Expense Including Property Insurance Expense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</si>
  <si>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</si>
  <si>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r>
      <t>(d)</t>
    </r>
    <r>
      <rPr>
        <b/>
        <vertAlign val="superscript"/>
        <sz val="12"/>
        <rFont val="Times New Roman"/>
        <family val="1"/>
      </rPr>
      <t xml:space="preserve"> 4</t>
    </r>
  </si>
  <si>
    <t xml:space="preserve">Add / (Deduct) </t>
  </si>
  <si>
    <t>O&amp;M Cost Adj</t>
  </si>
  <si>
    <r>
      <t xml:space="preserve">Station Expenses </t>
    </r>
    <r>
      <rPr>
        <b/>
        <vertAlign val="superscript"/>
        <sz val="12"/>
        <rFont val="Times New Roman"/>
        <family val="1"/>
      </rPr>
      <t>1</t>
    </r>
  </si>
  <si>
    <t xml:space="preserve">Overhead Line Expenses  </t>
  </si>
  <si>
    <r>
      <t xml:space="preserve">Maintenance of Station Equipment </t>
    </r>
    <r>
      <rPr>
        <vertAlign val="superscript"/>
        <sz val="12"/>
        <rFont val="Times New Roman"/>
        <family val="1"/>
      </rPr>
      <t>1</t>
    </r>
  </si>
  <si>
    <t xml:space="preserve">  Total Electric Transmission Maintenance</t>
  </si>
  <si>
    <r>
      <t xml:space="preserve">Transmission O&amp;M Expenses Charged to Citizens </t>
    </r>
    <r>
      <rPr>
        <b/>
        <vertAlign val="superscript"/>
        <sz val="12"/>
        <rFont val="Times New Roman"/>
        <family val="1"/>
      </rPr>
      <t>3</t>
    </r>
  </si>
  <si>
    <t>Total Adjusted Electric Transmission O&amp;M Expenses</t>
  </si>
  <si>
    <t>Excluded Expenses (recovery method in parentheses)</t>
  </si>
  <si>
    <t>Misc. Transmission Expenses:</t>
  </si>
  <si>
    <t xml:space="preserve">     Century Energy Systems Balancing Account (CES-21BA)</t>
  </si>
  <si>
    <t xml:space="preserve">     Hazardous Substance Cleanup Cost Memo Account (HSCCMA)</t>
  </si>
  <si>
    <t xml:space="preserve">     ISO Grid Management Costs (ERRA)</t>
  </si>
  <si>
    <t xml:space="preserve">     Reliability Services (RS rates)</t>
  </si>
  <si>
    <t xml:space="preserve">     Other (TRBAA, TACBAA) </t>
  </si>
  <si>
    <r>
      <t xml:space="preserve">Maintenance of Station Equipment </t>
    </r>
    <r>
      <rPr>
        <b/>
        <vertAlign val="superscript"/>
        <sz val="12"/>
        <rFont val="Times New Roman"/>
        <family val="1"/>
      </rPr>
      <t>1</t>
    </r>
  </si>
  <si>
    <t>As a result, such items are excluded in Column b.</t>
  </si>
  <si>
    <t>SAN DIEGO GAS AND ELECTRIC COMPANY</t>
  </si>
  <si>
    <t>Incentive Return on Common Equity: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</si>
  <si>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</si>
  <si>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</si>
  <si>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</si>
  <si>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</si>
  <si>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</si>
  <si>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</si>
  <si>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Total Monthly Costs Adjustment </t>
  </si>
  <si>
    <t>Total Annual Costs Citizens' Share of the Border East Line - Before Interest</t>
  </si>
  <si>
    <t>CITIZENS' SHARE OF THE BORDER EAST LINE</t>
  </si>
  <si>
    <t>Items in bold have changed compared to the original Sunrise Appendix X Cycle 9 filing per ER21-243.</t>
  </si>
  <si>
    <t xml:space="preserve">   Underground Line Expense</t>
  </si>
  <si>
    <r>
      <t xml:space="preserve">Maintenance of Overhead Lines </t>
    </r>
    <r>
      <rPr>
        <b/>
        <vertAlign val="superscript"/>
        <sz val="12"/>
        <rFont val="Times New Roman"/>
        <family val="1"/>
      </rPr>
      <t>2</t>
    </r>
  </si>
  <si>
    <r>
      <t xml:space="preserve">Maintenance of Underground Lines </t>
    </r>
    <r>
      <rPr>
        <b/>
        <vertAlign val="superscript"/>
        <sz val="12"/>
        <rFont val="Times New Roman"/>
        <family val="1"/>
      </rPr>
      <t>1</t>
    </r>
  </si>
  <si>
    <t xml:space="preserve">Underground Line Expenses  </t>
  </si>
  <si>
    <r>
      <t xml:space="preserve">Maintenance of Overhead Lines </t>
    </r>
    <r>
      <rPr>
        <vertAlign val="superscript"/>
        <sz val="12"/>
        <rFont val="Times New Roman"/>
        <family val="1"/>
      </rPr>
      <t>2</t>
    </r>
  </si>
  <si>
    <r>
      <t xml:space="preserve">Maintenance of Underground Lines </t>
    </r>
    <r>
      <rPr>
        <vertAlign val="superscript"/>
        <sz val="12"/>
        <rFont val="Times New Roman"/>
        <family val="1"/>
      </rPr>
      <t>1</t>
    </r>
  </si>
  <si>
    <t>Citizens O&amp;M should not include substation, underground, and overhead line maintenance per the Appendix X Tariff (See Section I.C - number 31).</t>
  </si>
  <si>
    <t xml:space="preserve">Account 571 for Overhead Line Maintenance is excluded because Citizens is charged via a Direct Maintenance order, which is reflected on AH-1. </t>
  </si>
  <si>
    <t>Transmission O&amp;M Expenses in SAP Account 7000716, which was created to track Citizens Border East Line O&amp;M Expense.</t>
  </si>
  <si>
    <t>Return on Common Equity:</t>
  </si>
  <si>
    <t>Citizens portion of Equity AFUDC totaling $197K is embedded in the Equity AFUDC component of Transmission Depreciation expense.</t>
  </si>
  <si>
    <t xml:space="preserve">Section C.6a of the Citizens Sunrise Protocols provides a mechanism for SDG&amp;E to correct errors that affected the Appendix X costs in a previous Informational 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</si>
  <si>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</si>
  <si>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</si>
  <si>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</si>
  <si>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</si>
  <si>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</si>
  <si>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</si>
  <si>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</si>
  <si>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</si>
  <si>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</si>
  <si>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</si>
  <si>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</si>
  <si>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</si>
  <si>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Lease Agreement</t>
  </si>
  <si>
    <t>Total Annual Carrying Charge Rate</t>
  </si>
  <si>
    <t xml:space="preserve">     Total Non-Direct Expense</t>
  </si>
  <si>
    <t>Net Transmission Plant</t>
  </si>
  <si>
    <t>A. Transmission Related O&amp;M Expense</t>
  </si>
  <si>
    <t>Transmission O&amp;M Expense</t>
  </si>
  <si>
    <t xml:space="preserve">     Transmission O&amp;M Expense Carrying Charge Percentage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</si>
  <si>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</si>
  <si>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</si>
  <si>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</si>
  <si>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C. Transmission Related Property Tax Expense</t>
  </si>
  <si>
    <t xml:space="preserve">     Transmission Related Property Tax Carrying Charge Percentage</t>
  </si>
  <si>
    <t>D. Transmission Related Payroll Tax Expense</t>
  </si>
  <si>
    <t xml:space="preserve">     Transmission Related Payroll Tax Carrying Charge Percentage</t>
  </si>
  <si>
    <t>E. Transmission Related Working Capital Revenue</t>
  </si>
  <si>
    <t>Citizens Financed Transmission Projects:</t>
  </si>
  <si>
    <t>Transmission Related M&amp;S Allocated to Transmission</t>
  </si>
  <si>
    <t>Transmission Related Prepayments Allocated to Transmission</t>
  </si>
  <si>
    <t>Transmission Related Working Cash</t>
  </si>
  <si>
    <t xml:space="preserve">     Total Transmission Related Working Capital</t>
  </si>
  <si>
    <t>Cost of Capital Rate</t>
  </si>
  <si>
    <t>Transmission Working Capital Revenue</t>
  </si>
  <si>
    <t xml:space="preserve">     Transmission Related Working Capital Revenue Carrying Charge Percentage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</si>
  <si>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</si>
  <si>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</si>
  <si>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</si>
  <si>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</si>
  <si>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Transmission Related General and Common Return and Associated Income Taxes</t>
  </si>
  <si>
    <t>Transmission Related General and Common Depreciation Expense</t>
  </si>
  <si>
    <t>Total Transmission Related General and Common Plant Revenues</t>
  </si>
  <si>
    <t xml:space="preserve">     Total Transmission Related General and Common Plant Carrying Charge Percentage</t>
  </si>
  <si>
    <t xml:space="preserve">Derivation of End Use Transmission Rate Base </t>
  </si>
  <si>
    <t>A. Derivation of Transmission Rate Base:</t>
  </si>
  <si>
    <t>Net Transmission Plant:</t>
  </si>
  <si>
    <t>Transmission Plant</t>
  </si>
  <si>
    <t>Transmission Related Common Plant</t>
  </si>
  <si>
    <t xml:space="preserve">     Total Net Transmission Plant</t>
  </si>
  <si>
    <t>Rate Base Additions:</t>
  </si>
  <si>
    <t>Transmission Plant Held for Future Use</t>
  </si>
  <si>
    <t>Transmission Plant Abandoned Project Cost</t>
  </si>
  <si>
    <t xml:space="preserve">     Total Rate Base Additions</t>
  </si>
  <si>
    <t>Rate Base Reductions:</t>
  </si>
  <si>
    <t>Transmission Related Accum. Def. Inc. Taxes</t>
  </si>
  <si>
    <t>Transmission Plant Abandoned Accum. Def. Inc. Taxes</t>
  </si>
  <si>
    <t xml:space="preserve">     Total Rate Base Reductions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</si>
  <si>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</si>
  <si>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</si>
  <si>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</si>
  <si>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</si>
  <si>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</si>
  <si>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Other Regulatory Assets/Liabilities</t>
  </si>
  <si>
    <t xml:space="preserve">     Total Transmission Rate Base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</si>
  <si>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</si>
  <si>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</si>
  <si>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</si>
  <si>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</si>
  <si>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</si>
  <si>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</si>
  <si>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</si>
  <si>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</si>
  <si>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D. Incentive Transmission Construction Work In Progress</t>
  </si>
  <si>
    <t>A. Derivation of Net Transmission Plant:</t>
  </si>
  <si>
    <t>Gross Transmission Plant:</t>
  </si>
  <si>
    <t>Transmission Related Electric Misc. Intangible Plant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</si>
  <si>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</si>
  <si>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</si>
  <si>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</si>
  <si>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</si>
  <si>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</si>
  <si>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</si>
  <si>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</si>
  <si>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</si>
  <si>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</si>
  <si>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</si>
  <si>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</si>
  <si>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Sum Lines 3 and 5</t>
  </si>
  <si>
    <t>Line 7 / Line 9</t>
  </si>
  <si>
    <t>Negative of AH-3; Sum Lines 25, 26, 28, 29, 32, 35, 41, 44; Col. a or b</t>
  </si>
  <si>
    <t>Negative of AH-3; Line 30; Col. a</t>
  </si>
  <si>
    <t>Negative of AH-3; Line 40; Col. b</t>
  </si>
  <si>
    <t>Negative of AH-3; Line 34; Col. b</t>
  </si>
  <si>
    <t>Negative of AH-3; Line 43; Col. a</t>
  </si>
  <si>
    <t xml:space="preserve">Negative of AH-3; Sum Lines 27, 39; Col. a   </t>
  </si>
  <si>
    <t xml:space="preserve">Negative of AH-3; Sum Lines 31, 33; Col. a </t>
  </si>
  <si>
    <t>AH-3; Line 21; Col. d</t>
  </si>
  <si>
    <t>Administrative &amp; General Expenses</t>
  </si>
  <si>
    <r>
      <t>(d)</t>
    </r>
    <r>
      <rPr>
        <b/>
        <vertAlign val="superscript"/>
        <sz val="12"/>
        <rFont val="Times New Roman"/>
        <family val="1"/>
      </rPr>
      <t xml:space="preserve"> 2</t>
    </r>
  </si>
  <si>
    <t>A&amp;G Cost Adj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</si>
  <si>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</si>
  <si>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</si>
  <si>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</si>
  <si>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</si>
  <si>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</si>
  <si>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</si>
  <si>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</si>
  <si>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</si>
  <si>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</si>
  <si>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</si>
  <si>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</si>
  <si>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</si>
  <si>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</si>
  <si>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</si>
  <si>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t>Employee Pensions &amp; Benefits</t>
  </si>
  <si>
    <t>Form 1; Page 323; Line 187</t>
  </si>
  <si>
    <t xml:space="preserve">Franchise Requirements </t>
  </si>
  <si>
    <t>Form 1; Page 323; Line 188</t>
  </si>
  <si>
    <t xml:space="preserve">Regulatory Commission Expenses  </t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</si>
  <si>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</si>
  <si>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</si>
  <si>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</si>
  <si>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</si>
  <si>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</si>
  <si>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</si>
  <si>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</si>
  <si>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Form 1; Page 323; Line 193</t>
  </si>
  <si>
    <t>Maintenance of General Plant</t>
  </si>
  <si>
    <t>Form 1; Page 323; Line 196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</si>
  <si>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</si>
  <si>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</si>
  <si>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</si>
  <si>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</si>
  <si>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CPUC energy efficiency programs</t>
  </si>
  <si>
    <t>Litigation expenses (ERRA)</t>
  </si>
  <si>
    <t>Other A&amp;G Exclusion Adjustments</t>
  </si>
  <si>
    <t>CPUC Intervenor Funding Expense - Transmission</t>
  </si>
  <si>
    <t>CPUC Intervenor Funding Expense - Distribution</t>
  </si>
  <si>
    <t xml:space="preserve">CPUC reimbursement fees  </t>
  </si>
  <si>
    <t>Litigation expenses - Litigation Cost Memorandum Account (LCMA)</t>
  </si>
  <si>
    <t xml:space="preserve">CPUC energy efficiency programs  </t>
  </si>
  <si>
    <t>Abandoned Projects</t>
  </si>
  <si>
    <t xml:space="preserve">Hazardous Substances-Hazardous Substance Cleanup Cost Account </t>
  </si>
  <si>
    <t>Account 7000717, which was created to track Citizens Border East Line A&amp;G Expense.</t>
  </si>
  <si>
    <t xml:space="preserve">2019 adjustments. </t>
  </si>
  <si>
    <t>Total Citizens' Annual Prior Year Cost of Service</t>
  </si>
  <si>
    <t>Total Citizens' Monthly Prior Year Cost of Service</t>
  </si>
  <si>
    <t>Statement AE</t>
  </si>
  <si>
    <t>Accumulated Depreciation and Amortization</t>
  </si>
  <si>
    <t>(c) = [(a)+(b)]/2</t>
  </si>
  <si>
    <r>
      <t xml:space="preserve">Transmission Plant Depreciation Reserve </t>
    </r>
    <r>
      <rPr>
        <b/>
        <vertAlign val="superscript"/>
        <sz val="12"/>
        <rFont val="Times New Roman"/>
        <family val="1"/>
      </rPr>
      <t>1, 3</t>
    </r>
  </si>
  <si>
    <r>
      <t xml:space="preserve">Electric Misc. Intangible Plant Amortization Reserve </t>
    </r>
    <r>
      <rPr>
        <b/>
        <vertAlign val="superscript"/>
        <sz val="12"/>
        <rFont val="Times New Roman"/>
        <family val="1"/>
      </rPr>
      <t>2, 4</t>
    </r>
  </si>
  <si>
    <r>
      <t xml:space="preserve">General Plant Depreciation Reserve </t>
    </r>
    <r>
      <rPr>
        <b/>
        <vertAlign val="superscript"/>
        <sz val="12"/>
        <rFont val="Times New Roman"/>
        <family val="1"/>
      </rPr>
      <t>2, 4</t>
    </r>
  </si>
  <si>
    <r>
      <t xml:space="preserve">Common Plant Depreciation Reserve  </t>
    </r>
    <r>
      <rPr>
        <b/>
        <vertAlign val="superscript"/>
        <sz val="12"/>
        <rFont val="Times New Roman"/>
        <family val="1"/>
      </rPr>
      <t>2, 4</t>
    </r>
  </si>
  <si>
    <t>Transmission Related General Plant Depreciation Reserve</t>
  </si>
  <si>
    <t>Transmission Related Common Plant Depreciation Reserve</t>
  </si>
  <si>
    <r>
      <t xml:space="preserve">Incentive Transmission Plant Depreciation Reserve </t>
    </r>
    <r>
      <rPr>
        <b/>
        <vertAlign val="superscript"/>
        <sz val="12"/>
        <rFont val="Times New Roman"/>
        <family val="1"/>
      </rPr>
      <t>1</t>
    </r>
  </si>
  <si>
    <t>The depreciation reserve for Transmission and Incentive Transmission plant is derived based on a 13-month average balance.</t>
  </si>
  <si>
    <t>The depreciation reserve for Electric Miscellaneous Intangible, General and Common plant is derived based on a simple average of beginning and end of year balances.</t>
  </si>
  <si>
    <t>The amounts stated above are ratemaking utility plant in service and a result of implementing the "Seven-Element Adjustment Factor" which reflects transfers between core electric functional areas.</t>
  </si>
  <si>
    <t>Not affected by the "Seven-Element Adjustment Factor".</t>
  </si>
  <si>
    <t>STATEMENT AE</t>
  </si>
  <si>
    <t>ACCUMULATED DEPRECIATION AND AMORTIZATION</t>
  </si>
  <si>
    <t>TRANSMISSION PLANT</t>
  </si>
  <si>
    <t>Transmission</t>
  </si>
  <si>
    <t>Reserves</t>
  </si>
  <si>
    <t>Per Book</t>
  </si>
  <si>
    <r>
      <t>Ratemaking</t>
    </r>
    <r>
      <rPr>
        <b/>
        <vertAlign val="superscript"/>
        <sz val="12"/>
        <rFont val="Times New Roman"/>
        <family val="1"/>
      </rPr>
      <t xml:space="preserve"> 1</t>
    </r>
  </si>
  <si>
    <t>SDG&amp;E Records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</si>
  <si>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</si>
  <si>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</si>
  <si>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</si>
  <si>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</si>
  <si>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</si>
  <si>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</si>
  <si>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</si>
  <si>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</si>
  <si>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</si>
  <si>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</si>
  <si>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Total 13 Months</t>
  </si>
  <si>
    <t>13-Month Average Balance</t>
  </si>
  <si>
    <t>Add: Citizens Weighted Average Accumulated Depreciation</t>
  </si>
  <si>
    <t>Total Transmission Plant Accumulated Depreciation Average Balance</t>
  </si>
  <si>
    <t>This column represents the monthly ratemaking depreciation reserve balances for the base &amp; true-up periods. These depreciation reserve balances reflect the amounts shifted between</t>
  </si>
  <si>
    <t>functions (Transmission to Distribution, Transmission to Generation, Distribution to Transmission, etc.) as required by FERC Order 888: Seven-Element Adjustment Factor.</t>
  </si>
  <si>
    <t>Represents the monthly accumulated depreciation and amortization on the Citizens Lease amount for term of service.</t>
  </si>
  <si>
    <t>here and reflected as Other Adjustments in Appendix X Cycle 10.</t>
  </si>
  <si>
    <t xml:space="preserve">The 2019 Sunrise accumulated depreciation balances from Sept - Dec 2019 inadvertently included amounts from the SX-PQ accumulated depreciation. This adjustment is being corrected </t>
  </si>
  <si>
    <t>Total Citizens Annual Prior Year Cost of Service</t>
  </si>
  <si>
    <t>Total Citizens Monthly Prior Year Cost of Service</t>
  </si>
  <si>
    <t>Citizens Lease Payment</t>
  </si>
  <si>
    <t xml:space="preserve">Citizen's Share of the Sunrise - Border East-Line </t>
  </si>
  <si>
    <r>
      <t xml:space="preserve">Appendix X Cycle 10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</si>
  <si>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Derivation of Other Adjustments Applicable to Appendix X Cycle 9</t>
  </si>
  <si>
    <t>Page 2; Line 17; Col. C</t>
  </si>
  <si>
    <t>CITIZENS' SHARE OF THE SUNRISE - BORDER-EAST LINE</t>
  </si>
  <si>
    <t xml:space="preserve">Appendix X Cycle 10 Annual Informational Filing </t>
  </si>
  <si>
    <t>Revised - Appendix X Cycle 9</t>
  </si>
  <si>
    <t>As Filed - Appendix X Cycle 9 per ER 21-243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</si>
  <si>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</si>
  <si>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</si>
  <si>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</si>
  <si>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</si>
  <si>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</si>
  <si>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</si>
  <si>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</si>
  <si>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</si>
  <si>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Derivation of Interest Expense on Other Adjustments Applicable to Appendix X Cycle 9</t>
  </si>
  <si>
    <t>Other Cost Adjustments due to Appendix X Cycle 9 Cost Adjustments Calculation:</t>
  </si>
  <si>
    <t>Page 12; Line 45; Col. 5</t>
  </si>
  <si>
    <t>Rate Effective Period January 1, 2021 to December 31, 2021</t>
  </si>
  <si>
    <t>Section 1; Page 1; Line 17</t>
  </si>
  <si>
    <t>Section 2; Page 1; Line 25</t>
  </si>
  <si>
    <t>Section 3; Page 1; Line 31</t>
  </si>
  <si>
    <t>Sum Lines 1, 3, 5</t>
  </si>
  <si>
    <t>Section 4; Page TU; Col. 11; Line 21</t>
  </si>
  <si>
    <t>Section 5; Page Interest TU (CY); Col. 6; Line 20</t>
  </si>
  <si>
    <t>Sum Lines 7, 9, 11</t>
  </si>
  <si>
    <t>Line 13 + Line 15</t>
  </si>
  <si>
    <t>Base Period &amp; True-Up Period 12 - Months Ending December 31, 2019</t>
  </si>
  <si>
    <t>AV-4; Line 6</t>
  </si>
  <si>
    <t>Statement AH; Line 18</t>
  </si>
  <si>
    <t>Line 4 / Line 1</t>
  </si>
  <si>
    <t>Statement AH; Line 41</t>
  </si>
  <si>
    <t>Line 9 / Line 1</t>
  </si>
  <si>
    <t>Statement AK; Line 17</t>
  </si>
  <si>
    <t>Line 14 / Line 1</t>
  </si>
  <si>
    <t>Statement AK; Line 28</t>
  </si>
  <si>
    <t>Line 19 / Line 1</t>
  </si>
  <si>
    <t>Statement AL; Line 5</t>
  </si>
  <si>
    <t>Statement AL; Line 9</t>
  </si>
  <si>
    <t>Statement AL; Line 19</t>
  </si>
  <si>
    <t>Sum Lines 25 thru 27</t>
  </si>
  <si>
    <t>Statement AV2; Line 31</t>
  </si>
  <si>
    <t>Line 28 x Line 30</t>
  </si>
  <si>
    <t>Line 32 / Line 1</t>
  </si>
  <si>
    <t>AV-4; Line 4</t>
  </si>
  <si>
    <t>AV-4; Line 5</t>
  </si>
  <si>
    <t>Line 37 + Line 39</t>
  </si>
  <si>
    <t>Line 30</t>
  </si>
  <si>
    <t>Line 41 * Line 43</t>
  </si>
  <si>
    <t>Statement AJ; Line 17</t>
  </si>
  <si>
    <t>Line 45 + Line 47</t>
  </si>
  <si>
    <t>Line 49 / Line 1</t>
  </si>
  <si>
    <t>True-Up Period - January 1, 2019 to December 31, 2019</t>
  </si>
  <si>
    <t>31-Dec-18</t>
  </si>
  <si>
    <t>31-Dec-19</t>
  </si>
  <si>
    <t>AE-1; Line 23</t>
  </si>
  <si>
    <t>AE-2; Line 6</t>
  </si>
  <si>
    <t>AE-3; Line 6</t>
  </si>
  <si>
    <t>AE-4; Line 10</t>
  </si>
  <si>
    <t>Statement AI; Line 17</t>
  </si>
  <si>
    <t>Line 3 x Line 9</t>
  </si>
  <si>
    <t>Line 5 x Line 9</t>
  </si>
  <si>
    <t>Line 7 x Line 9</t>
  </si>
  <si>
    <t>Line 1 + (Sum Lines 11 thru 15)</t>
  </si>
  <si>
    <t>BASE PERIOD / TRUE UP PERIOD - 12/31/2019 PER BOOK</t>
  </si>
  <si>
    <t>Dec-18</t>
  </si>
  <si>
    <t>Jan-19</t>
  </si>
  <si>
    <t>Dec-19</t>
  </si>
  <si>
    <t>2018 Form 1; Page 450.1; Sch. Pg. 200; Line 33; Col. b</t>
  </si>
  <si>
    <t>2019 Form 1; Page 450.1; Sch. Pg. 200; Line 33; Col. b</t>
  </si>
  <si>
    <t>2019 Form 1; Page 450.1; Sch. Pg. 200; Line 33; Col. b; 13-Month Avg.</t>
  </si>
  <si>
    <t>AE-1A; Line 18</t>
  </si>
  <si>
    <t>AH-1; Line 50</t>
  </si>
  <si>
    <t>AH-2; Line 37; Col. a</t>
  </si>
  <si>
    <t>Negative of AH-2; Line 42; Col. b</t>
  </si>
  <si>
    <t>Negative of AH-2; Line 43; Col. b</t>
  </si>
  <si>
    <t>Negative of AH-2; Line 44; Col. b</t>
  </si>
  <si>
    <t>Negative of AH-2; Line 45; Col. b</t>
  </si>
  <si>
    <t>Negative of AH-2; Line 46; Col. b</t>
  </si>
  <si>
    <t>Negative of AH-2; Line 52; Col. b</t>
  </si>
  <si>
    <t>Negative of AH-2; Line 53; Col. b</t>
  </si>
  <si>
    <t>Negative of AH-2; Line 54; Col. b</t>
  </si>
  <si>
    <t>Negative of AH-2; Line 55; Col. b</t>
  </si>
  <si>
    <t>Negative of AH-2; Line 41; Col. b</t>
  </si>
  <si>
    <t>Sum Lines 5 thru 17</t>
  </si>
  <si>
    <t>AH-3; Line 21; Col. a</t>
  </si>
  <si>
    <t>Sum Lines 21 thru 34</t>
  </si>
  <si>
    <t>Negative of AH-3; Line 6; Col. c</t>
  </si>
  <si>
    <t>Line 35 + Line 36</t>
  </si>
  <si>
    <t>Line 37 x Line 38</t>
  </si>
  <si>
    <t>Negative of Line 36 x Line 60</t>
  </si>
  <si>
    <t>Line 39 + Line 40</t>
  </si>
  <si>
    <t>Statement AD; Line 25</t>
  </si>
  <si>
    <t>Statement AD; Line 29</t>
  </si>
  <si>
    <t>Statement AD; Line 31</t>
  </si>
  <si>
    <t>Sum Lines 44 thru 47</t>
  </si>
  <si>
    <t>Line 44 Above</t>
  </si>
  <si>
    <t>Statement AD; Line 1</t>
  </si>
  <si>
    <t>Statement AD; Line 7</t>
  </si>
  <si>
    <t>Statement AD; Line 9</t>
  </si>
  <si>
    <t>Statement AD; Line 17</t>
  </si>
  <si>
    <t>Statement AD; Line 19</t>
  </si>
  <si>
    <t>Sum Lines 50 thru 57</t>
  </si>
  <si>
    <t>Line 48 / Line 58</t>
  </si>
  <si>
    <t>AL-1; Line 18</t>
  </si>
  <si>
    <t>Statement AD; Line 35</t>
  </si>
  <si>
    <t>Line 1 x Line 3</t>
  </si>
  <si>
    <t>AL-2; Line 18</t>
  </si>
  <si>
    <t>Line 3 x Line 7</t>
  </si>
  <si>
    <t>Negative of Statement AH; Line 25</t>
  </si>
  <si>
    <t>Sum Lines 12 thru 14</t>
  </si>
  <si>
    <t>Line 15 x Line 17</t>
  </si>
  <si>
    <t>AV1; Line 42</t>
  </si>
  <si>
    <t>Negative of Statement AR; Line 11</t>
  </si>
  <si>
    <t>AV-2A; Line 40</t>
  </si>
  <si>
    <t>AV-4; Page 1; Line 26</t>
  </si>
  <si>
    <t>Page 2; Line 16</t>
  </si>
  <si>
    <t>Page 2; Line 17</t>
  </si>
  <si>
    <t>Page 2; Line 18</t>
  </si>
  <si>
    <t>Page 2; Line 19</t>
  </si>
  <si>
    <t>Sum Lines 2 thru 5</t>
  </si>
  <si>
    <t>Statement AG; Line 1</t>
  </si>
  <si>
    <t>Statement Misc.; Line 3</t>
  </si>
  <si>
    <t>Line 9 + Line 10</t>
  </si>
  <si>
    <t>Statement AF; Line 7</t>
  </si>
  <si>
    <t>Statement AF; Line 11</t>
  </si>
  <si>
    <t>Line 14 + Line 15</t>
  </si>
  <si>
    <t>Sum Lines 19 thru 21</t>
  </si>
  <si>
    <t>Statement Misc.; Line 5</t>
  </si>
  <si>
    <t>Sum Lines 6, 11, 16, 22, 24</t>
  </si>
  <si>
    <t>Line 29 + Line 30</t>
  </si>
  <si>
    <t>Line 34 + Line 35</t>
  </si>
  <si>
    <t>Statement AD; Line 11</t>
  </si>
  <si>
    <t>Statement AD; Line 27</t>
  </si>
  <si>
    <t>Statement AE; Line 1</t>
  </si>
  <si>
    <t>Statement AE; Line 11</t>
  </si>
  <si>
    <t>Statement AE; Line 13</t>
  </si>
  <si>
    <t>Statement AE; Line 15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</si>
  <si>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</si>
  <si>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</si>
  <si>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</si>
  <si>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</si>
  <si>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</si>
  <si>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</si>
  <si>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Line 23 Minus Line 24</t>
  </si>
  <si>
    <t>Monthly True-Up Cost of Service comprises Sections 1 thru 3 Direct Maintenance, Non-Direct Expense, and Other Specific Expenses Cost Components.</t>
  </si>
  <si>
    <t>Used to allocate property insurance in conformance with the TO5 Formula Rate Mechanism.</t>
  </si>
  <si>
    <t xml:space="preserve"> 12 Months Ending December 31, 2019</t>
  </si>
  <si>
    <t>This amount represents the Direct Maintenance and Non-Direct O&amp;M expenses billed to Citizens in 2019, which is added back to derive Total Adjusted Electric</t>
  </si>
  <si>
    <t>This amount represents the Non-Direct A&amp;G expenses billed to Citizens in 2019, which is added back to derive Total Adjusted A&amp;G Expenses in SAP</t>
  </si>
  <si>
    <t xml:space="preserve">Filing. In this Appendix X Cycle 10 Informational Filing, SDG&amp;E is correcting the Appendix X Cycle 9 for approximately ($92K) due to various O&amp;M and A&amp;G </t>
  </si>
  <si>
    <t>Page 3 and Page 4, Line 1</t>
  </si>
  <si>
    <t>Page 3 and Page 4, Line 3</t>
  </si>
  <si>
    <t>Page 3 and Page 4, Line 5</t>
  </si>
  <si>
    <t>Page 3 and Page 4, Line 9</t>
  </si>
  <si>
    <t>Page 3 and Page 4, Line 11</t>
  </si>
  <si>
    <t>Page 3 and Page 4, Line 15</t>
  </si>
  <si>
    <t>Page 3 and Page 4, Line 20</t>
  </si>
  <si>
    <t>Page 3 and Page 4, Line 22</t>
  </si>
  <si>
    <t>Page 3 and Page 4, Line 24</t>
  </si>
  <si>
    <t>Page 3 and Page 4, Line 28</t>
  </si>
  <si>
    <t>Page 3 and Page 4, Line 30</t>
  </si>
  <si>
    <t>Page 3 and Page 4, Line 32</t>
  </si>
  <si>
    <t>Page 3 and Page 4, Line 36</t>
  </si>
  <si>
    <t>Page 3 and Page 4, Line 38</t>
  </si>
  <si>
    <t>Represents reclassification of 2019 3P (People, Process, Priorities) project costs from O&amp;M FERC account 566 to A&amp;G FERC account 923, in 2020. This adjustment is being</t>
  </si>
  <si>
    <t xml:space="preserve">Represents reclassification of 2019 3P (People, Process, Priorities) project costs from O&amp;M FERC accounts 566 and 588 to A&amp;G FERC account 923, in 2020. </t>
  </si>
  <si>
    <t xml:space="preserve">Represents reclassification of 2019 abandoned project costs from A&amp;G FERC account 930.2 to FERC account 426.5 in 2020. Entry is corrected here and reflected </t>
  </si>
  <si>
    <t>corrected here and reflected as an "Other Adjustments" in Cycle 10.</t>
  </si>
  <si>
    <t>Represents 2019 Wildfire Mitigation Plan expenses that were not excluded in the 2019 A&amp;G exclusions. These are being corrected here and reflected as an "Other Adjustments" in Cycle 10.</t>
  </si>
  <si>
    <t>This adjustment is being corrected here and reflected as an "Other Adjustments" in Cycle 10.</t>
  </si>
  <si>
    <t>as an "Other Adjustments" in Cycle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</si>
</sst>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0.00000%"/>
    <numFmt numFmtId="168" formatCode="#,##0.0_);\(#,##0.0\)"/>
    <numFmt numFmtId="169" formatCode="0.0000%"/>
    <numFmt numFmtId="170" formatCode="0.000000"/>
    <numFmt numFmtId="171" formatCode="_(&quot;$&quot;* #,##0.000_);_(&quot;$&quot;* \(#,##0.000\);_(&quot;$&quot;* &quot;-&quot;??_);_(@_)"/>
    <numFmt numFmtId="172" formatCode="_(* #,##0.000_);_(* \(#,##0.000\);_(* &quot;-&quot;??_);_(@_)"/>
    <numFmt numFmtId="173" formatCode="&quot;$&quot;#,##0"/>
    <numFmt numFmtId="174" formatCode="0.0%"/>
    <numFmt numFmtId="175" formatCode="_(&quot;$&quot;* #,##0,_);_(&quot;$&quot;* \(#,##0,\);_(&quot;$&quot;* &quot;-&quot;??_);_(@_)"/>
    <numFmt numFmtId="176" formatCode="&quot;$&quot;#,##0,_);[Red]\(&quot;$&quot;#,##0,\)"/>
    <numFmt numFmtId="177" formatCode="00000"/>
    <numFmt numFmtId="178" formatCode="0.000"/>
    <numFmt numFmtId="179" formatCode="0_);\(0\)"/>
    <numFmt numFmtId="180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3"/>
      <name val="Times New Roman"/>
      <family val="1"/>
    </font>
    <font>
      <sz val="12"/>
      <color rgb="FF0000FF"/>
      <name val="Times New Roman"/>
      <family val="1"/>
    </font>
    <font>
      <b/>
      <vertAlign val="superscript"/>
      <sz val="12"/>
      <color rgb="FFFF0000"/>
      <name val="Times New Roman"/>
      <family val="1"/>
    </font>
    <font>
      <b/>
      <vertAlign val="superscript"/>
      <sz val="14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5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32" fillId="5" borderId="0"/>
  </cellStyleXfs>
  <cellXfs count="974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1" xfId="6" applyNumberFormat="1" applyFont="1" applyBorder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0" fontId="9" fillId="0" borderId="11" xfId="0" applyFont="1" applyBorder="1"/>
    <xf numFmtId="37" fontId="9" fillId="0" borderId="0" xfId="0" applyNumberFormat="1" applyFont="1"/>
    <xf numFmtId="164" fontId="5" fillId="0" borderId="2" xfId="2" applyNumberFormat="1" applyFont="1" applyBorder="1"/>
    <xf numFmtId="164" fontId="9" fillId="0" borderId="0" xfId="0" applyNumberFormat="1" applyFont="1"/>
    <xf numFmtId="168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5" fillId="0" borderId="0" xfId="2" applyNumberFormat="1" applyFont="1" applyFill="1" applyBorder="1"/>
    <xf numFmtId="164" fontId="9" fillId="0" borderId="0" xfId="2" applyNumberFormat="1" applyFont="1" applyFill="1" applyBorder="1"/>
    <xf numFmtId="164" fontId="5" fillId="0" borderId="2" xfId="2" applyNumberFormat="1" applyFont="1" applyFill="1" applyBorder="1"/>
    <xf numFmtId="165" fontId="9" fillId="2" borderId="1" xfId="1" applyNumberFormat="1" applyFont="1" applyFill="1" applyBorder="1" applyAlignment="1">
      <alignment horizontal="right" vertical="center"/>
    </xf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4" fontId="5" fillId="0" borderId="19" xfId="2" applyNumberFormat="1" applyFont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9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7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7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2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8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49" fontId="9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5" fontId="9" fillId="0" borderId="0" xfId="1" quotePrefix="1" applyNumberFormat="1" applyFont="1" applyBorder="1" applyAlignment="1">
      <alignment horizontal="centerContinuous" vertical="center"/>
    </xf>
    <xf numFmtId="49" fontId="5" fillId="0" borderId="2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quotePrefix="1" applyFont="1" applyBorder="1" applyAlignment="1">
      <alignment horizontal="center" vertical="center"/>
    </xf>
    <xf numFmtId="165" fontId="5" fillId="0" borderId="12" xfId="1" quotePrefix="1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11" xfId="1" applyNumberFormat="1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164" fontId="9" fillId="0" borderId="14" xfId="2" applyNumberFormat="1" applyFont="1" applyFill="1" applyBorder="1" applyAlignment="1">
      <alignment vertical="center"/>
    </xf>
    <xf numFmtId="164" fontId="9" fillId="0" borderId="23" xfId="2" applyNumberFormat="1" applyFont="1" applyFill="1" applyBorder="1" applyAlignment="1">
      <alignment vertical="center"/>
    </xf>
    <xf numFmtId="38" fontId="9" fillId="0" borderId="11" xfId="1" applyNumberFormat="1" applyFont="1" applyBorder="1" applyAlignment="1">
      <alignment horizontal="center" vertical="center"/>
    </xf>
    <xf numFmtId="165" fontId="9" fillId="0" borderId="14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23" xfId="1" applyNumberFormat="1" applyFont="1" applyFill="1" applyBorder="1" applyAlignment="1">
      <alignment vertical="center"/>
    </xf>
    <xf numFmtId="165" fontId="9" fillId="0" borderId="15" xfId="1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49" fontId="9" fillId="0" borderId="26" xfId="0" applyNumberFormat="1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164" fontId="9" fillId="0" borderId="9" xfId="2" applyNumberFormat="1" applyFont="1" applyFill="1" applyBorder="1" applyAlignment="1">
      <alignment vertical="center"/>
    </xf>
    <xf numFmtId="164" fontId="9" fillId="0" borderId="3" xfId="2" applyNumberFormat="1" applyFont="1" applyFill="1" applyBorder="1" applyAlignment="1">
      <alignment vertical="center"/>
    </xf>
    <xf numFmtId="0" fontId="18" fillId="0" borderId="27" xfId="0" applyFont="1" applyBorder="1" applyAlignment="1">
      <alignment horizontal="center"/>
    </xf>
    <xf numFmtId="164" fontId="5" fillId="0" borderId="28" xfId="2" applyNumberFormat="1" applyFont="1" applyFill="1" applyBorder="1" applyAlignment="1">
      <alignment vertical="center"/>
    </xf>
    <xf numFmtId="38" fontId="9" fillId="0" borderId="8" xfId="1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166" fontId="9" fillId="0" borderId="14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vertical="center"/>
    </xf>
    <xf numFmtId="166" fontId="9" fillId="0" borderId="15" xfId="1" applyNumberFormat="1" applyFont="1" applyFill="1" applyBorder="1" applyAlignment="1">
      <alignment vertical="center"/>
    </xf>
    <xf numFmtId="166" fontId="9" fillId="0" borderId="23" xfId="1" applyNumberFormat="1" applyFont="1" applyFill="1" applyBorder="1" applyAlignment="1">
      <alignment vertical="center"/>
    </xf>
    <xf numFmtId="164" fontId="9" fillId="0" borderId="15" xfId="2" applyNumberFormat="1" applyFont="1" applyFill="1" applyBorder="1" applyAlignment="1">
      <alignment vertical="center"/>
    </xf>
    <xf numFmtId="165" fontId="9" fillId="0" borderId="25" xfId="1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164" fontId="5" fillId="0" borderId="25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4" xfId="2" applyNumberFormat="1" applyFont="1" applyFill="1" applyBorder="1" applyAlignment="1">
      <alignment vertical="center"/>
    </xf>
    <xf numFmtId="164" fontId="5" fillId="0" borderId="16" xfId="2" applyNumberFormat="1" applyFont="1" applyFill="1" applyBorder="1" applyAlignment="1">
      <alignment vertical="center"/>
    </xf>
    <xf numFmtId="0" fontId="18" fillId="0" borderId="29" xfId="0" applyFont="1" applyBorder="1" applyAlignment="1">
      <alignment horizontal="center"/>
    </xf>
    <xf numFmtId="164" fontId="5" fillId="0" borderId="30" xfId="2" applyNumberFormat="1" applyFont="1" applyFill="1" applyBorder="1" applyAlignment="1">
      <alignment vertical="center"/>
    </xf>
    <xf numFmtId="49" fontId="9" fillId="0" borderId="26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66" fontId="9" fillId="0" borderId="9" xfId="0" applyNumberFormat="1" applyFont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9" fontId="9" fillId="0" borderId="10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0" fontId="9" fillId="0" borderId="11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49" fontId="9" fillId="0" borderId="7" xfId="0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165" fontId="9" fillId="0" borderId="14" xfId="1" applyNumberFormat="1" applyFont="1" applyFill="1" applyBorder="1" applyAlignment="1">
      <alignment horizontal="right" vertical="center"/>
    </xf>
    <xf numFmtId="165" fontId="5" fillId="0" borderId="23" xfId="1" applyNumberFormat="1" applyFont="1" applyFill="1" applyBorder="1"/>
    <xf numFmtId="37" fontId="9" fillId="0" borderId="11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9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9" xfId="2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164" fontId="9" fillId="0" borderId="18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2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7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7" xfId="0" applyNumberFormat="1" applyFont="1" applyBorder="1" applyAlignment="1">
      <alignment vertical="center"/>
    </xf>
    <xf numFmtId="10" fontId="9" fillId="0" borderId="2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70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69" fontId="9" fillId="0" borderId="0" xfId="3" applyNumberFormat="1" applyFont="1" applyAlignment="1">
      <alignment horizontal="right" vertical="center"/>
    </xf>
    <xf numFmtId="169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9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9" fontId="9" fillId="0" borderId="0" xfId="3" applyNumberFormat="1" applyFont="1" applyBorder="1" applyAlignment="1">
      <alignment horizontal="right" vertical="center"/>
    </xf>
    <xf numFmtId="169" fontId="9" fillId="0" borderId="2" xfId="3" applyNumberFormat="1" applyFont="1" applyBorder="1" applyAlignment="1">
      <alignment horizontal="right" vertical="center"/>
    </xf>
    <xf numFmtId="169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9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9" fontId="9" fillId="0" borderId="2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3" xfId="11" applyFont="1" applyBorder="1"/>
    <xf numFmtId="0" fontId="9" fillId="0" borderId="11" xfId="11" applyFont="1" applyBorder="1" applyAlignment="1">
      <alignment horizontal="center" vertic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0" fontId="5" fillId="0" borderId="5" xfId="11" applyFont="1" applyBorder="1" applyAlignment="1">
      <alignment horizontal="center"/>
    </xf>
    <xf numFmtId="0" fontId="9" fillId="0" borderId="10" xfId="11" applyFont="1" applyBorder="1" applyAlignment="1">
      <alignment horizontal="center" vertical="center"/>
    </xf>
    <xf numFmtId="0" fontId="5" fillId="0" borderId="1" xfId="11" applyFont="1" applyBorder="1" applyAlignment="1">
      <alignment horizontal="center"/>
    </xf>
    <xf numFmtId="0" fontId="5" fillId="0" borderId="24" xfId="11" applyFont="1" applyBorder="1"/>
    <xf numFmtId="10" fontId="5" fillId="0" borderId="14" xfId="19" applyNumberFormat="1" applyFont="1" applyBorder="1" applyAlignment="1">
      <alignment horizontal="center"/>
    </xf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3" xfId="11" applyFont="1" applyBorder="1" applyAlignment="1">
      <alignment horizontal="left"/>
    </xf>
    <xf numFmtId="164" fontId="9" fillId="2" borderId="14" xfId="20" applyNumberFormat="1" applyFont="1" applyFill="1" applyBorder="1" applyAlignment="1">
      <alignment horizontal="right" vertical="center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3" xfId="11" applyFont="1" applyBorder="1"/>
    <xf numFmtId="164" fontId="9" fillId="0" borderId="14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165" fontId="5" fillId="2" borderId="14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3" xfId="11" applyFont="1" applyBorder="1" applyAlignment="1">
      <alignment horizontal="left" indent="2"/>
    </xf>
    <xf numFmtId="164" fontId="5" fillId="0" borderId="14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3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4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1" fontId="5" fillId="0" borderId="14" xfId="11" applyNumberFormat="1" applyFont="1" applyBorder="1" applyAlignment="1">
      <alignment vertical="center"/>
    </xf>
    <xf numFmtId="171" fontId="5" fillId="0" borderId="0" xfId="11" applyNumberFormat="1" applyFont="1" applyAlignment="1">
      <alignment vertical="center"/>
    </xf>
    <xf numFmtId="164" fontId="5" fillId="0" borderId="16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8" xfId="11" applyFont="1" applyBorder="1"/>
    <xf numFmtId="0" fontId="5" fillId="0" borderId="9" xfId="11" applyFont="1" applyBorder="1"/>
    <xf numFmtId="0" fontId="9" fillId="0" borderId="3" xfId="18" applyFont="1" applyBorder="1"/>
    <xf numFmtId="44" fontId="5" fillId="0" borderId="3" xfId="11" applyNumberFormat="1" applyFont="1" applyBorder="1"/>
    <xf numFmtId="0" fontId="5" fillId="0" borderId="23" xfId="11" applyFont="1" applyBorder="1" applyAlignment="1">
      <alignment horizontal="center"/>
    </xf>
    <xf numFmtId="0" fontId="5" fillId="0" borderId="23" xfId="11" applyFont="1" applyBorder="1"/>
    <xf numFmtId="171" fontId="9" fillId="0" borderId="14" xfId="20" applyNumberFormat="1" applyFont="1" applyFill="1" applyBorder="1" applyAlignment="1">
      <alignment horizontal="right"/>
    </xf>
    <xf numFmtId="171" fontId="9" fillId="0" borderId="0" xfId="20" applyNumberFormat="1" applyFont="1" applyFill="1" applyBorder="1" applyAlignment="1">
      <alignment horizontal="right"/>
    </xf>
    <xf numFmtId="171" fontId="9" fillId="0" borderId="14" xfId="11" applyNumberFormat="1" applyFont="1" applyBorder="1" applyAlignment="1">
      <alignment horizontal="right"/>
    </xf>
    <xf numFmtId="171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2" fontId="5" fillId="0" borderId="14" xfId="1" applyNumberFormat="1" applyFont="1" applyFill="1" applyBorder="1" applyAlignment="1">
      <alignment horizontal="right"/>
    </xf>
    <xf numFmtId="165" fontId="9" fillId="0" borderId="14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2" fontId="9" fillId="0" borderId="0" xfId="1" applyNumberFormat="1" applyFont="1" applyFill="1" applyBorder="1" applyAlignment="1">
      <alignment horizontal="right"/>
    </xf>
    <xf numFmtId="165" fontId="9" fillId="0" borderId="14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4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1" fontId="5" fillId="0" borderId="14" xfId="14" applyNumberFormat="1" applyFont="1" applyBorder="1"/>
    <xf numFmtId="171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9" xfId="14" applyNumberFormat="1" applyFont="1" applyBorder="1"/>
    <xf numFmtId="165" fontId="5" fillId="0" borderId="3" xfId="14" applyNumberFormat="1" applyFont="1" applyFill="1" applyBorder="1"/>
    <xf numFmtId="0" fontId="5" fillId="0" borderId="3" xfId="11" applyFont="1" applyBorder="1" applyAlignment="1">
      <alignment horizontal="center"/>
    </xf>
    <xf numFmtId="0" fontId="5" fillId="0" borderId="21" xfId="11" applyFont="1" applyBorder="1" applyAlignment="1">
      <alignment horizontal="center"/>
    </xf>
    <xf numFmtId="0" fontId="5" fillId="0" borderId="13" xfId="11" applyFont="1" applyBorder="1" applyAlignment="1">
      <alignment horizontal="center"/>
    </xf>
    <xf numFmtId="10" fontId="5" fillId="0" borderId="23" xfId="19" applyNumberFormat="1" applyFont="1" applyBorder="1" applyAlignment="1">
      <alignment horizontal="center"/>
    </xf>
    <xf numFmtId="10" fontId="5" fillId="0" borderId="15" xfId="19" applyNumberFormat="1" applyFont="1" applyBorder="1" applyAlignment="1">
      <alignment horizontal="center"/>
    </xf>
    <xf numFmtId="164" fontId="9" fillId="2" borderId="23" xfId="20" applyNumberFormat="1" applyFont="1" applyFill="1" applyBorder="1" applyAlignment="1">
      <alignment horizontal="right" vertical="center"/>
    </xf>
    <xf numFmtId="41" fontId="9" fillId="0" borderId="15" xfId="13" applyNumberFormat="1" applyFont="1" applyBorder="1" applyAlignment="1">
      <alignment horizontal="center"/>
    </xf>
    <xf numFmtId="164" fontId="9" fillId="0" borderId="23" xfId="11" applyNumberFormat="1" applyFont="1" applyBorder="1" applyAlignment="1">
      <alignment horizontal="right" vertical="center"/>
    </xf>
    <xf numFmtId="0" fontId="5" fillId="0" borderId="15" xfId="11" applyFont="1" applyBorder="1" applyAlignment="1">
      <alignment horizontal="center"/>
    </xf>
    <xf numFmtId="165" fontId="9" fillId="2" borderId="23" xfId="1" applyNumberFormat="1" applyFont="1" applyFill="1" applyBorder="1" applyAlignment="1">
      <alignment horizontal="right" vertical="center"/>
    </xf>
    <xf numFmtId="43" fontId="5" fillId="0" borderId="15" xfId="11" applyNumberFormat="1" applyFont="1" applyBorder="1" applyAlignment="1">
      <alignment horizontal="center"/>
    </xf>
    <xf numFmtId="164" fontId="9" fillId="0" borderId="14" xfId="2" applyNumberFormat="1" applyFont="1" applyFill="1" applyBorder="1" applyAlignment="1">
      <alignment horizontal="right" vertical="center"/>
    </xf>
    <xf numFmtId="41" fontId="5" fillId="0" borderId="15" xfId="13" applyNumberFormat="1" applyFont="1" applyBorder="1" applyAlignment="1">
      <alignment horizontal="left"/>
    </xf>
    <xf numFmtId="165" fontId="9" fillId="2" borderId="14" xfId="1" applyNumberFormat="1" applyFont="1" applyFill="1" applyBorder="1" applyAlignment="1">
      <alignment horizontal="right" vertical="center"/>
    </xf>
    <xf numFmtId="41" fontId="5" fillId="0" borderId="15" xfId="13" applyNumberFormat="1" applyFont="1" applyFill="1" applyBorder="1" applyAlignment="1">
      <alignment horizontal="left"/>
    </xf>
    <xf numFmtId="41" fontId="9" fillId="0" borderId="15" xfId="13" applyNumberFormat="1" applyFont="1" applyFill="1" applyBorder="1" applyAlignment="1">
      <alignment horizontal="center"/>
    </xf>
    <xf numFmtId="0" fontId="5" fillId="0" borderId="27" xfId="11" applyFont="1" applyBorder="1"/>
    <xf numFmtId="171" fontId="9" fillId="0" borderId="23" xfId="20" applyNumberFormat="1" applyFont="1" applyFill="1" applyBorder="1" applyAlignment="1">
      <alignment horizontal="right"/>
    </xf>
    <xf numFmtId="171" fontId="9" fillId="0" borderId="23" xfId="11" applyNumberFormat="1" applyFont="1" applyBorder="1" applyAlignment="1">
      <alignment horizontal="right"/>
    </xf>
    <xf numFmtId="0" fontId="9" fillId="0" borderId="15" xfId="11" applyFont="1" applyBorder="1" applyAlignment="1">
      <alignment horizontal="center"/>
    </xf>
    <xf numFmtId="172" fontId="9" fillId="0" borderId="23" xfId="1" applyNumberFormat="1" applyFont="1" applyFill="1" applyBorder="1" applyAlignment="1">
      <alignment horizontal="right"/>
    </xf>
    <xf numFmtId="165" fontId="9" fillId="0" borderId="23" xfId="1" applyNumberFormat="1" applyFont="1" applyBorder="1" applyAlignment="1">
      <alignment horizontal="right"/>
    </xf>
    <xf numFmtId="43" fontId="9" fillId="0" borderId="15" xfId="11" applyNumberFormat="1" applyFont="1" applyBorder="1" applyAlignment="1">
      <alignment horizontal="center"/>
    </xf>
    <xf numFmtId="165" fontId="9" fillId="0" borderId="23" xfId="1" applyNumberFormat="1" applyFont="1" applyFill="1" applyBorder="1" applyAlignment="1">
      <alignment horizontal="right"/>
    </xf>
    <xf numFmtId="41" fontId="5" fillId="0" borderId="15" xfId="13" applyNumberFormat="1" applyFont="1" applyBorder="1" applyAlignment="1">
      <alignment horizontal="center"/>
    </xf>
    <xf numFmtId="41" fontId="5" fillId="0" borderId="15" xfId="13" applyNumberFormat="1" applyFont="1" applyFill="1" applyBorder="1" applyAlignment="1">
      <alignment horizontal="center"/>
    </xf>
    <xf numFmtId="41" fontId="5" fillId="0" borderId="15" xfId="13" applyNumberFormat="1" applyFont="1" applyFill="1" applyBorder="1"/>
    <xf numFmtId="165" fontId="5" fillId="0" borderId="15" xfId="14" applyNumberFormat="1" applyFont="1" applyFill="1" applyBorder="1"/>
    <xf numFmtId="0" fontId="5" fillId="0" borderId="27" xfId="11" applyFont="1" applyBorder="1" applyAlignment="1">
      <alignment horizontal="center"/>
    </xf>
    <xf numFmtId="0" fontId="5" fillId="0" borderId="0" xfId="11" applyFont="1" applyBorder="1"/>
    <xf numFmtId="0" fontId="5" fillId="0" borderId="0" xfId="11" applyFont="1" applyBorder="1" applyAlignment="1">
      <alignment horizontal="center"/>
    </xf>
    <xf numFmtId="168" fontId="5" fillId="0" borderId="0" xfId="0" applyNumberFormat="1" applyFont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9" fillId="3" borderId="1" xfId="1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center"/>
    </xf>
    <xf numFmtId="164" fontId="9" fillId="0" borderId="2" xfId="2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/>
    </xf>
    <xf numFmtId="0" fontId="0" fillId="0" borderId="3" xfId="0" applyBorder="1"/>
    <xf numFmtId="0" fontId="16" fillId="0" borderId="3" xfId="0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5" fillId="0" borderId="19" xfId="11" applyFont="1" applyBorder="1"/>
    <xf numFmtId="0" fontId="9" fillId="0" borderId="0" xfId="11" applyFont="1" applyBorder="1" applyAlignment="1">
      <alignment horizontal="left"/>
    </xf>
    <xf numFmtId="0" fontId="9" fillId="0" borderId="0" xfId="11" applyFont="1" applyBorder="1"/>
    <xf numFmtId="0" fontId="5" fillId="0" borderId="0" xfId="11" applyFont="1" applyBorder="1" applyAlignment="1">
      <alignment horizontal="left" indent="2"/>
    </xf>
    <xf numFmtId="0" fontId="5" fillId="0" borderId="0" xfId="11" applyFont="1" applyBorder="1" applyAlignment="1">
      <alignment horizontal="left"/>
    </xf>
    <xf numFmtId="0" fontId="5" fillId="0" borderId="0" xfId="11" applyFont="1" applyBorder="1" applyAlignment="1">
      <alignment horizontal="center" vertical="center" wrapText="1"/>
    </xf>
    <xf numFmtId="164" fontId="9" fillId="0" borderId="0" xfId="11" applyNumberFormat="1" applyFont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9" fillId="0" borderId="0" xfId="11" applyNumberFormat="1" applyFont="1" applyBorder="1" applyAlignment="1">
      <alignment vertical="center"/>
    </xf>
    <xf numFmtId="171" fontId="5" fillId="0" borderId="0" xfId="11" applyNumberFormat="1" applyFont="1" applyBorder="1" applyAlignment="1">
      <alignment vertical="center"/>
    </xf>
    <xf numFmtId="164" fontId="5" fillId="0" borderId="2" xfId="20" applyNumberFormat="1" applyFont="1" applyBorder="1" applyAlignment="1">
      <alignment horizontal="right" vertical="center"/>
    </xf>
    <xf numFmtId="0" fontId="5" fillId="0" borderId="31" xfId="11" applyFont="1" applyBorder="1"/>
    <xf numFmtId="168" fontId="5" fillId="0" borderId="0" xfId="11" applyNumberFormat="1" applyFont="1" applyAlignment="1">
      <alignment horizontal="center" wrapText="1"/>
    </xf>
    <xf numFmtId="0" fontId="5" fillId="0" borderId="0" xfId="11" applyFont="1" applyBorder="1" applyAlignment="1">
      <alignment horizontal="center" wrapText="1"/>
    </xf>
    <xf numFmtId="171" fontId="9" fillId="0" borderId="0" xfId="11" applyNumberFormat="1" applyFont="1" applyBorder="1" applyAlignment="1">
      <alignment horizontal="right"/>
    </xf>
    <xf numFmtId="172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1" fontId="5" fillId="0" borderId="0" xfId="2" applyNumberFormat="1" applyFont="1" applyFill="1" applyBorder="1" applyAlignment="1">
      <alignment horizontal="right"/>
    </xf>
    <xf numFmtId="171" fontId="5" fillId="0" borderId="0" xfId="2" applyNumberFormat="1" applyFont="1" applyFill="1" applyBorder="1"/>
    <xf numFmtId="171" fontId="5" fillId="0" borderId="0" xfId="14" applyNumberFormat="1" applyFont="1" applyBorder="1"/>
    <xf numFmtId="172" fontId="9" fillId="0" borderId="0" xfId="1" applyNumberFormat="1" applyFont="1" applyAlignment="1">
      <alignment horizontal="right"/>
    </xf>
    <xf numFmtId="172" fontId="9" fillId="0" borderId="1" xfId="1" applyNumberFormat="1" applyFont="1" applyFill="1" applyBorder="1" applyAlignment="1">
      <alignment horizontal="right"/>
    </xf>
    <xf numFmtId="172" fontId="9" fillId="0" borderId="0" xfId="1" applyNumberFormat="1" applyFont="1" applyAlignment="1">
      <alignment horizontal="center"/>
    </xf>
    <xf numFmtId="171" fontId="9" fillId="0" borderId="0" xfId="2" applyNumberFormat="1" applyFont="1" applyFill="1" applyBorder="1"/>
    <xf numFmtId="171" fontId="9" fillId="0" borderId="0" xfId="2" applyNumberFormat="1" applyFont="1" applyFill="1" applyBorder="1" applyAlignment="1">
      <alignment horizontal="right"/>
    </xf>
    <xf numFmtId="165" fontId="5" fillId="0" borderId="3" xfId="14" applyNumberFormat="1" applyFont="1" applyBorder="1"/>
    <xf numFmtId="164" fontId="5" fillId="0" borderId="2" xfId="20" applyNumberFormat="1" applyFont="1" applyBorder="1" applyAlignment="1">
      <alignment horizontal="right"/>
    </xf>
    <xf numFmtId="165" fontId="9" fillId="3" borderId="1" xfId="21" applyNumberFormat="1" applyFont="1" applyFill="1" applyBorder="1"/>
    <xf numFmtId="165" fontId="9" fillId="0" borderId="1" xfId="21" applyNumberFormat="1" applyFont="1" applyFill="1" applyBorder="1"/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3" fontId="9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4" fontId="9" fillId="0" borderId="0" xfId="3" applyNumberFormat="1" applyFont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0" fontId="9" fillId="0" borderId="32" xfId="11" applyFont="1" applyBorder="1" applyAlignment="1">
      <alignment horizontal="left" vertical="center"/>
    </xf>
    <xf numFmtId="1" fontId="9" fillId="0" borderId="32" xfId="11" applyNumberFormat="1" applyFont="1" applyBorder="1" applyAlignment="1">
      <alignment horizontal="center" vertical="center"/>
    </xf>
    <xf numFmtId="165" fontId="9" fillId="0" borderId="32" xfId="1" applyNumberFormat="1" applyFont="1" applyFill="1" applyBorder="1" applyAlignment="1">
      <alignment vertical="center"/>
    </xf>
    <xf numFmtId="165" fontId="9" fillId="0" borderId="32" xfId="1" applyNumberFormat="1" applyFont="1" applyFill="1" applyBorder="1" applyAlignment="1">
      <alignment horizontal="right" vertical="center"/>
    </xf>
    <xf numFmtId="165" fontId="5" fillId="0" borderId="32" xfId="1" applyNumberFormat="1" applyFont="1" applyFill="1" applyBorder="1" applyAlignment="1">
      <alignment vertical="center"/>
    </xf>
    <xf numFmtId="10" fontId="9" fillId="3" borderId="32" xfId="3" applyNumberFormat="1" applyFont="1" applyFill="1" applyBorder="1" applyAlignment="1">
      <alignment horizontal="center" vertical="center"/>
    </xf>
    <xf numFmtId="165" fontId="5" fillId="0" borderId="32" xfId="1" applyNumberFormat="1" applyFont="1" applyBorder="1" applyAlignment="1">
      <alignment horizontal="center" vertical="center"/>
    </xf>
    <xf numFmtId="165" fontId="9" fillId="0" borderId="32" xfId="1" applyNumberFormat="1" applyFont="1" applyBorder="1" applyAlignment="1">
      <alignment horizontal="right" vertical="center"/>
    </xf>
    <xf numFmtId="165" fontId="5" fillId="0" borderId="32" xfId="1" applyNumberFormat="1" applyFont="1" applyFill="1" applyBorder="1" applyAlignment="1">
      <alignment horizontal="right" vertical="center"/>
    </xf>
    <xf numFmtId="164" fontId="5" fillId="0" borderId="17" xfId="2" applyNumberFormat="1" applyFont="1" applyFill="1" applyBorder="1" applyAlignment="1">
      <alignment vertical="center"/>
    </xf>
    <xf numFmtId="164" fontId="9" fillId="0" borderId="17" xfId="2" applyNumberFormat="1" applyFont="1" applyFill="1" applyBorder="1" applyAlignment="1">
      <alignment vertical="center"/>
    </xf>
    <xf numFmtId="175" fontId="9" fillId="0" borderId="17" xfId="2" applyNumberFormat="1" applyFont="1" applyBorder="1" applyAlignment="1">
      <alignment vertical="center"/>
    </xf>
    <xf numFmtId="175" fontId="9" fillId="0" borderId="0" xfId="2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5" fontId="9" fillId="0" borderId="32" xfId="0" applyNumberFormat="1" applyFont="1" applyBorder="1" applyAlignment="1">
      <alignment horizontal="center" vertical="center"/>
    </xf>
    <xf numFmtId="0" fontId="19" fillId="0" borderId="0" xfId="11" applyFont="1"/>
    <xf numFmtId="0" fontId="9" fillId="0" borderId="0" xfId="11" applyFont="1"/>
    <xf numFmtId="0" fontId="19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5" fontId="5" fillId="3" borderId="32" xfId="1" applyNumberFormat="1" applyFont="1" applyFill="1" applyBorder="1" applyAlignment="1" applyProtection="1">
      <alignment vertical="center"/>
      <protection locked="0"/>
    </xf>
    <xf numFmtId="165" fontId="9" fillId="3" borderId="32" xfId="1" applyNumberFormat="1" applyFont="1" applyFill="1" applyBorder="1" applyAlignment="1" applyProtection="1">
      <alignment vertical="center"/>
      <protection locked="0"/>
    </xf>
    <xf numFmtId="10" fontId="9" fillId="2" borderId="32" xfId="0" applyNumberFormat="1" applyFont="1" applyFill="1" applyBorder="1" applyAlignment="1">
      <alignment horizontal="right" vertical="center"/>
    </xf>
    <xf numFmtId="164" fontId="5" fillId="0" borderId="2" xfId="2" applyNumberFormat="1" applyFont="1" applyFill="1" applyBorder="1" applyAlignment="1">
      <alignment horizontal="right" vertical="center"/>
    </xf>
    <xf numFmtId="165" fontId="9" fillId="2" borderId="32" xfId="1" applyNumberFormat="1" applyFont="1" applyFill="1" applyBorder="1" applyAlignment="1" applyProtection="1">
      <alignment horizontal="right" vertical="center"/>
    </xf>
    <xf numFmtId="165" fontId="9" fillId="2" borderId="32" xfId="1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centerContinuous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165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9" fillId="0" borderId="33" xfId="1" applyNumberFormat="1" applyFont="1" applyFill="1" applyBorder="1" applyAlignment="1">
      <alignment vertical="center"/>
    </xf>
    <xf numFmtId="49" fontId="17" fillId="0" borderId="10" xfId="0" applyNumberFormat="1" applyFont="1" applyBorder="1"/>
    <xf numFmtId="166" fontId="9" fillId="0" borderId="0" xfId="0" applyNumberFormat="1" applyFont="1"/>
    <xf numFmtId="166" fontId="9" fillId="0" borderId="0" xfId="1" applyNumberFormat="1" applyFont="1" applyFill="1" applyBorder="1"/>
    <xf numFmtId="0" fontId="9" fillId="0" borderId="10" xfId="0" applyFont="1" applyBorder="1" applyAlignment="1">
      <alignment horizontal="center" vertical="center"/>
    </xf>
    <xf numFmtId="164" fontId="9" fillId="0" borderId="0" xfId="1" applyNumberFormat="1" applyFont="1" applyFill="1" applyBorder="1"/>
    <xf numFmtId="166" fontId="5" fillId="0" borderId="0" xfId="0" applyNumberFormat="1" applyFont="1"/>
    <xf numFmtId="0" fontId="9" fillId="0" borderId="0" xfId="25" applyFont="1"/>
    <xf numFmtId="49" fontId="9" fillId="0" borderId="10" xfId="0" applyNumberFormat="1" applyFont="1" applyBorder="1" applyAlignment="1">
      <alignment horizontal="center"/>
    </xf>
    <xf numFmtId="165" fontId="9" fillId="0" borderId="32" xfId="1" applyNumberFormat="1" applyFont="1" applyFill="1" applyBorder="1"/>
    <xf numFmtId="0" fontId="9" fillId="0" borderId="0" xfId="23" applyFont="1"/>
    <xf numFmtId="0" fontId="9" fillId="0" borderId="0" xfId="23" applyFont="1" applyAlignment="1">
      <alignment wrapText="1"/>
    </xf>
    <xf numFmtId="0" fontId="5" fillId="0" borderId="10" xfId="0" applyFont="1" applyBorder="1" applyAlignment="1">
      <alignment horizontal="left"/>
    </xf>
    <xf numFmtId="0" fontId="9" fillId="0" borderId="19" xfId="0" applyFont="1" applyBorder="1"/>
    <xf numFmtId="0" fontId="5" fillId="0" borderId="10" xfId="23" applyFont="1" applyBorder="1" applyAlignment="1">
      <alignment horizontal="left"/>
    </xf>
    <xf numFmtId="0" fontId="5" fillId="0" borderId="0" xfId="23" applyFont="1"/>
    <xf numFmtId="0" fontId="14" fillId="0" borderId="10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5" fontId="9" fillId="0" borderId="32" xfId="11" applyNumberFormat="1" applyFont="1" applyBorder="1" applyAlignment="1">
      <alignment horizontal="center" vertical="center"/>
    </xf>
    <xf numFmtId="0" fontId="9" fillId="0" borderId="32" xfId="11" applyFont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0" fontId="9" fillId="2" borderId="32" xfId="11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2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4" fontId="9" fillId="3" borderId="32" xfId="13" applyNumberFormat="1" applyFont="1" applyFill="1" applyBorder="1" applyAlignment="1" applyProtection="1">
      <alignment horizontal="center" vertical="center"/>
      <protection locked="0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4" fontId="5" fillId="2" borderId="0" xfId="13" applyNumberFormat="1" applyFont="1" applyFill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3" borderId="32" xfId="28" applyNumberFormat="1" applyFont="1" applyFill="1" applyBorder="1" applyAlignment="1">
      <alignment vertical="center"/>
    </xf>
    <xf numFmtId="10" fontId="9" fillId="0" borderId="0" xfId="28" applyNumberFormat="1" applyFont="1" applyBorder="1" applyAlignment="1">
      <alignment vertical="center"/>
    </xf>
    <xf numFmtId="164" fontId="5" fillId="0" borderId="2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0" fontId="9" fillId="0" borderId="32" xfId="0" applyFont="1" applyBorder="1" applyAlignment="1">
      <alignment horizontal="center" vertical="center" wrapText="1"/>
    </xf>
    <xf numFmtId="164" fontId="9" fillId="3" borderId="32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32" xfId="3" applyNumberFormat="1" applyFont="1" applyFill="1" applyBorder="1" applyAlignment="1">
      <alignment horizontal="right" vertical="center"/>
    </xf>
    <xf numFmtId="10" fontId="9" fillId="0" borderId="32" xfId="3" applyNumberFormat="1" applyFont="1" applyBorder="1" applyAlignment="1">
      <alignment horizontal="right" vertical="center"/>
    </xf>
    <xf numFmtId="177" fontId="9" fillId="0" borderId="3" xfId="3" applyNumberFormat="1" applyFont="1" applyBorder="1" applyAlignment="1">
      <alignment horizontal="right" vertical="center"/>
    </xf>
    <xf numFmtId="10" fontId="9" fillId="4" borderId="2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32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vertical="center"/>
    </xf>
    <xf numFmtId="9" fontId="9" fillId="3" borderId="32" xfId="3" applyFont="1" applyFill="1" applyBorder="1" applyAlignment="1">
      <alignment horizontal="right" vertical="center"/>
    </xf>
    <xf numFmtId="169" fontId="9" fillId="0" borderId="32" xfId="3" applyNumberFormat="1" applyFont="1" applyBorder="1" applyAlignment="1">
      <alignment horizontal="right" vertical="center"/>
    </xf>
    <xf numFmtId="169" fontId="9" fillId="2" borderId="32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9" fontId="9" fillId="2" borderId="32" xfId="3" applyFont="1" applyFill="1" applyBorder="1" applyAlignment="1">
      <alignment horizontal="right" vertical="center"/>
    </xf>
    <xf numFmtId="10" fontId="9" fillId="2" borderId="32" xfId="3" applyNumberFormat="1" applyFont="1" applyFill="1" applyBorder="1" applyAlignment="1">
      <alignment horizontal="right" vertical="center"/>
    </xf>
    <xf numFmtId="169" fontId="9" fillId="2" borderId="32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165" fontId="7" fillId="0" borderId="32" xfId="1" applyNumberFormat="1" applyFont="1" applyBorder="1"/>
    <xf numFmtId="0" fontId="18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right"/>
    </xf>
    <xf numFmtId="0" fontId="5" fillId="0" borderId="33" xfId="11" applyFont="1" applyBorder="1" applyAlignment="1">
      <alignment horizontal="center"/>
    </xf>
    <xf numFmtId="0" fontId="5" fillId="0" borderId="32" xfId="11" applyFont="1" applyBorder="1" applyAlignment="1">
      <alignment horizontal="center"/>
    </xf>
    <xf numFmtId="178" fontId="5" fillId="0" borderId="14" xfId="2" applyNumberFormat="1" applyFont="1" applyFill="1" applyBorder="1" applyAlignment="1">
      <alignment horizontal="right"/>
    </xf>
    <xf numFmtId="178" fontId="9" fillId="0" borderId="14" xfId="1" applyNumberFormat="1" applyFont="1" applyFill="1" applyBorder="1" applyAlignment="1">
      <alignment horizontal="right"/>
    </xf>
    <xf numFmtId="178" fontId="9" fillId="0" borderId="0" xfId="1" applyNumberFormat="1" applyFont="1" applyFill="1" applyBorder="1" applyAlignment="1">
      <alignment horizontal="right"/>
    </xf>
    <xf numFmtId="172" fontId="5" fillId="0" borderId="16" xfId="1" applyNumberFormat="1" applyFont="1" applyFill="1" applyBorder="1"/>
    <xf numFmtId="165" fontId="5" fillId="0" borderId="16" xfId="1" applyNumberFormat="1" applyFont="1" applyBorder="1" applyAlignment="1">
      <alignment horizontal="right"/>
    </xf>
    <xf numFmtId="165" fontId="5" fillId="0" borderId="27" xfId="14" applyNumberFormat="1" applyFont="1" applyFill="1" applyBorder="1"/>
    <xf numFmtId="178" fontId="9" fillId="0" borderId="23" xfId="2" applyNumberFormat="1" applyFont="1" applyFill="1" applyBorder="1" applyAlignment="1">
      <alignment horizontal="right"/>
    </xf>
    <xf numFmtId="178" fontId="9" fillId="0" borderId="23" xfId="1" applyNumberFormat="1" applyFont="1" applyFill="1" applyBorder="1" applyAlignment="1">
      <alignment horizontal="right"/>
    </xf>
    <xf numFmtId="165" fontId="9" fillId="0" borderId="16" xfId="1" applyNumberFormat="1" applyFont="1" applyBorder="1" applyAlignment="1">
      <alignment horizontal="right"/>
    </xf>
    <xf numFmtId="165" fontId="5" fillId="3" borderId="0" xfId="1" applyNumberFormat="1" applyFont="1" applyFill="1" applyBorder="1" applyAlignment="1">
      <alignment vertical="center"/>
    </xf>
    <xf numFmtId="165" fontId="9" fillId="0" borderId="32" xfId="1" applyNumberFormat="1" applyFont="1" applyFill="1" applyBorder="1" applyAlignment="1" applyProtection="1">
      <alignment horizontal="right" vertical="center"/>
      <protection locked="0"/>
    </xf>
    <xf numFmtId="164" fontId="9" fillId="0" borderId="32" xfId="2" applyNumberFormat="1" applyFont="1" applyFill="1" applyBorder="1" applyAlignment="1">
      <alignment vertical="center"/>
    </xf>
    <xf numFmtId="165" fontId="5" fillId="2" borderId="32" xfId="1" applyNumberFormat="1" applyFont="1" applyFill="1" applyBorder="1" applyAlignment="1" applyProtection="1">
      <alignment vertical="center"/>
      <protection locked="0"/>
    </xf>
    <xf numFmtId="0" fontId="5" fillId="0" borderId="0" xfId="11" applyFont="1" applyAlignment="1">
      <alignment horizontal="right" vertical="center"/>
    </xf>
    <xf numFmtId="10" fontId="9" fillId="3" borderId="32" xfId="3" applyNumberFormat="1" applyFont="1" applyFill="1" applyBorder="1" applyAlignment="1">
      <alignment horizontal="right" vertical="center"/>
    </xf>
    <xf numFmtId="164" fontId="9" fillId="2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11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7" fontId="9" fillId="0" borderId="0" xfId="31" applyNumberFormat="1" applyFont="1" applyAlignment="1">
      <alignment horizontal="right"/>
    </xf>
    <xf numFmtId="0" fontId="17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10" fontId="5" fillId="2" borderId="0" xfId="31" applyNumberFormat="1" applyFont="1" applyFill="1" applyAlignment="1">
      <alignment horizontal="right"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7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7" fontId="9" fillId="0" borderId="0" xfId="31" applyNumberFormat="1" applyFont="1" applyAlignment="1">
      <alignment vertical="center"/>
    </xf>
    <xf numFmtId="167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7" fontId="9" fillId="0" borderId="19" xfId="31" applyNumberFormat="1" applyFont="1" applyBorder="1" applyAlignment="1" applyProtection="1">
      <alignment horizontal="right" vertical="center"/>
      <protection locked="0"/>
    </xf>
    <xf numFmtId="167" fontId="9" fillId="0" borderId="0" xfId="31" applyNumberFormat="1" applyFont="1" applyAlignment="1" applyProtection="1">
      <alignment horizontal="right"/>
      <protection locked="0"/>
    </xf>
    <xf numFmtId="10" fontId="5" fillId="0" borderId="0" xfId="31" applyNumberFormat="1" applyFont="1" applyAlignment="1">
      <alignment horizontal="right" vertical="center"/>
    </xf>
    <xf numFmtId="167" fontId="9" fillId="0" borderId="0" xfId="31" quotePrefix="1" applyNumberFormat="1" applyFont="1" applyAlignment="1">
      <alignment horizontal="right" vertical="center"/>
    </xf>
    <xf numFmtId="167" fontId="9" fillId="0" borderId="0" xfId="31" quotePrefix="1" applyNumberFormat="1" applyFont="1" applyAlignment="1">
      <alignment horizontal="right"/>
    </xf>
    <xf numFmtId="169" fontId="9" fillId="3" borderId="0" xfId="31" applyNumberFormat="1" applyFont="1" applyFill="1" applyAlignment="1">
      <alignment horizontal="right" vertical="center"/>
    </xf>
    <xf numFmtId="10" fontId="9" fillId="0" borderId="32" xfId="3" quotePrefix="1" applyNumberFormat="1" applyFont="1" applyBorder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7" fontId="5" fillId="0" borderId="19" xfId="31" quotePrefix="1" applyNumberFormat="1" applyFont="1" applyBorder="1" applyAlignment="1">
      <alignment horizontal="right" vertical="center"/>
    </xf>
    <xf numFmtId="167" fontId="5" fillId="0" borderId="0" xfId="31" quotePrefix="1" applyNumberFormat="1" applyFont="1" applyAlignment="1">
      <alignment horizontal="right"/>
    </xf>
    <xf numFmtId="10" fontId="5" fillId="0" borderId="2" xfId="31" quotePrefix="1" applyNumberFormat="1" applyFont="1" applyBorder="1" applyAlignment="1">
      <alignment horizontal="right" vertical="center"/>
    </xf>
    <xf numFmtId="0" fontId="17" fillId="0" borderId="0" xfId="31" applyFont="1" applyAlignment="1">
      <alignment vertical="center"/>
    </xf>
    <xf numFmtId="10" fontId="17" fillId="0" borderId="19" xfId="31" applyNumberFormat="1" applyFont="1" applyBorder="1" applyAlignment="1">
      <alignment horizontal="right" vertical="center"/>
    </xf>
    <xf numFmtId="10" fontId="17" fillId="0" borderId="0" xfId="31" applyNumberFormat="1" applyFont="1" applyAlignment="1">
      <alignment horizontal="right"/>
    </xf>
    <xf numFmtId="164" fontId="5" fillId="0" borderId="2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9" fontId="9" fillId="0" borderId="0" xfId="31" applyNumberFormat="1" applyFont="1" applyAlignment="1">
      <alignment horizontal="left"/>
    </xf>
    <xf numFmtId="0" fontId="17" fillId="0" borderId="0" xfId="31" applyFont="1" applyAlignment="1">
      <alignment horizontal="center" vertical="center"/>
    </xf>
    <xf numFmtId="0" fontId="17" fillId="0" borderId="0" xfId="31" applyFont="1" applyAlignment="1">
      <alignment horizontal="center"/>
    </xf>
    <xf numFmtId="164" fontId="5" fillId="2" borderId="32" xfId="13" applyNumberFormat="1" applyFont="1" applyFill="1" applyBorder="1" applyAlignment="1" applyProtection="1">
      <alignment vertical="center"/>
      <protection locked="0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164" fontId="5" fillId="2" borderId="32" xfId="31" applyNumberFormat="1" applyFont="1" applyFill="1" applyBorder="1" applyAlignment="1" applyProtection="1">
      <alignment horizontal="right" vertical="center"/>
      <protection locked="0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32" xfId="31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9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4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9" fontId="9" fillId="2" borderId="0" xfId="19" applyNumberFormat="1" applyFont="1" applyFill="1" applyBorder="1" applyAlignment="1">
      <alignment horizontal="right" vertical="center"/>
    </xf>
    <xf numFmtId="164" fontId="5" fillId="0" borderId="35" xfId="31" applyNumberFormat="1" applyFont="1" applyBorder="1" applyAlignment="1" applyProtection="1">
      <alignment horizontal="right" vertical="center"/>
      <protection locked="0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18" applyFont="1" applyAlignment="1">
      <alignment horizontal="right"/>
    </xf>
    <xf numFmtId="165" fontId="9" fillId="2" borderId="35" xfId="1" applyNumberFormat="1" applyFont="1" applyFill="1" applyBorder="1" applyAlignment="1">
      <alignment horizontal="right" vertical="center"/>
    </xf>
    <xf numFmtId="0" fontId="12" fillId="0" borderId="0" xfId="0" applyFont="1"/>
    <xf numFmtId="165" fontId="26" fillId="0" borderId="0" xfId="14" applyNumberFormat="1" applyFont="1" applyBorder="1" applyAlignment="1">
      <alignment horizontal="right" vertical="center"/>
    </xf>
    <xf numFmtId="165" fontId="26" fillId="0" borderId="0" xfId="14" applyNumberFormat="1" applyFont="1" applyBorder="1"/>
    <xf numFmtId="164" fontId="9" fillId="0" borderId="0" xfId="20" applyNumberFormat="1" applyFont="1" applyAlignment="1">
      <alignment horizontal="right" vertical="center"/>
    </xf>
    <xf numFmtId="164" fontId="10" fillId="0" borderId="0" xfId="20" applyNumberFormat="1" applyFont="1"/>
    <xf numFmtId="0" fontId="12" fillId="0" borderId="0" xfId="31" applyFont="1"/>
    <xf numFmtId="164" fontId="12" fillId="0" borderId="0" xfId="20" applyNumberFormat="1" applyFont="1" applyAlignment="1">
      <alignment horizontal="right" vertical="center"/>
    </xf>
    <xf numFmtId="0" fontId="12" fillId="0" borderId="0" xfId="31" applyFont="1" applyAlignment="1">
      <alignment horizontal="center"/>
    </xf>
    <xf numFmtId="169" fontId="9" fillId="0" borderId="32" xfId="3" applyNumberFormat="1" applyFont="1" applyFill="1" applyBorder="1" applyAlignment="1">
      <alignment horizontal="right" vertical="center"/>
    </xf>
    <xf numFmtId="10" fontId="27" fillId="0" borderId="0" xfId="19" applyNumberFormat="1" applyFont="1" applyBorder="1" applyAlignment="1" applyProtection="1">
      <alignment vertical="center"/>
    </xf>
    <xf numFmtId="10" fontId="27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164" fontId="9" fillId="2" borderId="32" xfId="2" applyNumberFormat="1" applyFont="1" applyFill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2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49" fontId="5" fillId="0" borderId="36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65" fontId="5" fillId="0" borderId="14" xfId="1" applyNumberFormat="1" applyFont="1" applyFill="1" applyBorder="1" applyAlignment="1">
      <alignment vertical="center"/>
    </xf>
    <xf numFmtId="165" fontId="9" fillId="0" borderId="37" xfId="1" applyNumberFormat="1" applyFont="1" applyFill="1" applyBorder="1" applyAlignment="1">
      <alignment vertical="center"/>
    </xf>
    <xf numFmtId="165" fontId="9" fillId="0" borderId="39" xfId="1" applyNumberFormat="1" applyFont="1" applyFill="1" applyBorder="1" applyAlignment="1">
      <alignment vertical="center"/>
    </xf>
    <xf numFmtId="164" fontId="9" fillId="0" borderId="39" xfId="2" applyNumberFormat="1" applyFont="1" applyFill="1" applyBorder="1" applyAlignment="1">
      <alignment vertical="center"/>
    </xf>
    <xf numFmtId="164" fontId="9" fillId="0" borderId="37" xfId="2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0" fontId="5" fillId="0" borderId="0" xfId="11" applyFont="1"/>
    <xf numFmtId="168" fontId="5" fillId="0" borderId="0" xfId="11" applyNumberFormat="1" applyFont="1" applyAlignment="1">
      <alignment horizontal="center"/>
    </xf>
    <xf numFmtId="5" fontId="9" fillId="0" borderId="32" xfId="11" applyNumberFormat="1" applyFont="1" applyBorder="1" applyAlignment="1">
      <alignment horizontal="center"/>
    </xf>
    <xf numFmtId="0" fontId="9" fillId="0" borderId="32" xfId="11" applyFont="1" applyBorder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7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5" fontId="9" fillId="2" borderId="32" xfId="27" applyNumberFormat="1" applyFont="1" applyFill="1" applyBorder="1" applyAlignment="1" applyProtection="1">
      <alignment horizontal="right" vertical="center"/>
      <protection locked="0"/>
    </xf>
    <xf numFmtId="164" fontId="9" fillId="0" borderId="18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8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5" fontId="5" fillId="2" borderId="32" xfId="27" applyNumberFormat="1" applyFont="1" applyFill="1" applyBorder="1" applyAlignment="1" applyProtection="1">
      <alignment horizontal="right" vertical="center"/>
      <protection locked="0"/>
    </xf>
    <xf numFmtId="164" fontId="5" fillId="0" borderId="18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5" fontId="5" fillId="2" borderId="32" xfId="27" applyNumberFormat="1" applyFont="1" applyFill="1" applyBorder="1" applyAlignment="1" applyProtection="1">
      <alignment horizontal="center" vertical="center"/>
    </xf>
    <xf numFmtId="164" fontId="5" fillId="0" borderId="2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5" fontId="9" fillId="4" borderId="32" xfId="27" applyNumberFormat="1" applyFont="1" applyFill="1" applyBorder="1" applyAlignment="1" applyProtection="1">
      <alignment horizontal="right" vertical="center"/>
    </xf>
    <xf numFmtId="164" fontId="9" fillId="4" borderId="2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5" fontId="9" fillId="2" borderId="32" xfId="27" applyNumberFormat="1" applyFont="1" applyFill="1" applyBorder="1" applyAlignment="1" applyProtection="1">
      <alignment horizontal="right" vertical="center"/>
    </xf>
    <xf numFmtId="168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32" xfId="27" applyNumberFormat="1" applyFont="1" applyFill="1" applyBorder="1" applyAlignment="1" applyProtection="1">
      <alignment horizontal="right" vertical="center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2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164" fontId="3" fillId="0" borderId="0" xfId="2" applyNumberFormat="1" applyFont="1" applyBorder="1"/>
    <xf numFmtId="0" fontId="3" fillId="0" borderId="0" xfId="4" applyFont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39" xfId="11" applyFont="1" applyBorder="1" applyAlignment="1">
      <alignment horizontal="center"/>
    </xf>
    <xf numFmtId="165" fontId="9" fillId="2" borderId="37" xfId="1" applyNumberFormat="1" applyFont="1" applyFill="1" applyBorder="1" applyAlignment="1">
      <alignment horizontal="right" vertical="center"/>
    </xf>
    <xf numFmtId="165" fontId="9" fillId="3" borderId="37" xfId="1" applyNumberFormat="1" applyFont="1" applyFill="1" applyBorder="1" applyAlignment="1">
      <alignment vertical="center"/>
    </xf>
    <xf numFmtId="172" fontId="9" fillId="0" borderId="37" xfId="1" applyNumberFormat="1" applyFont="1" applyFill="1" applyBorder="1" applyAlignment="1">
      <alignment horizontal="right"/>
    </xf>
    <xf numFmtId="165" fontId="9" fillId="3" borderId="37" xfId="21" applyNumberFormat="1" applyFont="1" applyFill="1" applyBorder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/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9" fillId="0" borderId="3" xfId="0" applyNumberFormat="1" applyFont="1" applyBorder="1" applyAlignment="1">
      <alignment vertical="center"/>
    </xf>
    <xf numFmtId="37" fontId="5" fillId="0" borderId="20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37" fontId="5" fillId="0" borderId="12" xfId="0" quotePrefix="1" applyNumberFormat="1" applyFont="1" applyBorder="1" applyAlignment="1">
      <alignment horizontal="center" vertical="center"/>
    </xf>
    <xf numFmtId="37" fontId="5" fillId="0" borderId="6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22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4" xfId="33" applyNumberFormat="1" applyFont="1" applyBorder="1" applyAlignment="1">
      <alignment horizontal="center" vertical="center"/>
    </xf>
    <xf numFmtId="37" fontId="5" fillId="0" borderId="0" xfId="33" applyNumberFormat="1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26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9" xfId="33" applyNumberFormat="1" applyFont="1" applyBorder="1" applyAlignment="1">
      <alignment horizontal="center" vertical="center"/>
    </xf>
    <xf numFmtId="37" fontId="5" fillId="0" borderId="3" xfId="33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37" fontId="5" fillId="0" borderId="8" xfId="0" applyNumberFormat="1" applyFont="1" applyBorder="1" applyAlignment="1">
      <alignment horizontal="center" vertical="center"/>
    </xf>
    <xf numFmtId="37" fontId="9" fillId="0" borderId="22" xfId="0" applyNumberFormat="1" applyFont="1" applyBorder="1" applyAlignment="1">
      <alignment horizontal="center" vertical="center"/>
    </xf>
    <xf numFmtId="37" fontId="21" fillId="0" borderId="0" xfId="0" applyNumberFormat="1" applyFont="1" applyAlignment="1">
      <alignment vertical="center"/>
    </xf>
    <xf numFmtId="37" fontId="5" fillId="0" borderId="14" xfId="33" applyNumberFormat="1" applyFont="1" applyBorder="1" applyAlignment="1">
      <alignment horizontal="left" vertical="center"/>
    </xf>
    <xf numFmtId="37" fontId="9" fillId="0" borderId="14" xfId="33" applyNumberFormat="1" applyFont="1" applyBorder="1" applyAlignment="1">
      <alignment horizontal="center" vertical="center"/>
    </xf>
    <xf numFmtId="37" fontId="9" fillId="0" borderId="0" xfId="33" applyNumberFormat="1" applyFont="1" applyAlignment="1">
      <alignment horizontal="center" vertical="center"/>
    </xf>
    <xf numFmtId="37" fontId="9" fillId="0" borderId="23" xfId="33" applyNumberFormat="1" applyFont="1" applyBorder="1" applyAlignment="1">
      <alignment horizontal="center" vertical="center"/>
    </xf>
    <xf numFmtId="37" fontId="9" fillId="0" borderId="21" xfId="33" applyNumberFormat="1" applyFont="1" applyBorder="1" applyAlignment="1">
      <alignment horizontal="center" vertical="center"/>
    </xf>
    <xf numFmtId="37" fontId="9" fillId="0" borderId="11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5" fontId="28" fillId="0" borderId="23" xfId="1" applyNumberFormat="1" applyFont="1" applyFill="1" applyBorder="1" applyAlignment="1">
      <alignment vertical="center"/>
    </xf>
    <xf numFmtId="164" fontId="5" fillId="0" borderId="23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23" xfId="1" applyNumberFormat="1" applyFont="1" applyFill="1" applyBorder="1" applyAlignment="1">
      <alignment vertical="center"/>
    </xf>
    <xf numFmtId="39" fontId="9" fillId="0" borderId="0" xfId="0" applyNumberFormat="1" applyFont="1" applyAlignment="1">
      <alignment vertical="center"/>
    </xf>
    <xf numFmtId="165" fontId="14" fillId="0" borderId="23" xfId="1" applyNumberFormat="1" applyFont="1" applyFill="1" applyBorder="1" applyAlignment="1">
      <alignment vertical="center"/>
    </xf>
    <xf numFmtId="43" fontId="9" fillId="0" borderId="0" xfId="1" applyFont="1" applyFill="1" applyAlignment="1">
      <alignment vertical="center"/>
    </xf>
    <xf numFmtId="37" fontId="9" fillId="0" borderId="23" xfId="0" applyNumberFormat="1" applyFont="1" applyBorder="1" applyAlignment="1">
      <alignment vertical="center"/>
    </xf>
    <xf numFmtId="168" fontId="9" fillId="0" borderId="22" xfId="0" applyNumberFormat="1" applyFont="1" applyBorder="1" applyAlignment="1">
      <alignment horizontal="center" vertical="center"/>
    </xf>
    <xf numFmtId="168" fontId="5" fillId="0" borderId="22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4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164" fontId="5" fillId="0" borderId="16" xfId="2" applyNumberFormat="1" applyFont="1" applyBorder="1" applyAlignment="1">
      <alignment vertical="center"/>
    </xf>
    <xf numFmtId="164" fontId="5" fillId="0" borderId="2" xfId="2" applyNumberFormat="1" applyFont="1" applyFill="1" applyBorder="1" applyAlignment="1">
      <alignment vertical="center"/>
    </xf>
    <xf numFmtId="164" fontId="5" fillId="0" borderId="14" xfId="2" applyNumberFormat="1" applyFont="1" applyBorder="1" applyAlignment="1">
      <alignment vertical="center"/>
    </xf>
    <xf numFmtId="37" fontId="9" fillId="0" borderId="26" xfId="0" applyNumberFormat="1" applyFont="1" applyBorder="1" applyAlignment="1">
      <alignment vertical="center"/>
    </xf>
    <xf numFmtId="37" fontId="9" fillId="0" borderId="9" xfId="1" applyNumberFormat="1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7" fontId="9" fillId="0" borderId="8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7" fillId="0" borderId="10" xfId="0" applyNumberFormat="1" applyFont="1" applyBorder="1" applyAlignment="1">
      <alignment horizontal="left" vertical="center"/>
    </xf>
    <xf numFmtId="37" fontId="9" fillId="0" borderId="10" xfId="11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5" fontId="9" fillId="0" borderId="32" xfId="1" applyNumberFormat="1" applyFont="1" applyBorder="1" applyAlignment="1">
      <alignment horizontal="center"/>
    </xf>
    <xf numFmtId="37" fontId="9" fillId="0" borderId="0" xfId="0" applyNumberFormat="1" applyFont="1" applyAlignment="1">
      <alignment vertical="top"/>
    </xf>
    <xf numFmtId="37" fontId="29" fillId="0" borderId="0" xfId="0" applyNumberFormat="1" applyFont="1"/>
    <xf numFmtId="37" fontId="5" fillId="0" borderId="0" xfId="0" applyNumberFormat="1" applyFont="1" applyAlignment="1">
      <alignment horizontal="right" vertical="center"/>
    </xf>
    <xf numFmtId="37" fontId="5" fillId="0" borderId="11" xfId="0" applyNumberFormat="1" applyFont="1" applyBorder="1" applyAlignment="1">
      <alignment vertical="center"/>
    </xf>
    <xf numFmtId="43" fontId="29" fillId="0" borderId="0" xfId="1" applyFont="1" applyFill="1"/>
    <xf numFmtId="165" fontId="29" fillId="0" borderId="0" xfId="1" applyNumberFormat="1" applyFont="1" applyFill="1"/>
    <xf numFmtId="37" fontId="9" fillId="0" borderId="10" xfId="11" applyNumberFormat="1" applyFont="1" applyBorder="1" applyAlignment="1">
      <alignment horizontal="center" vertical="top"/>
    </xf>
    <xf numFmtId="165" fontId="9" fillId="0" borderId="32" xfId="1" applyNumberFormat="1" applyFont="1" applyFill="1" applyBorder="1" applyAlignment="1"/>
    <xf numFmtId="165" fontId="9" fillId="0" borderId="0" xfId="1" applyNumberFormat="1" applyFont="1" applyFill="1" applyAlignment="1"/>
    <xf numFmtId="168" fontId="9" fillId="0" borderId="10" xfId="11" applyNumberFormat="1" applyFont="1" applyBorder="1" applyAlignment="1">
      <alignment horizontal="center" wrapText="1"/>
    </xf>
    <xf numFmtId="165" fontId="9" fillId="0" borderId="0" xfId="1" applyNumberFormat="1" applyFont="1" applyFill="1" applyBorder="1" applyAlignment="1">
      <alignment vertical="top"/>
    </xf>
    <xf numFmtId="165" fontId="29" fillId="0" borderId="0" xfId="1" applyNumberFormat="1" applyFont="1" applyFill="1" applyBorder="1" applyAlignment="1">
      <alignment vertical="top"/>
    </xf>
    <xf numFmtId="165" fontId="9" fillId="0" borderId="32" xfId="1" applyNumberFormat="1" applyFont="1" applyFill="1" applyBorder="1" applyAlignment="1">
      <alignment vertical="top"/>
    </xf>
    <xf numFmtId="37" fontId="9" fillId="0" borderId="0" xfId="0" applyNumberFormat="1" applyFont="1" applyAlignment="1">
      <alignment wrapText="1"/>
    </xf>
    <xf numFmtId="37" fontId="9" fillId="0" borderId="10" xfId="0" applyNumberFormat="1" applyFont="1" applyBorder="1" applyAlignment="1">
      <alignment horizontal="center" vertical="center"/>
    </xf>
    <xf numFmtId="43" fontId="5" fillId="0" borderId="0" xfId="1" applyFont="1" applyFill="1" applyBorder="1" applyAlignment="1">
      <alignment horizontal="right"/>
    </xf>
    <xf numFmtId="37" fontId="5" fillId="0" borderId="0" xfId="0" applyNumberFormat="1" applyFont="1" applyAlignment="1">
      <alignment horizontal="left" vertical="center"/>
    </xf>
    <xf numFmtId="37" fontId="5" fillId="0" borderId="0" xfId="0" applyNumberFormat="1" applyFont="1" applyAlignment="1">
      <alignment horizontal="right"/>
    </xf>
    <xf numFmtId="164" fontId="5" fillId="0" borderId="0" xfId="2" applyNumberFormat="1" applyFont="1" applyBorder="1" applyAlignment="1">
      <alignment vertical="center"/>
    </xf>
    <xf numFmtId="0" fontId="30" fillId="0" borderId="10" xfId="23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3" xfId="0" applyNumberFormat="1" applyFont="1" applyBorder="1" applyAlignment="1">
      <alignment horizontal="left" vertical="center"/>
    </xf>
    <xf numFmtId="168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11" applyFont="1" applyAlignment="1">
      <alignment horizont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quotePrefix="1" applyFont="1" applyAlignment="1">
      <alignment horizontal="center"/>
    </xf>
    <xf numFmtId="0" fontId="5" fillId="0" borderId="0" xfId="11" applyFont="1"/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11" quotePrefix="1" applyFont="1" applyAlignment="1">
      <alignment horizontal="center" vertical="center"/>
    </xf>
    <xf numFmtId="15" fontId="9" fillId="2" borderId="32" xfId="11" applyNumberFormat="1" applyFont="1" applyFill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horizontal="center" vertical="center"/>
      <protection locked="0"/>
    </xf>
    <xf numFmtId="165" fontId="9" fillId="0" borderId="0" xfId="27" applyNumberFormat="1" applyFont="1" applyBorder="1" applyAlignment="1" applyProtection="1">
      <alignment horizontal="center" vertical="center"/>
      <protection locked="0"/>
    </xf>
    <xf numFmtId="5" fontId="12" fillId="0" borderId="0" xfId="11" applyNumberFormat="1" applyFont="1" applyAlignment="1">
      <alignment horizontal="center" vertical="center"/>
    </xf>
    <xf numFmtId="164" fontId="9" fillId="0" borderId="0" xfId="2" applyNumberFormat="1" applyFont="1" applyBorder="1" applyAlignment="1" applyProtection="1">
      <alignment horizontal="center" vertical="center"/>
      <protection locked="0"/>
    </xf>
    <xf numFmtId="164" fontId="9" fillId="0" borderId="0" xfId="13" applyNumberFormat="1" applyFont="1" applyAlignment="1">
      <alignment horizontal="center" vertical="center"/>
    </xf>
    <xf numFmtId="165" fontId="9" fillId="3" borderId="0" xfId="27" applyNumberFormat="1" applyFont="1" applyFill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horizontal="right" vertical="center"/>
      <protection locked="0"/>
    </xf>
    <xf numFmtId="164" fontId="9" fillId="0" borderId="0" xfId="2" applyNumberFormat="1" applyFont="1" applyBorder="1" applyAlignment="1" applyProtection="1">
      <alignment horizontal="right" vertical="center"/>
      <protection locked="0"/>
    </xf>
    <xf numFmtId="164" fontId="9" fillId="0" borderId="0" xfId="13" applyNumberFormat="1" applyFont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Alignment="1" applyProtection="1">
      <alignment horizontal="right" vertical="center"/>
      <protection locked="0"/>
    </xf>
    <xf numFmtId="165" fontId="9" fillId="0" borderId="32" xfId="27" applyNumberFormat="1" applyFont="1" applyBorder="1" applyAlignment="1" applyProtection="1">
      <alignment horizontal="right" vertical="center"/>
      <protection locked="0"/>
    </xf>
    <xf numFmtId="164" fontId="9" fillId="4" borderId="2" xfId="2" applyNumberFormat="1" applyFont="1" applyFill="1" applyBorder="1" applyAlignment="1" applyProtection="1">
      <alignment vertical="center"/>
      <protection locked="0"/>
    </xf>
    <xf numFmtId="0" fontId="14" fillId="0" borderId="0" xfId="11" quotePrefix="1" applyFont="1" applyAlignment="1">
      <alignment horizontal="center"/>
    </xf>
    <xf numFmtId="0" fontId="14" fillId="0" borderId="0" xfId="11" applyFont="1" applyAlignment="1">
      <alignment horizontal="center"/>
    </xf>
    <xf numFmtId="164" fontId="5" fillId="0" borderId="2" xfId="13" applyNumberFormat="1" applyFont="1" applyFill="1" applyBorder="1" applyAlignment="1" applyProtection="1">
      <alignment horizontal="right" vertical="center"/>
      <protection locked="0"/>
    </xf>
    <xf numFmtId="164" fontId="5" fillId="3" borderId="0" xfId="13" applyNumberFormat="1" applyFont="1" applyFill="1" applyBorder="1" applyAlignment="1" applyProtection="1">
      <alignment vertical="center"/>
      <protection locked="0"/>
    </xf>
    <xf numFmtId="0" fontId="5" fillId="0" borderId="0" xfId="11" applyFont="1" applyAlignment="1">
      <alignment horizontal="centerContinuous" vertical="center"/>
    </xf>
    <xf numFmtId="165" fontId="5" fillId="0" borderId="0" xfId="27" applyNumberFormat="1" applyFont="1" applyAlignment="1">
      <alignment horizontal="centerContinuous" vertical="center"/>
    </xf>
    <xf numFmtId="0" fontId="5" fillId="0" borderId="25" xfId="11" applyFont="1" applyBorder="1" applyAlignment="1">
      <alignment vertical="center"/>
    </xf>
    <xf numFmtId="0" fontId="5" fillId="0" borderId="24" xfId="11" quotePrefix="1" applyFont="1" applyBorder="1" applyAlignment="1">
      <alignment horizontal="center" vertical="center"/>
    </xf>
    <xf numFmtId="0" fontId="5" fillId="0" borderId="25" xfId="11" quotePrefix="1" applyFont="1" applyBorder="1" applyAlignment="1">
      <alignment horizontal="center" vertical="center"/>
    </xf>
    <xf numFmtId="0" fontId="5" fillId="0" borderId="14" xfId="11" applyFont="1" applyBorder="1" applyAlignment="1">
      <alignment horizontal="center" vertical="center"/>
    </xf>
    <xf numFmtId="0" fontId="5" fillId="0" borderId="23" xfId="11" applyFont="1" applyBorder="1" applyAlignment="1">
      <alignment horizontal="center" vertical="center"/>
    </xf>
    <xf numFmtId="0" fontId="5" fillId="0" borderId="14" xfId="11" applyFont="1" applyBorder="1" applyAlignment="1">
      <alignment horizontal="left" vertical="center"/>
    </xf>
    <xf numFmtId="0" fontId="5" fillId="0" borderId="14" xfId="11" applyFont="1" applyBorder="1" applyAlignment="1">
      <alignment horizontal="centerContinuous" vertical="center"/>
    </xf>
    <xf numFmtId="0" fontId="5" fillId="0" borderId="37" xfId="11" applyFont="1" applyBorder="1" applyAlignment="1">
      <alignment horizontal="center" vertical="center"/>
    </xf>
    <xf numFmtId="0" fontId="5" fillId="0" borderId="32" xfId="11" applyFont="1" applyBorder="1" applyAlignment="1">
      <alignment horizontal="center" vertical="center"/>
    </xf>
    <xf numFmtId="0" fontId="5" fillId="0" borderId="33" xfId="11" applyFont="1" applyBorder="1" applyAlignment="1">
      <alignment horizontal="center" vertical="center"/>
    </xf>
    <xf numFmtId="17" fontId="9" fillId="0" borderId="14" xfId="11" applyNumberFormat="1" applyFont="1" applyBorder="1" applyAlignment="1">
      <alignment horizontal="left" vertical="center"/>
    </xf>
    <xf numFmtId="164" fontId="9" fillId="0" borderId="23" xfId="13" applyNumberFormat="1" applyFont="1" applyFill="1" applyBorder="1" applyAlignment="1">
      <alignment vertical="center"/>
    </xf>
    <xf numFmtId="3" fontId="9" fillId="0" borderId="14" xfId="11" applyNumberFormat="1" applyFont="1" applyBorder="1" applyAlignment="1">
      <alignment horizontal="centerContinuous" vertical="center"/>
    </xf>
    <xf numFmtId="0" fontId="10" fillId="0" borderId="0" xfId="11" applyFont="1" applyAlignment="1">
      <alignment vertical="center"/>
    </xf>
    <xf numFmtId="165" fontId="9" fillId="0" borderId="14" xfId="11" applyNumberFormat="1" applyFont="1" applyBorder="1" applyAlignment="1">
      <alignment vertical="center"/>
    </xf>
    <xf numFmtId="3" fontId="22" fillId="0" borderId="14" xfId="11" applyNumberFormat="1" applyFont="1" applyBorder="1" applyAlignment="1">
      <alignment horizontal="centerContinuous" vertical="center"/>
    </xf>
    <xf numFmtId="44" fontId="0" fillId="0" borderId="0" xfId="2" applyFont="1" applyAlignment="1">
      <alignment vertical="center"/>
    </xf>
    <xf numFmtId="17" fontId="9" fillId="0" borderId="37" xfId="11" applyNumberFormat="1" applyFont="1" applyBorder="1" applyAlignment="1">
      <alignment horizontal="left" vertical="center"/>
    </xf>
    <xf numFmtId="165" fontId="9" fillId="0" borderId="37" xfId="11" applyNumberFormat="1" applyFont="1" applyBorder="1" applyAlignment="1">
      <alignment vertical="center"/>
    </xf>
    <xf numFmtId="3" fontId="9" fillId="0" borderId="37" xfId="11" applyNumberFormat="1" applyFont="1" applyBorder="1" applyAlignment="1">
      <alignment horizontal="centerContinuous" vertical="center"/>
    </xf>
    <xf numFmtId="165" fontId="9" fillId="0" borderId="37" xfId="27" applyNumberFormat="1" applyFont="1" applyFill="1" applyBorder="1" applyAlignment="1">
      <alignment horizontal="center" vertical="center"/>
    </xf>
    <xf numFmtId="0" fontId="5" fillId="0" borderId="14" xfId="11" applyFont="1" applyBorder="1" applyAlignment="1">
      <alignment vertical="center"/>
    </xf>
    <xf numFmtId="165" fontId="5" fillId="0" borderId="24" xfId="11" applyNumberFormat="1" applyFont="1" applyBorder="1" applyAlignment="1">
      <alignment vertical="center"/>
    </xf>
    <xf numFmtId="164" fontId="5" fillId="0" borderId="23" xfId="13" applyNumberFormat="1" applyFont="1" applyFill="1" applyBorder="1" applyAlignment="1">
      <alignment vertical="center"/>
    </xf>
    <xf numFmtId="3" fontId="9" fillId="0" borderId="14" xfId="11" applyNumberFormat="1" applyFont="1" applyBorder="1" applyAlignment="1">
      <alignment horizontal="center" vertical="center"/>
    </xf>
    <xf numFmtId="0" fontId="5" fillId="0" borderId="37" xfId="11" applyFont="1" applyBorder="1" applyAlignment="1">
      <alignment vertical="center"/>
    </xf>
    <xf numFmtId="164" fontId="5" fillId="0" borderId="33" xfId="13" applyNumberFormat="1" applyFont="1" applyFill="1" applyBorder="1" applyAlignment="1">
      <alignment vertical="center"/>
    </xf>
    <xf numFmtId="3" fontId="9" fillId="0" borderId="37" xfId="11" applyNumberFormat="1" applyFont="1" applyBorder="1" applyAlignment="1">
      <alignment vertical="center"/>
    </xf>
    <xf numFmtId="37" fontId="5" fillId="0" borderId="23" xfId="11" applyNumberFormat="1" applyFont="1" applyBorder="1" applyAlignment="1">
      <alignment vertical="center"/>
    </xf>
    <xf numFmtId="37" fontId="9" fillId="0" borderId="14" xfId="11" applyNumberFormat="1" applyFont="1" applyBorder="1" applyAlignment="1">
      <alignment vertical="center"/>
    </xf>
    <xf numFmtId="37" fontId="5" fillId="0" borderId="33" xfId="11" applyNumberFormat="1" applyFont="1" applyBorder="1" applyAlignment="1">
      <alignment vertical="center"/>
    </xf>
    <xf numFmtId="37" fontId="5" fillId="0" borderId="37" xfId="11" applyNumberFormat="1" applyFont="1" applyBorder="1" applyAlignment="1">
      <alignment vertical="center"/>
    </xf>
    <xf numFmtId="37" fontId="9" fillId="0" borderId="0" xfId="11" applyNumberFormat="1" applyFont="1" applyAlignment="1">
      <alignment vertical="center"/>
    </xf>
    <xf numFmtId="165" fontId="5" fillId="0" borderId="0" xfId="27" applyNumberFormat="1" applyFont="1" applyAlignment="1">
      <alignment vertical="center"/>
    </xf>
    <xf numFmtId="0" fontId="9" fillId="0" borderId="0" xfId="11" applyFont="1" applyFill="1" applyAlignment="1">
      <alignment vertical="center"/>
    </xf>
    <xf numFmtId="164" fontId="5" fillId="0" borderId="32" xfId="2" applyNumberFormat="1" applyFont="1" applyFill="1" applyBorder="1" applyAlignment="1">
      <alignment vertical="center"/>
    </xf>
    <xf numFmtId="165" fontId="9" fillId="0" borderId="14" xfId="27" applyNumberFormat="1" applyFont="1" applyFill="1" applyBorder="1" applyAlignment="1">
      <alignment horizontal="center" vertical="center"/>
    </xf>
    <xf numFmtId="0" fontId="5" fillId="0" borderId="0" xfId="27" applyNumberFormat="1" applyFont="1" applyAlignment="1">
      <alignment horizontal="centerContinuous" vertical="center"/>
    </xf>
    <xf numFmtId="0" fontId="5" fillId="0" borderId="23" xfId="11" quotePrefix="1" applyFont="1" applyBorder="1" applyAlignment="1">
      <alignment horizontal="center" vertical="center"/>
    </xf>
    <xf numFmtId="165" fontId="9" fillId="0" borderId="23" xfId="11" applyNumberFormat="1" applyFont="1" applyBorder="1" applyAlignment="1">
      <alignment vertical="center"/>
    </xf>
    <xf numFmtId="0" fontId="5" fillId="0" borderId="24" xfId="11" applyFont="1" applyBorder="1" applyAlignment="1">
      <alignment vertical="center"/>
    </xf>
    <xf numFmtId="0" fontId="5" fillId="0" borderId="23" xfId="11" applyFont="1" applyBorder="1" applyAlignment="1">
      <alignment vertical="center"/>
    </xf>
    <xf numFmtId="37" fontId="5" fillId="0" borderId="0" xfId="11" applyNumberFormat="1" applyFont="1" applyAlignment="1">
      <alignment vertical="center"/>
    </xf>
    <xf numFmtId="37" fontId="5" fillId="0" borderId="0" xfId="27" applyNumberFormat="1" applyFont="1" applyAlignment="1">
      <alignment vertical="center"/>
    </xf>
    <xf numFmtId="0" fontId="5" fillId="0" borderId="0" xfId="27" applyNumberFormat="1" applyFont="1" applyAlignment="1">
      <alignment vertical="center"/>
    </xf>
    <xf numFmtId="0" fontId="5" fillId="0" borderId="24" xfId="11" applyFont="1" applyFill="1" applyBorder="1" applyAlignment="1">
      <alignment vertical="center"/>
    </xf>
    <xf numFmtId="165" fontId="5" fillId="0" borderId="23" xfId="11" applyNumberFormat="1" applyFont="1" applyFill="1" applyBorder="1" applyAlignment="1">
      <alignment vertical="center"/>
    </xf>
    <xf numFmtId="0" fontId="5" fillId="0" borderId="23" xfId="11" applyFont="1" applyFill="1" applyBorder="1" applyAlignment="1">
      <alignment vertical="center"/>
    </xf>
    <xf numFmtId="164" fontId="9" fillId="0" borderId="0" xfId="13" applyNumberFormat="1" applyFont="1" applyFill="1" applyBorder="1" applyAlignment="1">
      <alignment vertical="center"/>
    </xf>
    <xf numFmtId="165" fontId="9" fillId="0" borderId="0" xfId="11" applyNumberFormat="1" applyFont="1" applyBorder="1" applyAlignment="1">
      <alignment vertical="center"/>
    </xf>
    <xf numFmtId="0" fontId="5" fillId="0" borderId="19" xfId="11" applyFont="1" applyFill="1" applyBorder="1" applyAlignment="1">
      <alignment vertical="center"/>
    </xf>
    <xf numFmtId="164" fontId="5" fillId="0" borderId="0" xfId="13" applyNumberFormat="1" applyFont="1" applyFill="1" applyBorder="1" applyAlignment="1">
      <alignment vertical="center"/>
    </xf>
    <xf numFmtId="164" fontId="5" fillId="0" borderId="32" xfId="13" applyNumberFormat="1" applyFont="1" applyFill="1" applyBorder="1" applyAlignment="1">
      <alignment vertical="center"/>
    </xf>
    <xf numFmtId="37" fontId="5" fillId="0" borderId="32" xfId="11" applyNumberFormat="1" applyFont="1" applyBorder="1" applyAlignment="1">
      <alignment vertical="center"/>
    </xf>
    <xf numFmtId="165" fontId="5" fillId="0" borderId="33" xfId="11" applyNumberFormat="1" applyFont="1" applyFill="1" applyBorder="1" applyAlignment="1">
      <alignment vertical="center"/>
    </xf>
    <xf numFmtId="0" fontId="5" fillId="0" borderId="0" xfId="11" applyFont="1" applyFill="1" applyBorder="1" applyAlignment="1">
      <alignment vertical="center"/>
    </xf>
    <xf numFmtId="0" fontId="5" fillId="0" borderId="32" xfId="11" applyFont="1" applyBorder="1" applyAlignment="1">
      <alignment vertical="center"/>
    </xf>
    <xf numFmtId="0" fontId="5" fillId="0" borderId="19" xfId="11" quotePrefix="1" applyFont="1" applyBorder="1" applyAlignment="1">
      <alignment horizontal="center" vertical="center"/>
    </xf>
    <xf numFmtId="0" fontId="5" fillId="0" borderId="0" xfId="11" quotePrefix="1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32" xfId="27" applyNumberFormat="1" applyFont="1" applyBorder="1" applyAlignment="1">
      <alignment vertical="center"/>
    </xf>
    <xf numFmtId="0" fontId="5" fillId="0" borderId="23" xfId="11" applyFont="1" applyBorder="1" applyAlignment="1">
      <alignment horizontal="centerContinuous" vertical="center"/>
    </xf>
    <xf numFmtId="3" fontId="9" fillId="0" borderId="24" xfId="11" applyNumberFormat="1" applyFont="1" applyBorder="1" applyAlignment="1">
      <alignment horizontal="centerContinuous" vertical="center"/>
    </xf>
    <xf numFmtId="0" fontId="22" fillId="0" borderId="23" xfId="11" applyFont="1" applyBorder="1" applyAlignment="1">
      <alignment horizontal="centerContinuous" vertical="center"/>
    </xf>
    <xf numFmtId="3" fontId="9" fillId="0" borderId="33" xfId="11" applyNumberFormat="1" applyFont="1" applyBorder="1" applyAlignment="1">
      <alignment horizontal="centerContinuous" vertical="center"/>
    </xf>
    <xf numFmtId="0" fontId="9" fillId="0" borderId="23" xfId="11" applyFont="1" applyBorder="1" applyAlignment="1">
      <alignment horizontal="center" vertical="center"/>
    </xf>
    <xf numFmtId="0" fontId="5" fillId="0" borderId="33" xfId="11" applyFont="1" applyBorder="1" applyAlignment="1">
      <alignment vertical="center"/>
    </xf>
    <xf numFmtId="0" fontId="18" fillId="0" borderId="39" xfId="0" applyFont="1" applyBorder="1" applyAlignment="1">
      <alignment horizontal="center"/>
    </xf>
    <xf numFmtId="17" fontId="9" fillId="0" borderId="23" xfId="11" applyNumberFormat="1" applyFont="1" applyBorder="1" applyAlignment="1">
      <alignment horizontal="left" vertical="center"/>
    </xf>
    <xf numFmtId="0" fontId="5" fillId="0" borderId="41" xfId="11" applyFont="1" applyBorder="1" applyAlignment="1">
      <alignment vertical="center"/>
    </xf>
    <xf numFmtId="0" fontId="5" fillId="0" borderId="15" xfId="11" applyFont="1" applyBorder="1" applyAlignment="1">
      <alignment horizontal="center" vertical="center"/>
    </xf>
    <xf numFmtId="0" fontId="5" fillId="0" borderId="15" xfId="11" applyFont="1" applyBorder="1" applyAlignment="1">
      <alignment horizontal="left" vertical="center"/>
    </xf>
    <xf numFmtId="0" fontId="5" fillId="0" borderId="39" xfId="11" applyFont="1" applyBorder="1" applyAlignment="1">
      <alignment horizontal="center" vertical="center"/>
    </xf>
    <xf numFmtId="17" fontId="9" fillId="0" borderId="15" xfId="11" applyNumberFormat="1" applyFont="1" applyBorder="1" applyAlignment="1">
      <alignment horizontal="left" vertical="center"/>
    </xf>
    <xf numFmtId="0" fontId="5" fillId="0" borderId="15" xfId="11" applyFont="1" applyBorder="1" applyAlignment="1">
      <alignment vertical="center"/>
    </xf>
    <xf numFmtId="0" fontId="5" fillId="0" borderId="39" xfId="11" applyFont="1" applyBorder="1" applyAlignment="1">
      <alignment vertical="center"/>
    </xf>
    <xf numFmtId="0" fontId="31" fillId="0" borderId="23" xfId="11" applyFont="1" applyBorder="1" applyAlignment="1">
      <alignment horizontal="left" vertical="center"/>
    </xf>
    <xf numFmtId="0" fontId="5" fillId="0" borderId="37" xfId="11" applyFont="1" applyBorder="1" applyAlignment="1">
      <alignment horizontal="center"/>
    </xf>
    <xf numFmtId="172" fontId="9" fillId="0" borderId="0" xfId="1" applyNumberFormat="1" applyFont="1"/>
    <xf numFmtId="0" fontId="5" fillId="0" borderId="0" xfId="18" applyFont="1" applyAlignment="1">
      <alignment horizontal="right"/>
    </xf>
    <xf numFmtId="0" fontId="9" fillId="0" borderId="42" xfId="31" applyFont="1" applyBorder="1" applyAlignment="1">
      <alignment horizontal="center"/>
    </xf>
    <xf numFmtId="164" fontId="5" fillId="2" borderId="0" xfId="2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Fill="1" applyBorder="1" applyAlignment="1">
      <alignment horizontal="right" vertical="center"/>
    </xf>
    <xf numFmtId="164" fontId="5" fillId="2" borderId="0" xfId="13" applyNumberFormat="1" applyFont="1" applyFill="1" applyBorder="1" applyAlignment="1" applyProtection="1">
      <alignment horizontal="right" vertical="center"/>
      <protection locked="0"/>
    </xf>
    <xf numFmtId="164" fontId="5" fillId="2" borderId="0" xfId="13" applyNumberFormat="1" applyFont="1" applyFill="1" applyAlignment="1" applyProtection="1">
      <alignment horizontal="right" vertical="center"/>
    </xf>
    <xf numFmtId="164" fontId="5" fillId="0" borderId="0" xfId="13" applyNumberFormat="1" applyFont="1" applyFill="1" applyAlignment="1" applyProtection="1">
      <alignment horizontal="right" vertical="center"/>
    </xf>
    <xf numFmtId="164" fontId="5" fillId="0" borderId="17" xfId="13" applyNumberFormat="1" applyFont="1" applyFill="1" applyBorder="1" applyAlignment="1" applyProtection="1">
      <alignment horizontal="right" vertical="center"/>
    </xf>
    <xf numFmtId="172" fontId="5" fillId="0" borderId="0" xfId="0" applyNumberFormat="1" applyFont="1" applyAlignment="1">
      <alignment horizontal="center"/>
    </xf>
    <xf numFmtId="171" fontId="5" fillId="0" borderId="0" xfId="0" applyNumberFormat="1" applyFont="1" applyAlignment="1">
      <alignment horizontal="center"/>
    </xf>
    <xf numFmtId="165" fontId="9" fillId="3" borderId="32" xfId="1" applyNumberFormat="1" applyFont="1" applyFill="1" applyBorder="1" applyAlignment="1">
      <alignment vertical="center"/>
    </xf>
    <xf numFmtId="165" fontId="9" fillId="0" borderId="0" xfId="27" applyNumberFormat="1" applyFont="1" applyFill="1" applyBorder="1" applyAlignment="1">
      <alignment horizontal="center" vertical="center"/>
    </xf>
    <xf numFmtId="165" fontId="9" fillId="0" borderId="43" xfId="27" applyNumberFormat="1" applyFont="1" applyFill="1" applyBorder="1" applyAlignment="1">
      <alignment horizontal="center" vertical="center"/>
    </xf>
    <xf numFmtId="165" fontId="5" fillId="0" borderId="0" xfId="11" applyNumberFormat="1" applyFont="1" applyBorder="1" applyAlignment="1">
      <alignment vertical="center"/>
    </xf>
    <xf numFmtId="164" fontId="5" fillId="0" borderId="0" xfId="13" applyNumberFormat="1" applyFont="1" applyBorder="1" applyAlignment="1">
      <alignment vertical="center"/>
    </xf>
    <xf numFmtId="37" fontId="5" fillId="0" borderId="0" xfId="11" applyNumberFormat="1" applyFont="1" applyBorder="1" applyAlignment="1">
      <alignment vertical="center"/>
    </xf>
    <xf numFmtId="0" fontId="5" fillId="0" borderId="44" xfId="11" applyFont="1" applyBorder="1" applyAlignment="1">
      <alignment horizontal="center" vertical="center"/>
    </xf>
    <xf numFmtId="3" fontId="9" fillId="0" borderId="23" xfId="11" applyNumberFormat="1" applyFont="1" applyBorder="1" applyAlignment="1">
      <alignment horizontal="centerContinuous" vertical="center"/>
    </xf>
    <xf numFmtId="3" fontId="22" fillId="0" borderId="23" xfId="11" applyNumberFormat="1" applyFont="1" applyBorder="1" applyAlignment="1">
      <alignment horizontal="centerContinuous" vertical="center"/>
    </xf>
    <xf numFmtId="3" fontId="9" fillId="0" borderId="23" xfId="11" applyNumberFormat="1" applyFont="1" applyBorder="1" applyAlignment="1">
      <alignment horizontal="center" vertical="center"/>
    </xf>
    <xf numFmtId="3" fontId="9" fillId="0" borderId="44" xfId="11" applyNumberFormat="1" applyFont="1" applyBorder="1" applyAlignment="1">
      <alignment vertical="center"/>
    </xf>
    <xf numFmtId="37" fontId="9" fillId="0" borderId="23" xfId="11" applyNumberFormat="1" applyFont="1" applyBorder="1" applyAlignment="1">
      <alignment vertical="center"/>
    </xf>
    <xf numFmtId="37" fontId="5" fillId="0" borderId="44" xfId="11" applyNumberFormat="1" applyFont="1" applyBorder="1" applyAlignment="1">
      <alignment vertical="center"/>
    </xf>
    <xf numFmtId="0" fontId="5" fillId="0" borderId="45" xfId="11" applyFont="1" applyBorder="1" applyAlignment="1">
      <alignment vertical="center"/>
    </xf>
    <xf numFmtId="0" fontId="5" fillId="0" borderId="45" xfId="11" applyFont="1" applyBorder="1" applyAlignment="1">
      <alignment horizontal="center" vertical="center"/>
    </xf>
    <xf numFmtId="164" fontId="9" fillId="0" borderId="14" xfId="13" applyNumberFormat="1" applyFont="1" applyFill="1" applyBorder="1" applyAlignment="1">
      <alignment vertical="center"/>
    </xf>
    <xf numFmtId="165" fontId="5" fillId="0" borderId="14" xfId="11" applyNumberFormat="1" applyFont="1" applyBorder="1" applyAlignment="1">
      <alignment vertical="center"/>
    </xf>
    <xf numFmtId="164" fontId="5" fillId="0" borderId="14" xfId="13" applyNumberFormat="1" applyFont="1" applyBorder="1" applyAlignment="1">
      <alignment vertical="center"/>
    </xf>
    <xf numFmtId="164" fontId="5" fillId="0" borderId="37" xfId="13" applyNumberFormat="1" applyFont="1" applyBorder="1" applyAlignment="1">
      <alignment vertical="center"/>
    </xf>
    <xf numFmtId="37" fontId="5" fillId="0" borderId="14" xfId="11" applyNumberFormat="1" applyFont="1" applyBorder="1" applyAlignment="1">
      <alignment vertical="center"/>
    </xf>
    <xf numFmtId="164" fontId="5" fillId="0" borderId="43" xfId="13" applyNumberFormat="1" applyFont="1" applyBorder="1" applyAlignment="1">
      <alignment vertical="center"/>
    </xf>
    <xf numFmtId="37" fontId="5" fillId="0" borderId="43" xfId="11" applyNumberFormat="1" applyFont="1" applyBorder="1" applyAlignment="1">
      <alignment vertical="center"/>
    </xf>
    <xf numFmtId="3" fontId="9" fillId="0" borderId="44" xfId="11" applyNumberFormat="1" applyFont="1" applyBorder="1" applyAlignment="1">
      <alignment horizontal="centerContinuous" vertical="center"/>
    </xf>
    <xf numFmtId="0" fontId="5" fillId="0" borderId="44" xfId="11" applyFont="1" applyBorder="1" applyAlignment="1">
      <alignment vertical="center"/>
    </xf>
    <xf numFmtId="0" fontId="5" fillId="0" borderId="23" xfId="11" applyFont="1" applyBorder="1" applyAlignment="1">
      <alignment horizontal="left" vertical="center"/>
    </xf>
    <xf numFmtId="0" fontId="31" fillId="0" borderId="44" xfId="1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2" fillId="0" borderId="14" xfId="11" applyFont="1" applyBorder="1" applyAlignment="1">
      <alignment horizontal="centerContinuous" vertical="center"/>
    </xf>
    <xf numFmtId="164" fontId="5" fillId="0" borderId="23" xfId="13" applyNumberFormat="1" applyFont="1" applyBorder="1" applyAlignment="1">
      <alignment vertical="center"/>
    </xf>
    <xf numFmtId="0" fontId="9" fillId="0" borderId="14" xfId="11" applyFont="1" applyBorder="1" applyAlignment="1">
      <alignment horizontal="center" vertical="center"/>
    </xf>
    <xf numFmtId="164" fontId="5" fillId="0" borderId="33" xfId="13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64" fontId="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right" vertical="center"/>
    </xf>
    <xf numFmtId="10" fontId="7" fillId="0" borderId="0" xfId="3" applyNumberFormat="1" applyFont="1" applyAlignment="1">
      <alignment vertical="center"/>
    </xf>
    <xf numFmtId="174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0" fontId="9" fillId="0" borderId="45" xfId="11" applyFont="1" applyBorder="1" applyAlignment="1">
      <alignment horizontal="left" vertical="center"/>
    </xf>
    <xf numFmtId="1" fontId="9" fillId="0" borderId="45" xfId="11" applyNumberFormat="1" applyFont="1" applyBorder="1" applyAlignment="1">
      <alignment horizontal="center" vertical="center"/>
    </xf>
    <xf numFmtId="165" fontId="7" fillId="0" borderId="45" xfId="1" applyNumberFormat="1" applyFont="1" applyFill="1" applyBorder="1" applyAlignment="1">
      <alignment vertical="center"/>
    </xf>
    <xf numFmtId="10" fontId="9" fillId="3" borderId="45" xfId="3" applyNumberFormat="1" applyFont="1" applyFill="1" applyBorder="1"/>
    <xf numFmtId="165" fontId="7" fillId="0" borderId="45" xfId="1" applyNumberFormat="1" applyFont="1" applyBorder="1" applyAlignment="1">
      <alignment horizontal="center" vertical="center"/>
    </xf>
    <xf numFmtId="165" fontId="9" fillId="0" borderId="45" xfId="1" applyNumberFormat="1" applyFont="1" applyFill="1" applyBorder="1" applyAlignment="1">
      <alignment horizontal="right" vertical="center"/>
    </xf>
    <xf numFmtId="165" fontId="7" fillId="0" borderId="0" xfId="1" applyNumberFormat="1" applyFont="1" applyBorder="1" applyAlignment="1">
      <alignment horizontal="center" vertical="center"/>
    </xf>
    <xf numFmtId="164" fontId="7" fillId="0" borderId="17" xfId="2" applyNumberFormat="1" applyFont="1" applyFill="1" applyBorder="1" applyAlignment="1">
      <alignment vertical="center"/>
    </xf>
    <xf numFmtId="175" fontId="7" fillId="0" borderId="2" xfId="2" applyNumberFormat="1" applyFont="1" applyBorder="1" applyAlignment="1">
      <alignment vertical="center"/>
    </xf>
    <xf numFmtId="175" fontId="7" fillId="0" borderId="0" xfId="2" applyNumberFormat="1" applyFont="1" applyAlignment="1">
      <alignment vertical="center"/>
    </xf>
    <xf numFmtId="175" fontId="9" fillId="0" borderId="0" xfId="2" applyNumberFormat="1" applyFont="1" applyFill="1" applyAlignment="1">
      <alignment vertical="center"/>
    </xf>
    <xf numFmtId="176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15" xfId="11" applyNumberFormat="1" applyFont="1" applyBorder="1" applyAlignment="1">
      <alignment horizontal="left" vertical="center"/>
    </xf>
    <xf numFmtId="17" fontId="5" fillId="0" borderId="15" xfId="11" applyNumberFormat="1" applyFont="1" applyBorder="1" applyAlignment="1">
      <alignment horizontal="left" vertical="center"/>
    </xf>
    <xf numFmtId="17" fontId="5" fillId="0" borderId="39" xfId="11" applyNumberFormat="1" applyFont="1" applyBorder="1" applyAlignment="1">
      <alignment horizontal="left" vertical="center"/>
    </xf>
    <xf numFmtId="171" fontId="3" fillId="0" borderId="2" xfId="2" applyNumberFormat="1" applyFont="1" applyBorder="1"/>
    <xf numFmtId="10" fontId="7" fillId="3" borderId="0" xfId="3" applyNumberFormat="1" applyFont="1" applyFill="1" applyBorder="1"/>
    <xf numFmtId="180" fontId="9" fillId="0" borderId="0" xfId="1" applyNumberFormat="1" applyFont="1" applyFill="1" applyAlignment="1">
      <alignment horizontal="right" vertical="center"/>
    </xf>
    <xf numFmtId="166" fontId="7" fillId="0" borderId="0" xfId="2" applyNumberFormat="1" applyFont="1" applyAlignment="1">
      <alignment horizontal="right" vertical="center"/>
    </xf>
    <xf numFmtId="180" fontId="9" fillId="0" borderId="45" xfId="1" applyNumberFormat="1" applyFont="1" applyFill="1" applyBorder="1" applyAlignment="1">
      <alignment horizontal="right" vertical="center"/>
    </xf>
    <xf numFmtId="180" fontId="9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justify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5" fillId="0" borderId="0" xfId="11" applyFo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66" fontId="9" fillId="0" borderId="17" xfId="2" applyNumberFormat="1" applyFont="1" applyFill="1" applyBorder="1" applyAlignment="1">
      <alignment vertical="center"/>
    </xf>
  </cellXfs>
  <cellStyles count="36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13</xdr:row>
      <xdr:rowOff>17859</xdr:rowOff>
    </xdr:from>
    <xdr:to>
      <xdr:col>8</xdr:col>
      <xdr:colOff>35720</xdr:colOff>
      <xdr:row>14</xdr:row>
      <xdr:rowOff>166687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782A463-6A89-49B6-9AD3-E5328C435DFB}"/>
            </a:ext>
          </a:extLst>
        </xdr:cNvPr>
        <xdr:cNvSpPr/>
      </xdr:nvSpPr>
      <xdr:spPr>
        <a:xfrm>
          <a:off x="10753725" y="2713434"/>
          <a:ext cx="92870" cy="37266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1143000</xdr:colOff>
      <xdr:row>13</xdr:row>
      <xdr:rowOff>17859</xdr:rowOff>
    </xdr:from>
    <xdr:to>
      <xdr:col>8</xdr:col>
      <xdr:colOff>35720</xdr:colOff>
      <xdr:row>14</xdr:row>
      <xdr:rowOff>166687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B53A737-D75B-4E76-8B1A-785FC48C4479}"/>
            </a:ext>
          </a:extLst>
        </xdr:cNvPr>
        <xdr:cNvSpPr/>
      </xdr:nvSpPr>
      <xdr:spPr>
        <a:xfrm>
          <a:off x="10748963" y="2665809"/>
          <a:ext cx="92870" cy="36790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1143001</xdr:colOff>
      <xdr:row>13</xdr:row>
      <xdr:rowOff>17859</xdr:rowOff>
    </xdr:from>
    <xdr:to>
      <xdr:col>8</xdr:col>
      <xdr:colOff>23814</xdr:colOff>
      <xdr:row>14</xdr:row>
      <xdr:rowOff>171449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BFF62E70-CDE5-45A3-BC67-08D65C592B21}"/>
            </a:ext>
          </a:extLst>
        </xdr:cNvPr>
        <xdr:cNvSpPr/>
      </xdr:nvSpPr>
      <xdr:spPr>
        <a:xfrm>
          <a:off x="10763251" y="2732484"/>
          <a:ext cx="83344" cy="36790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136</xdr:row>
      <xdr:rowOff>9525</xdr:rowOff>
    </xdr:from>
    <xdr:to>
      <xdr:col>1</xdr:col>
      <xdr:colOff>3581077</xdr:colOff>
      <xdr:row>136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2FA3FD29-EBC3-40DD-AC40-644186DDCB3F}"/>
            </a:ext>
          </a:extLst>
        </xdr:cNvPr>
        <xdr:cNvSpPr>
          <a:spLocks noChangeShapeType="1"/>
        </xdr:cNvSpPr>
      </xdr:nvSpPr>
      <xdr:spPr bwMode="auto">
        <a:xfrm>
          <a:off x="1908177" y="2697003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136</xdr:row>
      <xdr:rowOff>9525</xdr:rowOff>
    </xdr:from>
    <xdr:to>
      <xdr:col>1</xdr:col>
      <xdr:colOff>3581077</xdr:colOff>
      <xdr:row>136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95EED9ED-B7ED-442E-BFBA-5238D89D3D0D}"/>
            </a:ext>
          </a:extLst>
        </xdr:cNvPr>
        <xdr:cNvSpPr>
          <a:spLocks noChangeShapeType="1"/>
        </xdr:cNvSpPr>
      </xdr:nvSpPr>
      <xdr:spPr bwMode="auto">
        <a:xfrm>
          <a:off x="1908177" y="2697003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148</xdr:row>
      <xdr:rowOff>-1</xdr:rowOff>
    </xdr:from>
    <xdr:to>
      <xdr:col>2</xdr:col>
      <xdr:colOff>312424</xdr:colOff>
      <xdr:row>148</xdr:row>
      <xdr:rowOff>7936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B3707C26-FC28-40B1-9A61-BC173EBD2A19}"/>
            </a:ext>
          </a:extLst>
        </xdr:cNvPr>
        <xdr:cNvSpPr>
          <a:spLocks noChangeShapeType="1"/>
        </xdr:cNvSpPr>
      </xdr:nvSpPr>
      <xdr:spPr bwMode="auto">
        <a:xfrm>
          <a:off x="1765305" y="293036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9921875" defaultRowHeight="14.25" x14ac:dyDescent="0.45"/>
  <cols>
    <col min="1" max="1" width="4.796875" style="1" bestFit="1" customWidth="1"/>
    <col min="2" max="2" width="71.53125" style="1" customWidth="1"/>
    <col min="3" max="3" width="1.59765625" style="1" customWidth="1"/>
    <col min="4" max="4" width="20.796875" style="1" customWidth="1"/>
    <col min="5" max="5" width="1.53125" style="1" customWidth="1"/>
    <col min="6" max="6" width="40.59765625" style="1" customWidth="1"/>
    <col min="7" max="7" width="4.796875" style="1" customWidth="1"/>
    <col min="8" max="16384" width="9.19921875" style="1"/>
  </cols>
  <sheetData>
    <row r="2" spans="1:8" ht="17.25" x14ac:dyDescent="0.45">
      <c r="B2" s="946" t="s">
        <v>0</v>
      </c>
      <c r="C2" s="946"/>
      <c r="D2" s="946"/>
      <c r="E2" s="946"/>
      <c r="F2" s="946"/>
    </row>
    <row r="3" spans="1:8" ht="17.25" x14ac:dyDescent="0.45">
      <c r="B3" s="209" t="s">
        <v>554</v>
      </c>
      <c r="C3" s="2"/>
      <c r="D3" s="3"/>
      <c r="E3" s="3"/>
      <c r="F3" s="3"/>
    </row>
    <row r="4" spans="1:8" ht="17.25" x14ac:dyDescent="0.45">
      <c r="B4" s="945" t="s">
        <v>555</v>
      </c>
      <c r="C4" s="945"/>
      <c r="D4" s="945"/>
      <c r="E4" s="945"/>
      <c r="F4" s="945"/>
    </row>
    <row r="5" spans="1:8" ht="17.25" x14ac:dyDescent="0.45">
      <c r="B5" s="211" t="s">
        <v>556</v>
      </c>
      <c r="C5" s="2"/>
      <c r="D5" s="2"/>
      <c r="E5" s="2"/>
      <c r="F5" s="2"/>
    </row>
    <row r="6" spans="1:8" ht="15.4" x14ac:dyDescent="0.45">
      <c r="B6" s="944" t="s">
        <v>1</v>
      </c>
      <c r="C6" s="944"/>
      <c r="D6" s="944"/>
      <c r="E6" s="944"/>
      <c r="F6" s="944"/>
      <c r="G6" s="4"/>
      <c r="H6" s="4"/>
    </row>
    <row r="7" spans="1:8" ht="15.4" x14ac:dyDescent="0.45">
      <c r="B7" s="5"/>
      <c r="C7" s="5"/>
      <c r="D7" s="6"/>
      <c r="E7" s="7"/>
      <c r="F7" s="5"/>
      <c r="G7" s="5"/>
    </row>
    <row r="8" spans="1:8" ht="15.4" x14ac:dyDescent="0.45">
      <c r="A8" s="8" t="s">
        <v>2</v>
      </c>
      <c r="G8" s="8" t="s">
        <v>2</v>
      </c>
    </row>
    <row r="9" spans="1:8" ht="15.4" x14ac:dyDescent="0.45">
      <c r="A9" s="11" t="s">
        <v>6</v>
      </c>
      <c r="B9" s="9" t="s">
        <v>3</v>
      </c>
      <c r="C9" s="9"/>
      <c r="D9" s="9" t="s">
        <v>4</v>
      </c>
      <c r="E9" s="10"/>
      <c r="F9" s="9" t="s">
        <v>5</v>
      </c>
      <c r="G9" s="11" t="s">
        <v>6</v>
      </c>
    </row>
    <row r="10" spans="1:8" ht="15.4" x14ac:dyDescent="0.45">
      <c r="A10" s="646"/>
      <c r="B10" s="5"/>
      <c r="C10" s="5"/>
      <c r="D10" s="12"/>
      <c r="E10" s="12"/>
      <c r="F10" s="12"/>
      <c r="G10" s="646"/>
    </row>
    <row r="11" spans="1:8" ht="15.4" x14ac:dyDescent="0.45">
      <c r="A11" s="8">
        <v>1</v>
      </c>
      <c r="B11" s="7" t="s">
        <v>571</v>
      </c>
      <c r="C11" s="7"/>
      <c r="D11" s="12"/>
      <c r="E11" s="12"/>
      <c r="F11" s="12"/>
      <c r="G11" s="8">
        <v>1</v>
      </c>
    </row>
    <row r="12" spans="1:8" ht="15.4" x14ac:dyDescent="0.45">
      <c r="A12" s="8">
        <f>A11+1</f>
        <v>2</v>
      </c>
      <c r="B12" s="7"/>
      <c r="C12" s="7"/>
      <c r="D12" s="12"/>
      <c r="E12" s="12"/>
      <c r="F12" s="12"/>
      <c r="G12" s="8">
        <f>G11+1</f>
        <v>2</v>
      </c>
    </row>
    <row r="13" spans="1:8" ht="15.4" x14ac:dyDescent="0.45">
      <c r="A13" s="8">
        <f t="shared" ref="A13:A14" si="0">A12+1</f>
        <v>3</v>
      </c>
      <c r="B13" s="217" t="s">
        <v>348</v>
      </c>
      <c r="C13" s="13"/>
      <c r="D13" s="14">
        <f>'Pg2 Appendix X C9 Comparison'!G28</f>
        <v>-83.558315314221545</v>
      </c>
      <c r="E13" s="14"/>
      <c r="F13" s="12" t="s">
        <v>557</v>
      </c>
      <c r="G13" s="8">
        <f t="shared" ref="G13:G14" si="1">G12+1</f>
        <v>3</v>
      </c>
    </row>
    <row r="14" spans="1:8" ht="15.4" x14ac:dyDescent="0.45">
      <c r="A14" s="8">
        <f t="shared" si="0"/>
        <v>4</v>
      </c>
      <c r="B14" s="5"/>
      <c r="C14" s="12"/>
      <c r="D14" s="14"/>
      <c r="E14" s="14"/>
      <c r="F14" s="12"/>
      <c r="G14" s="8">
        <f t="shared" si="1"/>
        <v>4</v>
      </c>
    </row>
    <row r="15" spans="1:8" ht="15.4" x14ac:dyDescent="0.45">
      <c r="A15" s="8">
        <f t="shared" ref="A15:A21" si="2">A14+1</f>
        <v>5</v>
      </c>
      <c r="B15" s="5" t="s">
        <v>8</v>
      </c>
      <c r="C15" s="12"/>
      <c r="D15" s="15">
        <f>'Pg12 Appendix X C9 Int Calc'!G54</f>
        <v>-8.8990961269853663</v>
      </c>
      <c r="E15" s="16"/>
      <c r="F15" s="12" t="s">
        <v>572</v>
      </c>
      <c r="G15" s="8">
        <f t="shared" ref="G15:G21" si="3">G14+1</f>
        <v>5</v>
      </c>
    </row>
    <row r="16" spans="1:8" ht="15.4" x14ac:dyDescent="0.45">
      <c r="A16" s="8">
        <f t="shared" si="2"/>
        <v>6</v>
      </c>
      <c r="B16" s="5"/>
      <c r="C16" s="12"/>
      <c r="D16" s="17"/>
      <c r="E16" s="17"/>
      <c r="F16" s="12"/>
      <c r="G16" s="8">
        <f t="shared" si="3"/>
        <v>6</v>
      </c>
    </row>
    <row r="17" spans="1:7" ht="15.4" x14ac:dyDescent="0.45">
      <c r="A17" s="8">
        <f t="shared" si="2"/>
        <v>7</v>
      </c>
      <c r="B17" s="645" t="s">
        <v>242</v>
      </c>
      <c r="C17" s="10"/>
      <c r="D17" s="644">
        <f>D13+D15</f>
        <v>-92.457411441206915</v>
      </c>
      <c r="E17" s="14"/>
      <c r="F17" s="12" t="s">
        <v>450</v>
      </c>
      <c r="G17" s="8">
        <f t="shared" si="3"/>
        <v>7</v>
      </c>
    </row>
    <row r="18" spans="1:7" ht="15.4" x14ac:dyDescent="0.45">
      <c r="A18" s="8">
        <f t="shared" si="2"/>
        <v>8</v>
      </c>
      <c r="B18" s="5"/>
      <c r="C18" s="12"/>
      <c r="D18" s="210"/>
      <c r="E18" s="5"/>
      <c r="F18" s="5"/>
      <c r="G18" s="8">
        <f t="shared" si="3"/>
        <v>8</v>
      </c>
    </row>
    <row r="19" spans="1:7" ht="15.4" x14ac:dyDescent="0.45">
      <c r="A19" s="8">
        <f t="shared" si="2"/>
        <v>9</v>
      </c>
      <c r="B19" s="330" t="s">
        <v>241</v>
      </c>
      <c r="C19" s="12"/>
      <c r="D19" s="466">
        <v>12</v>
      </c>
      <c r="E19" s="5"/>
      <c r="F19" s="5"/>
      <c r="G19" s="8">
        <f t="shared" si="3"/>
        <v>9</v>
      </c>
    </row>
    <row r="20" spans="1:7" ht="15.4" x14ac:dyDescent="0.45">
      <c r="A20" s="8">
        <f t="shared" si="2"/>
        <v>10</v>
      </c>
      <c r="B20" s="5"/>
      <c r="C20" s="12"/>
      <c r="D20" s="210"/>
      <c r="E20" s="5"/>
      <c r="F20" s="5"/>
      <c r="G20" s="8">
        <f t="shared" si="3"/>
        <v>10</v>
      </c>
    </row>
    <row r="21" spans="1:7" ht="15.75" thickBot="1" x14ac:dyDescent="0.5">
      <c r="A21" s="8">
        <f t="shared" si="2"/>
        <v>11</v>
      </c>
      <c r="B21" s="645" t="s">
        <v>347</v>
      </c>
      <c r="C21" s="5"/>
      <c r="D21" s="936">
        <f>D17/12</f>
        <v>-7.7047842867672429</v>
      </c>
      <c r="E21" s="5"/>
      <c r="F21" s="12" t="s">
        <v>451</v>
      </c>
      <c r="G21" s="8">
        <f t="shared" si="3"/>
        <v>11</v>
      </c>
    </row>
    <row r="22" spans="1:7" ht="15.75" thickTop="1" x14ac:dyDescent="0.45">
      <c r="A22" s="8"/>
      <c r="B22" s="212"/>
      <c r="C22" s="5"/>
      <c r="D22" s="465"/>
      <c r="E22" s="5"/>
      <c r="F22" s="5"/>
      <c r="G22" s="5"/>
    </row>
    <row r="23" spans="1:7" ht="15.4" x14ac:dyDescent="0.45">
      <c r="B23" s="5"/>
      <c r="C23" s="5"/>
      <c r="D23" s="5"/>
      <c r="E23" s="5"/>
      <c r="F23" s="5"/>
      <c r="G23" s="5"/>
    </row>
    <row r="24" spans="1:7" ht="16.149999999999999" x14ac:dyDescent="0.45">
      <c r="A24" s="18">
        <v>1</v>
      </c>
      <c r="B24" s="19" t="s">
        <v>362</v>
      </c>
      <c r="C24" s="5"/>
      <c r="D24" s="5"/>
      <c r="E24" s="5"/>
      <c r="F24" s="5"/>
      <c r="G24" s="5"/>
    </row>
    <row r="25" spans="1:7" ht="15.4" x14ac:dyDescent="0.45">
      <c r="B25" s="19" t="s">
        <v>705</v>
      </c>
      <c r="C25" s="5"/>
      <c r="D25" s="5"/>
      <c r="E25" s="5"/>
      <c r="F25" s="5"/>
      <c r="G25" s="5"/>
    </row>
    <row r="26" spans="1:7" ht="15.4" x14ac:dyDescent="0.45">
      <c r="B26" s="5" t="s">
        <v>507</v>
      </c>
      <c r="C26" s="5"/>
      <c r="D26" s="5"/>
      <c r="E26" s="5"/>
      <c r="F26" s="5"/>
      <c r="G26" s="5"/>
    </row>
    <row r="27" spans="1:7" ht="15.4" x14ac:dyDescent="0.45">
      <c r="B27" s="5"/>
      <c r="C27" s="5"/>
      <c r="D27" s="5"/>
      <c r="E27" s="5"/>
      <c r="F27" s="5"/>
      <c r="G27" s="5"/>
    </row>
    <row r="28" spans="1:7" ht="15.4" x14ac:dyDescent="0.45">
      <c r="B28" s="5"/>
      <c r="C28" s="5"/>
      <c r="D28" s="5"/>
      <c r="E28" s="5"/>
      <c r="F28" s="5"/>
      <c r="G28" s="5"/>
    </row>
    <row r="29" spans="1:7" ht="16.149999999999999" x14ac:dyDescent="0.45">
      <c r="A29" s="18"/>
      <c r="B29" s="5"/>
      <c r="C29" s="5"/>
      <c r="D29" s="5"/>
      <c r="E29" s="5"/>
      <c r="F29" s="5"/>
      <c r="G29" s="5"/>
    </row>
    <row r="30" spans="1:7" ht="15.4" x14ac:dyDescent="0.45">
      <c r="B30" s="5"/>
      <c r="C30" s="5"/>
      <c r="D30" s="5"/>
      <c r="E30" s="5"/>
      <c r="F30" s="5"/>
      <c r="G30" s="5"/>
    </row>
    <row r="31" spans="1:7" ht="15.4" x14ac:dyDescent="0.45">
      <c r="B31" s="5"/>
      <c r="C31" s="5"/>
      <c r="D31" s="5"/>
      <c r="E31" s="5"/>
      <c r="F31" s="5"/>
      <c r="G31" s="5"/>
    </row>
    <row r="32" spans="1:7" ht="15.4" x14ac:dyDescent="0.45">
      <c r="B32" s="5"/>
      <c r="C32" s="5"/>
      <c r="D32" s="5"/>
      <c r="E32" s="5"/>
      <c r="F32" s="5"/>
      <c r="G32" s="5"/>
    </row>
    <row r="33" spans="2:7" ht="15.4" x14ac:dyDescent="0.45">
      <c r="B33" s="5"/>
      <c r="C33" s="5"/>
      <c r="D33" s="5"/>
      <c r="E33" s="5"/>
      <c r="F33" s="5"/>
      <c r="G33" s="5"/>
    </row>
    <row r="34" spans="2:7" ht="15.4" x14ac:dyDescent="0.45">
      <c r="B34" s="5"/>
      <c r="C34" s="5"/>
      <c r="D34" s="5"/>
      <c r="E34" s="5"/>
      <c r="F34" s="5"/>
      <c r="G34" s="5"/>
    </row>
    <row r="35" spans="2:7" ht="15.4" x14ac:dyDescent="0.45">
      <c r="B35" s="5"/>
      <c r="C35" s="5"/>
      <c r="D35" s="5"/>
      <c r="E35" s="5"/>
      <c r="F35" s="5"/>
      <c r="G35" s="5"/>
    </row>
    <row r="36" spans="2:7" ht="15.4" x14ac:dyDescent="0.45">
      <c r="B36" s="5"/>
      <c r="C36" s="5"/>
      <c r="D36" s="5"/>
      <c r="E36" s="5"/>
      <c r="F36" s="5"/>
      <c r="G36" s="5"/>
    </row>
    <row r="37" spans="2:7" ht="15.4" x14ac:dyDescent="0.45">
      <c r="B37" s="5"/>
      <c r="C37" s="5"/>
      <c r="D37" s="5"/>
      <c r="E37" s="5"/>
      <c r="F37" s="5"/>
      <c r="G37" s="5"/>
    </row>
    <row r="38" spans="2:7" ht="15.4" x14ac:dyDescent="0.45">
      <c r="B38" s="5"/>
      <c r="C38" s="5"/>
      <c r="D38" s="5"/>
      <c r="E38" s="5"/>
      <c r="F38" s="5"/>
      <c r="G38" s="5"/>
    </row>
    <row r="39" spans="2:7" ht="15.4" x14ac:dyDescent="0.45">
      <c r="B39" s="5"/>
      <c r="C39" s="5"/>
      <c r="D39" s="5"/>
      <c r="E39" s="5"/>
      <c r="F39" s="5"/>
      <c r="G39" s="5"/>
    </row>
    <row r="40" spans="2:7" ht="15.4" x14ac:dyDescent="0.45">
      <c r="B40" s="5"/>
      <c r="C40" s="5"/>
      <c r="D40" s="5"/>
      <c r="E40" s="5"/>
      <c r="F40" s="5"/>
      <c r="G40" s="5"/>
    </row>
    <row r="41" spans="2:7" ht="15.4" x14ac:dyDescent="0.45">
      <c r="B41" s="5"/>
      <c r="C41" s="5"/>
      <c r="D41" s="5"/>
      <c r="E41" s="5"/>
      <c r="F41" s="5"/>
      <c r="G41" s="5"/>
    </row>
  </sheetData>
  <mergeCells count="3">
    <mergeCell ref="B6:F6"/>
    <mergeCell ref="B4:F4"/>
    <mergeCell ref="B2:F2"/>
  </mergeCells>
  <printOptions horizontalCentered="1"/>
  <pageMargins left="0.25" right="0.25" top="0.5" bottom="0.5" header="0.25" footer="0.25"/>
  <pageSetup scale="69" orientation="portrait" r:id="rId1"/>
  <headerFooter scaleWithDoc="0" alignWithMargins="0">
    <oddFooter>&amp;CPage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B7B4-5C6C-4481-8724-17E92E982FFB}">
  <sheetPr>
    <pageSetUpPr fitToPage="1"/>
  </sheetPr>
  <dimension ref="A1:I47"/>
  <sheetViews>
    <sheetView zoomScale="80" zoomScaleNormal="80" workbookViewId="0"/>
  </sheetViews>
  <sheetFormatPr defaultColWidth="9.06640625" defaultRowHeight="15" x14ac:dyDescent="0.45"/>
  <cols>
    <col min="1" max="1" width="5.265625" style="755" customWidth="1"/>
    <col min="2" max="2" width="35.265625" style="757" customWidth="1"/>
    <col min="3" max="3" width="18.59765625" style="814" customWidth="1"/>
    <col min="4" max="4" width="25.06640625" style="825" customWidth="1"/>
    <col min="5" max="5" width="18.59765625" style="757" customWidth="1"/>
    <col min="6" max="6" width="56.59765625" style="757" customWidth="1"/>
    <col min="7" max="7" width="5.265625" style="755" customWidth="1"/>
    <col min="8" max="8" width="24" style="757" customWidth="1"/>
    <col min="9" max="9" width="11" style="757" customWidth="1"/>
    <col min="10" max="10" width="7.265625" style="757" customWidth="1"/>
    <col min="11" max="11" width="9.265625" style="757" customWidth="1"/>
    <col min="12" max="12" width="14" style="757" customWidth="1"/>
    <col min="13" max="13" width="13.33203125" style="757" customWidth="1"/>
    <col min="14" max="16384" width="9.06640625" style="757"/>
  </cols>
  <sheetData>
    <row r="1" spans="1:9" x14ac:dyDescent="0.45">
      <c r="F1" s="486"/>
    </row>
    <row r="2" spans="1:9" x14ac:dyDescent="0.45">
      <c r="B2" s="957" t="s">
        <v>21</v>
      </c>
      <c r="C2" s="957"/>
      <c r="D2" s="957"/>
      <c r="E2" s="957"/>
      <c r="F2" s="957"/>
    </row>
    <row r="3" spans="1:9" x14ac:dyDescent="0.45">
      <c r="B3" s="957" t="s">
        <v>524</v>
      </c>
      <c r="C3" s="957"/>
      <c r="D3" s="957"/>
      <c r="E3" s="957"/>
      <c r="F3" s="957"/>
    </row>
    <row r="4" spans="1:9" x14ac:dyDescent="0.45">
      <c r="B4" s="957" t="s">
        <v>525</v>
      </c>
      <c r="C4" s="957"/>
      <c r="D4" s="957"/>
      <c r="E4" s="957"/>
      <c r="F4" s="957"/>
    </row>
    <row r="5" spans="1:9" x14ac:dyDescent="0.45">
      <c r="B5" s="957" t="s">
        <v>619</v>
      </c>
      <c r="C5" s="957"/>
      <c r="D5" s="957"/>
      <c r="E5" s="957"/>
      <c r="F5" s="957"/>
    </row>
    <row r="6" spans="1:9" x14ac:dyDescent="0.45">
      <c r="B6" s="959" t="s">
        <v>1</v>
      </c>
      <c r="C6" s="959"/>
      <c r="D6" s="959"/>
      <c r="E6" s="959"/>
      <c r="F6" s="959"/>
    </row>
    <row r="7" spans="1:9" x14ac:dyDescent="0.45">
      <c r="B7" s="779"/>
      <c r="C7" s="780"/>
      <c r="D7" s="818"/>
      <c r="E7" s="779"/>
      <c r="F7" s="779"/>
    </row>
    <row r="8" spans="1:9" x14ac:dyDescent="0.45">
      <c r="B8" s="957" t="s">
        <v>526</v>
      </c>
      <c r="C8" s="957"/>
      <c r="D8" s="957"/>
      <c r="E8" s="957"/>
      <c r="F8" s="957"/>
    </row>
    <row r="10" spans="1:9" x14ac:dyDescent="0.45">
      <c r="B10" s="781"/>
      <c r="C10" s="782" t="s">
        <v>9</v>
      </c>
      <c r="D10" s="783"/>
      <c r="E10" s="782"/>
      <c r="F10" s="783"/>
    </row>
    <row r="11" spans="1:9" x14ac:dyDescent="0.45">
      <c r="B11" s="784"/>
      <c r="C11" s="755" t="s">
        <v>527</v>
      </c>
      <c r="D11" s="784"/>
      <c r="E11" s="819" t="s">
        <v>527</v>
      </c>
      <c r="F11" s="787"/>
    </row>
    <row r="12" spans="1:9" ht="15.4" x14ac:dyDescent="0.45">
      <c r="A12" s="756" t="s">
        <v>2</v>
      </c>
      <c r="B12" s="786"/>
      <c r="C12" s="755" t="s">
        <v>528</v>
      </c>
      <c r="D12" s="784"/>
      <c r="E12" s="785" t="s">
        <v>528</v>
      </c>
      <c r="F12" s="787"/>
      <c r="G12" s="756" t="s">
        <v>2</v>
      </c>
    </row>
    <row r="13" spans="1:9" ht="17.25" x14ac:dyDescent="0.45">
      <c r="A13" s="756" t="s">
        <v>6</v>
      </c>
      <c r="B13" s="788" t="s">
        <v>266</v>
      </c>
      <c r="C13" s="789" t="s">
        <v>529</v>
      </c>
      <c r="D13" s="788" t="s">
        <v>5</v>
      </c>
      <c r="E13" s="790" t="s">
        <v>530</v>
      </c>
      <c r="F13" s="788" t="s">
        <v>5</v>
      </c>
      <c r="G13" s="756" t="s">
        <v>6</v>
      </c>
    </row>
    <row r="14" spans="1:9" ht="15.4" x14ac:dyDescent="0.45">
      <c r="A14" s="756">
        <v>1</v>
      </c>
      <c r="B14" s="791" t="s">
        <v>620</v>
      </c>
      <c r="C14" s="792">
        <v>19934.964690000001</v>
      </c>
      <c r="D14" s="793" t="s">
        <v>531</v>
      </c>
      <c r="E14" s="792">
        <f>C14</f>
        <v>19934.964690000001</v>
      </c>
      <c r="F14" s="793" t="s">
        <v>531</v>
      </c>
      <c r="G14" s="756">
        <f>A14</f>
        <v>1</v>
      </c>
      <c r="H14" s="794"/>
      <c r="I14" s="794"/>
    </row>
    <row r="15" spans="1:9" ht="15.4" x14ac:dyDescent="0.45">
      <c r="A15" s="756">
        <f>A14+1</f>
        <v>2</v>
      </c>
      <c r="B15" s="791" t="s">
        <v>621</v>
      </c>
      <c r="C15" s="820">
        <v>20171.378059999999</v>
      </c>
      <c r="D15" s="897"/>
      <c r="E15" s="820">
        <f t="shared" ref="E15:E26" si="0">C15</f>
        <v>20171.378059999999</v>
      </c>
      <c r="F15" s="897"/>
      <c r="G15" s="756">
        <f>G14+1</f>
        <v>2</v>
      </c>
    </row>
    <row r="16" spans="1:9" ht="15.4" x14ac:dyDescent="0.45">
      <c r="A16" s="756">
        <f t="shared" ref="A16:A32" si="1">A15+1</f>
        <v>3</v>
      </c>
      <c r="B16" s="791" t="s">
        <v>532</v>
      </c>
      <c r="C16" s="820">
        <v>20407.791430000001</v>
      </c>
      <c r="D16" s="897"/>
      <c r="E16" s="820">
        <f t="shared" si="0"/>
        <v>20407.791430000001</v>
      </c>
      <c r="F16" s="897"/>
      <c r="G16" s="756">
        <f t="shared" ref="G16:G32" si="2">G15+1</f>
        <v>3</v>
      </c>
    </row>
    <row r="17" spans="1:9" ht="15.4" x14ac:dyDescent="0.45">
      <c r="A17" s="756">
        <f t="shared" si="1"/>
        <v>4</v>
      </c>
      <c r="B17" s="791" t="s">
        <v>533</v>
      </c>
      <c r="C17" s="820">
        <v>20644.2048</v>
      </c>
      <c r="D17" s="897"/>
      <c r="E17" s="820">
        <f t="shared" si="0"/>
        <v>20644.2048</v>
      </c>
      <c r="F17" s="897"/>
      <c r="G17" s="756">
        <f t="shared" si="2"/>
        <v>4</v>
      </c>
    </row>
    <row r="18" spans="1:9" ht="15.4" x14ac:dyDescent="0.45">
      <c r="A18" s="756">
        <f t="shared" si="1"/>
        <v>5</v>
      </c>
      <c r="B18" s="791" t="s">
        <v>534</v>
      </c>
      <c r="C18" s="820">
        <v>20880.618170000002</v>
      </c>
      <c r="D18" s="897"/>
      <c r="E18" s="820">
        <f t="shared" si="0"/>
        <v>20880.618170000002</v>
      </c>
      <c r="F18" s="897"/>
      <c r="G18" s="756">
        <f t="shared" si="2"/>
        <v>5</v>
      </c>
    </row>
    <row r="19" spans="1:9" ht="15.4" x14ac:dyDescent="0.45">
      <c r="A19" s="756">
        <f t="shared" si="1"/>
        <v>6</v>
      </c>
      <c r="B19" s="791" t="s">
        <v>535</v>
      </c>
      <c r="C19" s="820">
        <v>21117.03154</v>
      </c>
      <c r="D19" s="897"/>
      <c r="E19" s="820">
        <f t="shared" si="0"/>
        <v>21117.03154</v>
      </c>
      <c r="F19" s="897"/>
      <c r="G19" s="756">
        <f t="shared" si="2"/>
        <v>6</v>
      </c>
    </row>
    <row r="20" spans="1:9" ht="15.4" x14ac:dyDescent="0.45">
      <c r="A20" s="756">
        <f>A19+1</f>
        <v>7</v>
      </c>
      <c r="B20" s="791" t="s">
        <v>536</v>
      </c>
      <c r="C20" s="820">
        <v>21353.444909999998</v>
      </c>
      <c r="D20" s="897"/>
      <c r="E20" s="820">
        <f t="shared" si="0"/>
        <v>21353.444909999998</v>
      </c>
      <c r="F20" s="897"/>
      <c r="G20" s="756">
        <f>G19+1</f>
        <v>7</v>
      </c>
    </row>
    <row r="21" spans="1:9" ht="15.4" x14ac:dyDescent="0.45">
      <c r="A21" s="756">
        <f t="shared" si="1"/>
        <v>8</v>
      </c>
      <c r="B21" s="791" t="s">
        <v>537</v>
      </c>
      <c r="C21" s="820">
        <v>21589.85828</v>
      </c>
      <c r="D21" s="897"/>
      <c r="E21" s="820">
        <f t="shared" si="0"/>
        <v>21589.85828</v>
      </c>
      <c r="F21" s="897"/>
      <c r="G21" s="756">
        <f t="shared" si="2"/>
        <v>8</v>
      </c>
    </row>
    <row r="22" spans="1:9" ht="15.4" x14ac:dyDescent="0.45">
      <c r="A22" s="756">
        <f t="shared" si="1"/>
        <v>9</v>
      </c>
      <c r="B22" s="791" t="s">
        <v>538</v>
      </c>
      <c r="C22" s="820">
        <v>21826.271649999999</v>
      </c>
      <c r="D22" s="897"/>
      <c r="E22" s="820">
        <f t="shared" si="0"/>
        <v>21826.271649999999</v>
      </c>
      <c r="F22" s="897"/>
      <c r="G22" s="756">
        <f t="shared" si="2"/>
        <v>9</v>
      </c>
    </row>
    <row r="23" spans="1:9" ht="15.4" x14ac:dyDescent="0.45">
      <c r="A23" s="756">
        <f t="shared" si="1"/>
        <v>10</v>
      </c>
      <c r="B23" s="791" t="s">
        <v>539</v>
      </c>
      <c r="C23" s="820">
        <v>22100.147520000002</v>
      </c>
      <c r="D23" s="897"/>
      <c r="E23" s="820">
        <f t="shared" si="0"/>
        <v>22100.147520000002</v>
      </c>
      <c r="F23" s="897"/>
      <c r="G23" s="756">
        <f t="shared" si="2"/>
        <v>10</v>
      </c>
    </row>
    <row r="24" spans="1:9" ht="15.4" x14ac:dyDescent="0.45">
      <c r="A24" s="756">
        <f t="shared" si="1"/>
        <v>11</v>
      </c>
      <c r="B24" s="791" t="s">
        <v>540</v>
      </c>
      <c r="C24" s="820">
        <v>22411.48589</v>
      </c>
      <c r="D24" s="897"/>
      <c r="E24" s="820">
        <f t="shared" si="0"/>
        <v>22411.48589</v>
      </c>
      <c r="F24" s="897"/>
      <c r="G24" s="756">
        <f t="shared" si="2"/>
        <v>11</v>
      </c>
    </row>
    <row r="25" spans="1:9" ht="15.4" x14ac:dyDescent="0.45">
      <c r="A25" s="756">
        <f t="shared" si="1"/>
        <v>12</v>
      </c>
      <c r="B25" s="791" t="s">
        <v>541</v>
      </c>
      <c r="C25" s="820">
        <v>22722.824260000001</v>
      </c>
      <c r="D25" s="897"/>
      <c r="E25" s="820">
        <f t="shared" si="0"/>
        <v>22722.824260000001</v>
      </c>
      <c r="F25" s="897"/>
      <c r="G25" s="756">
        <f t="shared" si="2"/>
        <v>12</v>
      </c>
    </row>
    <row r="26" spans="1:9" ht="15.4" x14ac:dyDescent="0.45">
      <c r="A26" s="756">
        <f t="shared" si="1"/>
        <v>13</v>
      </c>
      <c r="B26" s="798" t="s">
        <v>622</v>
      </c>
      <c r="C26" s="799">
        <v>23034.162629999999</v>
      </c>
      <c r="D26" s="800" t="s">
        <v>531</v>
      </c>
      <c r="E26" s="799">
        <f t="shared" si="0"/>
        <v>23034.162629999999</v>
      </c>
      <c r="F26" s="800" t="s">
        <v>531</v>
      </c>
      <c r="G26" s="756">
        <f t="shared" si="2"/>
        <v>13</v>
      </c>
      <c r="I26" s="794"/>
    </row>
    <row r="27" spans="1:9" ht="15.4" x14ac:dyDescent="0.45">
      <c r="A27" s="756">
        <f t="shared" si="1"/>
        <v>14</v>
      </c>
      <c r="B27" s="802"/>
      <c r="C27" s="821"/>
      <c r="D27" s="781"/>
      <c r="E27" s="822"/>
      <c r="F27" s="781"/>
      <c r="G27" s="756">
        <f t="shared" si="2"/>
        <v>14</v>
      </c>
    </row>
    <row r="28" spans="1:9" ht="15.4" x14ac:dyDescent="0.45">
      <c r="A28" s="756">
        <f t="shared" si="1"/>
        <v>15</v>
      </c>
      <c r="B28" s="802" t="s">
        <v>542</v>
      </c>
      <c r="C28" s="898">
        <f>SUM(C14:C26)</f>
        <v>278194.18382999999</v>
      </c>
      <c r="D28" s="805" t="str">
        <f>"Sum Lines "&amp;A14&amp;" thru "&amp;A26</f>
        <v>Sum Lines 1 thru 13</v>
      </c>
      <c r="E28" s="898">
        <f>SUM(E14:E26)</f>
        <v>278194.18382999999</v>
      </c>
      <c r="F28" s="899" t="str">
        <f>"Sum Lines "&amp;A14&amp;" thru "&amp;A26</f>
        <v>Sum Lines 1 thru 13</v>
      </c>
      <c r="G28" s="756">
        <f t="shared" si="2"/>
        <v>15</v>
      </c>
    </row>
    <row r="29" spans="1:9" ht="15.4" x14ac:dyDescent="0.45">
      <c r="A29" s="756">
        <f t="shared" si="1"/>
        <v>16</v>
      </c>
      <c r="B29" s="806"/>
      <c r="C29" s="900"/>
      <c r="D29" s="808"/>
      <c r="E29" s="900"/>
      <c r="F29" s="806"/>
      <c r="G29" s="756">
        <f t="shared" si="2"/>
        <v>16</v>
      </c>
    </row>
    <row r="30" spans="1:9" ht="15.4" x14ac:dyDescent="0.45">
      <c r="A30" s="756">
        <f t="shared" si="1"/>
        <v>17</v>
      </c>
      <c r="B30" s="802"/>
      <c r="C30" s="898"/>
      <c r="D30" s="810"/>
      <c r="E30" s="898"/>
      <c r="F30" s="802"/>
      <c r="G30" s="756">
        <f t="shared" si="2"/>
        <v>17</v>
      </c>
    </row>
    <row r="31" spans="1:9" ht="15.4" x14ac:dyDescent="0.45">
      <c r="A31" s="756">
        <f t="shared" si="1"/>
        <v>18</v>
      </c>
      <c r="B31" s="802" t="s">
        <v>543</v>
      </c>
      <c r="C31" s="898">
        <f>C28/13</f>
        <v>21399.552602307693</v>
      </c>
      <c r="D31" s="805" t="str">
        <f>"Average of Lines "&amp;A14&amp;" thru "&amp;A26</f>
        <v>Average of Lines 1 thru 13</v>
      </c>
      <c r="E31" s="898">
        <f>E28/13</f>
        <v>21399.552602307693</v>
      </c>
      <c r="F31" s="899" t="str">
        <f>"Average of Lines "&amp;A14&amp;" thru "&amp;A26</f>
        <v>Average of Lines 1 thru 13</v>
      </c>
      <c r="G31" s="756">
        <f t="shared" si="2"/>
        <v>18</v>
      </c>
      <c r="H31" s="794"/>
      <c r="I31" s="794"/>
    </row>
    <row r="32" spans="1:9" ht="15.4" x14ac:dyDescent="0.45">
      <c r="A32" s="756">
        <f t="shared" si="1"/>
        <v>19</v>
      </c>
      <c r="B32" s="806"/>
      <c r="C32" s="811"/>
      <c r="D32" s="806"/>
      <c r="E32" s="811"/>
      <c r="F32" s="806"/>
      <c r="G32" s="756">
        <f t="shared" si="2"/>
        <v>19</v>
      </c>
    </row>
    <row r="33" spans="1:5" ht="15.4" x14ac:dyDescent="0.45">
      <c r="A33" s="756"/>
      <c r="C33" s="823"/>
      <c r="D33" s="757"/>
      <c r="E33" s="823"/>
    </row>
    <row r="34" spans="1:5" x14ac:dyDescent="0.45">
      <c r="C34" s="823"/>
      <c r="D34" s="757"/>
      <c r="E34" s="823"/>
    </row>
    <row r="35" spans="1:5" ht="17.25" x14ac:dyDescent="0.45">
      <c r="A35" s="423">
        <v>1</v>
      </c>
      <c r="B35" s="142" t="s">
        <v>548</v>
      </c>
      <c r="C35" s="823"/>
      <c r="D35" s="757"/>
      <c r="E35" s="823"/>
    </row>
    <row r="36" spans="1:5" ht="15.4" x14ac:dyDescent="0.45">
      <c r="B36" s="142"/>
      <c r="C36" s="823"/>
      <c r="D36" s="757"/>
      <c r="E36" s="823"/>
    </row>
    <row r="37" spans="1:5" x14ac:dyDescent="0.45">
      <c r="C37" s="823"/>
      <c r="D37" s="757"/>
      <c r="E37" s="823"/>
    </row>
    <row r="38" spans="1:5" x14ac:dyDescent="0.45">
      <c r="C38" s="823"/>
      <c r="D38" s="757"/>
      <c r="E38" s="823"/>
    </row>
    <row r="39" spans="1:5" x14ac:dyDescent="0.45">
      <c r="C39" s="824"/>
      <c r="E39" s="823"/>
    </row>
    <row r="40" spans="1:5" x14ac:dyDescent="0.45">
      <c r="C40" s="824"/>
      <c r="E40" s="823"/>
    </row>
    <row r="41" spans="1:5" x14ac:dyDescent="0.45">
      <c r="C41" s="824"/>
      <c r="E41" s="823"/>
    </row>
    <row r="42" spans="1:5" x14ac:dyDescent="0.45">
      <c r="C42" s="824"/>
      <c r="E42" s="823"/>
    </row>
    <row r="43" spans="1:5" x14ac:dyDescent="0.45">
      <c r="C43" s="824"/>
      <c r="E43" s="823"/>
    </row>
    <row r="44" spans="1:5" x14ac:dyDescent="0.45">
      <c r="C44" s="824"/>
      <c r="E44" s="823"/>
    </row>
    <row r="45" spans="1:5" x14ac:dyDescent="0.45">
      <c r="C45" s="824"/>
      <c r="E45" s="823"/>
    </row>
    <row r="46" spans="1:5" x14ac:dyDescent="0.45">
      <c r="C46" s="824"/>
      <c r="E46" s="823"/>
    </row>
    <row r="47" spans="1:5" x14ac:dyDescent="0.45">
      <c r="C47" s="824"/>
      <c r="E47" s="823"/>
    </row>
  </sheetData>
  <mergeCells count="6">
    <mergeCell ref="B8:F8"/>
    <mergeCell ref="B2:F2"/>
    <mergeCell ref="B3:F3"/>
    <mergeCell ref="B4:F4"/>
    <mergeCell ref="B5:F5"/>
    <mergeCell ref="B6:F6"/>
  </mergeCells>
  <printOptions horizontalCentered="1"/>
  <pageMargins left="0.25" right="0.25" top="0.5" bottom="0.5" header="0.4" footer="0.25"/>
  <pageSetup scale="81" orientation="landscape" r:id="rId1"/>
  <headerFooter scaleWithDoc="0" alignWithMargins="0">
    <oddHeader>&amp;C&amp;"Times New Roman,Bold"AS FILED</oddHeader>
    <oddFooter>&amp;CPage 7.1B&amp;R&amp;F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4"/>
  <sheetViews>
    <sheetView zoomScale="80" zoomScaleNormal="80" workbookViewId="0"/>
  </sheetViews>
  <sheetFormatPr defaultColWidth="8.796875" defaultRowHeight="15.4" x14ac:dyDescent="0.45"/>
  <cols>
    <col min="1" max="1" width="5.265625" style="42" bestFit="1" customWidth="1"/>
    <col min="2" max="2" width="80.53125" style="43" customWidth="1"/>
    <col min="3" max="3" width="21.19921875" style="43" customWidth="1"/>
    <col min="4" max="4" width="1.53125" style="43" customWidth="1"/>
    <col min="5" max="5" width="16.796875" style="43" customWidth="1"/>
    <col min="6" max="6" width="1.53125" style="43" customWidth="1"/>
    <col min="7" max="7" width="53.796875" style="43" customWidth="1"/>
    <col min="8" max="8" width="5.19921875" style="43" customWidth="1"/>
    <col min="9" max="9" width="8.796875" style="43"/>
    <col min="10" max="10" width="20.46484375" style="43" bestFit="1" customWidth="1"/>
    <col min="11" max="16384" width="8.796875" style="43"/>
  </cols>
  <sheetData>
    <row r="1" spans="1:8" x14ac:dyDescent="0.45">
      <c r="G1" s="44"/>
      <c r="H1" s="42"/>
    </row>
    <row r="2" spans="1:8" x14ac:dyDescent="0.45">
      <c r="B2" s="954" t="s">
        <v>21</v>
      </c>
      <c r="C2" s="954"/>
      <c r="D2" s="954"/>
      <c r="E2" s="954"/>
      <c r="F2" s="954"/>
      <c r="G2" s="954"/>
      <c r="H2" s="42"/>
    </row>
    <row r="3" spans="1:8" x14ac:dyDescent="0.45">
      <c r="B3" s="954" t="s">
        <v>22</v>
      </c>
      <c r="C3" s="954"/>
      <c r="D3" s="954"/>
      <c r="E3" s="954"/>
      <c r="F3" s="954"/>
      <c r="G3" s="954"/>
      <c r="H3" s="42"/>
    </row>
    <row r="4" spans="1:8" x14ac:dyDescent="0.45">
      <c r="B4" s="954" t="s">
        <v>23</v>
      </c>
      <c r="C4" s="954"/>
      <c r="D4" s="954"/>
      <c r="E4" s="954"/>
      <c r="F4" s="954"/>
      <c r="G4" s="954"/>
      <c r="H4" s="42"/>
    </row>
    <row r="5" spans="1:8" x14ac:dyDescent="0.45">
      <c r="B5" s="961" t="s">
        <v>582</v>
      </c>
      <c r="C5" s="961"/>
      <c r="D5" s="961"/>
      <c r="E5" s="961"/>
      <c r="F5" s="961"/>
      <c r="G5" s="961"/>
      <c r="H5" s="42"/>
    </row>
    <row r="6" spans="1:8" x14ac:dyDescent="0.45">
      <c r="B6" s="956" t="s">
        <v>1</v>
      </c>
      <c r="C6" s="962"/>
      <c r="D6" s="962"/>
      <c r="E6" s="962"/>
      <c r="F6" s="962"/>
      <c r="G6" s="962"/>
      <c r="H6" s="42"/>
    </row>
    <row r="7" spans="1:8" x14ac:dyDescent="0.45">
      <c r="B7" s="42"/>
      <c r="C7" s="42"/>
      <c r="D7" s="42"/>
      <c r="E7" s="45"/>
      <c r="F7" s="45"/>
      <c r="G7" s="42"/>
      <c r="H7" s="42"/>
    </row>
    <row r="8" spans="1:8" x14ac:dyDescent="0.45">
      <c r="A8" s="42" t="s">
        <v>2</v>
      </c>
      <c r="B8" s="468"/>
      <c r="C8" s="42" t="s">
        <v>24</v>
      </c>
      <c r="D8" s="468"/>
      <c r="E8" s="46"/>
      <c r="F8" s="46"/>
      <c r="G8" s="42"/>
      <c r="H8" s="42" t="s">
        <v>2</v>
      </c>
    </row>
    <row r="9" spans="1:8" x14ac:dyDescent="0.45">
      <c r="A9" s="42" t="s">
        <v>6</v>
      </c>
      <c r="C9" s="388" t="s">
        <v>25</v>
      </c>
      <c r="D9" s="468"/>
      <c r="E9" s="389" t="s">
        <v>4</v>
      </c>
      <c r="F9" s="46"/>
      <c r="G9" s="388" t="s">
        <v>5</v>
      </c>
      <c r="H9" s="42" t="s">
        <v>6</v>
      </c>
    </row>
    <row r="10" spans="1:8" x14ac:dyDescent="0.45">
      <c r="C10" s="468"/>
      <c r="D10" s="468"/>
      <c r="E10" s="46"/>
      <c r="F10" s="46"/>
      <c r="G10" s="42"/>
      <c r="H10" s="42"/>
    </row>
    <row r="11" spans="1:8" x14ac:dyDescent="0.45">
      <c r="A11" s="42">
        <v>1</v>
      </c>
      <c r="B11" s="390" t="s">
        <v>295</v>
      </c>
      <c r="C11" s="468"/>
      <c r="D11" s="468"/>
      <c r="E11" s="46"/>
      <c r="F11" s="46"/>
      <c r="G11" s="42"/>
      <c r="H11" s="42">
        <f>A11</f>
        <v>1</v>
      </c>
    </row>
    <row r="12" spans="1:8" x14ac:dyDescent="0.45">
      <c r="A12" s="42">
        <f>+A11+1</f>
        <v>2</v>
      </c>
      <c r="B12" s="391" t="s">
        <v>296</v>
      </c>
      <c r="C12" s="468"/>
      <c r="D12" s="468"/>
      <c r="E12" s="48">
        <v>356.88444000000004</v>
      </c>
      <c r="F12" s="46"/>
      <c r="G12" s="42" t="s">
        <v>627</v>
      </c>
      <c r="H12" s="42">
        <f>H11+1</f>
        <v>2</v>
      </c>
    </row>
    <row r="13" spans="1:8" x14ac:dyDescent="0.45">
      <c r="A13" s="42">
        <f t="shared" ref="A13:A70" si="0">+A12+1</f>
        <v>3</v>
      </c>
      <c r="C13" s="468"/>
      <c r="D13" s="468"/>
      <c r="E13" s="46"/>
      <c r="F13" s="46"/>
      <c r="G13" s="42"/>
      <c r="H13" s="42">
        <f t="shared" ref="H13:H70" si="1">H12+1</f>
        <v>3</v>
      </c>
    </row>
    <row r="14" spans="1:8" x14ac:dyDescent="0.45">
      <c r="A14" s="42">
        <f t="shared" si="0"/>
        <v>4</v>
      </c>
      <c r="B14" s="390" t="s">
        <v>297</v>
      </c>
      <c r="G14" s="42"/>
      <c r="H14" s="42">
        <f t="shared" si="1"/>
        <v>4</v>
      </c>
    </row>
    <row r="15" spans="1:8" x14ac:dyDescent="0.45">
      <c r="A15" s="42">
        <f t="shared" si="0"/>
        <v>5</v>
      </c>
      <c r="B15" s="20" t="s">
        <v>298</v>
      </c>
      <c r="C15" s="42"/>
      <c r="E15" s="48">
        <f>'Pg8.1 Revised AH-2'!D47</f>
        <v>97078.547500000001</v>
      </c>
      <c r="G15" s="42" t="s">
        <v>628</v>
      </c>
      <c r="H15" s="42">
        <f t="shared" si="1"/>
        <v>5</v>
      </c>
    </row>
    <row r="16" spans="1:8" x14ac:dyDescent="0.45">
      <c r="A16" s="42">
        <f t="shared" si="0"/>
        <v>6</v>
      </c>
      <c r="B16" s="27" t="s">
        <v>26</v>
      </c>
      <c r="E16" s="50"/>
      <c r="G16" s="42"/>
      <c r="H16" s="42">
        <f t="shared" si="1"/>
        <v>6</v>
      </c>
    </row>
    <row r="17" spans="1:8" x14ac:dyDescent="0.45">
      <c r="A17" s="42">
        <f t="shared" si="0"/>
        <v>7</v>
      </c>
      <c r="B17" s="20" t="s">
        <v>299</v>
      </c>
      <c r="C17" s="42"/>
      <c r="E17" s="51">
        <f>-'Pg8.1 Revised AH-2'!E52</f>
        <v>-5093.2442599999995</v>
      </c>
      <c r="G17" s="42" t="s">
        <v>629</v>
      </c>
      <c r="H17" s="42">
        <f t="shared" si="1"/>
        <v>7</v>
      </c>
    </row>
    <row r="18" spans="1:8" x14ac:dyDescent="0.45">
      <c r="A18" s="42">
        <f t="shared" si="0"/>
        <v>8</v>
      </c>
      <c r="B18" s="20" t="s">
        <v>300</v>
      </c>
      <c r="E18" s="51">
        <f>-'Pg8.1 Revised AH-2'!E53</f>
        <v>-2418.7412800000002</v>
      </c>
      <c r="G18" s="42" t="s">
        <v>630</v>
      </c>
      <c r="H18" s="42">
        <f t="shared" si="1"/>
        <v>8</v>
      </c>
    </row>
    <row r="19" spans="1:8" x14ac:dyDescent="0.45">
      <c r="A19" s="42">
        <f t="shared" si="0"/>
        <v>9</v>
      </c>
      <c r="B19" s="391" t="s">
        <v>301</v>
      </c>
      <c r="E19" s="51">
        <f>-'Pg8.1 Revised AH-2'!E54</f>
        <v>-6283.7089999999998</v>
      </c>
      <c r="G19" s="42" t="s">
        <v>631</v>
      </c>
      <c r="H19" s="42">
        <f t="shared" si="1"/>
        <v>9</v>
      </c>
    </row>
    <row r="20" spans="1:8" x14ac:dyDescent="0.45">
      <c r="A20" s="42">
        <f t="shared" si="0"/>
        <v>10</v>
      </c>
      <c r="B20" s="391" t="s">
        <v>351</v>
      </c>
      <c r="E20" s="51">
        <f>-'Pg8.1 Revised AH-2'!E55</f>
        <v>-12.191000000000001</v>
      </c>
      <c r="G20" s="42" t="s">
        <v>632</v>
      </c>
      <c r="H20" s="42">
        <f t="shared" si="1"/>
        <v>10</v>
      </c>
    </row>
    <row r="21" spans="1:8" x14ac:dyDescent="0.45">
      <c r="A21" s="42">
        <f t="shared" si="0"/>
        <v>11</v>
      </c>
      <c r="B21" s="20" t="s">
        <v>302</v>
      </c>
      <c r="E21" s="51">
        <f>-'Pg8.1 Revised AH-2'!E56</f>
        <v>0</v>
      </c>
      <c r="G21" s="42" t="s">
        <v>633</v>
      </c>
      <c r="H21" s="42">
        <f t="shared" si="1"/>
        <v>11</v>
      </c>
    </row>
    <row r="22" spans="1:8" x14ac:dyDescent="0.45">
      <c r="A22" s="42">
        <f t="shared" si="0"/>
        <v>12</v>
      </c>
      <c r="B22" s="20" t="s">
        <v>303</v>
      </c>
      <c r="E22" s="51">
        <f>-'Pg8.1 Revised AH-2'!E62</f>
        <v>-3186.0456599999998</v>
      </c>
      <c r="G22" s="42" t="s">
        <v>634</v>
      </c>
      <c r="H22" s="42">
        <f t="shared" si="1"/>
        <v>12</v>
      </c>
    </row>
    <row r="23" spans="1:8" x14ac:dyDescent="0.45">
      <c r="A23" s="42">
        <f t="shared" si="0"/>
        <v>13</v>
      </c>
      <c r="B23" s="391" t="s">
        <v>304</v>
      </c>
      <c r="E23" s="51">
        <f>-'Pg8.1 Revised AH-2'!E63</f>
        <v>-16048.173000000001</v>
      </c>
      <c r="G23" s="42" t="s">
        <v>635</v>
      </c>
      <c r="H23" s="42">
        <f t="shared" si="1"/>
        <v>13</v>
      </c>
    </row>
    <row r="24" spans="1:8" x14ac:dyDescent="0.45">
      <c r="A24" s="42">
        <f t="shared" si="0"/>
        <v>14</v>
      </c>
      <c r="B24" s="391" t="s">
        <v>305</v>
      </c>
      <c r="E24" s="51">
        <f>-'Pg8.1 Revised AH-2'!E64</f>
        <v>-18139.88</v>
      </c>
      <c r="G24" s="42" t="s">
        <v>636</v>
      </c>
      <c r="H24" s="42">
        <f t="shared" si="1"/>
        <v>14</v>
      </c>
    </row>
    <row r="25" spans="1:8" x14ac:dyDescent="0.45">
      <c r="A25" s="42">
        <f t="shared" si="0"/>
        <v>15</v>
      </c>
      <c r="B25" s="391" t="s">
        <v>306</v>
      </c>
      <c r="E25" s="51">
        <f>-'Pg8.1 Revised AH-2'!E65</f>
        <v>-720.00900000000001</v>
      </c>
      <c r="G25" s="42" t="s">
        <v>637</v>
      </c>
      <c r="H25" s="42">
        <f t="shared" si="1"/>
        <v>15</v>
      </c>
    </row>
    <row r="26" spans="1:8" x14ac:dyDescent="0.45">
      <c r="A26" s="42">
        <f t="shared" si="0"/>
        <v>16</v>
      </c>
      <c r="B26" s="20" t="s">
        <v>307</v>
      </c>
      <c r="E26" s="52">
        <v>-132.11562000000001</v>
      </c>
      <c r="G26" s="42" t="s">
        <v>638</v>
      </c>
      <c r="H26" s="42">
        <f t="shared" si="1"/>
        <v>16</v>
      </c>
    </row>
    <row r="27" spans="1:8" ht="15.75" x14ac:dyDescent="0.5">
      <c r="A27" s="42">
        <f t="shared" si="0"/>
        <v>17</v>
      </c>
      <c r="B27" s="43" t="s">
        <v>308</v>
      </c>
      <c r="E27" s="482">
        <f>'Pg8.1 Revised AH-2'!H47</f>
        <v>-2294.73</v>
      </c>
      <c r="F27" s="28" t="s">
        <v>16</v>
      </c>
      <c r="G27" s="42" t="s">
        <v>309</v>
      </c>
      <c r="H27" s="42">
        <f t="shared" si="1"/>
        <v>17</v>
      </c>
    </row>
    <row r="28" spans="1:8" ht="15.75" x14ac:dyDescent="0.5">
      <c r="A28" s="42">
        <f t="shared" si="0"/>
        <v>18</v>
      </c>
      <c r="B28" s="20" t="s">
        <v>310</v>
      </c>
      <c r="E28" s="53">
        <f>SUM(E15:E27)</f>
        <v>42749.708679999996</v>
      </c>
      <c r="F28" s="28" t="s">
        <v>16</v>
      </c>
      <c r="G28" s="37" t="s">
        <v>639</v>
      </c>
      <c r="H28" s="42">
        <f t="shared" si="1"/>
        <v>18</v>
      </c>
    </row>
    <row r="29" spans="1:8" x14ac:dyDescent="0.45">
      <c r="A29" s="42">
        <f t="shared" si="0"/>
        <v>19</v>
      </c>
      <c r="E29" s="41"/>
      <c r="H29" s="42">
        <f t="shared" si="1"/>
        <v>19</v>
      </c>
    </row>
    <row r="30" spans="1:8" x14ac:dyDescent="0.45">
      <c r="A30" s="42">
        <f t="shared" si="0"/>
        <v>20</v>
      </c>
      <c r="B30" s="392" t="s">
        <v>311</v>
      </c>
      <c r="E30" s="54"/>
      <c r="G30" s="42"/>
      <c r="H30" s="42">
        <f t="shared" si="1"/>
        <v>20</v>
      </c>
    </row>
    <row r="31" spans="1:8" x14ac:dyDescent="0.45">
      <c r="A31" s="42">
        <f t="shared" si="0"/>
        <v>21</v>
      </c>
      <c r="B31" s="27" t="s">
        <v>312</v>
      </c>
      <c r="C31" s="42"/>
      <c r="E31" s="48">
        <f>'Pg8.2 Revised AH-3'!D31</f>
        <v>498881.70766999997</v>
      </c>
      <c r="G31" s="42" t="s">
        <v>640</v>
      </c>
      <c r="H31" s="42">
        <f t="shared" si="1"/>
        <v>21</v>
      </c>
    </row>
    <row r="32" spans="1:8" x14ac:dyDescent="0.45">
      <c r="A32" s="42">
        <f t="shared" si="0"/>
        <v>22</v>
      </c>
      <c r="B32" s="27" t="s">
        <v>27</v>
      </c>
      <c r="E32" s="54" t="s">
        <v>11</v>
      </c>
      <c r="G32" s="42"/>
      <c r="H32" s="42">
        <f t="shared" si="1"/>
        <v>22</v>
      </c>
    </row>
    <row r="33" spans="1:10" x14ac:dyDescent="0.45">
      <c r="A33" s="42">
        <f t="shared" si="0"/>
        <v>23</v>
      </c>
      <c r="B33" s="241" t="s">
        <v>28</v>
      </c>
      <c r="E33" s="51">
        <f>-'Pg8.2 Revised AH-3'!D52</f>
        <v>-576.97162999999989</v>
      </c>
      <c r="G33" s="42" t="s">
        <v>315</v>
      </c>
      <c r="H33" s="42">
        <f t="shared" si="1"/>
        <v>23</v>
      </c>
      <c r="I33" s="393"/>
      <c r="J33" s="56"/>
    </row>
    <row r="34" spans="1:10" ht="30.75" x14ac:dyDescent="0.45">
      <c r="A34" s="42">
        <f t="shared" si="0"/>
        <v>24</v>
      </c>
      <c r="B34" s="152" t="s">
        <v>29</v>
      </c>
      <c r="E34" s="51">
        <f>-('Pg8.2 Revised AH-3'!E35+'Pg8.2 Revised AH-3'!E36+'Pg8.2 Revised AH-3'!D38+'Pg8.2 Revised AH-3'!D39+'Pg8.2 Revised AH-3'!D42+'Pg8.2 Revised AH-3'!D45+'Pg8.2 Revised AH-3'!D51+'Pg8.2 Revised AH-3'!D54)</f>
        <v>-2631.6195512479999</v>
      </c>
      <c r="G34" s="55" t="s">
        <v>452</v>
      </c>
      <c r="H34" s="42">
        <f t="shared" si="1"/>
        <v>24</v>
      </c>
      <c r="I34" s="393"/>
      <c r="J34" s="56"/>
    </row>
    <row r="35" spans="1:10" x14ac:dyDescent="0.45">
      <c r="A35" s="42">
        <f t="shared" si="0"/>
        <v>25</v>
      </c>
      <c r="B35" s="241" t="s">
        <v>136</v>
      </c>
      <c r="E35" s="51">
        <f>-'Pg8.2 Revised AH-3'!D46</f>
        <v>0</v>
      </c>
      <c r="G35" s="42" t="s">
        <v>313</v>
      </c>
      <c r="H35" s="42">
        <f t="shared" si="1"/>
        <v>25</v>
      </c>
      <c r="I35" s="393"/>
      <c r="J35" s="56"/>
    </row>
    <row r="36" spans="1:10" ht="15.75" customHeight="1" x14ac:dyDescent="0.45">
      <c r="A36" s="42">
        <f t="shared" si="0"/>
        <v>26</v>
      </c>
      <c r="B36" s="152" t="s">
        <v>30</v>
      </c>
      <c r="E36" s="51">
        <f>-'Pg8.2 Revised AH-3'!D47</f>
        <v>-1212.49029</v>
      </c>
      <c r="G36" s="42" t="s">
        <v>314</v>
      </c>
      <c r="H36" s="42">
        <f t="shared" si="1"/>
        <v>26</v>
      </c>
      <c r="I36" s="393"/>
      <c r="J36" s="56"/>
    </row>
    <row r="37" spans="1:10" x14ac:dyDescent="0.45">
      <c r="A37" s="42">
        <f t="shared" si="0"/>
        <v>27</v>
      </c>
      <c r="B37" s="241" t="s">
        <v>31</v>
      </c>
      <c r="E37" s="51">
        <f>-'Pg8.2 Revised AH-3'!D48</f>
        <v>-9790.5481500000005</v>
      </c>
      <c r="G37" s="42" t="s">
        <v>314</v>
      </c>
      <c r="H37" s="42">
        <f t="shared" si="1"/>
        <v>27</v>
      </c>
    </row>
    <row r="38" spans="1:10" x14ac:dyDescent="0.45">
      <c r="A38" s="42">
        <f t="shared" si="0"/>
        <v>28</v>
      </c>
      <c r="B38" s="241" t="s">
        <v>32</v>
      </c>
      <c r="E38" s="51">
        <f>-'Pg8.2 Revised AH-3'!D40</f>
        <v>0</v>
      </c>
      <c r="G38" s="55" t="s">
        <v>453</v>
      </c>
      <c r="H38" s="42">
        <f t="shared" si="1"/>
        <v>28</v>
      </c>
      <c r="J38" s="56"/>
    </row>
    <row r="39" spans="1:10" x14ac:dyDescent="0.45">
      <c r="A39" s="42">
        <f t="shared" si="0"/>
        <v>29</v>
      </c>
      <c r="B39" s="241" t="s">
        <v>33</v>
      </c>
      <c r="E39" s="51">
        <f>-'Pg8.2 Revised AH-3'!E50</f>
        <v>-112.52861999999999</v>
      </c>
      <c r="G39" s="55" t="s">
        <v>454</v>
      </c>
      <c r="H39" s="42">
        <f t="shared" si="1"/>
        <v>29</v>
      </c>
      <c r="I39" s="393"/>
    </row>
    <row r="40" spans="1:10" x14ac:dyDescent="0.45">
      <c r="A40" s="42">
        <f t="shared" si="0"/>
        <v>30</v>
      </c>
      <c r="B40" s="241" t="s">
        <v>34</v>
      </c>
      <c r="E40" s="51">
        <f>-'Pg8.2 Revised AH-3'!E44</f>
        <v>-127615.79129000001</v>
      </c>
      <c r="G40" s="42" t="s">
        <v>455</v>
      </c>
      <c r="H40" s="42">
        <f t="shared" si="1"/>
        <v>30</v>
      </c>
      <c r="I40" s="393"/>
      <c r="J40" s="56"/>
    </row>
    <row r="41" spans="1:10" x14ac:dyDescent="0.45">
      <c r="A41" s="42">
        <f t="shared" si="0"/>
        <v>31</v>
      </c>
      <c r="B41" s="241" t="s">
        <v>35</v>
      </c>
      <c r="E41" s="51">
        <f>-'Pg8.2 Revised AH-3'!D53</f>
        <v>-39.414587415</v>
      </c>
      <c r="G41" s="55" t="s">
        <v>456</v>
      </c>
      <c r="H41" s="42">
        <f t="shared" si="1"/>
        <v>31</v>
      </c>
    </row>
    <row r="42" spans="1:10" x14ac:dyDescent="0.45">
      <c r="A42" s="42">
        <f t="shared" si="0"/>
        <v>32</v>
      </c>
      <c r="B42" s="241" t="s">
        <v>36</v>
      </c>
      <c r="E42" s="51">
        <f>-('Pg8.2 Revised AH-3'!D37+'Pg8.2 Revised AH-3'!D49)</f>
        <v>-205.81998999999999</v>
      </c>
      <c r="G42" s="55" t="s">
        <v>457</v>
      </c>
      <c r="H42" s="42">
        <f t="shared" si="1"/>
        <v>32</v>
      </c>
    </row>
    <row r="43" spans="1:10" x14ac:dyDescent="0.45">
      <c r="A43" s="42">
        <f t="shared" si="0"/>
        <v>33</v>
      </c>
      <c r="B43" s="241" t="s">
        <v>37</v>
      </c>
      <c r="E43" s="51">
        <f>-('Pg8.2 Revised AH-3'!D41+'Pg8.2 Revised AH-3'!D43)</f>
        <v>-250.33335</v>
      </c>
      <c r="G43" s="55" t="s">
        <v>458</v>
      </c>
      <c r="H43" s="42">
        <f t="shared" si="1"/>
        <v>33</v>
      </c>
    </row>
    <row r="44" spans="1:10" ht="15.75" x14ac:dyDescent="0.5">
      <c r="A44" s="42">
        <f t="shared" si="0"/>
        <v>34</v>
      </c>
      <c r="B44" s="43" t="s">
        <v>308</v>
      </c>
      <c r="E44" s="394">
        <f>'Pg8.2 Revised AH-3'!H31</f>
        <v>-1040.0990000000002</v>
      </c>
      <c r="F44" s="28" t="s">
        <v>16</v>
      </c>
      <c r="G44" s="42" t="s">
        <v>459</v>
      </c>
      <c r="H44" s="42">
        <f t="shared" si="1"/>
        <v>34</v>
      </c>
    </row>
    <row r="45" spans="1:10" ht="15.75" x14ac:dyDescent="0.5">
      <c r="A45" s="42">
        <f t="shared" si="0"/>
        <v>35</v>
      </c>
      <c r="B45" s="27" t="s">
        <v>316</v>
      </c>
      <c r="E45" s="58">
        <f>SUM(E31:E44)</f>
        <v>355406.09121133707</v>
      </c>
      <c r="F45" s="28" t="s">
        <v>16</v>
      </c>
      <c r="G45" s="42" t="s">
        <v>641</v>
      </c>
      <c r="H45" s="42">
        <f t="shared" si="1"/>
        <v>35</v>
      </c>
      <c r="J45" s="57"/>
    </row>
    <row r="46" spans="1:10" x14ac:dyDescent="0.45">
      <c r="A46" s="42">
        <f t="shared" si="0"/>
        <v>36</v>
      </c>
      <c r="B46" s="27" t="s">
        <v>38</v>
      </c>
      <c r="E46" s="395">
        <f>-'Pg8.2 Revised AH-3'!F16</f>
        <v>-8305.6217899999992</v>
      </c>
      <c r="G46" s="42" t="s">
        <v>642</v>
      </c>
      <c r="H46" s="42">
        <f t="shared" si="1"/>
        <v>36</v>
      </c>
      <c r="J46" s="57"/>
    </row>
    <row r="47" spans="1:10" ht="15.75" x14ac:dyDescent="0.5">
      <c r="A47" s="42">
        <f t="shared" si="0"/>
        <v>37</v>
      </c>
      <c r="B47" s="27" t="s">
        <v>317</v>
      </c>
      <c r="E47" s="58">
        <f>SUM(E45:E46)</f>
        <v>347100.46942133707</v>
      </c>
      <c r="F47" s="28" t="s">
        <v>16</v>
      </c>
      <c r="G47" s="42" t="s">
        <v>643</v>
      </c>
      <c r="H47" s="42">
        <f t="shared" si="1"/>
        <v>37</v>
      </c>
    </row>
    <row r="48" spans="1:10" x14ac:dyDescent="0.45">
      <c r="A48" s="42">
        <f t="shared" si="0"/>
        <v>38</v>
      </c>
      <c r="B48" s="20" t="s">
        <v>39</v>
      </c>
      <c r="E48" s="396">
        <v>0.1046207187592927</v>
      </c>
      <c r="G48" s="37" t="s">
        <v>614</v>
      </c>
      <c r="H48" s="42">
        <f t="shared" si="1"/>
        <v>38</v>
      </c>
    </row>
    <row r="49" spans="1:9" ht="15.75" x14ac:dyDescent="0.5">
      <c r="A49" s="42">
        <f t="shared" si="0"/>
        <v>39</v>
      </c>
      <c r="B49" s="27" t="s">
        <v>318</v>
      </c>
      <c r="E49" s="59">
        <f>E47*E48</f>
        <v>36313.900592548183</v>
      </c>
      <c r="F49" s="28" t="s">
        <v>16</v>
      </c>
      <c r="G49" s="42" t="s">
        <v>644</v>
      </c>
      <c r="H49" s="42">
        <f t="shared" si="1"/>
        <v>39</v>
      </c>
    </row>
    <row r="50" spans="1:9" x14ac:dyDescent="0.45">
      <c r="A50" s="42">
        <f t="shared" si="0"/>
        <v>40</v>
      </c>
      <c r="B50" s="43" t="s">
        <v>40</v>
      </c>
      <c r="E50" s="483">
        <f>E70*(-E46)</f>
        <v>3331.8080445854657</v>
      </c>
      <c r="G50" s="42" t="s">
        <v>645</v>
      </c>
      <c r="H50" s="42">
        <f t="shared" si="1"/>
        <v>40</v>
      </c>
    </row>
    <row r="51" spans="1:9" ht="16.149999999999999" thickBot="1" x14ac:dyDescent="0.55000000000000004">
      <c r="A51" s="42">
        <f t="shared" si="0"/>
        <v>41</v>
      </c>
      <c r="B51" s="49" t="s">
        <v>319</v>
      </c>
      <c r="E51" s="397">
        <f>E50+E49</f>
        <v>39645.708637133648</v>
      </c>
      <c r="F51" s="28" t="s">
        <v>16</v>
      </c>
      <c r="G51" s="42" t="s">
        <v>646</v>
      </c>
      <c r="H51" s="42">
        <f t="shared" si="1"/>
        <v>41</v>
      </c>
      <c r="I51" s="49"/>
    </row>
    <row r="52" spans="1:9" ht="15.75" thickTop="1" x14ac:dyDescent="0.45">
      <c r="A52" s="42">
        <f t="shared" si="0"/>
        <v>42</v>
      </c>
      <c r="B52" s="60"/>
      <c r="E52" s="61"/>
      <c r="G52" s="42"/>
      <c r="H52" s="42">
        <f t="shared" si="1"/>
        <v>42</v>
      </c>
    </row>
    <row r="53" spans="1:9" x14ac:dyDescent="0.45">
      <c r="A53" s="42">
        <f t="shared" si="0"/>
        <v>43</v>
      </c>
      <c r="B53" s="29" t="s">
        <v>41</v>
      </c>
      <c r="E53" s="62"/>
      <c r="G53" s="42"/>
      <c r="H53" s="42">
        <f t="shared" si="1"/>
        <v>43</v>
      </c>
    </row>
    <row r="54" spans="1:9" x14ac:dyDescent="0.45">
      <c r="A54" s="42">
        <f t="shared" si="0"/>
        <v>44</v>
      </c>
      <c r="B54" s="27" t="s">
        <v>42</v>
      </c>
      <c r="E54" s="38">
        <v>6268562.5495546153</v>
      </c>
      <c r="G54" s="42" t="s">
        <v>647</v>
      </c>
      <c r="H54" s="42">
        <f t="shared" si="1"/>
        <v>44</v>
      </c>
    </row>
    <row r="55" spans="1:9" x14ac:dyDescent="0.45">
      <c r="A55" s="42">
        <f t="shared" si="0"/>
        <v>45</v>
      </c>
      <c r="B55" s="27" t="s">
        <v>18</v>
      </c>
      <c r="E55" s="63">
        <v>0</v>
      </c>
      <c r="G55" s="42" t="s">
        <v>17</v>
      </c>
      <c r="H55" s="42">
        <f t="shared" si="1"/>
        <v>45</v>
      </c>
    </row>
    <row r="56" spans="1:9" x14ac:dyDescent="0.45">
      <c r="A56" s="42">
        <f t="shared" si="0"/>
        <v>46</v>
      </c>
      <c r="B56" s="27" t="s">
        <v>19</v>
      </c>
      <c r="E56" s="64">
        <v>48373.508859840331</v>
      </c>
      <c r="G56" s="65" t="s">
        <v>648</v>
      </c>
      <c r="H56" s="42">
        <f t="shared" si="1"/>
        <v>46</v>
      </c>
    </row>
    <row r="57" spans="1:9" x14ac:dyDescent="0.45">
      <c r="A57" s="42">
        <f t="shared" si="0"/>
        <v>47</v>
      </c>
      <c r="B57" s="27" t="s">
        <v>43</v>
      </c>
      <c r="E57" s="398">
        <v>108383.68918448385</v>
      </c>
      <c r="G57" s="65" t="s">
        <v>649</v>
      </c>
      <c r="H57" s="42">
        <f t="shared" si="1"/>
        <v>47</v>
      </c>
    </row>
    <row r="58" spans="1:9" ht="15.75" thickBot="1" x14ac:dyDescent="0.5">
      <c r="A58" s="42">
        <f t="shared" si="0"/>
        <v>48</v>
      </c>
      <c r="B58" s="27" t="s">
        <v>44</v>
      </c>
      <c r="E58" s="66">
        <f>SUM(E54:E57)</f>
        <v>6425319.7475989396</v>
      </c>
      <c r="G58" s="42" t="s">
        <v>650</v>
      </c>
      <c r="H58" s="42">
        <f t="shared" si="1"/>
        <v>48</v>
      </c>
      <c r="I58" s="49"/>
    </row>
    <row r="59" spans="1:9" ht="15.75" thickTop="1" x14ac:dyDescent="0.45">
      <c r="A59" s="42">
        <f t="shared" si="0"/>
        <v>49</v>
      </c>
      <c r="B59" s="60"/>
      <c r="E59" s="41"/>
      <c r="G59" s="42"/>
      <c r="H59" s="42">
        <f t="shared" si="1"/>
        <v>49</v>
      </c>
    </row>
    <row r="60" spans="1:9" x14ac:dyDescent="0.45">
      <c r="A60" s="42">
        <f t="shared" si="0"/>
        <v>50</v>
      </c>
      <c r="B60" s="27" t="s">
        <v>45</v>
      </c>
      <c r="E60" s="67">
        <f>E54</f>
        <v>6268562.5495546153</v>
      </c>
      <c r="G60" s="68" t="s">
        <v>651</v>
      </c>
      <c r="H60" s="42">
        <f t="shared" si="1"/>
        <v>50</v>
      </c>
    </row>
    <row r="61" spans="1:9" x14ac:dyDescent="0.45">
      <c r="A61" s="42">
        <f t="shared" si="0"/>
        <v>51</v>
      </c>
      <c r="B61" s="27" t="s">
        <v>46</v>
      </c>
      <c r="E61" s="39">
        <v>549685.71425000008</v>
      </c>
      <c r="G61" s="65" t="s">
        <v>652</v>
      </c>
      <c r="H61" s="42">
        <f t="shared" si="1"/>
        <v>51</v>
      </c>
    </row>
    <row r="62" spans="1:9" x14ac:dyDescent="0.45">
      <c r="A62" s="42">
        <f t="shared" si="0"/>
        <v>52</v>
      </c>
      <c r="B62" s="27" t="s">
        <v>47</v>
      </c>
      <c r="E62" s="63">
        <v>0</v>
      </c>
      <c r="G62" s="42" t="s">
        <v>17</v>
      </c>
      <c r="H62" s="42">
        <f t="shared" si="1"/>
        <v>52</v>
      </c>
    </row>
    <row r="63" spans="1:9" x14ac:dyDescent="0.45">
      <c r="A63" s="42">
        <f t="shared" si="0"/>
        <v>53</v>
      </c>
      <c r="B63" s="27" t="s">
        <v>48</v>
      </c>
      <c r="E63" s="39">
        <v>523339.62325846136</v>
      </c>
      <c r="G63" s="65" t="s">
        <v>653</v>
      </c>
      <c r="H63" s="42">
        <f t="shared" si="1"/>
        <v>53</v>
      </c>
    </row>
    <row r="64" spans="1:9" x14ac:dyDescent="0.45">
      <c r="A64" s="42">
        <f t="shared" si="0"/>
        <v>54</v>
      </c>
      <c r="B64" s="27" t="s">
        <v>49</v>
      </c>
      <c r="E64" s="39">
        <v>7177286.0903050005</v>
      </c>
      <c r="G64" s="65" t="s">
        <v>654</v>
      </c>
      <c r="H64" s="42">
        <f t="shared" si="1"/>
        <v>54</v>
      </c>
    </row>
    <row r="65" spans="1:9" x14ac:dyDescent="0.45">
      <c r="A65" s="42">
        <f t="shared" si="0"/>
        <v>55</v>
      </c>
      <c r="B65" s="49" t="s">
        <v>18</v>
      </c>
      <c r="E65" s="63">
        <v>0</v>
      </c>
      <c r="G65" s="42" t="s">
        <v>17</v>
      </c>
      <c r="H65" s="42">
        <f t="shared" si="1"/>
        <v>55</v>
      </c>
    </row>
    <row r="66" spans="1:9" x14ac:dyDescent="0.45">
      <c r="A66" s="42">
        <f t="shared" si="0"/>
        <v>56</v>
      </c>
      <c r="B66" s="27" t="s">
        <v>50</v>
      </c>
      <c r="E66" s="39">
        <v>462370.25928999996</v>
      </c>
      <c r="G66" s="65" t="s">
        <v>655</v>
      </c>
      <c r="H66" s="42">
        <f t="shared" si="1"/>
        <v>56</v>
      </c>
    </row>
    <row r="67" spans="1:9" x14ac:dyDescent="0.45">
      <c r="A67" s="42">
        <f t="shared" si="0"/>
        <v>57</v>
      </c>
      <c r="B67" s="27" t="s">
        <v>51</v>
      </c>
      <c r="E67" s="399">
        <v>1035967.7363128125</v>
      </c>
      <c r="G67" s="65" t="s">
        <v>656</v>
      </c>
      <c r="H67" s="42">
        <f t="shared" si="1"/>
        <v>57</v>
      </c>
    </row>
    <row r="68" spans="1:9" ht="15.75" thickBot="1" x14ac:dyDescent="0.5">
      <c r="A68" s="42">
        <f t="shared" si="0"/>
        <v>58</v>
      </c>
      <c r="B68" s="27" t="s">
        <v>52</v>
      </c>
      <c r="E68" s="69">
        <f>SUM(E60:E67)</f>
        <v>16017211.97297089</v>
      </c>
      <c r="G68" s="42" t="s">
        <v>657</v>
      </c>
      <c r="H68" s="42">
        <f t="shared" si="1"/>
        <v>58</v>
      </c>
      <c r="I68" s="49"/>
    </row>
    <row r="69" spans="1:9" ht="15.75" thickTop="1" x14ac:dyDescent="0.45">
      <c r="A69" s="42">
        <f t="shared" si="0"/>
        <v>59</v>
      </c>
      <c r="E69" s="70"/>
      <c r="G69" s="42"/>
      <c r="H69" s="42">
        <f t="shared" si="1"/>
        <v>59</v>
      </c>
    </row>
    <row r="70" spans="1:9" ht="18" thickBot="1" x14ac:dyDescent="0.5">
      <c r="A70" s="42">
        <f t="shared" si="0"/>
        <v>60</v>
      </c>
      <c r="B70" s="27" t="s">
        <v>320</v>
      </c>
      <c r="E70" s="71">
        <f>E58/E68</f>
        <v>0.40115094677161622</v>
      </c>
      <c r="G70" s="42" t="s">
        <v>658</v>
      </c>
      <c r="H70" s="42">
        <f t="shared" si="1"/>
        <v>60</v>
      </c>
      <c r="I70" s="49"/>
    </row>
    <row r="71" spans="1:9" ht="15.75" thickTop="1" x14ac:dyDescent="0.45">
      <c r="B71" s="49" t="s">
        <v>11</v>
      </c>
      <c r="E71" s="72"/>
      <c r="G71" s="42"/>
      <c r="H71" s="42"/>
    </row>
    <row r="72" spans="1:9" ht="15.75" x14ac:dyDescent="0.5">
      <c r="A72" s="467" t="s">
        <v>16</v>
      </c>
      <c r="B72" s="26" t="s">
        <v>350</v>
      </c>
      <c r="E72" s="72"/>
      <c r="F72" s="72"/>
      <c r="G72" s="42"/>
      <c r="H72" s="42"/>
    </row>
    <row r="73" spans="1:9" ht="17.25" x14ac:dyDescent="0.45">
      <c r="A73" s="74">
        <v>1</v>
      </c>
      <c r="B73" s="27" t="s">
        <v>701</v>
      </c>
      <c r="H73" s="42"/>
    </row>
    <row r="74" spans="1:9" x14ac:dyDescent="0.45">
      <c r="B74" s="49"/>
      <c r="E74" s="70"/>
      <c r="F74" s="70"/>
      <c r="G74" s="42"/>
      <c r="H74" s="42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Roman,Bold"REVISED</oddHeader>
    <oddFooter>&amp;CPage 8&amp;R&amp;F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E50B6-648D-4404-899C-BD40B4A9F35D}">
  <sheetPr>
    <pageSetUpPr fitToPage="1"/>
  </sheetPr>
  <dimension ref="A1:N430"/>
  <sheetViews>
    <sheetView zoomScale="80" zoomScaleNormal="80" workbookViewId="0"/>
  </sheetViews>
  <sheetFormatPr defaultColWidth="13.46484375" defaultRowHeight="15.4" x14ac:dyDescent="0.45"/>
  <cols>
    <col min="1" max="1" width="5.265625" style="43" customWidth="1"/>
    <col min="2" max="2" width="8.53125" style="75" customWidth="1"/>
    <col min="3" max="3" width="63.19921875" style="43" customWidth="1"/>
    <col min="4" max="4" width="16.796875" style="43" customWidth="1"/>
    <col min="5" max="5" width="16.796875" style="41" customWidth="1"/>
    <col min="6" max="6" width="16.796875" style="43" customWidth="1"/>
    <col min="7" max="7" width="1.59765625" style="43" customWidth="1"/>
    <col min="8" max="9" width="16.796875" style="43" customWidth="1"/>
    <col min="10" max="10" width="30.59765625" style="43" customWidth="1"/>
    <col min="11" max="11" width="5.265625" style="43" customWidth="1"/>
    <col min="12" max="16384" width="13.46484375" style="43"/>
  </cols>
  <sheetData>
    <row r="1" spans="1:14" x14ac:dyDescent="0.45">
      <c r="A1" s="469"/>
      <c r="J1" s="44"/>
    </row>
    <row r="2" spans="1:14" s="469" customFormat="1" ht="15" x14ac:dyDescent="0.45">
      <c r="B2" s="954" t="s">
        <v>21</v>
      </c>
      <c r="C2" s="954"/>
      <c r="D2" s="954"/>
      <c r="E2" s="954"/>
      <c r="F2" s="954"/>
      <c r="G2" s="954"/>
      <c r="H2" s="954"/>
      <c r="I2" s="954"/>
      <c r="J2" s="954"/>
      <c r="K2" s="468"/>
    </row>
    <row r="3" spans="1:14" s="469" customFormat="1" ht="15" x14ac:dyDescent="0.45">
      <c r="B3" s="954" t="s">
        <v>53</v>
      </c>
      <c r="C3" s="954"/>
      <c r="D3" s="954"/>
      <c r="E3" s="954"/>
      <c r="F3" s="954"/>
      <c r="G3" s="954"/>
      <c r="H3" s="954"/>
      <c r="I3" s="954"/>
      <c r="J3" s="954"/>
      <c r="K3" s="400"/>
    </row>
    <row r="4" spans="1:14" s="469" customFormat="1" ht="15" x14ac:dyDescent="0.45">
      <c r="B4" s="954" t="s">
        <v>702</v>
      </c>
      <c r="C4" s="954"/>
      <c r="D4" s="954"/>
      <c r="E4" s="954"/>
      <c r="F4" s="954"/>
      <c r="G4" s="954"/>
      <c r="H4" s="954"/>
      <c r="I4" s="954"/>
      <c r="J4" s="954"/>
      <c r="K4" s="400"/>
    </row>
    <row r="5" spans="1:14" s="469" customFormat="1" ht="15" x14ac:dyDescent="0.45">
      <c r="B5" s="956" t="s">
        <v>1</v>
      </c>
      <c r="C5" s="956"/>
      <c r="D5" s="956"/>
      <c r="E5" s="956"/>
      <c r="F5" s="956"/>
      <c r="G5" s="956"/>
      <c r="H5" s="956"/>
      <c r="I5" s="956"/>
      <c r="J5" s="956"/>
      <c r="K5" s="400"/>
    </row>
    <row r="6" spans="1:14" ht="15.75" thickBot="1" x14ac:dyDescent="0.5">
      <c r="A6" s="401"/>
      <c r="B6" s="77"/>
      <c r="C6" s="78"/>
      <c r="D6" s="78"/>
      <c r="E6" s="79"/>
      <c r="F6" s="78"/>
      <c r="G6" s="78"/>
      <c r="H6" s="78"/>
      <c r="I6" s="78"/>
      <c r="J6" s="78"/>
      <c r="K6" s="78"/>
    </row>
    <row r="7" spans="1:14" s="469" customFormat="1" ht="17.25" x14ac:dyDescent="0.4">
      <c r="A7" s="43"/>
      <c r="B7" s="80"/>
      <c r="C7" s="81"/>
      <c r="D7" s="82" t="s">
        <v>10</v>
      </c>
      <c r="E7" s="83" t="s">
        <v>54</v>
      </c>
      <c r="F7" s="82" t="s">
        <v>55</v>
      </c>
      <c r="G7" s="84"/>
      <c r="H7" s="85" t="s">
        <v>321</v>
      </c>
      <c r="I7" s="85" t="s">
        <v>56</v>
      </c>
      <c r="J7" s="86"/>
      <c r="K7" s="43"/>
    </row>
    <row r="8" spans="1:14" s="469" customFormat="1" x14ac:dyDescent="0.4">
      <c r="A8" s="42" t="s">
        <v>2</v>
      </c>
      <c r="B8" s="87" t="s">
        <v>57</v>
      </c>
      <c r="D8" s="88" t="s">
        <v>9</v>
      </c>
      <c r="E8" s="88" t="s">
        <v>58</v>
      </c>
      <c r="F8" s="88" t="s">
        <v>9</v>
      </c>
      <c r="G8" s="468"/>
      <c r="H8" s="89" t="s">
        <v>322</v>
      </c>
      <c r="I8" s="89" t="s">
        <v>59</v>
      </c>
      <c r="J8" s="90"/>
      <c r="K8" s="42" t="s">
        <v>2</v>
      </c>
    </row>
    <row r="9" spans="1:14" s="469" customFormat="1" x14ac:dyDescent="0.4">
      <c r="A9" s="42" t="s">
        <v>6</v>
      </c>
      <c r="B9" s="585" t="s">
        <v>60</v>
      </c>
      <c r="C9" s="402" t="s">
        <v>3</v>
      </c>
      <c r="D9" s="586" t="s">
        <v>61</v>
      </c>
      <c r="E9" s="586" t="s">
        <v>62</v>
      </c>
      <c r="F9" s="586" t="s">
        <v>63</v>
      </c>
      <c r="G9" s="402"/>
      <c r="H9" s="403" t="s">
        <v>323</v>
      </c>
      <c r="I9" s="403" t="s">
        <v>64</v>
      </c>
      <c r="J9" s="587" t="s">
        <v>5</v>
      </c>
      <c r="K9" s="42" t="s">
        <v>6</v>
      </c>
    </row>
    <row r="10" spans="1:14" s="469" customFormat="1" x14ac:dyDescent="0.45">
      <c r="A10" s="42"/>
      <c r="B10" s="91"/>
      <c r="C10" s="92" t="s">
        <v>65</v>
      </c>
      <c r="D10" s="93"/>
      <c r="E10" s="93"/>
      <c r="F10" s="93"/>
      <c r="G10" s="94"/>
      <c r="H10" s="94"/>
      <c r="I10" s="93"/>
      <c r="J10" s="95"/>
      <c r="K10" s="42"/>
      <c r="M10" s="43"/>
      <c r="N10" s="43"/>
    </row>
    <row r="11" spans="1:14" s="469" customFormat="1" x14ac:dyDescent="0.45">
      <c r="A11" s="42">
        <v>1</v>
      </c>
      <c r="B11" s="96">
        <v>560</v>
      </c>
      <c r="C11" s="43" t="s">
        <v>66</v>
      </c>
      <c r="D11" s="97">
        <v>7279.0110000000004</v>
      </c>
      <c r="E11" s="97">
        <f>E51</f>
        <v>132.11562000000001</v>
      </c>
      <c r="F11" s="97">
        <f>D11-E11</f>
        <v>7146.8953800000008</v>
      </c>
      <c r="G11" s="40"/>
      <c r="H11" s="40"/>
      <c r="I11" s="97">
        <f>F11+H11</f>
        <v>7146.8953800000008</v>
      </c>
      <c r="J11" s="99" t="s">
        <v>67</v>
      </c>
      <c r="K11" s="42">
        <f>A11</f>
        <v>1</v>
      </c>
      <c r="M11" s="43"/>
      <c r="N11" s="43"/>
    </row>
    <row r="12" spans="1:14" s="469" customFormat="1" x14ac:dyDescent="0.45">
      <c r="A12" s="42">
        <f>A11+1</f>
        <v>2</v>
      </c>
      <c r="B12" s="96">
        <v>561.1</v>
      </c>
      <c r="C12" s="43" t="s">
        <v>68</v>
      </c>
      <c r="D12" s="100">
        <v>668.024</v>
      </c>
      <c r="E12" s="100">
        <v>0</v>
      </c>
      <c r="F12" s="100">
        <f>D12-E12</f>
        <v>668.024</v>
      </c>
      <c r="G12" s="101"/>
      <c r="H12" s="101"/>
      <c r="I12" s="100">
        <f>F12+H12</f>
        <v>668.024</v>
      </c>
      <c r="J12" s="99" t="s">
        <v>69</v>
      </c>
      <c r="K12" s="42">
        <f>K11+1</f>
        <v>2</v>
      </c>
      <c r="M12" s="43"/>
      <c r="N12" s="43"/>
    </row>
    <row r="13" spans="1:14" s="469" customFormat="1" x14ac:dyDescent="0.45">
      <c r="A13" s="42">
        <f t="shared" ref="A13:A76" si="0">A12+1</f>
        <v>3</v>
      </c>
      <c r="B13" s="96">
        <v>561.20000000000005</v>
      </c>
      <c r="C13" s="43" t="s">
        <v>70</v>
      </c>
      <c r="D13" s="100">
        <v>1351.6510000000001</v>
      </c>
      <c r="E13" s="100">
        <v>0</v>
      </c>
      <c r="F13" s="100">
        <f>D13-E13</f>
        <v>1351.6510000000001</v>
      </c>
      <c r="G13" s="101"/>
      <c r="H13" s="101"/>
      <c r="I13" s="100">
        <f t="shared" ref="I13:I24" si="1">F13+H13</f>
        <v>1351.6510000000001</v>
      </c>
      <c r="J13" s="99" t="s">
        <v>71</v>
      </c>
      <c r="K13" s="42">
        <f t="shared" ref="K13:K76" si="2">K12+1</f>
        <v>3</v>
      </c>
      <c r="M13" s="43"/>
      <c r="N13" s="43"/>
    </row>
    <row r="14" spans="1:14" s="469" customFormat="1" x14ac:dyDescent="0.45">
      <c r="A14" s="42">
        <f t="shared" si="0"/>
        <v>4</v>
      </c>
      <c r="B14" s="96">
        <v>561.29999999999995</v>
      </c>
      <c r="C14" s="43" t="s">
        <v>72</v>
      </c>
      <c r="D14" s="100">
        <v>182.67599999999999</v>
      </c>
      <c r="E14" s="100">
        <v>0</v>
      </c>
      <c r="F14" s="100">
        <f>D14-E14</f>
        <v>182.67599999999999</v>
      </c>
      <c r="G14" s="101"/>
      <c r="H14" s="101"/>
      <c r="I14" s="100">
        <f t="shared" si="1"/>
        <v>182.67599999999999</v>
      </c>
      <c r="J14" s="99" t="s">
        <v>73</v>
      </c>
      <c r="K14" s="42">
        <f t="shared" si="2"/>
        <v>4</v>
      </c>
      <c r="M14" s="43"/>
      <c r="N14" s="43"/>
    </row>
    <row r="15" spans="1:14" s="469" customFormat="1" x14ac:dyDescent="0.45">
      <c r="A15" s="42">
        <f t="shared" si="0"/>
        <v>5</v>
      </c>
      <c r="B15" s="96">
        <v>561.4</v>
      </c>
      <c r="C15" s="43" t="s">
        <v>74</v>
      </c>
      <c r="D15" s="100">
        <v>5093.2439999999997</v>
      </c>
      <c r="E15" s="100">
        <f>E52</f>
        <v>5093.2442599999995</v>
      </c>
      <c r="F15" s="100">
        <f t="shared" ref="F15:F17" si="3">D15-E15</f>
        <v>-2.5999999979831045E-4</v>
      </c>
      <c r="G15" s="101"/>
      <c r="H15" s="101"/>
      <c r="I15" s="100">
        <f t="shared" si="1"/>
        <v>-2.5999999979831045E-4</v>
      </c>
      <c r="J15" s="99" t="s">
        <v>75</v>
      </c>
      <c r="K15" s="42">
        <f t="shared" si="2"/>
        <v>5</v>
      </c>
      <c r="M15" s="43"/>
      <c r="N15" s="43"/>
    </row>
    <row r="16" spans="1:14" s="469" customFormat="1" x14ac:dyDescent="0.45">
      <c r="A16" s="42">
        <f t="shared" si="0"/>
        <v>6</v>
      </c>
      <c r="B16" s="96">
        <v>561.5</v>
      </c>
      <c r="C16" s="43" t="s">
        <v>76</v>
      </c>
      <c r="D16" s="100">
        <v>94.123999999999995</v>
      </c>
      <c r="E16" s="100">
        <v>0</v>
      </c>
      <c r="F16" s="100">
        <f t="shared" si="3"/>
        <v>94.123999999999995</v>
      </c>
      <c r="G16" s="101"/>
      <c r="H16" s="101"/>
      <c r="I16" s="100">
        <f t="shared" si="1"/>
        <v>94.123999999999995</v>
      </c>
      <c r="J16" s="99" t="s">
        <v>77</v>
      </c>
      <c r="K16" s="42">
        <f t="shared" si="2"/>
        <v>6</v>
      </c>
      <c r="M16" s="43"/>
      <c r="N16" s="43"/>
    </row>
    <row r="17" spans="1:14" s="469" customFormat="1" x14ac:dyDescent="0.45">
      <c r="A17" s="42">
        <f t="shared" si="0"/>
        <v>7</v>
      </c>
      <c r="B17" s="96">
        <v>561.6</v>
      </c>
      <c r="C17" s="43" t="s">
        <v>78</v>
      </c>
      <c r="D17" s="100">
        <v>0</v>
      </c>
      <c r="E17" s="100">
        <v>0</v>
      </c>
      <c r="F17" s="100">
        <f t="shared" si="3"/>
        <v>0</v>
      </c>
      <c r="G17" s="101"/>
      <c r="H17" s="101"/>
      <c r="I17" s="100">
        <f t="shared" si="1"/>
        <v>0</v>
      </c>
      <c r="J17" s="99" t="s">
        <v>79</v>
      </c>
      <c r="K17" s="42">
        <f t="shared" si="2"/>
        <v>7</v>
      </c>
      <c r="M17" s="43"/>
      <c r="N17" s="43"/>
    </row>
    <row r="18" spans="1:14" s="469" customFormat="1" x14ac:dyDescent="0.45">
      <c r="A18" s="42">
        <f t="shared" si="0"/>
        <v>8</v>
      </c>
      <c r="B18" s="96">
        <v>561.70000000000005</v>
      </c>
      <c r="C18" s="43" t="s">
        <v>80</v>
      </c>
      <c r="D18" s="100">
        <v>2.0979999999999999</v>
      </c>
      <c r="E18" s="100">
        <v>0</v>
      </c>
      <c r="F18" s="100">
        <f>D18-E18</f>
        <v>2.0979999999999999</v>
      </c>
      <c r="G18" s="103"/>
      <c r="H18" s="102"/>
      <c r="I18" s="100">
        <f t="shared" si="1"/>
        <v>2.0979999999999999</v>
      </c>
      <c r="J18" s="99" t="s">
        <v>81</v>
      </c>
      <c r="K18" s="42">
        <f t="shared" si="2"/>
        <v>8</v>
      </c>
      <c r="M18" s="43"/>
      <c r="N18" s="43"/>
    </row>
    <row r="19" spans="1:14" s="469" customFormat="1" x14ac:dyDescent="0.45">
      <c r="A19" s="42">
        <f t="shared" si="0"/>
        <v>9</v>
      </c>
      <c r="B19" s="96">
        <v>561.79999999999995</v>
      </c>
      <c r="C19" s="43" t="s">
        <v>82</v>
      </c>
      <c r="D19" s="100">
        <v>3079.7379999999998</v>
      </c>
      <c r="E19" s="101">
        <f>E53</f>
        <v>2418.7412800000002</v>
      </c>
      <c r="F19" s="100">
        <f t="shared" ref="F19:F20" si="4">D19-E19</f>
        <v>660.99671999999964</v>
      </c>
      <c r="G19" s="103"/>
      <c r="H19" s="102"/>
      <c r="I19" s="100">
        <f t="shared" si="1"/>
        <v>660.99671999999964</v>
      </c>
      <c r="J19" s="99" t="s">
        <v>83</v>
      </c>
      <c r="K19" s="42">
        <f t="shared" si="2"/>
        <v>9</v>
      </c>
      <c r="M19" s="43"/>
      <c r="N19" s="43"/>
    </row>
    <row r="20" spans="1:14" s="469" customFormat="1" ht="17.25" x14ac:dyDescent="0.45">
      <c r="A20" s="42">
        <f t="shared" si="0"/>
        <v>10</v>
      </c>
      <c r="B20" s="96">
        <v>562</v>
      </c>
      <c r="C20" s="43" t="s">
        <v>324</v>
      </c>
      <c r="D20" s="100">
        <v>6283.7089999999998</v>
      </c>
      <c r="E20" s="101">
        <f>E54</f>
        <v>6283.7089999999998</v>
      </c>
      <c r="F20" s="100">
        <f t="shared" si="4"/>
        <v>0</v>
      </c>
      <c r="G20" s="103"/>
      <c r="H20" s="102"/>
      <c r="I20" s="100">
        <f t="shared" si="1"/>
        <v>0</v>
      </c>
      <c r="J20" s="99" t="s">
        <v>84</v>
      </c>
      <c r="K20" s="42">
        <f t="shared" si="2"/>
        <v>10</v>
      </c>
      <c r="L20" s="404"/>
      <c r="M20" s="43"/>
      <c r="N20" s="43"/>
    </row>
    <row r="21" spans="1:14" s="469" customFormat="1" x14ac:dyDescent="0.45">
      <c r="A21" s="42">
        <f t="shared" si="0"/>
        <v>11</v>
      </c>
      <c r="B21" s="96">
        <v>563</v>
      </c>
      <c r="C21" s="43" t="s">
        <v>325</v>
      </c>
      <c r="D21" s="100">
        <v>8316.0300000000007</v>
      </c>
      <c r="E21" s="100">
        <v>0</v>
      </c>
      <c r="F21" s="100">
        <f>D21-E21</f>
        <v>8316.0300000000007</v>
      </c>
      <c r="G21" s="103"/>
      <c r="H21" s="102"/>
      <c r="I21" s="100">
        <f t="shared" si="1"/>
        <v>8316.0300000000007</v>
      </c>
      <c r="J21" s="99" t="s">
        <v>85</v>
      </c>
      <c r="K21" s="42">
        <f t="shared" si="2"/>
        <v>11</v>
      </c>
      <c r="L21" s="405"/>
      <c r="M21" s="43"/>
      <c r="N21" s="43"/>
    </row>
    <row r="22" spans="1:14" s="469" customFormat="1" x14ac:dyDescent="0.45">
      <c r="A22" s="42">
        <f t="shared" si="0"/>
        <v>12</v>
      </c>
      <c r="B22" s="96">
        <v>564</v>
      </c>
      <c r="C22" s="43" t="s">
        <v>86</v>
      </c>
      <c r="D22" s="100">
        <v>12.191000000000001</v>
      </c>
      <c r="E22" s="100">
        <f>E55</f>
        <v>12.191000000000001</v>
      </c>
      <c r="F22" s="100">
        <f>D22-E22</f>
        <v>0</v>
      </c>
      <c r="G22" s="103"/>
      <c r="H22" s="102"/>
      <c r="I22" s="100">
        <f t="shared" si="1"/>
        <v>0</v>
      </c>
      <c r="J22" s="99" t="s">
        <v>87</v>
      </c>
      <c r="K22" s="42">
        <f t="shared" si="2"/>
        <v>12</v>
      </c>
      <c r="M22" s="43"/>
      <c r="N22" s="43"/>
    </row>
    <row r="23" spans="1:14" s="469" customFormat="1" x14ac:dyDescent="0.45">
      <c r="A23" s="42">
        <f t="shared" si="0"/>
        <v>13</v>
      </c>
      <c r="B23" s="96">
        <v>565</v>
      </c>
      <c r="C23" s="43" t="s">
        <v>88</v>
      </c>
      <c r="D23" s="100">
        <v>0</v>
      </c>
      <c r="E23" s="100">
        <f>E56</f>
        <v>0</v>
      </c>
      <c r="F23" s="100">
        <f t="shared" ref="F23:F24" si="5">D23-E23</f>
        <v>0</v>
      </c>
      <c r="G23" s="103"/>
      <c r="H23" s="102"/>
      <c r="I23" s="100">
        <f t="shared" si="1"/>
        <v>0</v>
      </c>
      <c r="J23" s="99" t="s">
        <v>89</v>
      </c>
      <c r="K23" s="42">
        <f t="shared" si="2"/>
        <v>13</v>
      </c>
      <c r="M23" s="43"/>
      <c r="N23" s="43"/>
    </row>
    <row r="24" spans="1:14" s="469" customFormat="1" ht="15.75" x14ac:dyDescent="0.5">
      <c r="A24" s="42">
        <f t="shared" si="0"/>
        <v>14</v>
      </c>
      <c r="B24" s="104">
        <v>566</v>
      </c>
      <c r="C24" s="43" t="s">
        <v>90</v>
      </c>
      <c r="D24" s="100">
        <v>20246.481</v>
      </c>
      <c r="E24" s="101">
        <f>E62</f>
        <v>3186.0456599999998</v>
      </c>
      <c r="F24" s="100">
        <f t="shared" si="5"/>
        <v>17060.43534</v>
      </c>
      <c r="G24" s="28" t="s">
        <v>16</v>
      </c>
      <c r="H24" s="140">
        <v>-2294.73</v>
      </c>
      <c r="I24" s="588">
        <f t="shared" si="1"/>
        <v>14765.70534</v>
      </c>
      <c r="J24" s="99" t="s">
        <v>91</v>
      </c>
      <c r="K24" s="42">
        <f t="shared" si="2"/>
        <v>14</v>
      </c>
      <c r="M24" s="43"/>
      <c r="N24" s="43"/>
    </row>
    <row r="25" spans="1:14" s="469" customFormat="1" x14ac:dyDescent="0.45">
      <c r="A25" s="42">
        <f t="shared" si="0"/>
        <v>15</v>
      </c>
      <c r="B25" s="96">
        <v>567</v>
      </c>
      <c r="C25" s="43" t="s">
        <v>92</v>
      </c>
      <c r="D25" s="589">
        <v>2829.8249999999998</v>
      </c>
      <c r="E25" s="589">
        <v>0</v>
      </c>
      <c r="F25" s="589">
        <f>D25-E25</f>
        <v>2829.8249999999998</v>
      </c>
      <c r="G25" s="590"/>
      <c r="H25" s="406"/>
      <c r="I25" s="406">
        <f>F25+H25</f>
        <v>2829.8249999999998</v>
      </c>
      <c r="J25" s="99" t="s">
        <v>93</v>
      </c>
      <c r="K25" s="42">
        <f t="shared" si="2"/>
        <v>15</v>
      </c>
      <c r="M25" s="43"/>
      <c r="N25" s="43"/>
    </row>
    <row r="26" spans="1:14" s="469" customFormat="1" x14ac:dyDescent="0.45">
      <c r="A26" s="42">
        <f t="shared" si="0"/>
        <v>16</v>
      </c>
      <c r="B26" s="96"/>
      <c r="C26" s="43"/>
      <c r="D26" s="100"/>
      <c r="E26" s="101"/>
      <c r="F26" s="100"/>
      <c r="G26" s="101"/>
      <c r="H26" s="101"/>
      <c r="I26" s="100"/>
      <c r="J26" s="99"/>
      <c r="K26" s="42">
        <f t="shared" si="2"/>
        <v>16</v>
      </c>
      <c r="M26" s="43"/>
      <c r="N26" s="43"/>
    </row>
    <row r="27" spans="1:14" s="469" customFormat="1" ht="16.149999999999999" thickBot="1" x14ac:dyDescent="0.55000000000000004">
      <c r="A27" s="42">
        <f t="shared" si="0"/>
        <v>17</v>
      </c>
      <c r="B27" s="105"/>
      <c r="C27" s="106" t="s">
        <v>94</v>
      </c>
      <c r="D27" s="107">
        <f>SUM(D11:D25)</f>
        <v>55438.801999999996</v>
      </c>
      <c r="E27" s="108">
        <f>SUM(E11:E25)</f>
        <v>17126.04682</v>
      </c>
      <c r="F27" s="107">
        <f>SUM(F11:F25)</f>
        <v>38312.755179999993</v>
      </c>
      <c r="G27" s="109" t="s">
        <v>16</v>
      </c>
      <c r="H27" s="110">
        <f>SUM(H11:H25)</f>
        <v>-2294.73</v>
      </c>
      <c r="I27" s="110">
        <f>SUM(I11:I25)</f>
        <v>36018.025179999997</v>
      </c>
      <c r="J27" s="111" t="str">
        <f>"Sum Lines "&amp;A11&amp;" thru "&amp;A25</f>
        <v>Sum Lines 1 thru 15</v>
      </c>
      <c r="K27" s="42">
        <f t="shared" si="2"/>
        <v>17</v>
      </c>
      <c r="M27" s="57"/>
      <c r="N27" s="43"/>
    </row>
    <row r="28" spans="1:14" s="469" customFormat="1" x14ac:dyDescent="0.45">
      <c r="A28" s="42">
        <f t="shared" si="0"/>
        <v>18</v>
      </c>
      <c r="B28" s="112"/>
      <c r="C28" s="43"/>
      <c r="D28" s="113"/>
      <c r="E28" s="114"/>
      <c r="F28" s="113"/>
      <c r="G28" s="115"/>
      <c r="H28" s="116"/>
      <c r="I28" s="116"/>
      <c r="J28" s="99"/>
      <c r="K28" s="42">
        <f t="shared" si="2"/>
        <v>18</v>
      </c>
      <c r="M28" s="43"/>
      <c r="N28" s="43"/>
    </row>
    <row r="29" spans="1:14" s="469" customFormat="1" x14ac:dyDescent="0.45">
      <c r="A29" s="42">
        <f t="shared" si="0"/>
        <v>19</v>
      </c>
      <c r="B29" s="91"/>
      <c r="C29" s="92" t="s">
        <v>95</v>
      </c>
      <c r="D29" s="113"/>
      <c r="E29" s="114"/>
      <c r="F29" s="113"/>
      <c r="G29" s="115"/>
      <c r="H29" s="116"/>
      <c r="I29" s="116"/>
      <c r="J29" s="99"/>
      <c r="K29" s="42">
        <f t="shared" si="2"/>
        <v>19</v>
      </c>
      <c r="M29" s="43"/>
      <c r="N29" s="43"/>
    </row>
    <row r="30" spans="1:14" s="469" customFormat="1" x14ac:dyDescent="0.45">
      <c r="A30" s="42">
        <f t="shared" si="0"/>
        <v>20</v>
      </c>
      <c r="B30" s="96">
        <v>568</v>
      </c>
      <c r="C30" s="43" t="s">
        <v>96</v>
      </c>
      <c r="D30" s="97">
        <v>2017.028</v>
      </c>
      <c r="E30" s="97">
        <v>0</v>
      </c>
      <c r="F30" s="97">
        <f t="shared" ref="F30:F31" si="6">D30-E30</f>
        <v>2017.028</v>
      </c>
      <c r="G30" s="117"/>
      <c r="H30" s="98"/>
      <c r="I30" s="98">
        <f>F30+H30</f>
        <v>2017.028</v>
      </c>
      <c r="J30" s="99" t="s">
        <v>97</v>
      </c>
      <c r="K30" s="42">
        <f t="shared" si="2"/>
        <v>20</v>
      </c>
      <c r="M30" s="43"/>
      <c r="N30" s="43"/>
    </row>
    <row r="31" spans="1:14" s="469" customFormat="1" x14ac:dyDescent="0.45">
      <c r="A31" s="42">
        <f t="shared" si="0"/>
        <v>21</v>
      </c>
      <c r="B31" s="96">
        <v>569</v>
      </c>
      <c r="C31" s="43" t="s">
        <v>98</v>
      </c>
      <c r="D31" s="100">
        <v>579.452</v>
      </c>
      <c r="E31" s="101">
        <v>0</v>
      </c>
      <c r="F31" s="100">
        <f t="shared" si="6"/>
        <v>579.452</v>
      </c>
      <c r="G31" s="103"/>
      <c r="H31" s="102"/>
      <c r="I31" s="102">
        <f>F31+H31</f>
        <v>579.452</v>
      </c>
      <c r="J31" s="99" t="s">
        <v>99</v>
      </c>
      <c r="K31" s="42">
        <f t="shared" si="2"/>
        <v>21</v>
      </c>
      <c r="M31" s="43"/>
      <c r="N31" s="43"/>
    </row>
    <row r="32" spans="1:14" s="469" customFormat="1" x14ac:dyDescent="0.45">
      <c r="A32" s="42">
        <f t="shared" si="0"/>
        <v>22</v>
      </c>
      <c r="B32" s="96">
        <v>569.1</v>
      </c>
      <c r="C32" s="43" t="s">
        <v>100</v>
      </c>
      <c r="D32" s="100">
        <v>1248.578</v>
      </c>
      <c r="E32" s="101">
        <v>0</v>
      </c>
      <c r="F32" s="100">
        <f>D32-E32</f>
        <v>1248.578</v>
      </c>
      <c r="G32" s="103"/>
      <c r="H32" s="102"/>
      <c r="I32" s="102">
        <f t="shared" ref="I32:I38" si="7">F32+H32</f>
        <v>1248.578</v>
      </c>
      <c r="J32" s="99" t="s">
        <v>101</v>
      </c>
      <c r="K32" s="42">
        <f t="shared" si="2"/>
        <v>22</v>
      </c>
      <c r="M32" s="43"/>
      <c r="N32" s="43"/>
    </row>
    <row r="33" spans="1:14" s="469" customFormat="1" x14ac:dyDescent="0.45">
      <c r="A33" s="42">
        <f t="shared" si="0"/>
        <v>23</v>
      </c>
      <c r="B33" s="96">
        <v>569.20000000000005</v>
      </c>
      <c r="C33" s="43" t="s">
        <v>102</v>
      </c>
      <c r="D33" s="100">
        <v>2090.8829999999998</v>
      </c>
      <c r="E33" s="101">
        <v>0</v>
      </c>
      <c r="F33" s="100">
        <f t="shared" ref="F33:F35" si="8">D33-E33</f>
        <v>2090.8829999999998</v>
      </c>
      <c r="G33" s="103"/>
      <c r="H33" s="102"/>
      <c r="I33" s="102">
        <f t="shared" si="7"/>
        <v>2090.8829999999998</v>
      </c>
      <c r="J33" s="99" t="s">
        <v>103</v>
      </c>
      <c r="K33" s="42">
        <f t="shared" si="2"/>
        <v>23</v>
      </c>
      <c r="M33" s="43"/>
      <c r="N33" s="43"/>
    </row>
    <row r="34" spans="1:14" s="469" customFormat="1" x14ac:dyDescent="0.45">
      <c r="A34" s="42">
        <f t="shared" si="0"/>
        <v>24</v>
      </c>
      <c r="B34" s="96">
        <v>569.29999999999995</v>
      </c>
      <c r="C34" s="43" t="s">
        <v>104</v>
      </c>
      <c r="D34" s="100">
        <v>0.10299999999999999</v>
      </c>
      <c r="E34" s="101">
        <v>0</v>
      </c>
      <c r="F34" s="100">
        <f t="shared" si="8"/>
        <v>0.10299999999999999</v>
      </c>
      <c r="G34" s="103"/>
      <c r="H34" s="102"/>
      <c r="I34" s="102">
        <f t="shared" si="7"/>
        <v>0.10299999999999999</v>
      </c>
      <c r="J34" s="99" t="s">
        <v>105</v>
      </c>
      <c r="K34" s="42">
        <f t="shared" si="2"/>
        <v>24</v>
      </c>
      <c r="M34" s="43"/>
      <c r="N34" s="43"/>
    </row>
    <row r="35" spans="1:14" s="469" customFormat="1" x14ac:dyDescent="0.45">
      <c r="A35" s="42">
        <f t="shared" si="0"/>
        <v>25</v>
      </c>
      <c r="B35" s="96">
        <v>569.4</v>
      </c>
      <c r="C35" s="43" t="s">
        <v>106</v>
      </c>
      <c r="D35" s="100">
        <v>143.69999999999999</v>
      </c>
      <c r="E35" s="101">
        <v>0</v>
      </c>
      <c r="F35" s="100">
        <f t="shared" si="8"/>
        <v>143.69999999999999</v>
      </c>
      <c r="G35" s="103"/>
      <c r="H35" s="102"/>
      <c r="I35" s="102">
        <f t="shared" si="7"/>
        <v>143.69999999999999</v>
      </c>
      <c r="J35" s="99" t="s">
        <v>107</v>
      </c>
      <c r="K35" s="42">
        <f t="shared" si="2"/>
        <v>25</v>
      </c>
      <c r="M35" s="43"/>
      <c r="N35" s="43"/>
    </row>
    <row r="36" spans="1:14" s="469" customFormat="1" ht="17.649999999999999" x14ac:dyDescent="0.45">
      <c r="A36" s="42">
        <f t="shared" si="0"/>
        <v>26</v>
      </c>
      <c r="B36" s="96">
        <v>570</v>
      </c>
      <c r="C36" s="43" t="s">
        <v>326</v>
      </c>
      <c r="D36" s="100">
        <v>16048.173000000001</v>
      </c>
      <c r="E36" s="101">
        <f>E63</f>
        <v>16048.173000000001</v>
      </c>
      <c r="F36" s="100">
        <f>D36-E36</f>
        <v>0</v>
      </c>
      <c r="G36" s="103"/>
      <c r="H36" s="102"/>
      <c r="I36" s="102">
        <f t="shared" si="7"/>
        <v>0</v>
      </c>
      <c r="J36" s="99" t="s">
        <v>108</v>
      </c>
      <c r="K36" s="42">
        <f t="shared" si="2"/>
        <v>26</v>
      </c>
      <c r="M36" s="43"/>
      <c r="N36" s="43"/>
    </row>
    <row r="37" spans="1:14" s="469" customFormat="1" ht="17.25" x14ac:dyDescent="0.45">
      <c r="A37" s="42">
        <f t="shared" si="0"/>
        <v>27</v>
      </c>
      <c r="B37" s="96">
        <v>571</v>
      </c>
      <c r="C37" s="43" t="s">
        <v>352</v>
      </c>
      <c r="D37" s="100">
        <v>18139.88</v>
      </c>
      <c r="E37" s="101">
        <f>E64</f>
        <v>18139.88</v>
      </c>
      <c r="F37" s="100">
        <f t="shared" ref="F37:F38" si="9">D37-E37</f>
        <v>0</v>
      </c>
      <c r="G37" s="103"/>
      <c r="H37" s="102"/>
      <c r="I37" s="102">
        <f t="shared" si="7"/>
        <v>0</v>
      </c>
      <c r="J37" s="99" t="s">
        <v>109</v>
      </c>
      <c r="K37" s="42">
        <f t="shared" si="2"/>
        <v>27</v>
      </c>
      <c r="M37" s="43"/>
      <c r="N37" s="43"/>
    </row>
    <row r="38" spans="1:14" s="469" customFormat="1" ht="17.25" x14ac:dyDescent="0.45">
      <c r="A38" s="42">
        <f t="shared" si="0"/>
        <v>28</v>
      </c>
      <c r="B38" s="96">
        <v>572</v>
      </c>
      <c r="C38" s="43" t="s">
        <v>353</v>
      </c>
      <c r="D38" s="100">
        <v>720.00900000000001</v>
      </c>
      <c r="E38" s="101">
        <f>E65</f>
        <v>720.00900000000001</v>
      </c>
      <c r="F38" s="100">
        <f t="shared" si="9"/>
        <v>0</v>
      </c>
      <c r="G38" s="101"/>
      <c r="H38" s="102"/>
      <c r="I38" s="102">
        <f t="shared" si="7"/>
        <v>0</v>
      </c>
      <c r="J38" s="99" t="s">
        <v>110</v>
      </c>
      <c r="K38" s="42">
        <f t="shared" si="2"/>
        <v>28</v>
      </c>
      <c r="M38" s="43"/>
      <c r="N38" s="43"/>
    </row>
    <row r="39" spans="1:14" s="469" customFormat="1" x14ac:dyDescent="0.45">
      <c r="A39" s="42">
        <f t="shared" si="0"/>
        <v>29</v>
      </c>
      <c r="B39" s="96">
        <v>573</v>
      </c>
      <c r="C39" s="43" t="s">
        <v>111</v>
      </c>
      <c r="D39" s="589">
        <v>2.7450000000000001</v>
      </c>
      <c r="E39" s="589">
        <v>0</v>
      </c>
      <c r="F39" s="589">
        <f>D39-E39</f>
        <v>2.7450000000000001</v>
      </c>
      <c r="G39" s="590"/>
      <c r="H39" s="374"/>
      <c r="I39" s="589">
        <f>F39+H39</f>
        <v>2.7450000000000001</v>
      </c>
      <c r="J39" s="99" t="s">
        <v>112</v>
      </c>
      <c r="K39" s="42">
        <f t="shared" si="2"/>
        <v>29</v>
      </c>
      <c r="M39" s="43"/>
      <c r="N39" s="43"/>
    </row>
    <row r="40" spans="1:14" s="469" customFormat="1" x14ac:dyDescent="0.45">
      <c r="A40" s="42">
        <f t="shared" si="0"/>
        <v>30</v>
      </c>
      <c r="B40" s="96"/>
      <c r="C40" s="43"/>
      <c r="D40" s="118"/>
      <c r="E40" s="101"/>
      <c r="F40" s="118"/>
      <c r="G40" s="101"/>
      <c r="H40" s="101"/>
      <c r="I40" s="100"/>
      <c r="J40" s="99"/>
      <c r="K40" s="42">
        <f t="shared" si="2"/>
        <v>30</v>
      </c>
      <c r="M40" s="43"/>
      <c r="N40" s="43"/>
    </row>
    <row r="41" spans="1:14" s="469" customFormat="1" x14ac:dyDescent="0.45">
      <c r="A41" s="42">
        <f t="shared" si="0"/>
        <v>31</v>
      </c>
      <c r="B41" s="112"/>
      <c r="C41" s="119" t="s">
        <v>327</v>
      </c>
      <c r="D41" s="97">
        <f>SUM(D30:D39)</f>
        <v>40990.551000000007</v>
      </c>
      <c r="E41" s="97">
        <f>SUM(E30:E39)</f>
        <v>34908.061999999998</v>
      </c>
      <c r="F41" s="97">
        <f>SUM(F30:F39)</f>
        <v>6082.4889999999996</v>
      </c>
      <c r="G41" s="591"/>
      <c r="H41" s="484">
        <f>SUM(H30:H39)</f>
        <v>0</v>
      </c>
      <c r="I41" s="592">
        <f>SUM(I30:I40)</f>
        <v>6082.4889999999996</v>
      </c>
      <c r="J41" s="99" t="str">
        <f>"Sum Lines "&amp;A30&amp;" thru "&amp;A39</f>
        <v>Sum Lines 20 thru 29</v>
      </c>
      <c r="K41" s="42">
        <f t="shared" si="2"/>
        <v>31</v>
      </c>
      <c r="M41" s="43"/>
      <c r="N41" s="43"/>
    </row>
    <row r="42" spans="1:14" s="469" customFormat="1" x14ac:dyDescent="0.45">
      <c r="A42" s="42">
        <f t="shared" si="0"/>
        <v>32</v>
      </c>
      <c r="B42" s="112"/>
      <c r="C42" s="43"/>
      <c r="D42" s="120"/>
      <c r="E42" s="120"/>
      <c r="F42" s="120"/>
      <c r="G42" s="121"/>
      <c r="H42" s="121"/>
      <c r="I42" s="122"/>
      <c r="J42" s="99"/>
      <c r="K42" s="42">
        <f t="shared" si="2"/>
        <v>32</v>
      </c>
      <c r="M42" s="43"/>
      <c r="N42" s="43"/>
    </row>
    <row r="43" spans="1:14" s="469" customFormat="1" ht="16.149999999999999" thickBot="1" x14ac:dyDescent="0.55000000000000004">
      <c r="A43" s="42">
        <f t="shared" si="0"/>
        <v>33</v>
      </c>
      <c r="B43" s="87"/>
      <c r="C43" s="469" t="s">
        <v>113</v>
      </c>
      <c r="D43" s="123">
        <f>D27+D41</f>
        <v>96429.353000000003</v>
      </c>
      <c r="E43" s="123">
        <f>+E27+E41</f>
        <v>52034.108819999994</v>
      </c>
      <c r="F43" s="123">
        <f>+F27+F41</f>
        <v>44395.244179999994</v>
      </c>
      <c r="G43" s="124" t="s">
        <v>16</v>
      </c>
      <c r="H43" s="125">
        <f>+H27+H41</f>
        <v>-2294.73</v>
      </c>
      <c r="I43" s="123">
        <f>I27+I41</f>
        <v>42100.514179999998</v>
      </c>
      <c r="J43" s="99" t="str">
        <f>"Line "&amp;A27&amp;" + Line "&amp;A41</f>
        <v>Line 17 + Line 31</v>
      </c>
      <c r="K43" s="42">
        <f t="shared" si="2"/>
        <v>33</v>
      </c>
      <c r="M43" s="43"/>
      <c r="N43" s="43"/>
    </row>
    <row r="44" spans="1:14" s="469" customFormat="1" ht="15.75" thickTop="1" x14ac:dyDescent="0.45">
      <c r="A44" s="42">
        <f t="shared" si="0"/>
        <v>34</v>
      </c>
      <c r="B44" s="87"/>
      <c r="D44" s="122"/>
      <c r="E44" s="122"/>
      <c r="F44" s="122"/>
      <c r="G44" s="121"/>
      <c r="H44" s="121"/>
      <c r="I44" s="122"/>
      <c r="J44" s="99"/>
      <c r="K44" s="42">
        <f t="shared" si="2"/>
        <v>34</v>
      </c>
      <c r="M44" s="43"/>
      <c r="N44" s="43"/>
    </row>
    <row r="45" spans="1:14" s="469" customFormat="1" ht="17.25" x14ac:dyDescent="0.45">
      <c r="A45" s="42">
        <f t="shared" si="0"/>
        <v>35</v>
      </c>
      <c r="B45" s="96">
        <v>413</v>
      </c>
      <c r="C45" s="43" t="s">
        <v>328</v>
      </c>
      <c r="D45" s="589">
        <v>649.19449999999995</v>
      </c>
      <c r="E45" s="589">
        <v>0</v>
      </c>
      <c r="F45" s="589">
        <f>D45-E45</f>
        <v>649.19449999999995</v>
      </c>
      <c r="G45" s="590"/>
      <c r="H45" s="374"/>
      <c r="I45" s="589">
        <f>F45+H45</f>
        <v>649.19449999999995</v>
      </c>
      <c r="J45" s="141"/>
      <c r="K45" s="42">
        <f t="shared" si="2"/>
        <v>35</v>
      </c>
      <c r="M45" s="43"/>
      <c r="N45" s="43"/>
    </row>
    <row r="46" spans="1:14" s="469" customFormat="1" x14ac:dyDescent="0.45">
      <c r="A46" s="42">
        <f t="shared" si="0"/>
        <v>36</v>
      </c>
      <c r="B46" s="87"/>
      <c r="D46" s="122"/>
      <c r="E46" s="122"/>
      <c r="F46" s="122"/>
      <c r="G46" s="121"/>
      <c r="H46" s="121"/>
      <c r="I46" s="122"/>
      <c r="J46" s="99"/>
      <c r="K46" s="42">
        <f t="shared" si="2"/>
        <v>36</v>
      </c>
      <c r="M46" s="43"/>
      <c r="N46" s="43"/>
    </row>
    <row r="47" spans="1:14" s="469" customFormat="1" ht="16.149999999999999" thickBot="1" x14ac:dyDescent="0.55000000000000004">
      <c r="A47" s="42">
        <f t="shared" si="0"/>
        <v>37</v>
      </c>
      <c r="B47" s="87"/>
      <c r="C47" s="469" t="s">
        <v>329</v>
      </c>
      <c r="D47" s="123">
        <f>D43+D45</f>
        <v>97078.547500000001</v>
      </c>
      <c r="E47" s="123">
        <f>E43+E45</f>
        <v>52034.108819999994</v>
      </c>
      <c r="F47" s="123">
        <f>F43+F45</f>
        <v>45044.438679999992</v>
      </c>
      <c r="G47" s="124" t="s">
        <v>16</v>
      </c>
      <c r="H47" s="125">
        <f>H43+H45</f>
        <v>-2294.73</v>
      </c>
      <c r="I47" s="123">
        <f>I43+I45</f>
        <v>42749.708679999996</v>
      </c>
      <c r="J47" s="99" t="str">
        <f>"Line "&amp;A43&amp;" + Line "&amp;A45</f>
        <v>Line 33 + Line 35</v>
      </c>
      <c r="K47" s="42">
        <f t="shared" si="2"/>
        <v>37</v>
      </c>
      <c r="M47" s="43"/>
      <c r="N47" s="43"/>
    </row>
    <row r="48" spans="1:14" ht="16.149999999999999" thickTop="1" thickBot="1" x14ac:dyDescent="0.5">
      <c r="A48" s="42">
        <f t="shared" si="0"/>
        <v>38</v>
      </c>
      <c r="B48" s="126"/>
      <c r="C48" s="127"/>
      <c r="D48" s="128"/>
      <c r="E48" s="129"/>
      <c r="F48" s="128"/>
      <c r="G48" s="130"/>
      <c r="H48" s="130"/>
      <c r="I48" s="128"/>
      <c r="J48" s="131"/>
      <c r="K48" s="42">
        <f t="shared" si="2"/>
        <v>38</v>
      </c>
      <c r="L48" s="57"/>
    </row>
    <row r="49" spans="1:12" x14ac:dyDescent="0.45">
      <c r="A49" s="42">
        <f t="shared" si="0"/>
        <v>39</v>
      </c>
      <c r="B49" s="132"/>
      <c r="D49" s="133"/>
      <c r="E49" s="114"/>
      <c r="F49" s="133"/>
      <c r="G49" s="133"/>
      <c r="H49" s="133"/>
      <c r="I49" s="133"/>
      <c r="J49" s="134"/>
      <c r="K49" s="42">
        <f t="shared" si="2"/>
        <v>39</v>
      </c>
    </row>
    <row r="50" spans="1:12" s="20" customFormat="1" x14ac:dyDescent="0.45">
      <c r="A50" s="42">
        <f t="shared" si="0"/>
        <v>40</v>
      </c>
      <c r="B50" s="407" t="s">
        <v>330</v>
      </c>
      <c r="D50" s="408"/>
      <c r="E50" s="409"/>
      <c r="F50" s="408"/>
      <c r="G50" s="408"/>
      <c r="H50" s="408"/>
      <c r="I50" s="408"/>
      <c r="J50" s="21"/>
      <c r="K50" s="42">
        <f t="shared" si="2"/>
        <v>40</v>
      </c>
      <c r="L50" s="24"/>
    </row>
    <row r="51" spans="1:12" s="20" customFormat="1" x14ac:dyDescent="0.45">
      <c r="A51" s="42">
        <f t="shared" si="0"/>
        <v>41</v>
      </c>
      <c r="B51" s="410" t="s">
        <v>114</v>
      </c>
      <c r="C51" s="20" t="s">
        <v>115</v>
      </c>
      <c r="D51" s="408"/>
      <c r="E51" s="411">
        <v>132.11562000000001</v>
      </c>
      <c r="F51" s="408"/>
      <c r="G51" s="408"/>
      <c r="H51" s="408"/>
      <c r="I51" s="408"/>
      <c r="J51" s="21"/>
      <c r="K51" s="42">
        <f t="shared" si="2"/>
        <v>41</v>
      </c>
    </row>
    <row r="52" spans="1:12" s="20" customFormat="1" x14ac:dyDescent="0.45">
      <c r="A52" s="42">
        <f t="shared" si="0"/>
        <v>42</v>
      </c>
      <c r="B52" s="410">
        <v>561.4</v>
      </c>
      <c r="C52" s="20" t="s">
        <v>116</v>
      </c>
      <c r="D52" s="408"/>
      <c r="E52" s="31">
        <v>5093.2442599999995</v>
      </c>
      <c r="F52" s="412"/>
      <c r="G52" s="412"/>
      <c r="H52" s="412"/>
      <c r="I52" s="412"/>
      <c r="J52" s="21"/>
      <c r="K52" s="42">
        <f t="shared" si="2"/>
        <v>42</v>
      </c>
    </row>
    <row r="53" spans="1:12" s="20" customFormat="1" x14ac:dyDescent="0.45">
      <c r="A53" s="42">
        <f t="shared" si="0"/>
        <v>43</v>
      </c>
      <c r="B53" s="410">
        <v>561.79999999999995</v>
      </c>
      <c r="C53" s="20" t="s">
        <v>117</v>
      </c>
      <c r="D53" s="408"/>
      <c r="E53" s="31">
        <v>2418.7412800000002</v>
      </c>
      <c r="F53" s="412"/>
      <c r="G53" s="412"/>
      <c r="H53" s="412"/>
      <c r="I53" s="412"/>
      <c r="J53" s="21"/>
      <c r="K53" s="42">
        <f t="shared" si="2"/>
        <v>43</v>
      </c>
    </row>
    <row r="54" spans="1:12" s="20" customFormat="1" ht="17.649999999999999" x14ac:dyDescent="0.45">
      <c r="A54" s="42">
        <f t="shared" si="0"/>
        <v>44</v>
      </c>
      <c r="B54" s="410">
        <v>562</v>
      </c>
      <c r="C54" s="413" t="s">
        <v>324</v>
      </c>
      <c r="D54" s="408"/>
      <c r="E54" s="31">
        <v>6283.7089999999998</v>
      </c>
      <c r="F54" s="412"/>
      <c r="G54" s="412"/>
      <c r="H54" s="412"/>
      <c r="I54" s="412"/>
      <c r="J54" s="21"/>
      <c r="K54" s="42">
        <f t="shared" si="2"/>
        <v>44</v>
      </c>
    </row>
    <row r="55" spans="1:12" s="20" customFormat="1" x14ac:dyDescent="0.45">
      <c r="A55" s="42">
        <f t="shared" si="0"/>
        <v>45</v>
      </c>
      <c r="B55" s="410">
        <v>564</v>
      </c>
      <c r="C55" s="413" t="s">
        <v>354</v>
      </c>
      <c r="D55" s="408"/>
      <c r="E55" s="31">
        <v>12.191000000000001</v>
      </c>
      <c r="F55" s="412"/>
      <c r="G55" s="412"/>
      <c r="H55" s="412"/>
      <c r="I55" s="412"/>
      <c r="J55" s="21"/>
      <c r="K55" s="42">
        <f t="shared" si="2"/>
        <v>45</v>
      </c>
    </row>
    <row r="56" spans="1:12" s="20" customFormat="1" x14ac:dyDescent="0.45">
      <c r="A56" s="42">
        <f t="shared" si="0"/>
        <v>46</v>
      </c>
      <c r="B56" s="410">
        <v>565</v>
      </c>
      <c r="C56" s="20" t="s">
        <v>118</v>
      </c>
      <c r="D56" s="408"/>
      <c r="E56" s="31">
        <v>0</v>
      </c>
      <c r="F56" s="412"/>
      <c r="G56" s="412"/>
      <c r="H56" s="412"/>
      <c r="I56" s="412"/>
      <c r="J56" s="21"/>
      <c r="K56" s="42">
        <f t="shared" si="2"/>
        <v>46</v>
      </c>
    </row>
    <row r="57" spans="1:12" s="20" customFormat="1" x14ac:dyDescent="0.45">
      <c r="A57" s="42">
        <f t="shared" si="0"/>
        <v>47</v>
      </c>
      <c r="B57" s="410">
        <v>566</v>
      </c>
      <c r="C57" s="20" t="s">
        <v>331</v>
      </c>
      <c r="D57" s="408"/>
      <c r="E57" s="31"/>
      <c r="F57" s="408"/>
      <c r="G57" s="408"/>
      <c r="H57" s="408"/>
      <c r="I57" s="408"/>
      <c r="J57" s="21"/>
      <c r="K57" s="42">
        <f t="shared" si="2"/>
        <v>47</v>
      </c>
    </row>
    <row r="58" spans="1:12" s="20" customFormat="1" x14ac:dyDescent="0.45">
      <c r="A58" s="42">
        <f t="shared" si="0"/>
        <v>48</v>
      </c>
      <c r="B58" s="414"/>
      <c r="C58" s="20" t="s">
        <v>332</v>
      </c>
      <c r="D58" s="34">
        <v>251.79454000000001</v>
      </c>
      <c r="E58" s="31"/>
      <c r="F58" s="408"/>
      <c r="G58" s="408"/>
      <c r="H58" s="408"/>
      <c r="I58" s="408"/>
      <c r="J58" s="21"/>
      <c r="K58" s="42">
        <f t="shared" si="2"/>
        <v>48</v>
      </c>
    </row>
    <row r="59" spans="1:12" s="20" customFormat="1" x14ac:dyDescent="0.45">
      <c r="A59" s="42">
        <f t="shared" si="0"/>
        <v>49</v>
      </c>
      <c r="B59" s="414"/>
      <c r="C59" s="20" t="s">
        <v>333</v>
      </c>
      <c r="D59" s="31">
        <v>0</v>
      </c>
      <c r="E59" s="31"/>
      <c r="F59" s="408"/>
      <c r="G59" s="408"/>
      <c r="H59" s="408"/>
      <c r="I59" s="408"/>
      <c r="J59" s="21"/>
      <c r="K59" s="42">
        <f t="shared" si="2"/>
        <v>49</v>
      </c>
    </row>
    <row r="60" spans="1:12" s="20" customFormat="1" x14ac:dyDescent="0.45">
      <c r="A60" s="42">
        <f t="shared" si="0"/>
        <v>50</v>
      </c>
      <c r="B60" s="414"/>
      <c r="C60" s="20" t="s">
        <v>334</v>
      </c>
      <c r="D60" s="31">
        <v>2588.4315500000002</v>
      </c>
      <c r="E60" s="31"/>
      <c r="F60" s="408"/>
      <c r="G60" s="408"/>
      <c r="H60" s="408"/>
      <c r="I60" s="408"/>
      <c r="J60" s="21"/>
      <c r="K60" s="42">
        <f t="shared" si="2"/>
        <v>50</v>
      </c>
    </row>
    <row r="61" spans="1:12" s="20" customFormat="1" x14ac:dyDescent="0.45">
      <c r="A61" s="42">
        <f t="shared" si="0"/>
        <v>51</v>
      </c>
      <c r="B61" s="414"/>
      <c r="C61" s="20" t="s">
        <v>335</v>
      </c>
      <c r="D61" s="31">
        <v>700.79813999999988</v>
      </c>
      <c r="E61" s="31"/>
      <c r="F61" s="408"/>
      <c r="G61" s="408"/>
      <c r="H61" s="408"/>
      <c r="I61" s="408"/>
      <c r="J61" s="21"/>
      <c r="K61" s="42">
        <f t="shared" si="2"/>
        <v>51</v>
      </c>
    </row>
    <row r="62" spans="1:12" s="20" customFormat="1" x14ac:dyDescent="0.45">
      <c r="A62" s="42">
        <f t="shared" si="0"/>
        <v>52</v>
      </c>
      <c r="B62" s="414"/>
      <c r="C62" s="20" t="s">
        <v>336</v>
      </c>
      <c r="D62" s="415">
        <v>-354.97856999999999</v>
      </c>
      <c r="E62" s="31">
        <f>SUM(D58:D62)</f>
        <v>3186.0456599999998</v>
      </c>
      <c r="F62" s="412"/>
      <c r="G62" s="412"/>
      <c r="H62" s="412"/>
      <c r="I62" s="412"/>
      <c r="J62" s="21"/>
      <c r="K62" s="42">
        <f t="shared" si="2"/>
        <v>52</v>
      </c>
    </row>
    <row r="63" spans="1:12" s="20" customFormat="1" ht="17.649999999999999" x14ac:dyDescent="0.45">
      <c r="A63" s="42">
        <f t="shared" si="0"/>
        <v>53</v>
      </c>
      <c r="B63" s="410">
        <v>570</v>
      </c>
      <c r="C63" s="416" t="s">
        <v>337</v>
      </c>
      <c r="D63" s="31"/>
      <c r="E63" s="31">
        <v>16048.173000000001</v>
      </c>
      <c r="F63" s="412"/>
      <c r="G63" s="412"/>
      <c r="H63" s="412"/>
      <c r="I63" s="412"/>
      <c r="J63" s="21"/>
      <c r="K63" s="42">
        <f t="shared" si="2"/>
        <v>53</v>
      </c>
    </row>
    <row r="64" spans="1:12" s="20" customFormat="1" ht="17.649999999999999" x14ac:dyDescent="0.45">
      <c r="A64" s="42">
        <f t="shared" si="0"/>
        <v>54</v>
      </c>
      <c r="B64" s="410">
        <v>571</v>
      </c>
      <c r="C64" s="416" t="s">
        <v>355</v>
      </c>
      <c r="D64" s="31"/>
      <c r="E64" s="31">
        <v>18139.88</v>
      </c>
      <c r="F64" s="412"/>
      <c r="G64" s="412"/>
      <c r="H64" s="412"/>
      <c r="I64" s="412"/>
      <c r="J64" s="21"/>
      <c r="K64" s="42">
        <f t="shared" si="2"/>
        <v>54</v>
      </c>
    </row>
    <row r="65" spans="1:12" s="20" customFormat="1" ht="17.649999999999999" x14ac:dyDescent="0.45">
      <c r="A65" s="42">
        <f t="shared" si="0"/>
        <v>55</v>
      </c>
      <c r="B65" s="410">
        <v>572</v>
      </c>
      <c r="C65" s="417" t="s">
        <v>356</v>
      </c>
      <c r="D65" s="31"/>
      <c r="E65" s="415">
        <v>720.00900000000001</v>
      </c>
      <c r="F65" s="408"/>
      <c r="G65" s="408"/>
      <c r="H65" s="408"/>
      <c r="I65" s="408"/>
      <c r="J65" s="21"/>
      <c r="K65" s="42">
        <f t="shared" si="2"/>
        <v>55</v>
      </c>
    </row>
    <row r="66" spans="1:12" s="20" customFormat="1" x14ac:dyDescent="0.45">
      <c r="A66" s="42">
        <f t="shared" si="0"/>
        <v>56</v>
      </c>
      <c r="B66" s="418"/>
      <c r="D66" s="408"/>
      <c r="E66" s="419"/>
      <c r="F66" s="408"/>
      <c r="G66" s="408"/>
      <c r="H66" s="408"/>
      <c r="I66" s="408"/>
      <c r="J66" s="21"/>
      <c r="K66" s="42">
        <f t="shared" si="2"/>
        <v>56</v>
      </c>
    </row>
    <row r="67" spans="1:12" s="20" customFormat="1" ht="15.75" thickBot="1" x14ac:dyDescent="0.5">
      <c r="A67" s="42">
        <f t="shared" si="0"/>
        <v>57</v>
      </c>
      <c r="B67" s="420"/>
      <c r="C67" s="421" t="s">
        <v>119</v>
      </c>
      <c r="D67" s="408"/>
      <c r="E67" s="35">
        <f>SUM(E51:E65)</f>
        <v>52034.108820000001</v>
      </c>
      <c r="F67" s="408"/>
      <c r="G67" s="408"/>
      <c r="H67" s="408"/>
      <c r="I67" s="408"/>
      <c r="J67" s="21"/>
      <c r="K67" s="42">
        <f t="shared" si="2"/>
        <v>57</v>
      </c>
    </row>
    <row r="68" spans="1:12" s="20" customFormat="1" ht="15.75" thickTop="1" x14ac:dyDescent="0.45">
      <c r="A68" s="42">
        <f t="shared" si="0"/>
        <v>58</v>
      </c>
      <c r="B68" s="420"/>
      <c r="C68" s="416"/>
      <c r="D68" s="408"/>
      <c r="E68" s="33"/>
      <c r="F68" s="408"/>
      <c r="G68" s="408"/>
      <c r="H68" s="408"/>
      <c r="I68" s="408"/>
      <c r="J68" s="21"/>
      <c r="K68" s="42">
        <f t="shared" si="2"/>
        <v>58</v>
      </c>
    </row>
    <row r="69" spans="1:12" s="20" customFormat="1" ht="15.75" x14ac:dyDescent="0.5">
      <c r="A69" s="42">
        <f t="shared" si="0"/>
        <v>59</v>
      </c>
      <c r="B69" s="73" t="s">
        <v>16</v>
      </c>
      <c r="C69" s="26" t="s">
        <v>350</v>
      </c>
      <c r="D69" s="408"/>
      <c r="E69" s="31"/>
      <c r="F69" s="408"/>
      <c r="G69" s="408"/>
      <c r="H69" s="408"/>
      <c r="I69" s="408"/>
      <c r="J69" s="21"/>
      <c r="K69" s="42">
        <f t="shared" si="2"/>
        <v>59</v>
      </c>
      <c r="L69" s="26"/>
    </row>
    <row r="70" spans="1:12" s="20" customFormat="1" ht="17.649999999999999" x14ac:dyDescent="0.45">
      <c r="A70" s="42">
        <f t="shared" si="0"/>
        <v>60</v>
      </c>
      <c r="B70" s="422">
        <v>1</v>
      </c>
      <c r="C70" s="416" t="s">
        <v>357</v>
      </c>
      <c r="D70" s="408"/>
      <c r="E70" s="32"/>
      <c r="F70" s="408"/>
      <c r="G70" s="408"/>
      <c r="H70" s="408"/>
      <c r="I70" s="408"/>
      <c r="J70" s="21"/>
      <c r="K70" s="42">
        <f t="shared" si="2"/>
        <v>60</v>
      </c>
    </row>
    <row r="71" spans="1:12" s="20" customFormat="1" ht="17.649999999999999" x14ac:dyDescent="0.45">
      <c r="A71" s="42">
        <f t="shared" si="0"/>
        <v>61</v>
      </c>
      <c r="B71" s="422"/>
      <c r="C71" s="416" t="s">
        <v>338</v>
      </c>
      <c r="D71" s="408"/>
      <c r="E71" s="32"/>
      <c r="F71" s="408"/>
      <c r="G71" s="408"/>
      <c r="H71" s="408"/>
      <c r="I71" s="408"/>
      <c r="J71" s="21"/>
      <c r="K71" s="42">
        <f t="shared" si="2"/>
        <v>61</v>
      </c>
    </row>
    <row r="72" spans="1:12" s="20" customFormat="1" ht="17.649999999999999" x14ac:dyDescent="0.45">
      <c r="A72" s="42">
        <f t="shared" si="0"/>
        <v>62</v>
      </c>
      <c r="B72" s="422">
        <v>2</v>
      </c>
      <c r="C72" s="416" t="s">
        <v>358</v>
      </c>
      <c r="E72" s="32"/>
      <c r="J72" s="21"/>
      <c r="K72" s="42">
        <f t="shared" si="2"/>
        <v>62</v>
      </c>
    </row>
    <row r="73" spans="1:12" s="20" customFormat="1" ht="17.649999999999999" x14ac:dyDescent="0.45">
      <c r="A73" s="42">
        <f t="shared" si="0"/>
        <v>63</v>
      </c>
      <c r="B73" s="422">
        <v>3</v>
      </c>
      <c r="C73" s="416" t="s">
        <v>703</v>
      </c>
      <c r="E73" s="32"/>
      <c r="J73" s="21"/>
      <c r="K73" s="42">
        <f t="shared" si="2"/>
        <v>63</v>
      </c>
    </row>
    <row r="74" spans="1:12" s="20" customFormat="1" ht="17.649999999999999" x14ac:dyDescent="0.45">
      <c r="A74" s="42">
        <f t="shared" si="0"/>
        <v>64</v>
      </c>
      <c r="B74" s="422"/>
      <c r="C74" s="416" t="s">
        <v>359</v>
      </c>
      <c r="E74" s="32"/>
      <c r="J74" s="21"/>
      <c r="K74" s="42">
        <f t="shared" si="2"/>
        <v>64</v>
      </c>
    </row>
    <row r="75" spans="1:12" s="20" customFormat="1" ht="17.649999999999999" x14ac:dyDescent="0.45">
      <c r="A75" s="42">
        <f t="shared" si="0"/>
        <v>65</v>
      </c>
      <c r="B75" s="422">
        <v>4</v>
      </c>
      <c r="C75" s="43" t="s">
        <v>720</v>
      </c>
      <c r="E75" s="32"/>
      <c r="J75" s="21"/>
      <c r="K75" s="42">
        <f t="shared" si="2"/>
        <v>65</v>
      </c>
    </row>
    <row r="76" spans="1:12" s="20" customFormat="1" ht="17.649999999999999" x14ac:dyDescent="0.45">
      <c r="A76" s="42">
        <f t="shared" si="0"/>
        <v>66</v>
      </c>
      <c r="B76" s="422"/>
      <c r="C76" s="43" t="s">
        <v>723</v>
      </c>
      <c r="E76" s="32"/>
      <c r="J76" s="21"/>
      <c r="K76" s="42">
        <f t="shared" si="2"/>
        <v>66</v>
      </c>
    </row>
    <row r="77" spans="1:12" ht="15.75" thickBot="1" x14ac:dyDescent="0.5">
      <c r="A77" s="42">
        <f t="shared" ref="A77" si="10">A76+1</f>
        <v>67</v>
      </c>
      <c r="B77" s="136"/>
      <c r="C77" s="127"/>
      <c r="D77" s="127"/>
      <c r="E77" s="137"/>
      <c r="F77" s="127"/>
      <c r="G77" s="127"/>
      <c r="H77" s="127"/>
      <c r="I77" s="127"/>
      <c r="J77" s="131"/>
      <c r="K77" s="42">
        <f t="shared" ref="K77" si="11">K76+1</f>
        <v>67</v>
      </c>
    </row>
    <row r="78" spans="1:12" x14ac:dyDescent="0.45">
      <c r="A78" s="42"/>
      <c r="B78" s="138"/>
    </row>
    <row r="79" spans="1:12" ht="17.25" x14ac:dyDescent="0.45">
      <c r="A79" s="42"/>
      <c r="B79" s="423"/>
      <c r="C79" s="20"/>
      <c r="D79" s="220"/>
      <c r="E79" s="220"/>
      <c r="F79" s="220"/>
      <c r="G79" s="220"/>
      <c r="H79" s="220"/>
      <c r="I79" s="220"/>
    </row>
    <row r="80" spans="1:12" ht="17.25" x14ac:dyDescent="0.45">
      <c r="A80" s="42"/>
      <c r="B80" s="423"/>
      <c r="C80" s="391"/>
      <c r="D80" s="220"/>
      <c r="E80" s="220"/>
      <c r="F80" s="220"/>
      <c r="G80" s="220"/>
      <c r="H80" s="220"/>
      <c r="I80" s="220"/>
    </row>
    <row r="81" spans="1:9" ht="17.25" x14ac:dyDescent="0.45">
      <c r="A81" s="42"/>
      <c r="B81" s="423"/>
      <c r="C81" s="391"/>
      <c r="D81" s="220"/>
      <c r="E81" s="220"/>
      <c r="F81" s="220"/>
      <c r="G81" s="220"/>
      <c r="H81" s="220"/>
      <c r="I81" s="220"/>
    </row>
    <row r="82" spans="1:9" x14ac:dyDescent="0.45">
      <c r="A82" s="42"/>
      <c r="B82" s="138"/>
    </row>
    <row r="83" spans="1:9" x14ac:dyDescent="0.45">
      <c r="A83" s="42"/>
      <c r="B83" s="138"/>
    </row>
    <row r="84" spans="1:9" x14ac:dyDescent="0.45">
      <c r="A84" s="42"/>
      <c r="B84" s="138"/>
    </row>
    <row r="85" spans="1:9" x14ac:dyDescent="0.45">
      <c r="A85" s="42"/>
      <c r="B85" s="138"/>
    </row>
    <row r="86" spans="1:9" x14ac:dyDescent="0.45">
      <c r="A86" s="42"/>
      <c r="B86" s="138"/>
    </row>
    <row r="87" spans="1:9" x14ac:dyDescent="0.45">
      <c r="A87" s="42"/>
      <c r="B87" s="138"/>
    </row>
    <row r="88" spans="1:9" x14ac:dyDescent="0.45">
      <c r="A88" s="42"/>
      <c r="B88" s="138"/>
    </row>
    <row r="89" spans="1:9" x14ac:dyDescent="0.45">
      <c r="A89" s="42"/>
      <c r="B89" s="138"/>
    </row>
    <row r="90" spans="1:9" x14ac:dyDescent="0.45">
      <c r="A90" s="42"/>
      <c r="B90" s="138"/>
    </row>
    <row r="91" spans="1:9" x14ac:dyDescent="0.45">
      <c r="A91" s="42"/>
      <c r="B91" s="138"/>
      <c r="E91" s="43"/>
    </row>
    <row r="92" spans="1:9" x14ac:dyDescent="0.45">
      <c r="A92" s="42"/>
      <c r="B92" s="138"/>
      <c r="E92" s="43"/>
    </row>
    <row r="93" spans="1:9" x14ac:dyDescent="0.45">
      <c r="A93" s="42"/>
      <c r="B93" s="138"/>
      <c r="E93" s="43"/>
    </row>
    <row r="94" spans="1:9" x14ac:dyDescent="0.45">
      <c r="A94" s="42"/>
      <c r="B94" s="138"/>
      <c r="E94" s="43"/>
    </row>
    <row r="95" spans="1:9" x14ac:dyDescent="0.45">
      <c r="A95" s="42"/>
      <c r="B95" s="138"/>
      <c r="E95" s="43"/>
    </row>
    <row r="96" spans="1:9" x14ac:dyDescent="0.45">
      <c r="A96" s="42"/>
      <c r="B96" s="138"/>
      <c r="E96" s="43"/>
    </row>
    <row r="97" spans="1:5" x14ac:dyDescent="0.45">
      <c r="A97" s="42"/>
      <c r="B97" s="138"/>
      <c r="E97" s="43"/>
    </row>
    <row r="98" spans="1:5" x14ac:dyDescent="0.45">
      <c r="A98" s="42"/>
      <c r="B98" s="138"/>
      <c r="E98" s="43"/>
    </row>
    <row r="99" spans="1:5" x14ac:dyDescent="0.45">
      <c r="A99" s="42"/>
      <c r="B99" s="138"/>
      <c r="E99" s="43"/>
    </row>
    <row r="100" spans="1:5" x14ac:dyDescent="0.45">
      <c r="A100" s="42"/>
      <c r="B100" s="138"/>
      <c r="E100" s="43"/>
    </row>
    <row r="101" spans="1:5" x14ac:dyDescent="0.45">
      <c r="A101" s="42"/>
      <c r="B101" s="138"/>
      <c r="E101" s="43"/>
    </row>
    <row r="102" spans="1:5" x14ac:dyDescent="0.45">
      <c r="A102" s="42"/>
      <c r="B102" s="138"/>
      <c r="E102" s="43"/>
    </row>
    <row r="103" spans="1:5" x14ac:dyDescent="0.45">
      <c r="A103" s="42"/>
      <c r="B103" s="138"/>
      <c r="E103" s="43"/>
    </row>
    <row r="104" spans="1:5" x14ac:dyDescent="0.45">
      <c r="A104" s="42"/>
      <c r="B104" s="138"/>
      <c r="E104" s="43"/>
    </row>
    <row r="105" spans="1:5" x14ac:dyDescent="0.45">
      <c r="B105" s="138"/>
      <c r="E105" s="43"/>
    </row>
    <row r="106" spans="1:5" x14ac:dyDescent="0.45">
      <c r="B106" s="138"/>
      <c r="E106" s="43"/>
    </row>
    <row r="107" spans="1:5" x14ac:dyDescent="0.45">
      <c r="B107" s="138"/>
      <c r="E107" s="43"/>
    </row>
    <row r="108" spans="1:5" x14ac:dyDescent="0.45">
      <c r="B108" s="138"/>
      <c r="E108" s="43"/>
    </row>
    <row r="109" spans="1:5" x14ac:dyDescent="0.45">
      <c r="B109" s="138"/>
      <c r="E109" s="43"/>
    </row>
    <row r="110" spans="1:5" x14ac:dyDescent="0.45">
      <c r="B110" s="138"/>
      <c r="E110" s="43"/>
    </row>
    <row r="111" spans="1:5" x14ac:dyDescent="0.45">
      <c r="B111" s="138"/>
      <c r="E111" s="43"/>
    </row>
    <row r="112" spans="1:5" x14ac:dyDescent="0.45">
      <c r="B112" s="138"/>
      <c r="E112" s="43"/>
    </row>
    <row r="113" spans="2:5" x14ac:dyDescent="0.45">
      <c r="B113" s="138"/>
      <c r="E113" s="43"/>
    </row>
    <row r="114" spans="2:5" x14ac:dyDescent="0.45">
      <c r="B114" s="138"/>
      <c r="E114" s="43"/>
    </row>
    <row r="115" spans="2:5" x14ac:dyDescent="0.45">
      <c r="B115" s="138"/>
      <c r="E115" s="43"/>
    </row>
    <row r="116" spans="2:5" x14ac:dyDescent="0.45">
      <c r="B116" s="138"/>
      <c r="E116" s="43"/>
    </row>
    <row r="117" spans="2:5" x14ac:dyDescent="0.45">
      <c r="B117" s="138"/>
      <c r="E117" s="43"/>
    </row>
    <row r="118" spans="2:5" x14ac:dyDescent="0.45">
      <c r="B118" s="138"/>
      <c r="E118" s="43"/>
    </row>
    <row r="119" spans="2:5" x14ac:dyDescent="0.45">
      <c r="B119" s="138"/>
      <c r="E119" s="43"/>
    </row>
    <row r="120" spans="2:5" x14ac:dyDescent="0.45">
      <c r="B120" s="138"/>
      <c r="E120" s="43"/>
    </row>
    <row r="121" spans="2:5" x14ac:dyDescent="0.45">
      <c r="B121" s="138"/>
      <c r="E121" s="43"/>
    </row>
    <row r="122" spans="2:5" x14ac:dyDescent="0.45">
      <c r="B122" s="138"/>
      <c r="E122" s="43"/>
    </row>
    <row r="123" spans="2:5" x14ac:dyDescent="0.45">
      <c r="B123" s="138"/>
      <c r="E123" s="43"/>
    </row>
    <row r="124" spans="2:5" x14ac:dyDescent="0.45">
      <c r="B124" s="138"/>
      <c r="E124" s="43"/>
    </row>
    <row r="125" spans="2:5" x14ac:dyDescent="0.45">
      <c r="B125" s="138"/>
      <c r="E125" s="43"/>
    </row>
    <row r="126" spans="2:5" x14ac:dyDescent="0.45">
      <c r="B126" s="138"/>
      <c r="E126" s="43"/>
    </row>
    <row r="127" spans="2:5" x14ac:dyDescent="0.45">
      <c r="B127" s="138"/>
      <c r="E127" s="43"/>
    </row>
    <row r="128" spans="2:5" x14ac:dyDescent="0.45">
      <c r="B128" s="138"/>
      <c r="E128" s="43"/>
    </row>
    <row r="129" spans="2:5" x14ac:dyDescent="0.45">
      <c r="B129" s="138"/>
      <c r="E129" s="43"/>
    </row>
    <row r="130" spans="2:5" x14ac:dyDescent="0.45">
      <c r="B130" s="138"/>
      <c r="E130" s="43"/>
    </row>
    <row r="131" spans="2:5" x14ac:dyDescent="0.45">
      <c r="B131" s="138"/>
      <c r="E131" s="43"/>
    </row>
    <row r="132" spans="2:5" x14ac:dyDescent="0.45">
      <c r="B132" s="138"/>
      <c r="E132" s="43"/>
    </row>
    <row r="133" spans="2:5" x14ac:dyDescent="0.45">
      <c r="B133" s="138"/>
      <c r="E133" s="43"/>
    </row>
    <row r="134" spans="2:5" x14ac:dyDescent="0.45">
      <c r="B134" s="138"/>
      <c r="E134" s="43"/>
    </row>
    <row r="135" spans="2:5" x14ac:dyDescent="0.45">
      <c r="B135" s="138"/>
      <c r="E135" s="43"/>
    </row>
    <row r="136" spans="2:5" x14ac:dyDescent="0.45">
      <c r="B136" s="138"/>
      <c r="E136" s="43"/>
    </row>
    <row r="137" spans="2:5" x14ac:dyDescent="0.45">
      <c r="B137" s="138"/>
      <c r="E137" s="43"/>
    </row>
    <row r="138" spans="2:5" x14ac:dyDescent="0.45">
      <c r="B138" s="138"/>
      <c r="E138" s="43"/>
    </row>
    <row r="139" spans="2:5" x14ac:dyDescent="0.45">
      <c r="B139" s="138"/>
      <c r="E139" s="43"/>
    </row>
    <row r="140" spans="2:5" x14ac:dyDescent="0.45">
      <c r="B140" s="138"/>
      <c r="E140" s="43"/>
    </row>
    <row r="141" spans="2:5" x14ac:dyDescent="0.45">
      <c r="B141" s="138"/>
      <c r="E141" s="43"/>
    </row>
    <row r="142" spans="2:5" x14ac:dyDescent="0.45">
      <c r="B142" s="138"/>
      <c r="E142" s="43"/>
    </row>
    <row r="143" spans="2:5" x14ac:dyDescent="0.45">
      <c r="B143" s="138"/>
      <c r="E143" s="43"/>
    </row>
    <row r="144" spans="2:5" x14ac:dyDescent="0.45">
      <c r="B144" s="138"/>
      <c r="E144" s="43"/>
    </row>
    <row r="145" spans="2:5" x14ac:dyDescent="0.45">
      <c r="B145" s="138"/>
      <c r="E145" s="43"/>
    </row>
    <row r="146" spans="2:5" x14ac:dyDescent="0.45">
      <c r="B146" s="138"/>
      <c r="E146" s="43"/>
    </row>
    <row r="147" spans="2:5" x14ac:dyDescent="0.45">
      <c r="B147" s="138"/>
      <c r="E147" s="43"/>
    </row>
    <row r="148" spans="2:5" x14ac:dyDescent="0.45">
      <c r="B148" s="138"/>
      <c r="E148" s="43"/>
    </row>
    <row r="149" spans="2:5" x14ac:dyDescent="0.45">
      <c r="B149" s="138"/>
      <c r="E149" s="43"/>
    </row>
    <row r="150" spans="2:5" x14ac:dyDescent="0.45">
      <c r="B150" s="138"/>
      <c r="E150" s="43"/>
    </row>
    <row r="151" spans="2:5" x14ac:dyDescent="0.45">
      <c r="B151" s="138"/>
      <c r="E151" s="43"/>
    </row>
    <row r="152" spans="2:5" x14ac:dyDescent="0.45">
      <c r="B152" s="138"/>
      <c r="E152" s="43"/>
    </row>
    <row r="153" spans="2:5" x14ac:dyDescent="0.45">
      <c r="B153" s="138"/>
      <c r="E153" s="43"/>
    </row>
    <row r="154" spans="2:5" x14ac:dyDescent="0.45">
      <c r="B154" s="138"/>
      <c r="E154" s="43"/>
    </row>
    <row r="155" spans="2:5" x14ac:dyDescent="0.45">
      <c r="B155" s="138"/>
      <c r="E155" s="43"/>
    </row>
    <row r="156" spans="2:5" x14ac:dyDescent="0.45">
      <c r="B156" s="138"/>
      <c r="E156" s="43"/>
    </row>
    <row r="157" spans="2:5" x14ac:dyDescent="0.45">
      <c r="B157" s="138"/>
      <c r="E157" s="43"/>
    </row>
    <row r="158" spans="2:5" x14ac:dyDescent="0.45">
      <c r="B158" s="138"/>
      <c r="E158" s="43"/>
    </row>
    <row r="159" spans="2:5" x14ac:dyDescent="0.45">
      <c r="B159" s="138"/>
      <c r="E159" s="43"/>
    </row>
    <row r="160" spans="2:5" x14ac:dyDescent="0.45">
      <c r="B160" s="138"/>
      <c r="E160" s="43"/>
    </row>
    <row r="161" spans="2:5" x14ac:dyDescent="0.45">
      <c r="B161" s="138"/>
      <c r="E161" s="43"/>
    </row>
    <row r="162" spans="2:5" x14ac:dyDescent="0.45">
      <c r="B162" s="138"/>
      <c r="E162" s="43"/>
    </row>
    <row r="163" spans="2:5" x14ac:dyDescent="0.45">
      <c r="B163" s="138"/>
      <c r="E163" s="43"/>
    </row>
    <row r="164" spans="2:5" x14ac:dyDescent="0.45">
      <c r="B164" s="138"/>
      <c r="E164" s="43"/>
    </row>
    <row r="165" spans="2:5" x14ac:dyDescent="0.45">
      <c r="B165" s="138"/>
      <c r="E165" s="43"/>
    </row>
    <row r="166" spans="2:5" x14ac:dyDescent="0.45">
      <c r="B166" s="138"/>
      <c r="E166" s="43"/>
    </row>
    <row r="167" spans="2:5" x14ac:dyDescent="0.45">
      <c r="B167" s="138"/>
      <c r="E167" s="43"/>
    </row>
    <row r="168" spans="2:5" x14ac:dyDescent="0.45">
      <c r="B168" s="138"/>
      <c r="E168" s="43"/>
    </row>
    <row r="169" spans="2:5" x14ac:dyDescent="0.45">
      <c r="B169" s="138"/>
      <c r="E169" s="43"/>
    </row>
    <row r="170" spans="2:5" x14ac:dyDescent="0.45">
      <c r="B170" s="138"/>
      <c r="E170" s="43"/>
    </row>
    <row r="171" spans="2:5" x14ac:dyDescent="0.45">
      <c r="B171" s="138"/>
      <c r="E171" s="43"/>
    </row>
    <row r="172" spans="2:5" x14ac:dyDescent="0.45">
      <c r="B172" s="138"/>
      <c r="E172" s="43"/>
    </row>
    <row r="173" spans="2:5" x14ac:dyDescent="0.45">
      <c r="B173" s="138"/>
      <c r="E173" s="43"/>
    </row>
    <row r="174" spans="2:5" x14ac:dyDescent="0.45">
      <c r="B174" s="138"/>
      <c r="E174" s="43"/>
    </row>
    <row r="175" spans="2:5" x14ac:dyDescent="0.45">
      <c r="B175" s="138"/>
      <c r="E175" s="43"/>
    </row>
    <row r="176" spans="2:5" x14ac:dyDescent="0.45">
      <c r="B176" s="138"/>
      <c r="E176" s="43"/>
    </row>
    <row r="177" spans="2:5" x14ac:dyDescent="0.45">
      <c r="B177" s="138"/>
      <c r="E177" s="43"/>
    </row>
    <row r="178" spans="2:5" x14ac:dyDescent="0.45">
      <c r="B178" s="138"/>
      <c r="E178" s="43"/>
    </row>
    <row r="179" spans="2:5" x14ac:dyDescent="0.45">
      <c r="B179" s="138"/>
      <c r="E179" s="43"/>
    </row>
    <row r="180" spans="2:5" x14ac:dyDescent="0.45">
      <c r="B180" s="138"/>
      <c r="E180" s="43"/>
    </row>
    <row r="181" spans="2:5" x14ac:dyDescent="0.45">
      <c r="B181" s="138"/>
      <c r="E181" s="43"/>
    </row>
    <row r="182" spans="2:5" x14ac:dyDescent="0.45">
      <c r="B182" s="138"/>
      <c r="E182" s="43"/>
    </row>
    <row r="183" spans="2:5" x14ac:dyDescent="0.45">
      <c r="B183" s="138"/>
      <c r="E183" s="43"/>
    </row>
    <row r="184" spans="2:5" x14ac:dyDescent="0.45">
      <c r="B184" s="138"/>
      <c r="E184" s="43"/>
    </row>
    <row r="185" spans="2:5" x14ac:dyDescent="0.45">
      <c r="B185" s="138"/>
      <c r="E185" s="43"/>
    </row>
    <row r="186" spans="2:5" x14ac:dyDescent="0.45">
      <c r="B186" s="138"/>
      <c r="E186" s="43"/>
    </row>
    <row r="187" spans="2:5" x14ac:dyDescent="0.45">
      <c r="B187" s="138"/>
      <c r="E187" s="43"/>
    </row>
    <row r="188" spans="2:5" x14ac:dyDescent="0.45">
      <c r="B188" s="138"/>
      <c r="E188" s="43"/>
    </row>
    <row r="189" spans="2:5" x14ac:dyDescent="0.45">
      <c r="B189" s="138"/>
      <c r="E189" s="43"/>
    </row>
    <row r="190" spans="2:5" x14ac:dyDescent="0.45">
      <c r="B190" s="138"/>
      <c r="E190" s="43"/>
    </row>
    <row r="191" spans="2:5" x14ac:dyDescent="0.45">
      <c r="B191" s="138"/>
      <c r="E191" s="43"/>
    </row>
    <row r="192" spans="2:5" x14ac:dyDescent="0.45">
      <c r="B192" s="138"/>
      <c r="E192" s="43"/>
    </row>
    <row r="193" spans="2:5" x14ac:dyDescent="0.45">
      <c r="B193" s="138"/>
      <c r="E193" s="43"/>
    </row>
    <row r="194" spans="2:5" x14ac:dyDescent="0.45">
      <c r="B194" s="138"/>
      <c r="E194" s="43"/>
    </row>
    <row r="195" spans="2:5" x14ac:dyDescent="0.45">
      <c r="B195" s="138"/>
      <c r="E195" s="43"/>
    </row>
    <row r="196" spans="2:5" x14ac:dyDescent="0.45">
      <c r="B196" s="138"/>
      <c r="E196" s="43"/>
    </row>
    <row r="197" spans="2:5" x14ac:dyDescent="0.45">
      <c r="B197" s="138"/>
      <c r="E197" s="43"/>
    </row>
    <row r="198" spans="2:5" x14ac:dyDescent="0.45">
      <c r="B198" s="138"/>
      <c r="E198" s="43"/>
    </row>
    <row r="199" spans="2:5" x14ac:dyDescent="0.45">
      <c r="B199" s="138"/>
      <c r="E199" s="43"/>
    </row>
    <row r="200" spans="2:5" x14ac:dyDescent="0.45">
      <c r="B200" s="138"/>
      <c r="E200" s="43"/>
    </row>
    <row r="201" spans="2:5" x14ac:dyDescent="0.45">
      <c r="B201" s="138"/>
      <c r="E201" s="43"/>
    </row>
    <row r="202" spans="2:5" x14ac:dyDescent="0.45">
      <c r="B202" s="138"/>
      <c r="E202" s="43"/>
    </row>
    <row r="203" spans="2:5" x14ac:dyDescent="0.45">
      <c r="B203" s="138"/>
      <c r="E203" s="43"/>
    </row>
    <row r="204" spans="2:5" x14ac:dyDescent="0.45">
      <c r="B204" s="138"/>
      <c r="E204" s="43"/>
    </row>
    <row r="205" spans="2:5" x14ac:dyDescent="0.45">
      <c r="B205" s="138"/>
      <c r="E205" s="43"/>
    </row>
    <row r="206" spans="2:5" x14ac:dyDescent="0.45">
      <c r="B206" s="138"/>
      <c r="E206" s="43"/>
    </row>
    <row r="207" spans="2:5" x14ac:dyDescent="0.45">
      <c r="B207" s="138"/>
      <c r="E207" s="43"/>
    </row>
    <row r="208" spans="2:5" x14ac:dyDescent="0.45">
      <c r="B208" s="138"/>
      <c r="E208" s="43"/>
    </row>
    <row r="209" spans="2:5" x14ac:dyDescent="0.45">
      <c r="B209" s="138"/>
      <c r="E209" s="43"/>
    </row>
    <row r="210" spans="2:5" x14ac:dyDescent="0.45">
      <c r="B210" s="138"/>
      <c r="E210" s="43"/>
    </row>
    <row r="211" spans="2:5" x14ac:dyDescent="0.45">
      <c r="B211" s="138"/>
      <c r="E211" s="43"/>
    </row>
    <row r="212" spans="2:5" x14ac:dyDescent="0.45">
      <c r="B212" s="138"/>
      <c r="E212" s="43"/>
    </row>
    <row r="213" spans="2:5" x14ac:dyDescent="0.45">
      <c r="B213" s="138"/>
      <c r="E213" s="43"/>
    </row>
    <row r="214" spans="2:5" x14ac:dyDescent="0.45">
      <c r="B214" s="138"/>
      <c r="E214" s="43"/>
    </row>
    <row r="215" spans="2:5" x14ac:dyDescent="0.45">
      <c r="B215" s="138"/>
      <c r="E215" s="43"/>
    </row>
    <row r="216" spans="2:5" x14ac:dyDescent="0.45">
      <c r="B216" s="138"/>
      <c r="E216" s="43"/>
    </row>
    <row r="217" spans="2:5" x14ac:dyDescent="0.45">
      <c r="B217" s="138"/>
      <c r="E217" s="43"/>
    </row>
    <row r="218" spans="2:5" x14ac:dyDescent="0.45">
      <c r="B218" s="138"/>
      <c r="E218" s="43"/>
    </row>
    <row r="219" spans="2:5" x14ac:dyDescent="0.45">
      <c r="B219" s="138"/>
      <c r="E219" s="43"/>
    </row>
    <row r="220" spans="2:5" x14ac:dyDescent="0.45">
      <c r="B220" s="138"/>
      <c r="E220" s="43"/>
    </row>
    <row r="221" spans="2:5" x14ac:dyDescent="0.45">
      <c r="B221" s="138"/>
      <c r="E221" s="43"/>
    </row>
    <row r="222" spans="2:5" x14ac:dyDescent="0.45">
      <c r="B222" s="138"/>
      <c r="E222" s="43"/>
    </row>
    <row r="223" spans="2:5" x14ac:dyDescent="0.45">
      <c r="B223" s="138"/>
      <c r="E223" s="43"/>
    </row>
    <row r="224" spans="2:5" x14ac:dyDescent="0.45">
      <c r="B224" s="138"/>
      <c r="E224" s="43"/>
    </row>
    <row r="225" spans="2:5" x14ac:dyDescent="0.45">
      <c r="B225" s="138"/>
      <c r="E225" s="43"/>
    </row>
    <row r="226" spans="2:5" x14ac:dyDescent="0.45">
      <c r="B226" s="138"/>
      <c r="E226" s="43"/>
    </row>
    <row r="227" spans="2:5" x14ac:dyDescent="0.45">
      <c r="B227" s="138"/>
      <c r="E227" s="43"/>
    </row>
    <row r="228" spans="2:5" x14ac:dyDescent="0.45">
      <c r="B228" s="138"/>
      <c r="E228" s="43"/>
    </row>
    <row r="229" spans="2:5" x14ac:dyDescent="0.45">
      <c r="B229" s="138"/>
      <c r="E229" s="43"/>
    </row>
    <row r="230" spans="2:5" x14ac:dyDescent="0.45">
      <c r="B230" s="138"/>
      <c r="E230" s="43"/>
    </row>
    <row r="231" spans="2:5" x14ac:dyDescent="0.45">
      <c r="B231" s="138"/>
      <c r="E231" s="43"/>
    </row>
    <row r="232" spans="2:5" x14ac:dyDescent="0.45">
      <c r="B232" s="138"/>
      <c r="E232" s="43"/>
    </row>
    <row r="233" spans="2:5" x14ac:dyDescent="0.45">
      <c r="B233" s="138"/>
      <c r="E233" s="43"/>
    </row>
    <row r="234" spans="2:5" x14ac:dyDescent="0.45">
      <c r="B234" s="138"/>
      <c r="E234" s="43"/>
    </row>
    <row r="235" spans="2:5" x14ac:dyDescent="0.45">
      <c r="B235" s="138"/>
      <c r="E235" s="43"/>
    </row>
    <row r="236" spans="2:5" x14ac:dyDescent="0.45">
      <c r="B236" s="138"/>
      <c r="E236" s="43"/>
    </row>
    <row r="237" spans="2:5" x14ac:dyDescent="0.45">
      <c r="B237" s="138"/>
      <c r="E237" s="43"/>
    </row>
    <row r="238" spans="2:5" x14ac:dyDescent="0.45">
      <c r="B238" s="138"/>
      <c r="E238" s="43"/>
    </row>
    <row r="239" spans="2:5" x14ac:dyDescent="0.45">
      <c r="B239" s="138"/>
      <c r="E239" s="43"/>
    </row>
    <row r="240" spans="2:5" x14ac:dyDescent="0.45">
      <c r="B240" s="138"/>
      <c r="E240" s="43"/>
    </row>
    <row r="241" spans="2:5" x14ac:dyDescent="0.45">
      <c r="B241" s="138"/>
      <c r="E241" s="43"/>
    </row>
    <row r="242" spans="2:5" x14ac:dyDescent="0.45">
      <c r="B242" s="138"/>
      <c r="E242" s="43"/>
    </row>
    <row r="243" spans="2:5" x14ac:dyDescent="0.45">
      <c r="B243" s="138"/>
      <c r="E243" s="43"/>
    </row>
    <row r="244" spans="2:5" x14ac:dyDescent="0.45">
      <c r="B244" s="138"/>
      <c r="E244" s="43"/>
    </row>
    <row r="245" spans="2:5" x14ac:dyDescent="0.45">
      <c r="B245" s="138"/>
      <c r="E245" s="43"/>
    </row>
    <row r="246" spans="2:5" x14ac:dyDescent="0.45">
      <c r="B246" s="138"/>
      <c r="E246" s="43"/>
    </row>
    <row r="247" spans="2:5" x14ac:dyDescent="0.45">
      <c r="B247" s="138"/>
      <c r="E247" s="43"/>
    </row>
    <row r="248" spans="2:5" x14ac:dyDescent="0.45">
      <c r="B248" s="138"/>
      <c r="E248" s="43"/>
    </row>
    <row r="249" spans="2:5" x14ac:dyDescent="0.45">
      <c r="B249" s="138"/>
      <c r="E249" s="43"/>
    </row>
    <row r="250" spans="2:5" x14ac:dyDescent="0.45">
      <c r="B250" s="138"/>
      <c r="E250" s="43"/>
    </row>
    <row r="251" spans="2:5" x14ac:dyDescent="0.45">
      <c r="B251" s="138"/>
      <c r="E251" s="43"/>
    </row>
    <row r="252" spans="2:5" x14ac:dyDescent="0.45">
      <c r="B252" s="138"/>
      <c r="E252" s="43"/>
    </row>
    <row r="253" spans="2:5" x14ac:dyDescent="0.45">
      <c r="B253" s="138"/>
      <c r="E253" s="43"/>
    </row>
    <row r="254" spans="2:5" x14ac:dyDescent="0.45">
      <c r="B254" s="138"/>
      <c r="E254" s="43"/>
    </row>
    <row r="255" spans="2:5" x14ac:dyDescent="0.45">
      <c r="B255" s="138"/>
      <c r="E255" s="43"/>
    </row>
    <row r="256" spans="2:5" x14ac:dyDescent="0.45">
      <c r="B256" s="138"/>
      <c r="E256" s="43"/>
    </row>
    <row r="257" spans="2:5" x14ac:dyDescent="0.45">
      <c r="B257" s="138"/>
      <c r="E257" s="43"/>
    </row>
    <row r="258" spans="2:5" x14ac:dyDescent="0.45">
      <c r="B258" s="138"/>
      <c r="E258" s="43"/>
    </row>
    <row r="259" spans="2:5" x14ac:dyDescent="0.45">
      <c r="B259" s="138"/>
      <c r="E259" s="43"/>
    </row>
    <row r="260" spans="2:5" x14ac:dyDescent="0.45">
      <c r="B260" s="138"/>
      <c r="E260" s="43"/>
    </row>
    <row r="261" spans="2:5" x14ac:dyDescent="0.45">
      <c r="B261" s="138"/>
      <c r="E261" s="43"/>
    </row>
    <row r="262" spans="2:5" x14ac:dyDescent="0.45">
      <c r="B262" s="138"/>
      <c r="E262" s="43"/>
    </row>
    <row r="263" spans="2:5" x14ac:dyDescent="0.45">
      <c r="B263" s="138"/>
      <c r="E263" s="43"/>
    </row>
    <row r="264" spans="2:5" x14ac:dyDescent="0.45">
      <c r="B264" s="138"/>
      <c r="E264" s="43"/>
    </row>
    <row r="265" spans="2:5" x14ac:dyDescent="0.45">
      <c r="B265" s="138"/>
      <c r="E265" s="43"/>
    </row>
    <row r="266" spans="2:5" x14ac:dyDescent="0.45">
      <c r="B266" s="138"/>
      <c r="E266" s="43"/>
    </row>
    <row r="267" spans="2:5" x14ac:dyDescent="0.45">
      <c r="B267" s="138"/>
      <c r="E267" s="43"/>
    </row>
    <row r="268" spans="2:5" x14ac:dyDescent="0.45">
      <c r="B268" s="138"/>
      <c r="E268" s="43"/>
    </row>
    <row r="269" spans="2:5" x14ac:dyDescent="0.45">
      <c r="B269" s="138"/>
      <c r="E269" s="43"/>
    </row>
    <row r="270" spans="2:5" x14ac:dyDescent="0.45">
      <c r="B270" s="138"/>
      <c r="E270" s="43"/>
    </row>
    <row r="271" spans="2:5" x14ac:dyDescent="0.45">
      <c r="B271" s="138"/>
      <c r="E271" s="43"/>
    </row>
    <row r="272" spans="2:5" x14ac:dyDescent="0.45">
      <c r="B272" s="138"/>
      <c r="E272" s="43"/>
    </row>
    <row r="273" spans="2:5" x14ac:dyDescent="0.45">
      <c r="B273" s="138"/>
      <c r="E273" s="43"/>
    </row>
    <row r="274" spans="2:5" x14ac:dyDescent="0.45">
      <c r="B274" s="138"/>
      <c r="E274" s="43"/>
    </row>
    <row r="275" spans="2:5" x14ac:dyDescent="0.45">
      <c r="B275" s="138"/>
      <c r="E275" s="43"/>
    </row>
    <row r="276" spans="2:5" x14ac:dyDescent="0.45">
      <c r="B276" s="138"/>
      <c r="E276" s="43"/>
    </row>
    <row r="277" spans="2:5" x14ac:dyDescent="0.45">
      <c r="B277" s="138"/>
      <c r="E277" s="43"/>
    </row>
    <row r="278" spans="2:5" x14ac:dyDescent="0.45">
      <c r="B278" s="138"/>
      <c r="E278" s="43"/>
    </row>
    <row r="279" spans="2:5" x14ac:dyDescent="0.45">
      <c r="B279" s="138"/>
      <c r="E279" s="43"/>
    </row>
    <row r="280" spans="2:5" x14ac:dyDescent="0.45">
      <c r="B280" s="138"/>
      <c r="E280" s="43"/>
    </row>
    <row r="281" spans="2:5" x14ac:dyDescent="0.45">
      <c r="B281" s="138"/>
      <c r="E281" s="43"/>
    </row>
    <row r="282" spans="2:5" x14ac:dyDescent="0.45">
      <c r="B282" s="138"/>
      <c r="E282" s="43"/>
    </row>
    <row r="283" spans="2:5" x14ac:dyDescent="0.45">
      <c r="B283" s="138"/>
      <c r="E283" s="43"/>
    </row>
    <row r="284" spans="2:5" x14ac:dyDescent="0.45">
      <c r="B284" s="138"/>
      <c r="E284" s="43"/>
    </row>
    <row r="285" spans="2:5" x14ac:dyDescent="0.45">
      <c r="B285" s="138"/>
      <c r="E285" s="43"/>
    </row>
    <row r="286" spans="2:5" x14ac:dyDescent="0.45">
      <c r="B286" s="138"/>
      <c r="E286" s="43"/>
    </row>
    <row r="287" spans="2:5" x14ac:dyDescent="0.45">
      <c r="B287" s="138"/>
      <c r="E287" s="43"/>
    </row>
    <row r="288" spans="2:5" x14ac:dyDescent="0.45">
      <c r="B288" s="138"/>
      <c r="E288" s="43"/>
    </row>
    <row r="289" spans="2:5" x14ac:dyDescent="0.45">
      <c r="B289" s="138"/>
      <c r="E289" s="43"/>
    </row>
    <row r="290" spans="2:5" x14ac:dyDescent="0.45">
      <c r="B290" s="138"/>
      <c r="E290" s="43"/>
    </row>
    <row r="291" spans="2:5" x14ac:dyDescent="0.45">
      <c r="B291" s="138"/>
      <c r="E291" s="43"/>
    </row>
    <row r="292" spans="2:5" x14ac:dyDescent="0.45">
      <c r="B292" s="138"/>
      <c r="E292" s="43"/>
    </row>
    <row r="293" spans="2:5" x14ac:dyDescent="0.45">
      <c r="B293" s="138"/>
      <c r="E293" s="43"/>
    </row>
    <row r="294" spans="2:5" x14ac:dyDescent="0.45">
      <c r="B294" s="138"/>
      <c r="E294" s="43"/>
    </row>
    <row r="295" spans="2:5" x14ac:dyDescent="0.45">
      <c r="B295" s="138"/>
      <c r="E295" s="43"/>
    </row>
    <row r="296" spans="2:5" x14ac:dyDescent="0.45">
      <c r="B296" s="138"/>
      <c r="E296" s="43"/>
    </row>
    <row r="297" spans="2:5" x14ac:dyDescent="0.45">
      <c r="B297" s="138"/>
      <c r="E297" s="43"/>
    </row>
    <row r="298" spans="2:5" x14ac:dyDescent="0.45">
      <c r="B298" s="138"/>
      <c r="E298" s="43"/>
    </row>
    <row r="299" spans="2:5" x14ac:dyDescent="0.45">
      <c r="B299" s="138"/>
      <c r="E299" s="43"/>
    </row>
    <row r="300" spans="2:5" x14ac:dyDescent="0.45">
      <c r="B300" s="138"/>
      <c r="E300" s="43"/>
    </row>
    <row r="301" spans="2:5" x14ac:dyDescent="0.45">
      <c r="B301" s="138"/>
      <c r="E301" s="43"/>
    </row>
    <row r="302" spans="2:5" x14ac:dyDescent="0.45">
      <c r="B302" s="138"/>
      <c r="E302" s="43"/>
    </row>
    <row r="303" spans="2:5" x14ac:dyDescent="0.45">
      <c r="B303" s="138"/>
      <c r="E303" s="43"/>
    </row>
    <row r="304" spans="2:5" x14ac:dyDescent="0.45">
      <c r="B304" s="138"/>
      <c r="E304" s="43"/>
    </row>
    <row r="305" spans="2:5" x14ac:dyDescent="0.45">
      <c r="B305" s="138"/>
      <c r="E305" s="43"/>
    </row>
    <row r="306" spans="2:5" x14ac:dyDescent="0.45">
      <c r="B306" s="138"/>
      <c r="E306" s="43"/>
    </row>
    <row r="307" spans="2:5" x14ac:dyDescent="0.45">
      <c r="B307" s="138"/>
      <c r="E307" s="43"/>
    </row>
    <row r="308" spans="2:5" x14ac:dyDescent="0.45">
      <c r="B308" s="138"/>
      <c r="E308" s="43"/>
    </row>
    <row r="309" spans="2:5" x14ac:dyDescent="0.45">
      <c r="B309" s="138"/>
      <c r="E309" s="43"/>
    </row>
    <row r="310" spans="2:5" x14ac:dyDescent="0.45">
      <c r="B310" s="138"/>
      <c r="E310" s="43"/>
    </row>
    <row r="311" spans="2:5" x14ac:dyDescent="0.45">
      <c r="B311" s="138"/>
      <c r="E311" s="43"/>
    </row>
    <row r="312" spans="2:5" x14ac:dyDescent="0.45">
      <c r="B312" s="138"/>
      <c r="E312" s="43"/>
    </row>
    <row r="313" spans="2:5" x14ac:dyDescent="0.45">
      <c r="B313" s="138"/>
      <c r="E313" s="43"/>
    </row>
    <row r="314" spans="2:5" x14ac:dyDescent="0.45">
      <c r="B314" s="138"/>
      <c r="E314" s="43"/>
    </row>
    <row r="315" spans="2:5" x14ac:dyDescent="0.45">
      <c r="B315" s="138"/>
      <c r="E315" s="43"/>
    </row>
    <row r="316" spans="2:5" x14ac:dyDescent="0.45">
      <c r="B316" s="138"/>
      <c r="E316" s="43"/>
    </row>
    <row r="317" spans="2:5" x14ac:dyDescent="0.45">
      <c r="B317" s="138"/>
      <c r="E317" s="43"/>
    </row>
    <row r="318" spans="2:5" x14ac:dyDescent="0.45">
      <c r="B318" s="138"/>
      <c r="E318" s="43"/>
    </row>
    <row r="319" spans="2:5" x14ac:dyDescent="0.45">
      <c r="B319" s="138"/>
      <c r="E319" s="43"/>
    </row>
    <row r="320" spans="2:5" x14ac:dyDescent="0.45">
      <c r="B320" s="138"/>
      <c r="E320" s="43"/>
    </row>
    <row r="321" spans="2:5" x14ac:dyDescent="0.45">
      <c r="B321" s="138"/>
      <c r="E321" s="43"/>
    </row>
    <row r="322" spans="2:5" x14ac:dyDescent="0.45">
      <c r="B322" s="138"/>
      <c r="E322" s="43"/>
    </row>
    <row r="323" spans="2:5" x14ac:dyDescent="0.45">
      <c r="B323" s="138"/>
      <c r="E323" s="43"/>
    </row>
    <row r="324" spans="2:5" x14ac:dyDescent="0.45">
      <c r="B324" s="138"/>
      <c r="E324" s="43"/>
    </row>
    <row r="325" spans="2:5" x14ac:dyDescent="0.45">
      <c r="B325" s="138"/>
      <c r="E325" s="43"/>
    </row>
    <row r="326" spans="2:5" x14ac:dyDescent="0.45">
      <c r="B326" s="138"/>
      <c r="E326" s="43"/>
    </row>
    <row r="327" spans="2:5" x14ac:dyDescent="0.45">
      <c r="B327" s="138"/>
      <c r="E327" s="43"/>
    </row>
    <row r="328" spans="2:5" x14ac:dyDescent="0.45">
      <c r="B328" s="138"/>
      <c r="E328" s="43"/>
    </row>
    <row r="329" spans="2:5" x14ac:dyDescent="0.45">
      <c r="B329" s="138"/>
      <c r="E329" s="43"/>
    </row>
    <row r="330" spans="2:5" x14ac:dyDescent="0.45">
      <c r="B330" s="138"/>
      <c r="E330" s="43"/>
    </row>
    <row r="331" spans="2:5" x14ac:dyDescent="0.45">
      <c r="B331" s="138"/>
      <c r="E331" s="43"/>
    </row>
    <row r="332" spans="2:5" x14ac:dyDescent="0.45">
      <c r="B332" s="138"/>
      <c r="E332" s="43"/>
    </row>
    <row r="333" spans="2:5" x14ac:dyDescent="0.45">
      <c r="B333" s="138"/>
      <c r="E333" s="43"/>
    </row>
    <row r="334" spans="2:5" x14ac:dyDescent="0.45">
      <c r="B334" s="138"/>
      <c r="E334" s="43"/>
    </row>
    <row r="335" spans="2:5" x14ac:dyDescent="0.45">
      <c r="B335" s="138"/>
      <c r="E335" s="43"/>
    </row>
    <row r="336" spans="2:5" x14ac:dyDescent="0.45">
      <c r="B336" s="138"/>
      <c r="E336" s="43"/>
    </row>
    <row r="337" spans="2:5" x14ac:dyDescent="0.45">
      <c r="B337" s="138"/>
      <c r="E337" s="43"/>
    </row>
    <row r="338" spans="2:5" x14ac:dyDescent="0.45">
      <c r="B338" s="138"/>
      <c r="E338" s="43"/>
    </row>
    <row r="339" spans="2:5" x14ac:dyDescent="0.45">
      <c r="B339" s="138"/>
      <c r="E339" s="43"/>
    </row>
    <row r="340" spans="2:5" x14ac:dyDescent="0.45">
      <c r="B340" s="138"/>
      <c r="E340" s="43"/>
    </row>
    <row r="341" spans="2:5" x14ac:dyDescent="0.45">
      <c r="B341" s="138"/>
      <c r="E341" s="43"/>
    </row>
    <row r="342" spans="2:5" x14ac:dyDescent="0.45">
      <c r="B342" s="138"/>
      <c r="E342" s="43"/>
    </row>
    <row r="343" spans="2:5" x14ac:dyDescent="0.45">
      <c r="B343" s="138"/>
      <c r="E343" s="43"/>
    </row>
    <row r="344" spans="2:5" x14ac:dyDescent="0.45">
      <c r="B344" s="138"/>
      <c r="E344" s="43"/>
    </row>
    <row r="345" spans="2:5" x14ac:dyDescent="0.45">
      <c r="B345" s="138"/>
      <c r="E345" s="43"/>
    </row>
    <row r="346" spans="2:5" x14ac:dyDescent="0.45">
      <c r="B346" s="138"/>
      <c r="E346" s="43"/>
    </row>
    <row r="347" spans="2:5" x14ac:dyDescent="0.45">
      <c r="B347" s="138"/>
      <c r="E347" s="43"/>
    </row>
    <row r="348" spans="2:5" x14ac:dyDescent="0.45">
      <c r="B348" s="138"/>
      <c r="E348" s="43"/>
    </row>
    <row r="349" spans="2:5" x14ac:dyDescent="0.45">
      <c r="B349" s="138"/>
      <c r="E349" s="43"/>
    </row>
    <row r="350" spans="2:5" x14ac:dyDescent="0.45">
      <c r="B350" s="138"/>
      <c r="E350" s="43"/>
    </row>
    <row r="351" spans="2:5" x14ac:dyDescent="0.45">
      <c r="B351" s="138"/>
      <c r="E351" s="43"/>
    </row>
    <row r="352" spans="2:5" x14ac:dyDescent="0.45">
      <c r="B352" s="138"/>
      <c r="E352" s="43"/>
    </row>
    <row r="353" spans="2:5" x14ac:dyDescent="0.45">
      <c r="B353" s="138"/>
      <c r="E353" s="43"/>
    </row>
    <row r="354" spans="2:5" x14ac:dyDescent="0.45">
      <c r="B354" s="138"/>
      <c r="E354" s="43"/>
    </row>
    <row r="355" spans="2:5" x14ac:dyDescent="0.45">
      <c r="B355" s="138"/>
      <c r="E355" s="43"/>
    </row>
    <row r="356" spans="2:5" x14ac:dyDescent="0.45">
      <c r="B356" s="138"/>
      <c r="E356" s="43"/>
    </row>
    <row r="357" spans="2:5" x14ac:dyDescent="0.45">
      <c r="B357" s="138"/>
      <c r="E357" s="43"/>
    </row>
    <row r="358" spans="2:5" x14ac:dyDescent="0.45">
      <c r="B358" s="138"/>
      <c r="E358" s="43"/>
    </row>
    <row r="359" spans="2:5" x14ac:dyDescent="0.45">
      <c r="B359" s="138"/>
      <c r="E359" s="43"/>
    </row>
    <row r="360" spans="2:5" x14ac:dyDescent="0.45">
      <c r="B360" s="138"/>
      <c r="E360" s="43"/>
    </row>
    <row r="361" spans="2:5" x14ac:dyDescent="0.45">
      <c r="B361" s="138"/>
      <c r="E361" s="43"/>
    </row>
    <row r="362" spans="2:5" x14ac:dyDescent="0.45">
      <c r="B362" s="138"/>
      <c r="E362" s="43"/>
    </row>
    <row r="363" spans="2:5" x14ac:dyDescent="0.45">
      <c r="B363" s="138"/>
      <c r="E363" s="43"/>
    </row>
    <row r="364" spans="2:5" x14ac:dyDescent="0.45">
      <c r="B364" s="138"/>
      <c r="E364" s="43"/>
    </row>
    <row r="365" spans="2:5" x14ac:dyDescent="0.45">
      <c r="B365" s="138"/>
      <c r="E365" s="43"/>
    </row>
    <row r="366" spans="2:5" x14ac:dyDescent="0.45">
      <c r="B366" s="138"/>
      <c r="E366" s="43"/>
    </row>
    <row r="367" spans="2:5" x14ac:dyDescent="0.45">
      <c r="B367" s="138"/>
      <c r="E367" s="43"/>
    </row>
    <row r="368" spans="2:5" x14ac:dyDescent="0.45">
      <c r="B368" s="138"/>
      <c r="E368" s="43"/>
    </row>
    <row r="369" spans="2:5" x14ac:dyDescent="0.45">
      <c r="B369" s="138"/>
      <c r="E369" s="43"/>
    </row>
    <row r="370" spans="2:5" x14ac:dyDescent="0.45">
      <c r="B370" s="138"/>
      <c r="E370" s="43"/>
    </row>
    <row r="371" spans="2:5" x14ac:dyDescent="0.45">
      <c r="B371" s="138"/>
      <c r="E371" s="43"/>
    </row>
    <row r="372" spans="2:5" x14ac:dyDescent="0.45">
      <c r="B372" s="138"/>
      <c r="E372" s="43"/>
    </row>
    <row r="373" spans="2:5" x14ac:dyDescent="0.45">
      <c r="B373" s="138"/>
      <c r="E373" s="43"/>
    </row>
    <row r="374" spans="2:5" x14ac:dyDescent="0.45">
      <c r="B374" s="138"/>
      <c r="E374" s="43"/>
    </row>
    <row r="375" spans="2:5" x14ac:dyDescent="0.45">
      <c r="B375" s="138"/>
      <c r="E375" s="43"/>
    </row>
    <row r="376" spans="2:5" x14ac:dyDescent="0.45">
      <c r="B376" s="138"/>
      <c r="E376" s="43"/>
    </row>
    <row r="377" spans="2:5" x14ac:dyDescent="0.45">
      <c r="B377" s="138"/>
      <c r="E377" s="43"/>
    </row>
    <row r="378" spans="2:5" x14ac:dyDescent="0.45">
      <c r="B378" s="138"/>
      <c r="E378" s="43"/>
    </row>
    <row r="379" spans="2:5" x14ac:dyDescent="0.45">
      <c r="B379" s="138"/>
      <c r="E379" s="43"/>
    </row>
    <row r="380" spans="2:5" x14ac:dyDescent="0.45">
      <c r="B380" s="138"/>
      <c r="E380" s="43"/>
    </row>
    <row r="381" spans="2:5" x14ac:dyDescent="0.45">
      <c r="B381" s="138"/>
      <c r="E381" s="43"/>
    </row>
    <row r="382" spans="2:5" x14ac:dyDescent="0.45">
      <c r="B382" s="138"/>
      <c r="E382" s="43"/>
    </row>
    <row r="383" spans="2:5" x14ac:dyDescent="0.45">
      <c r="B383" s="138"/>
      <c r="E383" s="43"/>
    </row>
    <row r="384" spans="2:5" x14ac:dyDescent="0.45">
      <c r="B384" s="138"/>
      <c r="E384" s="43"/>
    </row>
    <row r="385" spans="2:5" x14ac:dyDescent="0.45">
      <c r="B385" s="138"/>
      <c r="E385" s="43"/>
    </row>
    <row r="386" spans="2:5" x14ac:dyDescent="0.45">
      <c r="B386" s="138"/>
      <c r="E386" s="43"/>
    </row>
    <row r="387" spans="2:5" x14ac:dyDescent="0.45">
      <c r="B387" s="138"/>
      <c r="E387" s="43"/>
    </row>
    <row r="388" spans="2:5" x14ac:dyDescent="0.45">
      <c r="B388" s="138"/>
      <c r="E388" s="43"/>
    </row>
    <row r="389" spans="2:5" x14ac:dyDescent="0.45">
      <c r="B389" s="138"/>
      <c r="E389" s="43"/>
    </row>
    <row r="390" spans="2:5" x14ac:dyDescent="0.45">
      <c r="B390" s="138"/>
      <c r="E390" s="43"/>
    </row>
    <row r="391" spans="2:5" x14ac:dyDescent="0.45">
      <c r="B391" s="138"/>
      <c r="E391" s="43"/>
    </row>
    <row r="392" spans="2:5" x14ac:dyDescent="0.45">
      <c r="B392" s="138"/>
      <c r="E392" s="43"/>
    </row>
    <row r="393" spans="2:5" x14ac:dyDescent="0.45">
      <c r="B393" s="138"/>
      <c r="E393" s="43"/>
    </row>
    <row r="394" spans="2:5" x14ac:dyDescent="0.45">
      <c r="B394" s="138"/>
      <c r="E394" s="43"/>
    </row>
    <row r="395" spans="2:5" x14ac:dyDescent="0.45">
      <c r="B395" s="138"/>
      <c r="E395" s="43"/>
    </row>
    <row r="396" spans="2:5" x14ac:dyDescent="0.45">
      <c r="B396" s="138"/>
      <c r="E396" s="43"/>
    </row>
    <row r="397" spans="2:5" x14ac:dyDescent="0.45">
      <c r="B397" s="138"/>
      <c r="E397" s="43"/>
    </row>
    <row r="398" spans="2:5" x14ac:dyDescent="0.45">
      <c r="B398" s="138"/>
      <c r="E398" s="43"/>
    </row>
    <row r="399" spans="2:5" x14ac:dyDescent="0.45">
      <c r="B399" s="138"/>
      <c r="E399" s="43"/>
    </row>
    <row r="400" spans="2:5" x14ac:dyDescent="0.45">
      <c r="B400" s="138"/>
      <c r="E400" s="43"/>
    </row>
    <row r="401" spans="2:5" x14ac:dyDescent="0.45">
      <c r="B401" s="138"/>
      <c r="E401" s="43"/>
    </row>
    <row r="402" spans="2:5" x14ac:dyDescent="0.45">
      <c r="B402" s="138"/>
      <c r="E402" s="43"/>
    </row>
    <row r="403" spans="2:5" x14ac:dyDescent="0.45">
      <c r="B403" s="138"/>
      <c r="E403" s="43"/>
    </row>
    <row r="404" spans="2:5" x14ac:dyDescent="0.45">
      <c r="B404" s="138"/>
      <c r="E404" s="43"/>
    </row>
    <row r="405" spans="2:5" x14ac:dyDescent="0.45">
      <c r="B405" s="138"/>
      <c r="E405" s="43"/>
    </row>
    <row r="406" spans="2:5" x14ac:dyDescent="0.45">
      <c r="B406" s="138"/>
      <c r="E406" s="43"/>
    </row>
    <row r="407" spans="2:5" x14ac:dyDescent="0.45">
      <c r="B407" s="138"/>
      <c r="E407" s="43"/>
    </row>
    <row r="408" spans="2:5" x14ac:dyDescent="0.45">
      <c r="B408" s="138"/>
      <c r="E408" s="43"/>
    </row>
    <row r="409" spans="2:5" x14ac:dyDescent="0.45">
      <c r="B409" s="138"/>
      <c r="E409" s="43"/>
    </row>
    <row r="410" spans="2:5" x14ac:dyDescent="0.45">
      <c r="B410" s="138"/>
      <c r="E410" s="43"/>
    </row>
    <row r="411" spans="2:5" x14ac:dyDescent="0.45">
      <c r="B411" s="138"/>
      <c r="E411" s="43"/>
    </row>
    <row r="412" spans="2:5" x14ac:dyDescent="0.45">
      <c r="B412" s="138"/>
      <c r="E412" s="43"/>
    </row>
    <row r="413" spans="2:5" x14ac:dyDescent="0.45">
      <c r="B413" s="138"/>
      <c r="E413" s="43"/>
    </row>
    <row r="414" spans="2:5" x14ac:dyDescent="0.45">
      <c r="B414" s="138"/>
      <c r="E414" s="43"/>
    </row>
    <row r="415" spans="2:5" x14ac:dyDescent="0.45">
      <c r="B415" s="138"/>
      <c r="E415" s="43"/>
    </row>
    <row r="416" spans="2:5" x14ac:dyDescent="0.45">
      <c r="B416" s="138"/>
      <c r="E416" s="43"/>
    </row>
    <row r="417" spans="2:5" x14ac:dyDescent="0.45">
      <c r="B417" s="138"/>
      <c r="E417" s="43"/>
    </row>
    <row r="418" spans="2:5" x14ac:dyDescent="0.45">
      <c r="B418" s="138"/>
      <c r="E418" s="43"/>
    </row>
    <row r="419" spans="2:5" x14ac:dyDescent="0.45">
      <c r="B419" s="138"/>
      <c r="E419" s="43"/>
    </row>
    <row r="420" spans="2:5" x14ac:dyDescent="0.45">
      <c r="B420" s="138"/>
      <c r="E420" s="43"/>
    </row>
    <row r="421" spans="2:5" x14ac:dyDescent="0.45">
      <c r="B421" s="138"/>
      <c r="E421" s="43"/>
    </row>
    <row r="422" spans="2:5" x14ac:dyDescent="0.45">
      <c r="B422" s="138"/>
      <c r="E422" s="43"/>
    </row>
    <row r="423" spans="2:5" x14ac:dyDescent="0.45">
      <c r="B423" s="138"/>
      <c r="E423" s="43"/>
    </row>
    <row r="424" spans="2:5" x14ac:dyDescent="0.45">
      <c r="B424" s="138"/>
      <c r="E424" s="43"/>
    </row>
    <row r="425" spans="2:5" x14ac:dyDescent="0.45">
      <c r="B425" s="138"/>
      <c r="E425" s="43"/>
    </row>
    <row r="426" spans="2:5" x14ac:dyDescent="0.45">
      <c r="B426" s="138"/>
      <c r="E426" s="43"/>
    </row>
    <row r="427" spans="2:5" x14ac:dyDescent="0.45">
      <c r="B427" s="138"/>
      <c r="E427" s="43"/>
    </row>
    <row r="428" spans="2:5" x14ac:dyDescent="0.45">
      <c r="B428" s="138"/>
      <c r="E428" s="43"/>
    </row>
    <row r="429" spans="2:5" x14ac:dyDescent="0.45">
      <c r="B429" s="138"/>
      <c r="E429" s="43"/>
    </row>
    <row r="430" spans="2:5" x14ac:dyDescent="0.45">
      <c r="B430" s="138"/>
      <c r="E430" s="43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51" orientation="portrait" r:id="rId1"/>
  <headerFooter scaleWithDoc="0" alignWithMargins="0">
    <oddHeader>&amp;C&amp;"Times New Roman,Bold"REVISED</oddHeader>
    <oddFooter>&amp;CPage 8.1&amp;R&amp;F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1:O86"/>
  <sheetViews>
    <sheetView zoomScale="80" zoomScaleNormal="80" workbookViewId="0"/>
  </sheetViews>
  <sheetFormatPr defaultColWidth="9.19921875" defaultRowHeight="15.4" x14ac:dyDescent="0.45"/>
  <cols>
    <col min="1" max="1" width="5.19921875" style="656" customWidth="1"/>
    <col min="2" max="2" width="8.53125" style="657" customWidth="1"/>
    <col min="3" max="3" width="68.73046875" style="657" customWidth="1"/>
    <col min="4" max="6" width="16.796875" style="657" customWidth="1"/>
    <col min="7" max="7" width="1.59765625" style="657" customWidth="1"/>
    <col min="8" max="8" width="16.796875" style="657" customWidth="1"/>
    <col min="9" max="9" width="2.59765625" style="657" customWidth="1"/>
    <col min="10" max="10" width="16.796875" style="657" customWidth="1"/>
    <col min="11" max="11" width="30.59765625" style="657" customWidth="1"/>
    <col min="12" max="12" width="5.19921875" style="656" customWidth="1"/>
    <col min="13" max="13" width="4" style="657" customWidth="1"/>
    <col min="14" max="14" width="13.265625" style="657" bestFit="1" customWidth="1"/>
    <col min="15" max="15" width="9.19921875" style="657"/>
    <col min="16" max="16" width="9.73046875" style="657" customWidth="1"/>
    <col min="17" max="17" width="10" style="657" customWidth="1"/>
    <col min="18" max="16384" width="9.19921875" style="657"/>
  </cols>
  <sheetData>
    <row r="1" spans="1:15" x14ac:dyDescent="0.45">
      <c r="K1" s="44"/>
    </row>
    <row r="2" spans="1:15" x14ac:dyDescent="0.45">
      <c r="B2" s="963" t="s">
        <v>21</v>
      </c>
      <c r="C2" s="963"/>
      <c r="D2" s="963"/>
      <c r="E2" s="963"/>
      <c r="F2" s="963"/>
      <c r="G2" s="963"/>
      <c r="H2" s="963"/>
      <c r="I2" s="963"/>
      <c r="J2" s="963"/>
      <c r="K2" s="963"/>
      <c r="L2" s="658"/>
    </row>
    <row r="3" spans="1:15" x14ac:dyDescent="0.45">
      <c r="B3" s="963" t="s">
        <v>460</v>
      </c>
      <c r="C3" s="963"/>
      <c r="D3" s="963"/>
      <c r="E3" s="963"/>
      <c r="F3" s="963"/>
      <c r="G3" s="963"/>
      <c r="H3" s="963"/>
      <c r="I3" s="963"/>
      <c r="J3" s="963"/>
      <c r="K3" s="963"/>
      <c r="L3" s="658"/>
    </row>
    <row r="4" spans="1:15" x14ac:dyDescent="0.45">
      <c r="B4" s="963" t="s">
        <v>702</v>
      </c>
      <c r="C4" s="963"/>
      <c r="D4" s="963"/>
      <c r="E4" s="963"/>
      <c r="F4" s="963"/>
      <c r="G4" s="963"/>
      <c r="H4" s="963"/>
      <c r="I4" s="963"/>
      <c r="J4" s="963"/>
      <c r="K4" s="963"/>
      <c r="L4" s="658"/>
    </row>
    <row r="5" spans="1:15" x14ac:dyDescent="0.45">
      <c r="B5" s="964" t="s">
        <v>1</v>
      </c>
      <c r="C5" s="964"/>
      <c r="D5" s="964"/>
      <c r="E5" s="964"/>
      <c r="F5" s="964"/>
      <c r="G5" s="964"/>
      <c r="H5" s="964"/>
      <c r="I5" s="964"/>
      <c r="J5" s="964"/>
      <c r="K5" s="964"/>
      <c r="L5" s="658"/>
    </row>
    <row r="6" spans="1:15" ht="15.75" thickBot="1" x14ac:dyDescent="0.5">
      <c r="D6" s="659"/>
      <c r="E6" s="659"/>
      <c r="F6" s="659"/>
      <c r="G6" s="659"/>
      <c r="H6" s="659"/>
      <c r="I6" s="659"/>
      <c r="J6" s="659"/>
      <c r="K6" s="659"/>
      <c r="N6" s="43"/>
    </row>
    <row r="7" spans="1:15" ht="17.25" x14ac:dyDescent="0.4">
      <c r="A7" s="658"/>
      <c r="B7" s="660"/>
      <c r="C7" s="661"/>
      <c r="D7" s="662" t="s">
        <v>10</v>
      </c>
      <c r="E7" s="663" t="s">
        <v>54</v>
      </c>
      <c r="F7" s="662" t="s">
        <v>55</v>
      </c>
      <c r="G7" s="663"/>
      <c r="H7" s="652" t="s">
        <v>461</v>
      </c>
      <c r="I7" s="85"/>
      <c r="J7" s="85" t="s">
        <v>56</v>
      </c>
      <c r="K7" s="664"/>
      <c r="L7" s="658"/>
    </row>
    <row r="8" spans="1:15" x14ac:dyDescent="0.4">
      <c r="A8" s="656" t="s">
        <v>2</v>
      </c>
      <c r="B8" s="665" t="s">
        <v>57</v>
      </c>
      <c r="C8" s="666"/>
      <c r="D8" s="667" t="s">
        <v>9</v>
      </c>
      <c r="E8" s="658" t="s">
        <v>58</v>
      </c>
      <c r="F8" s="667" t="s">
        <v>9</v>
      </c>
      <c r="G8" s="668"/>
      <c r="H8" s="653" t="s">
        <v>322</v>
      </c>
      <c r="I8" s="669"/>
      <c r="J8" s="89" t="s">
        <v>59</v>
      </c>
      <c r="K8" s="670"/>
      <c r="L8" s="656" t="s">
        <v>2</v>
      </c>
    </row>
    <row r="9" spans="1:15" ht="15.75" thickBot="1" x14ac:dyDescent="0.45">
      <c r="A9" s="656" t="s">
        <v>6</v>
      </c>
      <c r="B9" s="671" t="s">
        <v>60</v>
      </c>
      <c r="C9" s="672" t="s">
        <v>3</v>
      </c>
      <c r="D9" s="673" t="s">
        <v>61</v>
      </c>
      <c r="E9" s="672" t="s">
        <v>62</v>
      </c>
      <c r="F9" s="673" t="s">
        <v>63</v>
      </c>
      <c r="G9" s="674"/>
      <c r="H9" s="675" t="s">
        <v>462</v>
      </c>
      <c r="I9" s="676"/>
      <c r="J9" s="677" t="s">
        <v>463</v>
      </c>
      <c r="K9" s="678" t="s">
        <v>5</v>
      </c>
      <c r="L9" s="656" t="s">
        <v>6</v>
      </c>
      <c r="M9" s="656"/>
    </row>
    <row r="10" spans="1:15" x14ac:dyDescent="0.45">
      <c r="B10" s="679"/>
      <c r="C10" s="680" t="s">
        <v>464</v>
      </c>
      <c r="D10" s="681"/>
      <c r="E10" s="681"/>
      <c r="F10" s="682"/>
      <c r="G10" s="683"/>
      <c r="H10" s="683"/>
      <c r="I10" s="684"/>
      <c r="J10" s="685"/>
      <c r="K10" s="686"/>
    </row>
    <row r="11" spans="1:15" ht="18.399999999999999" x14ac:dyDescent="0.5">
      <c r="A11" s="656">
        <v>1</v>
      </c>
      <c r="B11" s="679">
        <v>920</v>
      </c>
      <c r="C11" s="687" t="s">
        <v>465</v>
      </c>
      <c r="D11" s="97">
        <v>31012.001380000002</v>
      </c>
      <c r="E11" s="97">
        <f>E35</f>
        <v>91.867089999999976</v>
      </c>
      <c r="F11" s="97">
        <f>D11-E11</f>
        <v>30920.134290000002</v>
      </c>
      <c r="G11" s="28" t="s">
        <v>16</v>
      </c>
      <c r="H11" s="121">
        <v>-84.78</v>
      </c>
      <c r="I11" s="688">
        <v>2</v>
      </c>
      <c r="J11" s="689">
        <f>F11+H11</f>
        <v>30835.354290000003</v>
      </c>
      <c r="K11" s="90" t="s">
        <v>466</v>
      </c>
      <c r="L11" s="656">
        <f>A11</f>
        <v>1</v>
      </c>
      <c r="M11" s="657" t="s">
        <v>11</v>
      </c>
      <c r="N11" s="690"/>
    </row>
    <row r="12" spans="1:15" ht="18.399999999999999" x14ac:dyDescent="0.5">
      <c r="A12" s="656">
        <f t="shared" ref="A12:A66" si="0">A11+1</f>
        <v>2</v>
      </c>
      <c r="B12" s="679">
        <v>921</v>
      </c>
      <c r="C12" s="687" t="s">
        <v>467</v>
      </c>
      <c r="D12" s="100">
        <v>16773.40425</v>
      </c>
      <c r="E12" s="101">
        <f>E36</f>
        <v>-1.33857</v>
      </c>
      <c r="F12" s="100">
        <f>D12-E12</f>
        <v>16774.742819999999</v>
      </c>
      <c r="G12" s="28" t="s">
        <v>16</v>
      </c>
      <c r="H12" s="691">
        <v>-128.12899999999999</v>
      </c>
      <c r="I12" s="688">
        <v>2</v>
      </c>
      <c r="J12" s="692">
        <f>F12+H12</f>
        <v>16646.613819999999</v>
      </c>
      <c r="K12" s="90" t="s">
        <v>468</v>
      </c>
      <c r="L12" s="656">
        <f t="shared" ref="L12:L66" si="1">L11+1</f>
        <v>2</v>
      </c>
      <c r="N12" s="690"/>
      <c r="O12" s="693"/>
    </row>
    <row r="13" spans="1:15" x14ac:dyDescent="0.45">
      <c r="A13" s="656">
        <f t="shared" si="0"/>
        <v>3</v>
      </c>
      <c r="B13" s="679">
        <v>922</v>
      </c>
      <c r="C13" s="687" t="s">
        <v>469</v>
      </c>
      <c r="D13" s="100">
        <v>-13569.700310000002</v>
      </c>
      <c r="E13" s="101">
        <v>0</v>
      </c>
      <c r="F13" s="100">
        <f>D13-E13</f>
        <v>-13569.700310000002</v>
      </c>
      <c r="G13" s="101"/>
      <c r="H13" s="101"/>
      <c r="I13" s="102"/>
      <c r="J13" s="102">
        <f t="shared" ref="J13:J24" si="2">F13+H13</f>
        <v>-13569.700310000002</v>
      </c>
      <c r="K13" s="90" t="s">
        <v>470</v>
      </c>
      <c r="L13" s="656">
        <f t="shared" si="1"/>
        <v>3</v>
      </c>
      <c r="N13" s="690"/>
    </row>
    <row r="14" spans="1:15" ht="17.25" x14ac:dyDescent="0.5">
      <c r="A14" s="656">
        <f t="shared" si="0"/>
        <v>4</v>
      </c>
      <c r="B14" s="665">
        <v>923</v>
      </c>
      <c r="C14" s="687" t="s">
        <v>471</v>
      </c>
      <c r="D14" s="100">
        <v>90245.647219999999</v>
      </c>
      <c r="E14" s="101">
        <f>E38</f>
        <v>153.10804999999999</v>
      </c>
      <c r="F14" s="100">
        <f>D14-E14</f>
        <v>90092.539170000004</v>
      </c>
      <c r="G14" s="28" t="s">
        <v>16</v>
      </c>
      <c r="H14" s="691">
        <f>2294.73+64.516</f>
        <v>2359.2460000000001</v>
      </c>
      <c r="I14" s="694">
        <v>3</v>
      </c>
      <c r="J14" s="692">
        <f>F14+H14+H15</f>
        <v>91885.613169999997</v>
      </c>
      <c r="K14" s="90" t="s">
        <v>472</v>
      </c>
      <c r="L14" s="656">
        <f t="shared" si="1"/>
        <v>4</v>
      </c>
      <c r="N14" s="690"/>
    </row>
    <row r="15" spans="1:15" ht="17.25" x14ac:dyDescent="0.5">
      <c r="A15" s="656">
        <f t="shared" si="0"/>
        <v>5</v>
      </c>
      <c r="B15" s="665">
        <v>923</v>
      </c>
      <c r="C15" s="687" t="s">
        <v>471</v>
      </c>
      <c r="D15" s="100"/>
      <c r="E15" s="101"/>
      <c r="F15" s="100"/>
      <c r="G15" s="28"/>
      <c r="H15" s="691">
        <v>-566.17200000000003</v>
      </c>
      <c r="I15" s="694">
        <v>2</v>
      </c>
      <c r="J15" s="102"/>
      <c r="K15" s="90"/>
      <c r="L15" s="656">
        <f t="shared" si="1"/>
        <v>5</v>
      </c>
      <c r="N15" s="690"/>
    </row>
    <row r="16" spans="1:15" ht="18.399999999999999" x14ac:dyDescent="0.5">
      <c r="A16" s="656">
        <f t="shared" si="0"/>
        <v>6</v>
      </c>
      <c r="B16" s="679">
        <v>924</v>
      </c>
      <c r="C16" s="687" t="s">
        <v>473</v>
      </c>
      <c r="D16" s="100">
        <v>8305.6217899999992</v>
      </c>
      <c r="E16" s="101">
        <v>0</v>
      </c>
      <c r="F16" s="100">
        <f t="shared" ref="F16:F17" si="3">D16-E16</f>
        <v>8305.6217899999992</v>
      </c>
      <c r="G16" s="28"/>
      <c r="I16" s="688"/>
      <c r="J16" s="102">
        <f t="shared" si="2"/>
        <v>8305.6217899999992</v>
      </c>
      <c r="K16" s="90" t="s">
        <v>474</v>
      </c>
      <c r="L16" s="656">
        <f t="shared" si="1"/>
        <v>6</v>
      </c>
      <c r="N16" s="690"/>
    </row>
    <row r="17" spans="1:14" ht="18.399999999999999" x14ac:dyDescent="0.5">
      <c r="A17" s="656">
        <f t="shared" si="0"/>
        <v>7</v>
      </c>
      <c r="B17" s="665">
        <v>925</v>
      </c>
      <c r="C17" s="687" t="s">
        <v>475</v>
      </c>
      <c r="D17" s="100">
        <v>140446.40546000001</v>
      </c>
      <c r="E17" s="101">
        <f>E41</f>
        <v>335.97845833499991</v>
      </c>
      <c r="F17" s="100">
        <f t="shared" si="3"/>
        <v>140110.427001665</v>
      </c>
      <c r="G17" s="28" t="s">
        <v>16</v>
      </c>
      <c r="H17" s="691">
        <v>-304.83300000000003</v>
      </c>
      <c r="I17" s="688">
        <v>2</v>
      </c>
      <c r="J17" s="692">
        <f t="shared" si="2"/>
        <v>139805.59400166498</v>
      </c>
      <c r="K17" s="90" t="s">
        <v>476</v>
      </c>
      <c r="L17" s="656">
        <f t="shared" si="1"/>
        <v>7</v>
      </c>
      <c r="N17" s="690"/>
    </row>
    <row r="18" spans="1:14" ht="18.399999999999999" x14ac:dyDescent="0.5">
      <c r="A18" s="656">
        <f t="shared" si="0"/>
        <v>8</v>
      </c>
      <c r="B18" s="665">
        <v>926</v>
      </c>
      <c r="C18" s="687" t="s">
        <v>477</v>
      </c>
      <c r="D18" s="100">
        <v>54077.224009999998</v>
      </c>
      <c r="E18" s="101">
        <f>E43</f>
        <v>913.38426291299993</v>
      </c>
      <c r="F18" s="100">
        <f>D18-E18</f>
        <v>53163.839747086997</v>
      </c>
      <c r="G18" s="28" t="s">
        <v>16</v>
      </c>
      <c r="H18" s="691">
        <v>-832.04399999999998</v>
      </c>
      <c r="I18" s="688">
        <v>2</v>
      </c>
      <c r="J18" s="692">
        <f t="shared" si="2"/>
        <v>52331.795747086995</v>
      </c>
      <c r="K18" s="90" t="s">
        <v>478</v>
      </c>
      <c r="L18" s="656">
        <f t="shared" si="1"/>
        <v>8</v>
      </c>
      <c r="N18" s="695"/>
    </row>
    <row r="19" spans="1:14" x14ac:dyDescent="0.45">
      <c r="A19" s="656">
        <f t="shared" si="0"/>
        <v>9</v>
      </c>
      <c r="B19" s="679">
        <v>927</v>
      </c>
      <c r="C19" s="687" t="s">
        <v>479</v>
      </c>
      <c r="D19" s="100">
        <v>127615.79129000001</v>
      </c>
      <c r="E19" s="101">
        <f>E44</f>
        <v>127615.79129000001</v>
      </c>
      <c r="F19" s="100">
        <f t="shared" ref="F19:F21" si="4">D19-E19</f>
        <v>0</v>
      </c>
      <c r="I19" s="696"/>
      <c r="J19" s="102">
        <f t="shared" si="2"/>
        <v>0</v>
      </c>
      <c r="K19" s="90" t="s">
        <v>480</v>
      </c>
      <c r="L19" s="656">
        <f t="shared" si="1"/>
        <v>9</v>
      </c>
      <c r="N19" s="695"/>
    </row>
    <row r="20" spans="1:14" x14ac:dyDescent="0.45">
      <c r="A20" s="656">
        <f t="shared" si="0"/>
        <v>10</v>
      </c>
      <c r="B20" s="679">
        <v>928</v>
      </c>
      <c r="C20" s="687" t="s">
        <v>481</v>
      </c>
      <c r="D20" s="100">
        <v>22402.324690000001</v>
      </c>
      <c r="E20" s="101">
        <f>E49</f>
        <v>11134.69994</v>
      </c>
      <c r="F20" s="100">
        <f t="shared" si="4"/>
        <v>11267.624750000001</v>
      </c>
      <c r="G20" s="101"/>
      <c r="H20" s="101"/>
      <c r="I20" s="102"/>
      <c r="J20" s="102">
        <f t="shared" si="2"/>
        <v>11267.624750000001</v>
      </c>
      <c r="K20" s="90" t="s">
        <v>482</v>
      </c>
      <c r="L20" s="656">
        <f t="shared" si="1"/>
        <v>10</v>
      </c>
      <c r="N20" s="695"/>
    </row>
    <row r="21" spans="1:14" x14ac:dyDescent="0.4">
      <c r="A21" s="656">
        <f t="shared" si="0"/>
        <v>11</v>
      </c>
      <c r="B21" s="679">
        <v>929</v>
      </c>
      <c r="C21" s="687" t="s">
        <v>483</v>
      </c>
      <c r="D21" s="100">
        <v>-2181.0840200000002</v>
      </c>
      <c r="E21" s="101">
        <v>0</v>
      </c>
      <c r="F21" s="100">
        <f t="shared" si="4"/>
        <v>-2181.0840200000002</v>
      </c>
      <c r="G21" s="101"/>
      <c r="H21" s="101"/>
      <c r="I21" s="140"/>
      <c r="J21" s="102">
        <f t="shared" si="2"/>
        <v>-2181.0840200000002</v>
      </c>
      <c r="K21" s="90" t="s">
        <v>484</v>
      </c>
      <c r="L21" s="656">
        <f t="shared" si="1"/>
        <v>11</v>
      </c>
      <c r="N21" s="690"/>
    </row>
    <row r="22" spans="1:14" x14ac:dyDescent="0.45">
      <c r="A22" s="656">
        <f t="shared" si="0"/>
        <v>12</v>
      </c>
      <c r="B22" s="697">
        <v>930.1</v>
      </c>
      <c r="C22" s="687" t="s">
        <v>485</v>
      </c>
      <c r="D22" s="100">
        <v>112.52861999999999</v>
      </c>
      <c r="E22" s="101">
        <f>E50</f>
        <v>112.52861999999999</v>
      </c>
      <c r="F22" s="100">
        <f>D22-E22</f>
        <v>0</v>
      </c>
      <c r="G22" s="101"/>
      <c r="H22" s="101"/>
      <c r="I22" s="102"/>
      <c r="J22" s="102">
        <f t="shared" si="2"/>
        <v>0</v>
      </c>
      <c r="K22" s="90" t="s">
        <v>486</v>
      </c>
      <c r="L22" s="656">
        <f t="shared" si="1"/>
        <v>12</v>
      </c>
      <c r="N22" s="690"/>
    </row>
    <row r="23" spans="1:14" ht="18.399999999999999" x14ac:dyDescent="0.5">
      <c r="A23" s="656">
        <f t="shared" si="0"/>
        <v>13</v>
      </c>
      <c r="B23" s="698">
        <v>930.2</v>
      </c>
      <c r="C23" s="687" t="s">
        <v>487</v>
      </c>
      <c r="D23" s="100">
        <v>2206.68253</v>
      </c>
      <c r="E23" s="101">
        <f>E52</f>
        <v>576.97162999999989</v>
      </c>
      <c r="F23" s="100">
        <f t="shared" ref="F23" si="5">D23-E23</f>
        <v>1629.7109</v>
      </c>
      <c r="G23" s="28" t="s">
        <v>16</v>
      </c>
      <c r="H23" s="943">
        <v>-1483.3869999999999</v>
      </c>
      <c r="I23" s="688">
        <v>4</v>
      </c>
      <c r="J23" s="692">
        <f t="shared" si="2"/>
        <v>146.32390000000009</v>
      </c>
      <c r="K23" s="90" t="s">
        <v>488</v>
      </c>
      <c r="L23" s="656">
        <f t="shared" si="1"/>
        <v>13</v>
      </c>
      <c r="N23" s="699"/>
    </row>
    <row r="24" spans="1:14" x14ac:dyDescent="0.45">
      <c r="A24" s="656">
        <f t="shared" si="0"/>
        <v>14</v>
      </c>
      <c r="B24" s="679">
        <v>931</v>
      </c>
      <c r="C24" s="687" t="s">
        <v>92</v>
      </c>
      <c r="D24" s="100">
        <v>8564.2415499999988</v>
      </c>
      <c r="E24" s="101">
        <v>0</v>
      </c>
      <c r="F24" s="100">
        <f>D24-E24</f>
        <v>8564.2415499999988</v>
      </c>
      <c r="G24" s="101"/>
      <c r="H24" s="101"/>
      <c r="I24" s="102"/>
      <c r="J24" s="102">
        <f t="shared" si="2"/>
        <v>8564.2415499999988</v>
      </c>
      <c r="K24" s="90" t="s">
        <v>489</v>
      </c>
      <c r="L24" s="656">
        <f t="shared" si="1"/>
        <v>14</v>
      </c>
      <c r="N24" s="690"/>
    </row>
    <row r="25" spans="1:14" x14ac:dyDescent="0.45">
      <c r="A25" s="656">
        <f t="shared" si="0"/>
        <v>15</v>
      </c>
      <c r="B25" s="679">
        <v>935</v>
      </c>
      <c r="C25" s="687" t="s">
        <v>490</v>
      </c>
      <c r="D25" s="589">
        <v>12341.892099999999</v>
      </c>
      <c r="E25" s="374">
        <f>E54</f>
        <v>1502.526687415</v>
      </c>
      <c r="F25" s="589">
        <f>D25-E25</f>
        <v>10839.365412584999</v>
      </c>
      <c r="G25" s="590"/>
      <c r="H25" s="374"/>
      <c r="I25" s="406"/>
      <c r="J25" s="406">
        <f>F25+H25</f>
        <v>10839.365412584999</v>
      </c>
      <c r="K25" s="90" t="s">
        <v>491</v>
      </c>
      <c r="L25" s="656">
        <f t="shared" si="1"/>
        <v>15</v>
      </c>
      <c r="M25" s="657" t="s">
        <v>11</v>
      </c>
      <c r="N25" s="690"/>
    </row>
    <row r="26" spans="1:14" x14ac:dyDescent="0.45">
      <c r="A26" s="656">
        <f t="shared" si="0"/>
        <v>16</v>
      </c>
      <c r="B26" s="679"/>
      <c r="D26" s="700"/>
      <c r="F26" s="700"/>
      <c r="I26" s="696"/>
      <c r="J26" s="696"/>
      <c r="K26" s="701"/>
      <c r="L26" s="656">
        <f t="shared" si="1"/>
        <v>16</v>
      </c>
    </row>
    <row r="27" spans="1:14" ht="16.149999999999999" thickBot="1" x14ac:dyDescent="0.55000000000000004">
      <c r="A27" s="656">
        <f t="shared" si="0"/>
        <v>17</v>
      </c>
      <c r="B27" s="679"/>
      <c r="C27" s="666" t="s">
        <v>492</v>
      </c>
      <c r="D27" s="702">
        <f>SUM(D11:D25)</f>
        <v>498352.98056</v>
      </c>
      <c r="E27" s="125">
        <f>SUM(E11:E25)</f>
        <v>142435.51745866297</v>
      </c>
      <c r="F27" s="123">
        <f>SUM(F11:F25)</f>
        <v>355917.46310133697</v>
      </c>
      <c r="G27" s="124" t="s">
        <v>16</v>
      </c>
      <c r="H27" s="703">
        <f>SUM(H11:H25)</f>
        <v>-1040.0990000000002</v>
      </c>
      <c r="I27" s="125"/>
      <c r="J27" s="125">
        <f>SUM(J11:J26)</f>
        <v>354877.36410133692</v>
      </c>
      <c r="K27" s="141" t="str">
        <f>"Sum Lines "&amp;A11&amp;" thru "&amp;A25</f>
        <v>Sum Lines 1 thru 15</v>
      </c>
      <c r="L27" s="656">
        <f t="shared" si="1"/>
        <v>17</v>
      </c>
    </row>
    <row r="28" spans="1:14" ht="15.75" thickTop="1" x14ac:dyDescent="0.45">
      <c r="A28" s="656">
        <f t="shared" si="0"/>
        <v>18</v>
      </c>
      <c r="B28" s="679"/>
      <c r="C28" s="666"/>
      <c r="D28" s="704"/>
      <c r="E28" s="689"/>
      <c r="F28" s="122"/>
      <c r="G28" s="121"/>
      <c r="H28" s="121"/>
      <c r="I28" s="689"/>
      <c r="J28" s="689"/>
      <c r="K28" s="141"/>
      <c r="L28" s="656">
        <f t="shared" si="1"/>
        <v>18</v>
      </c>
    </row>
    <row r="29" spans="1:14" ht="17.25" x14ac:dyDescent="0.45">
      <c r="A29" s="656">
        <f t="shared" si="0"/>
        <v>19</v>
      </c>
      <c r="B29" s="679">
        <v>413</v>
      </c>
      <c r="C29" s="657" t="s">
        <v>493</v>
      </c>
      <c r="D29" s="589">
        <v>528.72711000000004</v>
      </c>
      <c r="E29" s="406">
        <v>0</v>
      </c>
      <c r="F29" s="589">
        <f>D29-E29</f>
        <v>528.72711000000004</v>
      </c>
      <c r="G29" s="590"/>
      <c r="H29" s="374"/>
      <c r="I29" s="406"/>
      <c r="J29" s="406">
        <f>F29+H29</f>
        <v>528.72711000000004</v>
      </c>
      <c r="K29" s="141"/>
      <c r="L29" s="656">
        <f t="shared" si="1"/>
        <v>19</v>
      </c>
    </row>
    <row r="30" spans="1:14" x14ac:dyDescent="0.45">
      <c r="A30" s="656">
        <f t="shared" si="0"/>
        <v>20</v>
      </c>
      <c r="B30" s="679"/>
      <c r="C30" s="666"/>
      <c r="D30" s="704"/>
      <c r="E30" s="689"/>
      <c r="F30" s="122"/>
      <c r="G30" s="121"/>
      <c r="H30" s="121"/>
      <c r="I30" s="689"/>
      <c r="J30" s="689"/>
      <c r="K30" s="141"/>
      <c r="L30" s="656">
        <f t="shared" si="1"/>
        <v>20</v>
      </c>
    </row>
    <row r="31" spans="1:14" ht="16.149999999999999" thickBot="1" x14ac:dyDescent="0.55000000000000004">
      <c r="A31" s="656">
        <f t="shared" si="0"/>
        <v>21</v>
      </c>
      <c r="B31" s="679"/>
      <c r="C31" s="666" t="s">
        <v>494</v>
      </c>
      <c r="D31" s="702">
        <f>D27+D29</f>
        <v>498881.70766999997</v>
      </c>
      <c r="E31" s="689">
        <f>E27+E29</f>
        <v>142435.51745866297</v>
      </c>
      <c r="F31" s="122">
        <f>F27+F29</f>
        <v>356446.19021133694</v>
      </c>
      <c r="G31" s="124" t="s">
        <v>16</v>
      </c>
      <c r="H31" s="703">
        <f>H27+H29</f>
        <v>-1040.0990000000002</v>
      </c>
      <c r="I31" s="125"/>
      <c r="J31" s="125">
        <f>J27+J29</f>
        <v>355406.0912113369</v>
      </c>
      <c r="K31" s="141" t="str">
        <f>"Line "&amp;A27&amp;" + Line "&amp;A29</f>
        <v>Line 17 + Line 19</v>
      </c>
      <c r="L31" s="656">
        <f t="shared" si="1"/>
        <v>21</v>
      </c>
    </row>
    <row r="32" spans="1:14" ht="16.149999999999999" thickTop="1" thickBot="1" x14ac:dyDescent="0.5">
      <c r="A32" s="656">
        <f t="shared" si="0"/>
        <v>22</v>
      </c>
      <c r="B32" s="705"/>
      <c r="C32" s="659"/>
      <c r="D32" s="706"/>
      <c r="E32" s="707"/>
      <c r="F32" s="707"/>
      <c r="G32" s="675"/>
      <c r="H32" s="708"/>
      <c r="I32" s="676"/>
      <c r="J32" s="676"/>
      <c r="K32" s="709"/>
      <c r="L32" s="656">
        <f t="shared" si="1"/>
        <v>22</v>
      </c>
    </row>
    <row r="33" spans="1:14" x14ac:dyDescent="0.45">
      <c r="A33" s="656">
        <f t="shared" si="0"/>
        <v>23</v>
      </c>
      <c r="B33" s="710"/>
      <c r="D33" s="711"/>
      <c r="E33" s="712"/>
      <c r="F33" s="711"/>
      <c r="G33" s="711"/>
      <c r="H33" s="711"/>
      <c r="I33" s="711"/>
      <c r="J33" s="711"/>
      <c r="K33" s="701"/>
      <c r="L33" s="656">
        <f t="shared" si="1"/>
        <v>23</v>
      </c>
    </row>
    <row r="34" spans="1:14" x14ac:dyDescent="0.45">
      <c r="A34" s="656">
        <f t="shared" si="0"/>
        <v>24</v>
      </c>
      <c r="B34" s="713" t="s">
        <v>495</v>
      </c>
      <c r="C34" s="656"/>
      <c r="D34" s="656"/>
      <c r="E34" s="656"/>
      <c r="F34" s="656"/>
      <c r="G34" s="656"/>
      <c r="H34" s="656"/>
      <c r="I34" s="656"/>
      <c r="J34" s="656"/>
      <c r="K34" s="701"/>
      <c r="L34" s="656">
        <f t="shared" si="1"/>
        <v>24</v>
      </c>
    </row>
    <row r="35" spans="1:14" x14ac:dyDescent="0.45">
      <c r="A35" s="656">
        <f t="shared" si="0"/>
        <v>25</v>
      </c>
      <c r="B35" s="714">
        <v>920</v>
      </c>
      <c r="C35" s="22" t="s">
        <v>496</v>
      </c>
      <c r="D35" s="656"/>
      <c r="E35" s="715">
        <v>91.867089999999976</v>
      </c>
      <c r="F35" s="656"/>
      <c r="G35" s="656"/>
      <c r="H35" s="656"/>
      <c r="I35" s="656"/>
      <c r="J35" s="656"/>
      <c r="K35" s="701"/>
      <c r="L35" s="656">
        <f t="shared" si="1"/>
        <v>25</v>
      </c>
    </row>
    <row r="36" spans="1:14" x14ac:dyDescent="0.45">
      <c r="A36" s="656">
        <f t="shared" si="0"/>
        <v>26</v>
      </c>
      <c r="B36" s="714">
        <v>921</v>
      </c>
      <c r="C36" s="22" t="s">
        <v>496</v>
      </c>
      <c r="D36" s="716"/>
      <c r="E36" s="31">
        <v>-1.33857</v>
      </c>
      <c r="F36" s="656"/>
      <c r="G36" s="656"/>
      <c r="H36" s="656"/>
      <c r="I36" s="656"/>
      <c r="J36" s="656"/>
      <c r="K36" s="701"/>
      <c r="L36" s="656">
        <f t="shared" si="1"/>
        <v>26</v>
      </c>
    </row>
    <row r="37" spans="1:14" x14ac:dyDescent="0.45">
      <c r="A37" s="656">
        <f t="shared" si="0"/>
        <v>27</v>
      </c>
      <c r="B37" s="714">
        <v>923</v>
      </c>
      <c r="C37" s="22" t="s">
        <v>497</v>
      </c>
      <c r="D37" s="717">
        <v>74.15849</v>
      </c>
      <c r="E37" s="31"/>
      <c r="K37" s="701"/>
      <c r="L37" s="656">
        <f t="shared" si="1"/>
        <v>27</v>
      </c>
      <c r="N37" s="687"/>
    </row>
    <row r="38" spans="1:14" x14ac:dyDescent="0.45">
      <c r="A38" s="656">
        <f t="shared" si="0"/>
        <v>28</v>
      </c>
      <c r="B38" s="714"/>
      <c r="C38" s="22" t="s">
        <v>496</v>
      </c>
      <c r="D38" s="718">
        <v>78.949559999999991</v>
      </c>
      <c r="E38" s="31">
        <f>SUM(D37:D38)</f>
        <v>153.10804999999999</v>
      </c>
      <c r="K38" s="701"/>
      <c r="L38" s="656">
        <f t="shared" si="1"/>
        <v>28</v>
      </c>
      <c r="N38" s="687"/>
    </row>
    <row r="39" spans="1:14" x14ac:dyDescent="0.45">
      <c r="A39" s="656">
        <f t="shared" si="0"/>
        <v>29</v>
      </c>
      <c r="B39" s="714">
        <v>925</v>
      </c>
      <c r="C39" s="719" t="s">
        <v>496</v>
      </c>
      <c r="D39" s="31">
        <v>268.99521833499995</v>
      </c>
      <c r="K39" s="701"/>
      <c r="L39" s="656">
        <f t="shared" si="1"/>
        <v>29</v>
      </c>
    </row>
    <row r="40" spans="1:14" x14ac:dyDescent="0.45">
      <c r="A40" s="656">
        <f t="shared" si="0"/>
        <v>30</v>
      </c>
      <c r="B40" s="714"/>
      <c r="C40" s="719" t="s">
        <v>475</v>
      </c>
      <c r="D40" s="31">
        <v>0</v>
      </c>
      <c r="K40" s="701"/>
      <c r="L40" s="656">
        <f t="shared" si="1"/>
        <v>30</v>
      </c>
    </row>
    <row r="41" spans="1:14" x14ac:dyDescent="0.45">
      <c r="A41" s="656">
        <f t="shared" si="0"/>
        <v>31</v>
      </c>
      <c r="B41" s="714"/>
      <c r="C41" s="719" t="s">
        <v>498</v>
      </c>
      <c r="D41" s="415">
        <v>66.983239999999995</v>
      </c>
      <c r="E41" s="31">
        <f>SUM(D39:D41)</f>
        <v>335.97845833499991</v>
      </c>
      <c r="K41" s="701"/>
      <c r="L41" s="656">
        <f t="shared" si="1"/>
        <v>31</v>
      </c>
    </row>
    <row r="42" spans="1:14" x14ac:dyDescent="0.45">
      <c r="A42" s="656">
        <f t="shared" si="0"/>
        <v>32</v>
      </c>
      <c r="B42" s="714">
        <v>926</v>
      </c>
      <c r="C42" s="719" t="s">
        <v>496</v>
      </c>
      <c r="D42" s="31">
        <v>730.03415291299996</v>
      </c>
      <c r="E42" s="31"/>
      <c r="K42" s="701"/>
      <c r="L42" s="656">
        <f t="shared" si="1"/>
        <v>32</v>
      </c>
    </row>
    <row r="43" spans="1:14" x14ac:dyDescent="0.45">
      <c r="A43" s="656">
        <f t="shared" si="0"/>
        <v>33</v>
      </c>
      <c r="B43" s="714"/>
      <c r="C43" s="719" t="s">
        <v>498</v>
      </c>
      <c r="D43" s="415">
        <v>183.35011</v>
      </c>
      <c r="E43" s="31">
        <f>SUM(D42:D43)</f>
        <v>913.38426291299993</v>
      </c>
      <c r="K43" s="701"/>
      <c r="L43" s="656">
        <f t="shared" si="1"/>
        <v>33</v>
      </c>
    </row>
    <row r="44" spans="1:14" x14ac:dyDescent="0.45">
      <c r="A44" s="656">
        <f t="shared" si="0"/>
        <v>34</v>
      </c>
      <c r="B44" s="714">
        <v>927</v>
      </c>
      <c r="C44" s="719" t="s">
        <v>479</v>
      </c>
      <c r="D44" s="720"/>
      <c r="E44" s="31">
        <v>127615.79129000001</v>
      </c>
      <c r="F44" s="721"/>
      <c r="G44" s="721"/>
      <c r="H44" s="721"/>
      <c r="I44" s="721"/>
      <c r="J44" s="721"/>
      <c r="K44" s="722"/>
      <c r="L44" s="656">
        <f t="shared" si="1"/>
        <v>34</v>
      </c>
    </row>
    <row r="45" spans="1:14" x14ac:dyDescent="0.45">
      <c r="A45" s="656">
        <f t="shared" si="0"/>
        <v>35</v>
      </c>
      <c r="B45" s="714">
        <v>928</v>
      </c>
      <c r="C45" s="719" t="s">
        <v>496</v>
      </c>
      <c r="D45" s="31">
        <v>0</v>
      </c>
      <c r="E45" s="31"/>
      <c r="K45" s="701"/>
      <c r="L45" s="656">
        <f t="shared" si="1"/>
        <v>35</v>
      </c>
    </row>
    <row r="46" spans="1:14" x14ac:dyDescent="0.45">
      <c r="A46" s="656">
        <f t="shared" si="0"/>
        <v>36</v>
      </c>
      <c r="B46" s="714"/>
      <c r="C46" s="22" t="s">
        <v>499</v>
      </c>
      <c r="D46" s="31">
        <v>0</v>
      </c>
      <c r="E46" s="31"/>
      <c r="K46" s="701"/>
      <c r="L46" s="656">
        <f t="shared" si="1"/>
        <v>36</v>
      </c>
    </row>
    <row r="47" spans="1:14" x14ac:dyDescent="0.45">
      <c r="A47" s="656">
        <f t="shared" si="0"/>
        <v>37</v>
      </c>
      <c r="B47" s="714"/>
      <c r="C47" s="22" t="s">
        <v>500</v>
      </c>
      <c r="D47" s="31">
        <v>1212.49029</v>
      </c>
      <c r="E47" s="723"/>
      <c r="F47" s="721"/>
      <c r="G47" s="721"/>
      <c r="H47" s="721"/>
      <c r="I47" s="721"/>
      <c r="J47" s="721"/>
      <c r="K47" s="722"/>
      <c r="L47" s="656">
        <f t="shared" si="1"/>
        <v>37</v>
      </c>
    </row>
    <row r="48" spans="1:14" x14ac:dyDescent="0.45">
      <c r="A48" s="656">
        <f t="shared" si="0"/>
        <v>38</v>
      </c>
      <c r="B48" s="714"/>
      <c r="C48" s="22" t="s">
        <v>501</v>
      </c>
      <c r="D48" s="31">
        <v>9790.5481500000005</v>
      </c>
      <c r="E48" s="724"/>
      <c r="K48" s="701"/>
      <c r="L48" s="656">
        <f t="shared" si="1"/>
        <v>38</v>
      </c>
    </row>
    <row r="49" spans="1:12" x14ac:dyDescent="0.45">
      <c r="A49" s="656">
        <f t="shared" si="0"/>
        <v>39</v>
      </c>
      <c r="B49" s="725"/>
      <c r="C49" s="719" t="s">
        <v>502</v>
      </c>
      <c r="D49" s="726">
        <v>131.66149999999999</v>
      </c>
      <c r="E49" s="727">
        <f>SUM(D45:D49)</f>
        <v>11134.69994</v>
      </c>
      <c r="K49" s="701"/>
      <c r="L49" s="656">
        <f t="shared" si="1"/>
        <v>39</v>
      </c>
    </row>
    <row r="50" spans="1:12" x14ac:dyDescent="0.45">
      <c r="A50" s="656">
        <f t="shared" si="0"/>
        <v>40</v>
      </c>
      <c r="B50" s="728">
        <v>930.1</v>
      </c>
      <c r="C50" s="22" t="s">
        <v>485</v>
      </c>
      <c r="D50" s="720"/>
      <c r="E50" s="31">
        <v>112.52861999999999</v>
      </c>
      <c r="K50" s="701"/>
      <c r="L50" s="656">
        <f t="shared" si="1"/>
        <v>40</v>
      </c>
    </row>
    <row r="51" spans="1:12" x14ac:dyDescent="0.45">
      <c r="A51" s="656">
        <f t="shared" si="0"/>
        <v>41</v>
      </c>
      <c r="B51" s="728">
        <v>930.2</v>
      </c>
      <c r="C51" s="719" t="s">
        <v>503</v>
      </c>
      <c r="D51" s="729">
        <v>0</v>
      </c>
      <c r="E51" s="730"/>
      <c r="K51" s="701"/>
      <c r="L51" s="656">
        <f t="shared" si="1"/>
        <v>41</v>
      </c>
    </row>
    <row r="52" spans="1:12" x14ac:dyDescent="0.45">
      <c r="A52" s="656">
        <f t="shared" si="0"/>
        <v>42</v>
      </c>
      <c r="B52" s="728"/>
      <c r="C52" s="719" t="s">
        <v>504</v>
      </c>
      <c r="D52" s="731">
        <v>576.97162999999989</v>
      </c>
      <c r="E52" s="729">
        <f>SUM(D51:D52)</f>
        <v>576.97162999999989</v>
      </c>
      <c r="F52" s="60"/>
      <c r="G52" s="60"/>
      <c r="H52" s="60"/>
      <c r="I52" s="60"/>
      <c r="J52" s="60"/>
      <c r="K52" s="701"/>
      <c r="L52" s="656">
        <f t="shared" si="1"/>
        <v>42</v>
      </c>
    </row>
    <row r="53" spans="1:12" x14ac:dyDescent="0.45">
      <c r="A53" s="656">
        <f t="shared" si="0"/>
        <v>43</v>
      </c>
      <c r="B53" s="714">
        <v>935</v>
      </c>
      <c r="C53" s="732" t="s">
        <v>505</v>
      </c>
      <c r="D53" s="729">
        <v>39.414587415</v>
      </c>
      <c r="E53" s="31"/>
      <c r="F53" s="60"/>
      <c r="G53" s="60"/>
      <c r="H53" s="60"/>
      <c r="I53" s="60"/>
      <c r="J53" s="60"/>
      <c r="K53" s="701"/>
      <c r="L53" s="656">
        <f t="shared" si="1"/>
        <v>43</v>
      </c>
    </row>
    <row r="54" spans="1:12" x14ac:dyDescent="0.45">
      <c r="A54" s="656">
        <f t="shared" si="0"/>
        <v>44</v>
      </c>
      <c r="B54" s="714"/>
      <c r="C54" s="732" t="s">
        <v>496</v>
      </c>
      <c r="D54" s="731">
        <v>1463.1121000000001</v>
      </c>
      <c r="E54" s="415">
        <f>SUM(D53:D54)</f>
        <v>1502.526687415</v>
      </c>
      <c r="F54" s="60"/>
      <c r="G54" s="60"/>
      <c r="H54" s="60"/>
      <c r="I54" s="60"/>
      <c r="J54" s="60"/>
      <c r="K54" s="701"/>
      <c r="L54" s="656">
        <f t="shared" si="1"/>
        <v>44</v>
      </c>
    </row>
    <row r="55" spans="1:12" x14ac:dyDescent="0.45">
      <c r="A55" s="656">
        <f t="shared" si="0"/>
        <v>45</v>
      </c>
      <c r="B55" s="733"/>
      <c r="C55" s="687"/>
      <c r="D55" s="734"/>
      <c r="E55" s="31"/>
      <c r="F55" s="60"/>
      <c r="G55" s="60"/>
      <c r="H55" s="60"/>
      <c r="I55" s="60"/>
      <c r="J55" s="60"/>
      <c r="K55" s="701"/>
      <c r="L55" s="656">
        <f t="shared" si="1"/>
        <v>45</v>
      </c>
    </row>
    <row r="56" spans="1:12" ht="15.75" thickBot="1" x14ac:dyDescent="0.45">
      <c r="A56" s="656">
        <f t="shared" si="0"/>
        <v>46</v>
      </c>
      <c r="B56" s="710"/>
      <c r="C56" s="735" t="s">
        <v>119</v>
      </c>
      <c r="D56" s="736"/>
      <c r="E56" s="23">
        <f>SUM(E35:E54)</f>
        <v>142435.51745866297</v>
      </c>
      <c r="F56" s="654"/>
      <c r="G56" s="654"/>
      <c r="H56" s="654"/>
      <c r="I56" s="654"/>
      <c r="J56" s="654"/>
      <c r="K56" s="701"/>
      <c r="L56" s="656">
        <f t="shared" si="1"/>
        <v>46</v>
      </c>
    </row>
    <row r="57" spans="1:12" ht="15.75" thickTop="1" x14ac:dyDescent="0.45">
      <c r="A57" s="656">
        <f t="shared" si="0"/>
        <v>47</v>
      </c>
      <c r="B57" s="710"/>
      <c r="C57" s="735"/>
      <c r="E57" s="737"/>
      <c r="F57" s="654"/>
      <c r="G57" s="654"/>
      <c r="H57" s="654"/>
      <c r="I57" s="654"/>
      <c r="J57" s="654"/>
      <c r="K57" s="701"/>
      <c r="L57" s="656">
        <f t="shared" si="1"/>
        <v>47</v>
      </c>
    </row>
    <row r="58" spans="1:12" ht="15.75" x14ac:dyDescent="0.5">
      <c r="A58" s="656">
        <f t="shared" si="0"/>
        <v>48</v>
      </c>
      <c r="B58" s="73" t="s">
        <v>16</v>
      </c>
      <c r="C58" s="26" t="s">
        <v>350</v>
      </c>
      <c r="E58" s="737"/>
      <c r="F58" s="654"/>
      <c r="G58" s="654"/>
      <c r="H58" s="654"/>
      <c r="I58" s="654"/>
      <c r="J58" s="654"/>
      <c r="K58" s="701"/>
      <c r="L58" s="656">
        <f t="shared" si="1"/>
        <v>48</v>
      </c>
    </row>
    <row r="59" spans="1:12" ht="17.649999999999999" x14ac:dyDescent="0.45">
      <c r="A59" s="656">
        <f t="shared" si="0"/>
        <v>49</v>
      </c>
      <c r="B59" s="422">
        <v>1</v>
      </c>
      <c r="C59" s="416" t="s">
        <v>704</v>
      </c>
      <c r="E59" s="737"/>
      <c r="F59" s="654"/>
      <c r="G59" s="654"/>
      <c r="H59" s="654"/>
      <c r="I59" s="654"/>
      <c r="J59" s="654"/>
      <c r="K59" s="701"/>
      <c r="L59" s="656">
        <f t="shared" si="1"/>
        <v>49</v>
      </c>
    </row>
    <row r="60" spans="1:12" ht="17.649999999999999" x14ac:dyDescent="0.45">
      <c r="A60" s="656">
        <f t="shared" si="0"/>
        <v>50</v>
      </c>
      <c r="B60" s="738"/>
      <c r="C60" s="20" t="s">
        <v>506</v>
      </c>
      <c r="E60" s="737"/>
      <c r="F60" s="654"/>
      <c r="G60" s="654"/>
      <c r="H60" s="654"/>
      <c r="I60" s="654"/>
      <c r="J60" s="654"/>
      <c r="K60" s="701"/>
      <c r="L60" s="656">
        <f t="shared" si="1"/>
        <v>50</v>
      </c>
    </row>
    <row r="61" spans="1:12" ht="17.25" x14ac:dyDescent="0.45">
      <c r="A61" s="656">
        <f t="shared" si="0"/>
        <v>51</v>
      </c>
      <c r="B61" s="739">
        <v>2</v>
      </c>
      <c r="C61" s="687" t="s">
        <v>724</v>
      </c>
      <c r="E61" s="737"/>
      <c r="F61" s="654"/>
      <c r="G61" s="654"/>
      <c r="H61" s="654"/>
      <c r="I61" s="654"/>
      <c r="J61" s="654"/>
      <c r="K61" s="701"/>
      <c r="L61" s="656">
        <f t="shared" si="1"/>
        <v>51</v>
      </c>
    </row>
    <row r="62" spans="1:12" ht="17.25" x14ac:dyDescent="0.45">
      <c r="A62" s="656">
        <f t="shared" si="0"/>
        <v>52</v>
      </c>
      <c r="B62" s="739">
        <v>3</v>
      </c>
      <c r="C62" s="43" t="s">
        <v>721</v>
      </c>
      <c r="E62" s="737"/>
      <c r="F62" s="654"/>
      <c r="G62" s="654"/>
      <c r="H62" s="654"/>
      <c r="I62" s="654"/>
      <c r="J62" s="654"/>
      <c r="K62" s="701"/>
      <c r="L62" s="656">
        <f t="shared" si="1"/>
        <v>52</v>
      </c>
    </row>
    <row r="63" spans="1:12" ht="17.25" x14ac:dyDescent="0.45">
      <c r="A63" s="656">
        <f t="shared" si="0"/>
        <v>53</v>
      </c>
      <c r="B63" s="739"/>
      <c r="C63" s="43" t="s">
        <v>725</v>
      </c>
      <c r="E63" s="737"/>
      <c r="F63" s="654"/>
      <c r="G63" s="654"/>
      <c r="H63" s="654"/>
      <c r="I63" s="654"/>
      <c r="J63" s="654"/>
      <c r="K63" s="701"/>
      <c r="L63" s="656">
        <f t="shared" si="1"/>
        <v>53</v>
      </c>
    </row>
    <row r="64" spans="1:12" ht="17.25" x14ac:dyDescent="0.45">
      <c r="A64" s="656">
        <f t="shared" si="0"/>
        <v>54</v>
      </c>
      <c r="B64" s="739">
        <v>4</v>
      </c>
      <c r="C64" s="43" t="s">
        <v>722</v>
      </c>
      <c r="E64" s="737"/>
      <c r="F64" s="654"/>
      <c r="G64" s="654"/>
      <c r="H64" s="654"/>
      <c r="I64" s="654"/>
      <c r="J64" s="654"/>
      <c r="K64" s="701"/>
      <c r="L64" s="656">
        <f t="shared" si="1"/>
        <v>54</v>
      </c>
    </row>
    <row r="65" spans="1:12" ht="17.25" x14ac:dyDescent="0.45">
      <c r="A65" s="656">
        <f t="shared" si="0"/>
        <v>55</v>
      </c>
      <c r="B65" s="739"/>
      <c r="C65" s="43" t="s">
        <v>726</v>
      </c>
      <c r="E65" s="737"/>
      <c r="F65" s="654"/>
      <c r="G65" s="654"/>
      <c r="H65" s="654"/>
      <c r="I65" s="654"/>
      <c r="J65" s="654"/>
      <c r="K65" s="701"/>
      <c r="L65" s="656">
        <f t="shared" si="1"/>
        <v>55</v>
      </c>
    </row>
    <row r="66" spans="1:12" ht="15.75" thickBot="1" x14ac:dyDescent="0.5">
      <c r="A66" s="656">
        <f t="shared" si="0"/>
        <v>56</v>
      </c>
      <c r="B66" s="740"/>
      <c r="C66" s="741"/>
      <c r="D66" s="659"/>
      <c r="E66" s="659"/>
      <c r="F66" s="659"/>
      <c r="G66" s="659"/>
      <c r="H66" s="659"/>
      <c r="I66" s="659"/>
      <c r="J66" s="659"/>
      <c r="K66" s="709"/>
      <c r="L66" s="656">
        <f t="shared" si="1"/>
        <v>56</v>
      </c>
    </row>
    <row r="67" spans="1:12" x14ac:dyDescent="0.45">
      <c r="C67" s="687"/>
    </row>
    <row r="68" spans="1:12" x14ac:dyDescent="0.45">
      <c r="A68" s="658"/>
      <c r="C68" s="687"/>
      <c r="D68" s="742"/>
      <c r="E68" s="742"/>
    </row>
    <row r="69" spans="1:12" ht="17.25" x14ac:dyDescent="0.45">
      <c r="A69" s="743"/>
      <c r="B69" s="423"/>
      <c r="C69" s="20"/>
      <c r="D69" s="655"/>
      <c r="E69" s="655"/>
      <c r="F69" s="655"/>
      <c r="G69" s="655"/>
      <c r="H69" s="655"/>
      <c r="I69" s="655"/>
      <c r="J69" s="655"/>
    </row>
    <row r="70" spans="1:12" ht="17.25" x14ac:dyDescent="0.45">
      <c r="A70" s="743"/>
      <c r="B70" s="423"/>
      <c r="C70" s="391"/>
      <c r="D70" s="655"/>
      <c r="E70" s="655"/>
      <c r="F70" s="655"/>
      <c r="G70" s="655"/>
      <c r="H70" s="655"/>
      <c r="I70" s="655"/>
      <c r="J70" s="655"/>
    </row>
    <row r="71" spans="1:12" ht="17.25" x14ac:dyDescent="0.45">
      <c r="A71" s="743"/>
      <c r="B71" s="42"/>
      <c r="C71" s="20"/>
      <c r="D71" s="20"/>
      <c r="E71" s="20"/>
      <c r="F71" s="20"/>
      <c r="G71" s="20"/>
      <c r="H71" s="20"/>
      <c r="I71" s="20"/>
      <c r="J71" s="20"/>
    </row>
    <row r="72" spans="1:12" ht="17.25" x14ac:dyDescent="0.45">
      <c r="A72" s="743"/>
      <c r="C72" s="687"/>
    </row>
    <row r="73" spans="1:12" ht="17.25" x14ac:dyDescent="0.45">
      <c r="A73" s="743"/>
      <c r="C73" s="687"/>
    </row>
    <row r="74" spans="1:12" ht="17.25" x14ac:dyDescent="0.45">
      <c r="A74" s="743"/>
      <c r="C74" s="687"/>
    </row>
    <row r="75" spans="1:12" x14ac:dyDescent="0.45">
      <c r="A75" s="658"/>
      <c r="C75" s="687"/>
    </row>
    <row r="76" spans="1:12" ht="17.25" x14ac:dyDescent="0.45">
      <c r="A76" s="743"/>
      <c r="C76" s="687"/>
    </row>
    <row r="77" spans="1:12" x14ac:dyDescent="0.45">
      <c r="A77" s="658"/>
      <c r="C77" s="687"/>
    </row>
    <row r="78" spans="1:12" ht="17.25" x14ac:dyDescent="0.45">
      <c r="A78" s="743"/>
      <c r="C78" s="687"/>
    </row>
    <row r="79" spans="1:12" x14ac:dyDescent="0.45">
      <c r="A79" s="658"/>
      <c r="C79" s="687"/>
    </row>
    <row r="80" spans="1:12" ht="17.25" x14ac:dyDescent="0.45">
      <c r="A80" s="743"/>
      <c r="C80" s="687"/>
    </row>
    <row r="81" spans="1:2" ht="17.25" x14ac:dyDescent="0.45">
      <c r="A81" s="743"/>
      <c r="B81" s="687"/>
    </row>
    <row r="82" spans="1:2" ht="17.25" x14ac:dyDescent="0.45">
      <c r="A82" s="743"/>
      <c r="B82" s="687"/>
    </row>
    <row r="83" spans="1:2" x14ac:dyDescent="0.45">
      <c r="B83" s="687"/>
    </row>
    <row r="84" spans="1:2" ht="17.25" x14ac:dyDescent="0.45">
      <c r="A84" s="743"/>
      <c r="B84" s="687"/>
    </row>
    <row r="85" spans="1:2" x14ac:dyDescent="0.45">
      <c r="A85" s="744"/>
      <c r="B85" s="745"/>
    </row>
    <row r="86" spans="1:2" x14ac:dyDescent="0.45">
      <c r="B86" s="687"/>
    </row>
  </sheetData>
  <mergeCells count="4">
    <mergeCell ref="B2:K2"/>
    <mergeCell ref="B3:K3"/>
    <mergeCell ref="B4:K4"/>
    <mergeCell ref="B5:K5"/>
  </mergeCells>
  <printOptions horizontalCentered="1"/>
  <pageMargins left="0.25" right="0.25" top="0.5" bottom="0.5" header="0.35" footer="0.25"/>
  <pageSetup scale="48" orientation="portrait" r:id="rId1"/>
  <headerFooter scaleWithDoc="0" alignWithMargins="0">
    <oddHeader>&amp;C&amp;"Times New Roman,Bold"REVISED</oddHeader>
    <oddFooter>&amp;CPage 8.2&amp;R&amp;F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J34"/>
  <sheetViews>
    <sheetView zoomScale="80" zoomScaleNormal="80" workbookViewId="0"/>
  </sheetViews>
  <sheetFormatPr defaultColWidth="8.796875" defaultRowHeight="15.4" x14ac:dyDescent="0.45"/>
  <cols>
    <col min="1" max="1" width="5.265625" style="216" bestFit="1" customWidth="1"/>
    <col min="2" max="2" width="68.796875" style="142" customWidth="1"/>
    <col min="3" max="3" width="24" style="143" customWidth="1"/>
    <col min="4" max="4" width="1.53125" style="142" customWidth="1"/>
    <col min="5" max="5" width="16.796875" style="142" customWidth="1"/>
    <col min="6" max="6" width="1.53125" style="142" customWidth="1"/>
    <col min="7" max="7" width="16.796875" style="142" customWidth="1"/>
    <col min="8" max="8" width="1.53125" style="142" customWidth="1"/>
    <col min="9" max="9" width="36.19921875" style="142" customWidth="1"/>
    <col min="10" max="10" width="5.265625" style="142" customWidth="1"/>
    <col min="11" max="16384" width="8.796875" style="142"/>
  </cols>
  <sheetData>
    <row r="1" spans="1:10" x14ac:dyDescent="0.45">
      <c r="H1" s="216"/>
      <c r="I1" s="486"/>
      <c r="J1" s="216"/>
    </row>
    <row r="2" spans="1:10" x14ac:dyDescent="0.45">
      <c r="B2" s="957" t="s">
        <v>21</v>
      </c>
      <c r="C2" s="965"/>
      <c r="D2" s="965"/>
      <c r="E2" s="965"/>
      <c r="F2" s="965"/>
      <c r="G2" s="965"/>
      <c r="H2" s="965"/>
      <c r="I2" s="965"/>
      <c r="J2" s="215"/>
    </row>
    <row r="3" spans="1:10" x14ac:dyDescent="0.45">
      <c r="B3" s="957" t="s">
        <v>120</v>
      </c>
      <c r="C3" s="965"/>
      <c r="D3" s="965"/>
      <c r="E3" s="965"/>
      <c r="F3" s="965"/>
      <c r="G3" s="965"/>
      <c r="H3" s="965"/>
      <c r="I3" s="965"/>
      <c r="J3" s="215"/>
    </row>
    <row r="4" spans="1:10" x14ac:dyDescent="0.45">
      <c r="B4" s="957" t="s">
        <v>121</v>
      </c>
      <c r="C4" s="965"/>
      <c r="D4" s="965"/>
      <c r="E4" s="965"/>
      <c r="F4" s="965"/>
      <c r="G4" s="965"/>
      <c r="H4" s="965"/>
      <c r="I4" s="965"/>
      <c r="J4" s="215"/>
    </row>
    <row r="5" spans="1:10" x14ac:dyDescent="0.45">
      <c r="B5" s="958" t="s">
        <v>582</v>
      </c>
      <c r="C5" s="958"/>
      <c r="D5" s="958"/>
      <c r="E5" s="958"/>
      <c r="F5" s="958"/>
      <c r="G5" s="958"/>
      <c r="H5" s="958"/>
      <c r="I5" s="958"/>
      <c r="J5" s="215"/>
    </row>
    <row r="6" spans="1:10" x14ac:dyDescent="0.45">
      <c r="B6" s="959" t="s">
        <v>1</v>
      </c>
      <c r="C6" s="959"/>
      <c r="D6" s="959"/>
      <c r="E6" s="959"/>
      <c r="F6" s="959"/>
      <c r="G6" s="959"/>
      <c r="H6" s="959"/>
      <c r="I6" s="959"/>
      <c r="J6" s="144"/>
    </row>
    <row r="7" spans="1:10" x14ac:dyDescent="0.45">
      <c r="B7" s="216"/>
      <c r="D7" s="216"/>
      <c r="E7" s="216"/>
      <c r="F7" s="216"/>
      <c r="G7" s="216"/>
      <c r="H7" s="215"/>
      <c r="I7" s="215"/>
      <c r="J7" s="215"/>
    </row>
    <row r="8" spans="1:10" x14ac:dyDescent="0.45">
      <c r="A8" s="216" t="s">
        <v>2</v>
      </c>
      <c r="B8" s="215"/>
      <c r="C8" s="42" t="s">
        <v>24</v>
      </c>
      <c r="D8" s="216"/>
      <c r="E8" s="216" t="s">
        <v>122</v>
      </c>
      <c r="F8" s="216"/>
      <c r="G8" s="216" t="s">
        <v>123</v>
      </c>
      <c r="H8" s="215"/>
      <c r="I8" s="215"/>
      <c r="J8" s="216" t="s">
        <v>2</v>
      </c>
    </row>
    <row r="9" spans="1:10" x14ac:dyDescent="0.45">
      <c r="A9" s="216" t="s">
        <v>6</v>
      </c>
      <c r="B9" s="215"/>
      <c r="C9" s="388" t="s">
        <v>25</v>
      </c>
      <c r="D9" s="215"/>
      <c r="E9" s="424" t="s">
        <v>124</v>
      </c>
      <c r="F9" s="215"/>
      <c r="G9" s="424" t="s">
        <v>125</v>
      </c>
      <c r="H9" s="215"/>
      <c r="I9" s="425" t="s">
        <v>5</v>
      </c>
      <c r="J9" s="216" t="s">
        <v>6</v>
      </c>
    </row>
    <row r="10" spans="1:10" x14ac:dyDescent="0.45">
      <c r="B10" s="216"/>
      <c r="D10" s="216"/>
      <c r="E10" s="216"/>
      <c r="F10" s="216"/>
      <c r="G10" s="216"/>
      <c r="H10" s="216"/>
      <c r="I10" s="216"/>
      <c r="J10" s="216"/>
    </row>
    <row r="11" spans="1:10" ht="17.25" x14ac:dyDescent="0.45">
      <c r="A11" s="216">
        <v>1</v>
      </c>
      <c r="B11" s="142" t="s">
        <v>126</v>
      </c>
      <c r="C11" s="216" t="s">
        <v>127</v>
      </c>
      <c r="E11" s="426"/>
      <c r="F11" s="145"/>
      <c r="G11" s="358">
        <v>128028.38738461537</v>
      </c>
      <c r="H11" s="145"/>
      <c r="I11" s="68" t="s">
        <v>659</v>
      </c>
      <c r="J11" s="216">
        <f>A11</f>
        <v>1</v>
      </c>
    </row>
    <row r="12" spans="1:10" x14ac:dyDescent="0.45">
      <c r="A12" s="216">
        <f>+A11+1</f>
        <v>2</v>
      </c>
      <c r="C12" s="216"/>
      <c r="E12" s="146"/>
      <c r="F12" s="147"/>
      <c r="G12" s="147"/>
      <c r="H12" s="147"/>
      <c r="I12" s="68"/>
      <c r="J12" s="216">
        <f>+J11+1</f>
        <v>2</v>
      </c>
    </row>
    <row r="13" spans="1:10" x14ac:dyDescent="0.45">
      <c r="A13" s="216">
        <f t="shared" ref="A13:A29" si="0">+A12+1</f>
        <v>3</v>
      </c>
      <c r="B13" s="142" t="s">
        <v>128</v>
      </c>
      <c r="C13" s="216"/>
      <c r="E13" s="148"/>
      <c r="F13" s="149"/>
      <c r="G13" s="427">
        <v>0.3978803636816387</v>
      </c>
      <c r="H13" s="145"/>
      <c r="I13" s="68" t="s">
        <v>660</v>
      </c>
      <c r="J13" s="216">
        <f t="shared" ref="J13:J29" si="1">+J12+1</f>
        <v>3</v>
      </c>
    </row>
    <row r="14" spans="1:10" x14ac:dyDescent="0.45">
      <c r="A14" s="216">
        <f t="shared" si="0"/>
        <v>4</v>
      </c>
      <c r="C14" s="216"/>
      <c r="E14" s="146"/>
      <c r="F14" s="147"/>
      <c r="G14" s="146"/>
      <c r="H14" s="147"/>
      <c r="I14" s="68"/>
      <c r="J14" s="216">
        <f t="shared" si="1"/>
        <v>4</v>
      </c>
    </row>
    <row r="15" spans="1:10" ht="15.75" thickBot="1" x14ac:dyDescent="0.5">
      <c r="A15" s="216">
        <f t="shared" si="0"/>
        <v>5</v>
      </c>
      <c r="B15" s="142" t="s">
        <v>129</v>
      </c>
      <c r="C15" s="216"/>
      <c r="E15" s="428"/>
      <c r="F15" s="147"/>
      <c r="G15" s="429">
        <f>G11*G13</f>
        <v>50939.981334164491</v>
      </c>
      <c r="H15" s="145"/>
      <c r="I15" s="68" t="s">
        <v>661</v>
      </c>
      <c r="J15" s="216">
        <f t="shared" si="1"/>
        <v>5</v>
      </c>
    </row>
    <row r="16" spans="1:10" ht="15.75" thickTop="1" x14ac:dyDescent="0.45">
      <c r="A16" s="216">
        <f t="shared" si="0"/>
        <v>6</v>
      </c>
      <c r="C16" s="216"/>
      <c r="E16" s="430"/>
      <c r="F16" s="216"/>
      <c r="G16" s="216"/>
      <c r="H16" s="216"/>
      <c r="I16" s="68"/>
      <c r="J16" s="216">
        <f t="shared" si="1"/>
        <v>6</v>
      </c>
    </row>
    <row r="17" spans="1:10" ht="17.25" x14ac:dyDescent="0.45">
      <c r="A17" s="216">
        <f t="shared" si="0"/>
        <v>7</v>
      </c>
      <c r="B17" s="142" t="s">
        <v>130</v>
      </c>
      <c r="C17" s="216" t="s">
        <v>131</v>
      </c>
      <c r="D17" s="431"/>
      <c r="E17" s="426"/>
      <c r="F17" s="147"/>
      <c r="G17" s="432">
        <v>64127.97638461538</v>
      </c>
      <c r="H17" s="145"/>
      <c r="I17" s="68" t="s">
        <v>662</v>
      </c>
      <c r="J17" s="216">
        <f t="shared" si="1"/>
        <v>7</v>
      </c>
    </row>
    <row r="18" spans="1:10" x14ac:dyDescent="0.45">
      <c r="A18" s="216">
        <f t="shared" si="0"/>
        <v>8</v>
      </c>
      <c r="C18" s="216"/>
      <c r="E18" s="433"/>
      <c r="F18" s="147"/>
      <c r="G18" s="147"/>
      <c r="H18" s="147"/>
      <c r="I18" s="68"/>
      <c r="J18" s="216">
        <f t="shared" si="1"/>
        <v>8</v>
      </c>
    </row>
    <row r="19" spans="1:10" ht="15.75" thickBot="1" x14ac:dyDescent="0.5">
      <c r="A19" s="216">
        <f t="shared" si="0"/>
        <v>9</v>
      </c>
      <c r="B19" s="142" t="s">
        <v>132</v>
      </c>
      <c r="E19" s="426"/>
      <c r="F19" s="147"/>
      <c r="G19" s="429">
        <f>G13*G17</f>
        <v>25515.262566078305</v>
      </c>
      <c r="H19" s="145"/>
      <c r="I19" s="68" t="s">
        <v>663</v>
      </c>
      <c r="J19" s="216">
        <f t="shared" si="1"/>
        <v>9</v>
      </c>
    </row>
    <row r="20" spans="1:10" ht="15.75" thickTop="1" x14ac:dyDescent="0.45">
      <c r="A20" s="216">
        <f t="shared" si="0"/>
        <v>10</v>
      </c>
      <c r="E20" s="434"/>
      <c r="F20" s="147"/>
      <c r="G20" s="147"/>
      <c r="H20" s="147"/>
      <c r="I20" s="68"/>
      <c r="J20" s="216">
        <f t="shared" si="1"/>
        <v>10</v>
      </c>
    </row>
    <row r="21" spans="1:10" x14ac:dyDescent="0.45">
      <c r="A21" s="216">
        <f t="shared" si="0"/>
        <v>11</v>
      </c>
      <c r="B21" s="150" t="s">
        <v>133</v>
      </c>
      <c r="E21" s="434"/>
      <c r="F21" s="147"/>
      <c r="G21" s="147"/>
      <c r="H21" s="147"/>
      <c r="I21" s="68"/>
      <c r="J21" s="216">
        <f t="shared" si="1"/>
        <v>11</v>
      </c>
    </row>
    <row r="22" spans="1:10" ht="15.75" x14ac:dyDescent="0.5">
      <c r="A22" s="216">
        <f t="shared" si="0"/>
        <v>12</v>
      </c>
      <c r="B22" s="142" t="s">
        <v>134</v>
      </c>
      <c r="E22" s="435">
        <f>'Pg8 Revised Stmt AH'!E28</f>
        <v>42749.708679999996</v>
      </c>
      <c r="F22" s="28" t="s">
        <v>16</v>
      </c>
      <c r="G22" s="359"/>
      <c r="H22" s="147"/>
      <c r="I22" s="68" t="s">
        <v>584</v>
      </c>
      <c r="J22" s="216">
        <f t="shared" si="1"/>
        <v>12</v>
      </c>
    </row>
    <row r="23" spans="1:10" ht="15.75" x14ac:dyDescent="0.5">
      <c r="A23" s="216">
        <f t="shared" si="0"/>
        <v>13</v>
      </c>
      <c r="B23" s="142" t="s">
        <v>135</v>
      </c>
      <c r="E23" s="436">
        <f>'Pg8 Revised Stmt AH'!E51</f>
        <v>39645.708637133648</v>
      </c>
      <c r="F23" s="28" t="s">
        <v>16</v>
      </c>
      <c r="G23" s="437"/>
      <c r="H23" s="147"/>
      <c r="I23" s="68" t="s">
        <v>586</v>
      </c>
      <c r="J23" s="216">
        <f t="shared" si="1"/>
        <v>13</v>
      </c>
    </row>
    <row r="24" spans="1:10" x14ac:dyDescent="0.45">
      <c r="A24" s="216">
        <f t="shared" si="0"/>
        <v>14</v>
      </c>
      <c r="B24" s="142" t="s">
        <v>136</v>
      </c>
      <c r="E24" s="485">
        <f>-'Pg8 Revised Stmt AH'!E35</f>
        <v>0</v>
      </c>
      <c r="F24" s="147"/>
      <c r="G24" s="437"/>
      <c r="H24" s="147"/>
      <c r="I24" s="68" t="s">
        <v>664</v>
      </c>
      <c r="J24" s="216">
        <f t="shared" si="1"/>
        <v>14</v>
      </c>
    </row>
    <row r="25" spans="1:10" ht="15.75" x14ac:dyDescent="0.5">
      <c r="A25" s="216">
        <f t="shared" si="0"/>
        <v>15</v>
      </c>
      <c r="B25" s="142" t="s">
        <v>137</v>
      </c>
      <c r="E25" s="438">
        <f>SUM(E22:E24)</f>
        <v>82395.417317133644</v>
      </c>
      <c r="F25" s="28" t="s">
        <v>16</v>
      </c>
      <c r="G25" s="431"/>
      <c r="H25" s="68"/>
      <c r="I25" s="68" t="s">
        <v>665</v>
      </c>
      <c r="J25" s="216">
        <f t="shared" si="1"/>
        <v>15</v>
      </c>
    </row>
    <row r="26" spans="1:10" x14ac:dyDescent="0.45">
      <c r="A26" s="216">
        <f t="shared" si="0"/>
        <v>16</v>
      </c>
      <c r="F26" s="216"/>
      <c r="H26" s="216"/>
      <c r="I26" s="68"/>
      <c r="J26" s="216">
        <f t="shared" si="1"/>
        <v>16</v>
      </c>
    </row>
    <row r="27" spans="1:10" x14ac:dyDescent="0.45">
      <c r="A27" s="216">
        <f t="shared" si="0"/>
        <v>17</v>
      </c>
      <c r="B27" s="142" t="s">
        <v>138</v>
      </c>
      <c r="E27" s="439">
        <f>1/8</f>
        <v>0.125</v>
      </c>
      <c r="F27" s="216"/>
      <c r="G27" s="440"/>
      <c r="H27" s="216"/>
      <c r="I27" s="68" t="s">
        <v>139</v>
      </c>
      <c r="J27" s="216">
        <f t="shared" si="1"/>
        <v>17</v>
      </c>
    </row>
    <row r="28" spans="1:10" x14ac:dyDescent="0.45">
      <c r="A28" s="216">
        <f t="shared" si="0"/>
        <v>18</v>
      </c>
      <c r="E28" s="146" t="s">
        <v>11</v>
      </c>
      <c r="F28" s="147"/>
      <c r="G28" s="146"/>
      <c r="H28" s="147"/>
      <c r="I28" s="68"/>
      <c r="J28" s="216">
        <f t="shared" si="1"/>
        <v>18</v>
      </c>
    </row>
    <row r="29" spans="1:10" ht="16.149999999999999" thickBot="1" x14ac:dyDescent="0.55000000000000004">
      <c r="A29" s="216">
        <f t="shared" si="0"/>
        <v>19</v>
      </c>
      <c r="B29" s="142" t="s">
        <v>140</v>
      </c>
      <c r="E29" s="441">
        <f>E25*E27</f>
        <v>10299.427164641706</v>
      </c>
      <c r="F29" s="28" t="s">
        <v>16</v>
      </c>
      <c r="G29" s="428"/>
      <c r="H29" s="147"/>
      <c r="I29" s="216" t="s">
        <v>666</v>
      </c>
      <c r="J29" s="216">
        <f t="shared" si="1"/>
        <v>19</v>
      </c>
    </row>
    <row r="30" spans="1:10" ht="15.75" thickTop="1" x14ac:dyDescent="0.45">
      <c r="B30" s="442"/>
    </row>
    <row r="31" spans="1:10" ht="15.75" x14ac:dyDescent="0.5">
      <c r="A31" s="467" t="s">
        <v>16</v>
      </c>
      <c r="B31" s="26" t="s">
        <v>350</v>
      </c>
    </row>
    <row r="32" spans="1:10" ht="17.25" x14ac:dyDescent="0.45">
      <c r="A32" s="153">
        <v>1</v>
      </c>
      <c r="B32" s="142" t="s">
        <v>141</v>
      </c>
    </row>
    <row r="33" spans="1:2" ht="17.25" x14ac:dyDescent="0.45">
      <c r="A33" s="153"/>
    </row>
    <row r="34" spans="1:2" x14ac:dyDescent="0.45">
      <c r="A34" s="215"/>
      <c r="B34" s="144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Roman,Bold"REVISED</oddHeader>
    <oddFooter>&amp;CPage 9&amp;R&amp;F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58"/>
  <sheetViews>
    <sheetView zoomScale="80" zoomScaleNormal="80" workbookViewId="0"/>
  </sheetViews>
  <sheetFormatPr defaultColWidth="8.796875" defaultRowHeight="15.4" x14ac:dyDescent="0.45"/>
  <cols>
    <col min="1" max="1" width="5.265625" style="42" customWidth="1"/>
    <col min="2" max="2" width="55.46484375" style="43" customWidth="1"/>
    <col min="3" max="5" width="15.53125" style="43" customWidth="1"/>
    <col min="6" max="6" width="1.53125" style="43" customWidth="1"/>
    <col min="7" max="7" width="16.796875" style="43" customWidth="1"/>
    <col min="8" max="8" width="1.53125" style="43" customWidth="1"/>
    <col min="9" max="9" width="38.73046875" style="154" customWidth="1"/>
    <col min="10" max="10" width="5.265625" style="43" customWidth="1"/>
    <col min="11" max="11" width="27" style="43" bestFit="1" customWidth="1"/>
    <col min="12" max="12" width="15" style="43" bestFit="1" customWidth="1"/>
    <col min="13" max="13" width="10.46484375" style="43" bestFit="1" customWidth="1"/>
    <col min="14" max="16384" width="8.796875" style="43"/>
  </cols>
  <sheetData>
    <row r="1" spans="1:10" x14ac:dyDescent="0.45">
      <c r="A1" s="443"/>
      <c r="G1" s="70"/>
      <c r="H1" s="70"/>
      <c r="I1" s="178"/>
      <c r="J1" s="42"/>
    </row>
    <row r="2" spans="1:10" x14ac:dyDescent="0.45">
      <c r="B2" s="954" t="s">
        <v>339</v>
      </c>
      <c r="C2" s="954"/>
      <c r="D2" s="954"/>
      <c r="E2" s="954"/>
      <c r="F2" s="954"/>
      <c r="G2" s="954"/>
      <c r="H2" s="954"/>
      <c r="I2" s="954"/>
      <c r="J2" s="42"/>
    </row>
    <row r="3" spans="1:10" x14ac:dyDescent="0.45">
      <c r="B3" s="954" t="s">
        <v>142</v>
      </c>
      <c r="C3" s="954"/>
      <c r="D3" s="954"/>
      <c r="E3" s="954"/>
      <c r="F3" s="954"/>
      <c r="G3" s="954"/>
      <c r="H3" s="954"/>
      <c r="I3" s="954"/>
      <c r="J3" s="42"/>
    </row>
    <row r="4" spans="1:10" x14ac:dyDescent="0.45">
      <c r="B4" s="954" t="s">
        <v>143</v>
      </c>
      <c r="C4" s="954"/>
      <c r="D4" s="954"/>
      <c r="E4" s="954"/>
      <c r="F4" s="954"/>
      <c r="G4" s="954"/>
      <c r="H4" s="954"/>
      <c r="I4" s="954"/>
      <c r="J4" s="42"/>
    </row>
    <row r="5" spans="1:10" x14ac:dyDescent="0.45">
      <c r="B5" s="961" t="s">
        <v>582</v>
      </c>
      <c r="C5" s="961"/>
      <c r="D5" s="961"/>
      <c r="E5" s="961"/>
      <c r="F5" s="961"/>
      <c r="G5" s="961"/>
      <c r="H5" s="961"/>
      <c r="I5" s="961"/>
      <c r="J5" s="42"/>
    </row>
    <row r="6" spans="1:10" x14ac:dyDescent="0.45">
      <c r="B6" s="956" t="s">
        <v>1</v>
      </c>
      <c r="C6" s="962"/>
      <c r="D6" s="962"/>
      <c r="E6" s="962"/>
      <c r="F6" s="962"/>
      <c r="G6" s="962"/>
      <c r="H6" s="962"/>
      <c r="I6" s="962"/>
      <c r="J6" s="42"/>
    </row>
    <row r="7" spans="1:10" x14ac:dyDescent="0.45">
      <c r="B7" s="42"/>
      <c r="C7" s="42"/>
      <c r="D7" s="42"/>
      <c r="E7" s="42"/>
      <c r="F7" s="42"/>
      <c r="G7" s="42"/>
      <c r="H7" s="42"/>
      <c r="I7" s="55"/>
      <c r="J7" s="42"/>
    </row>
    <row r="8" spans="1:10" x14ac:dyDescent="0.45">
      <c r="A8" s="42" t="s">
        <v>2</v>
      </c>
      <c r="B8" s="748"/>
      <c r="C8" s="748"/>
      <c r="D8" s="748"/>
      <c r="E8" s="42" t="s">
        <v>24</v>
      </c>
      <c r="F8" s="748"/>
      <c r="G8" s="748"/>
      <c r="H8" s="748"/>
      <c r="I8" s="55"/>
      <c r="J8" s="42" t="s">
        <v>2</v>
      </c>
    </row>
    <row r="9" spans="1:10" x14ac:dyDescent="0.45">
      <c r="A9" s="42" t="s">
        <v>6</v>
      </c>
      <c r="B9" s="42"/>
      <c r="C9" s="42"/>
      <c r="D9" s="42"/>
      <c r="E9" s="388" t="s">
        <v>25</v>
      </c>
      <c r="F9" s="42"/>
      <c r="G9" s="389" t="s">
        <v>4</v>
      </c>
      <c r="H9" s="748"/>
      <c r="I9" s="444" t="s">
        <v>5</v>
      </c>
      <c r="J9" s="42" t="s">
        <v>6</v>
      </c>
    </row>
    <row r="10" spans="1:10" x14ac:dyDescent="0.45">
      <c r="B10" s="42"/>
      <c r="C10" s="42"/>
      <c r="D10" s="42"/>
      <c r="E10" s="42"/>
      <c r="F10" s="42"/>
      <c r="G10" s="42"/>
      <c r="H10" s="42"/>
      <c r="I10" s="55"/>
      <c r="J10" s="42"/>
    </row>
    <row r="11" spans="1:10" x14ac:dyDescent="0.45">
      <c r="A11" s="42">
        <v>1</v>
      </c>
      <c r="B11" s="47" t="s">
        <v>144</v>
      </c>
      <c r="I11" s="55"/>
      <c r="J11" s="42">
        <f>A11</f>
        <v>1</v>
      </c>
    </row>
    <row r="12" spans="1:10" x14ac:dyDescent="0.45">
      <c r="A12" s="42">
        <f>A11+1</f>
        <v>2</v>
      </c>
      <c r="B12" s="43" t="s">
        <v>145</v>
      </c>
      <c r="E12" s="42" t="s">
        <v>146</v>
      </c>
      <c r="G12" s="155">
        <v>5140552</v>
      </c>
      <c r="H12" s="748"/>
      <c r="I12" s="158"/>
      <c r="J12" s="42">
        <f>J11+1</f>
        <v>2</v>
      </c>
    </row>
    <row r="13" spans="1:10" x14ac:dyDescent="0.45">
      <c r="A13" s="42">
        <f t="shared" ref="A13:A65" si="0">A12+1</f>
        <v>3</v>
      </c>
      <c r="B13" s="43" t="s">
        <v>147</v>
      </c>
      <c r="E13" s="42" t="s">
        <v>148</v>
      </c>
      <c r="G13" s="156">
        <v>0</v>
      </c>
      <c r="H13" s="748"/>
      <c r="I13" s="158"/>
      <c r="J13" s="42">
        <f t="shared" ref="J13:J65" si="1">J12+1</f>
        <v>3</v>
      </c>
    </row>
    <row r="14" spans="1:10" x14ac:dyDescent="0.45">
      <c r="A14" s="42">
        <f t="shared" si="0"/>
        <v>4</v>
      </c>
      <c r="B14" s="43" t="s">
        <v>149</v>
      </c>
      <c r="E14" s="42" t="s">
        <v>150</v>
      </c>
      <c r="G14" s="156">
        <v>0</v>
      </c>
      <c r="H14" s="748"/>
      <c r="I14" s="158"/>
      <c r="J14" s="42">
        <f t="shared" si="1"/>
        <v>4</v>
      </c>
    </row>
    <row r="15" spans="1:10" x14ac:dyDescent="0.45">
      <c r="A15" s="42">
        <f t="shared" si="0"/>
        <v>5</v>
      </c>
      <c r="B15" s="43" t="s">
        <v>151</v>
      </c>
      <c r="E15" s="42" t="s">
        <v>152</v>
      </c>
      <c r="G15" s="156">
        <v>0</v>
      </c>
      <c r="H15" s="748"/>
      <c r="I15" s="158"/>
      <c r="J15" s="42">
        <f t="shared" si="1"/>
        <v>5</v>
      </c>
    </row>
    <row r="16" spans="1:10" x14ac:dyDescent="0.45">
      <c r="A16" s="42">
        <f t="shared" si="0"/>
        <v>6</v>
      </c>
      <c r="B16" s="43" t="s">
        <v>153</v>
      </c>
      <c r="E16" s="42" t="s">
        <v>154</v>
      </c>
      <c r="G16" s="156">
        <v>-12166.400009999999</v>
      </c>
      <c r="H16" s="748"/>
      <c r="I16" s="158"/>
      <c r="J16" s="42">
        <f t="shared" si="1"/>
        <v>6</v>
      </c>
    </row>
    <row r="17" spans="1:10" x14ac:dyDescent="0.45">
      <c r="A17" s="42">
        <f t="shared" si="0"/>
        <v>7</v>
      </c>
      <c r="B17" s="43" t="s">
        <v>155</v>
      </c>
      <c r="G17" s="157">
        <f>SUM(G12:G16)</f>
        <v>5128385.59999</v>
      </c>
      <c r="H17" s="151"/>
      <c r="I17" s="55" t="str">
        <f>"Sum Lines "&amp;A12&amp;" thru "&amp;A16</f>
        <v>Sum Lines 2 thru 6</v>
      </c>
      <c r="J17" s="42">
        <f t="shared" si="1"/>
        <v>7</v>
      </c>
    </row>
    <row r="18" spans="1:10" x14ac:dyDescent="0.45">
      <c r="A18" s="42">
        <f t="shared" si="0"/>
        <v>8</v>
      </c>
      <c r="I18" s="55"/>
      <c r="J18" s="42">
        <f t="shared" si="1"/>
        <v>8</v>
      </c>
    </row>
    <row r="19" spans="1:10" x14ac:dyDescent="0.45">
      <c r="A19" s="42">
        <f t="shared" si="0"/>
        <v>9</v>
      </c>
      <c r="B19" s="47" t="s">
        <v>156</v>
      </c>
      <c r="G19" s="41"/>
      <c r="H19" s="41"/>
      <c r="I19" s="55"/>
      <c r="J19" s="42">
        <f t="shared" si="1"/>
        <v>9</v>
      </c>
    </row>
    <row r="20" spans="1:10" x14ac:dyDescent="0.45">
      <c r="A20" s="42">
        <f t="shared" si="0"/>
        <v>10</v>
      </c>
      <c r="B20" s="43" t="s">
        <v>157</v>
      </c>
      <c r="E20" s="42" t="s">
        <v>158</v>
      </c>
      <c r="G20" s="155">
        <v>213846.54399999999</v>
      </c>
      <c r="H20" s="748"/>
      <c r="I20" s="158"/>
      <c r="J20" s="42">
        <f t="shared" si="1"/>
        <v>10</v>
      </c>
    </row>
    <row r="21" spans="1:10" x14ac:dyDescent="0.45">
      <c r="A21" s="42">
        <f t="shared" si="0"/>
        <v>11</v>
      </c>
      <c r="B21" s="43" t="s">
        <v>159</v>
      </c>
      <c r="E21" s="42" t="s">
        <v>160</v>
      </c>
      <c r="G21" s="156">
        <v>3709.4806400000002</v>
      </c>
      <c r="H21" s="748"/>
      <c r="I21" s="158"/>
      <c r="J21" s="42">
        <f t="shared" si="1"/>
        <v>11</v>
      </c>
    </row>
    <row r="22" spans="1:10" x14ac:dyDescent="0.45">
      <c r="A22" s="42">
        <f t="shared" si="0"/>
        <v>12</v>
      </c>
      <c r="B22" s="43" t="s">
        <v>161</v>
      </c>
      <c r="E22" s="42" t="s">
        <v>162</v>
      </c>
      <c r="G22" s="156">
        <v>1831.0913999999998</v>
      </c>
      <c r="H22" s="748"/>
      <c r="I22" s="158"/>
      <c r="J22" s="42">
        <f t="shared" si="1"/>
        <v>12</v>
      </c>
    </row>
    <row r="23" spans="1:10" x14ac:dyDescent="0.45">
      <c r="A23" s="42">
        <f t="shared" si="0"/>
        <v>13</v>
      </c>
      <c r="B23" s="43" t="s">
        <v>163</v>
      </c>
      <c r="E23" s="42" t="s">
        <v>164</v>
      </c>
      <c r="G23" s="156">
        <v>0</v>
      </c>
      <c r="H23" s="748"/>
      <c r="I23" s="158"/>
      <c r="J23" s="42">
        <f t="shared" si="1"/>
        <v>13</v>
      </c>
    </row>
    <row r="24" spans="1:10" x14ac:dyDescent="0.45">
      <c r="A24" s="42">
        <f t="shared" si="0"/>
        <v>14</v>
      </c>
      <c r="B24" s="43" t="s">
        <v>165</v>
      </c>
      <c r="E24" s="42" t="s">
        <v>166</v>
      </c>
      <c r="G24" s="156">
        <v>0</v>
      </c>
      <c r="H24" s="748"/>
      <c r="I24" s="158"/>
      <c r="J24" s="42">
        <f t="shared" si="1"/>
        <v>14</v>
      </c>
    </row>
    <row r="25" spans="1:10" x14ac:dyDescent="0.45">
      <c r="A25" s="42">
        <f t="shared" si="0"/>
        <v>15</v>
      </c>
      <c r="B25" s="43" t="s">
        <v>167</v>
      </c>
      <c r="G25" s="159">
        <f>SUM(G20:G24)</f>
        <v>219387.11603999999</v>
      </c>
      <c r="H25" s="160"/>
      <c r="I25" s="55" t="str">
        <f>"Sum Lines "&amp;A20&amp;" thru "&amp;A24</f>
        <v>Sum Lines 10 thru 14</v>
      </c>
      <c r="J25" s="42">
        <f t="shared" si="1"/>
        <v>15</v>
      </c>
    </row>
    <row r="26" spans="1:10" x14ac:dyDescent="0.45">
      <c r="A26" s="42">
        <f t="shared" si="0"/>
        <v>16</v>
      </c>
      <c r="I26" s="55"/>
      <c r="J26" s="42">
        <f t="shared" si="1"/>
        <v>16</v>
      </c>
    </row>
    <row r="27" spans="1:10" ht="15.75" thickBot="1" x14ac:dyDescent="0.5">
      <c r="A27" s="42">
        <f t="shared" si="0"/>
        <v>17</v>
      </c>
      <c r="B27" s="47" t="s">
        <v>168</v>
      </c>
      <c r="G27" s="161">
        <f>G25/G17</f>
        <v>4.2778982149943599E-2</v>
      </c>
      <c r="H27" s="162"/>
      <c r="I27" s="55" t="str">
        <f>"Line "&amp;A25&amp;" / Line "&amp;A17</f>
        <v>Line 15 / Line 7</v>
      </c>
      <c r="J27" s="42">
        <f t="shared" si="1"/>
        <v>17</v>
      </c>
    </row>
    <row r="28" spans="1:10" ht="15.75" thickTop="1" x14ac:dyDescent="0.45">
      <c r="A28" s="42">
        <f t="shared" si="0"/>
        <v>18</v>
      </c>
      <c r="I28" s="55"/>
      <c r="J28" s="42">
        <f t="shared" si="1"/>
        <v>18</v>
      </c>
    </row>
    <row r="29" spans="1:10" x14ac:dyDescent="0.45">
      <c r="A29" s="42">
        <f t="shared" si="0"/>
        <v>19</v>
      </c>
      <c r="B29" s="47" t="s">
        <v>169</v>
      </c>
      <c r="I29" s="55"/>
      <c r="J29" s="42">
        <f t="shared" si="1"/>
        <v>19</v>
      </c>
    </row>
    <row r="30" spans="1:10" x14ac:dyDescent="0.45">
      <c r="A30" s="42">
        <f t="shared" si="0"/>
        <v>20</v>
      </c>
      <c r="B30" s="43" t="s">
        <v>170</v>
      </c>
      <c r="E30" s="42" t="s">
        <v>171</v>
      </c>
      <c r="G30" s="155">
        <v>0</v>
      </c>
      <c r="H30" s="748"/>
      <c r="I30" s="158"/>
      <c r="J30" s="42">
        <f t="shared" si="1"/>
        <v>20</v>
      </c>
    </row>
    <row r="31" spans="1:10" x14ac:dyDescent="0.45">
      <c r="A31" s="42">
        <f t="shared" si="0"/>
        <v>21</v>
      </c>
      <c r="B31" s="43" t="s">
        <v>172</v>
      </c>
      <c r="E31" s="42" t="s">
        <v>173</v>
      </c>
      <c r="G31" s="445">
        <v>0</v>
      </c>
      <c r="H31" s="748"/>
      <c r="I31" s="158"/>
      <c r="J31" s="42">
        <f t="shared" si="1"/>
        <v>21</v>
      </c>
    </row>
    <row r="32" spans="1:10" ht="15.75" thickBot="1" x14ac:dyDescent="0.5">
      <c r="A32" s="42">
        <f t="shared" si="0"/>
        <v>22</v>
      </c>
      <c r="B32" s="43" t="s">
        <v>174</v>
      </c>
      <c r="G32" s="161">
        <f>IFERROR((G31/G30),0)</f>
        <v>0</v>
      </c>
      <c r="H32" s="162"/>
      <c r="I32" s="55" t="str">
        <f>"Line "&amp;A31&amp;" / Line "&amp;A30</f>
        <v>Line 21 / Line 20</v>
      </c>
      <c r="J32" s="42">
        <f t="shared" si="1"/>
        <v>22</v>
      </c>
    </row>
    <row r="33" spans="1:12" ht="15.75" thickTop="1" x14ac:dyDescent="0.45">
      <c r="A33" s="42">
        <f t="shared" si="0"/>
        <v>23</v>
      </c>
      <c r="I33" s="55"/>
      <c r="J33" s="42">
        <f t="shared" si="1"/>
        <v>23</v>
      </c>
    </row>
    <row r="34" spans="1:12" x14ac:dyDescent="0.45">
      <c r="A34" s="42">
        <f t="shared" si="0"/>
        <v>24</v>
      </c>
      <c r="B34" s="47" t="s">
        <v>175</v>
      </c>
      <c r="I34" s="55"/>
      <c r="J34" s="42">
        <f t="shared" si="1"/>
        <v>24</v>
      </c>
    </row>
    <row r="35" spans="1:12" x14ac:dyDescent="0.45">
      <c r="A35" s="42">
        <f t="shared" si="0"/>
        <v>25</v>
      </c>
      <c r="B35" s="43" t="s">
        <v>176</v>
      </c>
      <c r="E35" s="42" t="s">
        <v>177</v>
      </c>
      <c r="G35" s="155">
        <v>7099080.8731300002</v>
      </c>
      <c r="H35" s="748"/>
      <c r="I35" s="158"/>
      <c r="J35" s="42">
        <f t="shared" si="1"/>
        <v>25</v>
      </c>
      <c r="K35" s="50"/>
      <c r="L35" s="446"/>
    </row>
    <row r="36" spans="1:12" x14ac:dyDescent="0.45">
      <c r="A36" s="42">
        <f t="shared" si="0"/>
        <v>26</v>
      </c>
      <c r="B36" s="43" t="s">
        <v>178</v>
      </c>
      <c r="E36" s="42" t="s">
        <v>171</v>
      </c>
      <c r="G36" s="163">
        <v>0</v>
      </c>
      <c r="H36" s="163"/>
      <c r="I36" s="55" t="str">
        <f>"Negative of Line "&amp;A30&amp;" Above"</f>
        <v>Negative of Line 20 Above</v>
      </c>
      <c r="J36" s="42">
        <f t="shared" si="1"/>
        <v>26</v>
      </c>
    </row>
    <row r="37" spans="1:12" x14ac:dyDescent="0.45">
      <c r="A37" s="42">
        <f t="shared" si="0"/>
        <v>27</v>
      </c>
      <c r="B37" s="43" t="s">
        <v>179</v>
      </c>
      <c r="E37" s="42" t="s">
        <v>180</v>
      </c>
      <c r="G37" s="156">
        <v>0</v>
      </c>
      <c r="H37" s="748"/>
      <c r="I37" s="158"/>
      <c r="J37" s="42">
        <f t="shared" si="1"/>
        <v>27</v>
      </c>
    </row>
    <row r="38" spans="1:12" x14ac:dyDescent="0.45">
      <c r="A38" s="42">
        <f t="shared" si="0"/>
        <v>28</v>
      </c>
      <c r="B38" s="43" t="s">
        <v>181</v>
      </c>
      <c r="E38" s="42" t="s">
        <v>182</v>
      </c>
      <c r="G38" s="156">
        <v>15874.048050000001</v>
      </c>
      <c r="H38" s="748"/>
      <c r="I38" s="158"/>
      <c r="J38" s="42">
        <f t="shared" si="1"/>
        <v>28</v>
      </c>
    </row>
    <row r="39" spans="1:12" ht="15.75" thickBot="1" x14ac:dyDescent="0.5">
      <c r="A39" s="42">
        <f t="shared" si="0"/>
        <v>29</v>
      </c>
      <c r="B39" s="43" t="s">
        <v>183</v>
      </c>
      <c r="G39" s="164">
        <f>SUM(G35:G38)</f>
        <v>7114954.9211800005</v>
      </c>
      <c r="H39" s="165"/>
      <c r="I39" s="55" t="str">
        <f>"Sum Lines "&amp;A35&amp;" thru "&amp;A38</f>
        <v>Sum Lines 25 thru 28</v>
      </c>
      <c r="J39" s="42">
        <f t="shared" si="1"/>
        <v>29</v>
      </c>
    </row>
    <row r="40" spans="1:12" ht="16.149999999999999" thickTop="1" thickBot="1" x14ac:dyDescent="0.5">
      <c r="A40" s="166">
        <f t="shared" si="0"/>
        <v>30</v>
      </c>
      <c r="B40" s="127"/>
      <c r="C40" s="127"/>
      <c r="D40" s="127"/>
      <c r="E40" s="127"/>
      <c r="F40" s="127"/>
      <c r="G40" s="127"/>
      <c r="H40" s="127"/>
      <c r="I40" s="167"/>
      <c r="J40" s="166">
        <f t="shared" si="1"/>
        <v>30</v>
      </c>
    </row>
    <row r="41" spans="1:12" x14ac:dyDescent="0.45">
      <c r="A41" s="42">
        <f>A40+1</f>
        <v>31</v>
      </c>
      <c r="I41" s="55"/>
      <c r="J41" s="42">
        <f>J40+1</f>
        <v>31</v>
      </c>
    </row>
    <row r="42" spans="1:12" ht="15.75" thickBot="1" x14ac:dyDescent="0.5">
      <c r="A42" s="42">
        <f>A41+1</f>
        <v>32</v>
      </c>
      <c r="B42" s="47" t="s">
        <v>360</v>
      </c>
      <c r="G42" s="168">
        <v>0.106</v>
      </c>
      <c r="H42" s="748"/>
      <c r="I42" s="42" t="s">
        <v>184</v>
      </c>
      <c r="J42" s="42">
        <f>J41+1</f>
        <v>32</v>
      </c>
    </row>
    <row r="43" spans="1:12" ht="15.75" thickTop="1" x14ac:dyDescent="0.45">
      <c r="A43" s="42">
        <f t="shared" si="0"/>
        <v>33</v>
      </c>
      <c r="C43" s="76" t="s">
        <v>10</v>
      </c>
      <c r="D43" s="76" t="s">
        <v>54</v>
      </c>
      <c r="E43" s="76" t="s">
        <v>185</v>
      </c>
      <c r="F43" s="76"/>
      <c r="G43" s="76" t="s">
        <v>186</v>
      </c>
      <c r="H43" s="76"/>
      <c r="I43" s="55"/>
      <c r="J43" s="42">
        <f t="shared" si="1"/>
        <v>33</v>
      </c>
    </row>
    <row r="44" spans="1:12" x14ac:dyDescent="0.45">
      <c r="A44" s="42">
        <f t="shared" si="0"/>
        <v>34</v>
      </c>
      <c r="D44" s="42" t="s">
        <v>187</v>
      </c>
      <c r="E44" s="42" t="s">
        <v>188</v>
      </c>
      <c r="F44" s="42"/>
      <c r="G44" s="42" t="s">
        <v>189</v>
      </c>
      <c r="H44" s="42"/>
      <c r="I44" s="55"/>
      <c r="J44" s="42">
        <f t="shared" si="1"/>
        <v>34</v>
      </c>
    </row>
    <row r="45" spans="1:12" ht="17.25" x14ac:dyDescent="0.45">
      <c r="A45" s="42">
        <f t="shared" si="0"/>
        <v>35</v>
      </c>
      <c r="B45" s="47" t="s">
        <v>190</v>
      </c>
      <c r="C45" s="388" t="s">
        <v>191</v>
      </c>
      <c r="D45" s="388" t="s">
        <v>192</v>
      </c>
      <c r="E45" s="388" t="s">
        <v>193</v>
      </c>
      <c r="F45" s="388"/>
      <c r="G45" s="388" t="s">
        <v>194</v>
      </c>
      <c r="H45" s="42"/>
      <c r="I45" s="55"/>
      <c r="J45" s="42">
        <f t="shared" si="1"/>
        <v>35</v>
      </c>
    </row>
    <row r="46" spans="1:12" x14ac:dyDescent="0.45">
      <c r="A46" s="42">
        <f t="shared" si="0"/>
        <v>36</v>
      </c>
      <c r="I46" s="55"/>
      <c r="J46" s="42">
        <f t="shared" si="1"/>
        <v>36</v>
      </c>
    </row>
    <row r="47" spans="1:12" x14ac:dyDescent="0.45">
      <c r="A47" s="42">
        <f t="shared" si="0"/>
        <v>37</v>
      </c>
      <c r="B47" s="43" t="s">
        <v>195</v>
      </c>
      <c r="C47" s="67">
        <f>G17</f>
        <v>5128385.59999</v>
      </c>
      <c r="D47" s="169">
        <f>C47/C$50</f>
        <v>0.41887143391319476</v>
      </c>
      <c r="E47" s="170">
        <f>G27</f>
        <v>4.2778982149943599E-2</v>
      </c>
      <c r="G47" s="171">
        <f>D47*E47</f>
        <v>1.7918893594493838E-2</v>
      </c>
      <c r="H47" s="171"/>
      <c r="I47" s="55" t="str">
        <f>"Col. c = Line "&amp;A27&amp;" Above"</f>
        <v>Col. c = Line 17 Above</v>
      </c>
      <c r="J47" s="42">
        <f t="shared" si="1"/>
        <v>37</v>
      </c>
    </row>
    <row r="48" spans="1:12" x14ac:dyDescent="0.45">
      <c r="A48" s="42">
        <f t="shared" si="0"/>
        <v>38</v>
      </c>
      <c r="B48" s="43" t="s">
        <v>196</v>
      </c>
      <c r="C48" s="172">
        <f>G30</f>
        <v>0</v>
      </c>
      <c r="D48" s="169">
        <f>C48/C$50</f>
        <v>0</v>
      </c>
      <c r="E48" s="170">
        <f>G32</f>
        <v>0</v>
      </c>
      <c r="G48" s="171">
        <f>D48*E48</f>
        <v>0</v>
      </c>
      <c r="H48" s="171"/>
      <c r="I48" s="55" t="str">
        <f>"Col. c = Line "&amp;A32&amp;" Above"</f>
        <v>Col. c = Line 22 Above</v>
      </c>
      <c r="J48" s="42">
        <f t="shared" si="1"/>
        <v>38</v>
      </c>
    </row>
    <row r="49" spans="1:10" x14ac:dyDescent="0.45">
      <c r="A49" s="42">
        <f t="shared" si="0"/>
        <v>39</v>
      </c>
      <c r="B49" s="43" t="s">
        <v>197</v>
      </c>
      <c r="C49" s="172">
        <f>G39</f>
        <v>7114954.9211800005</v>
      </c>
      <c r="D49" s="447">
        <f>C49/C$50</f>
        <v>0.58112856608680519</v>
      </c>
      <c r="E49" s="173">
        <f>G42</f>
        <v>0.106</v>
      </c>
      <c r="G49" s="448">
        <f>D49*E49</f>
        <v>6.159962800520135E-2</v>
      </c>
      <c r="H49" s="162"/>
      <c r="I49" s="55" t="str">
        <f>"Col. c = Line "&amp;A42&amp;" Above"</f>
        <v>Col. c = Line 32 Above</v>
      </c>
      <c r="J49" s="42">
        <f t="shared" si="1"/>
        <v>39</v>
      </c>
    </row>
    <row r="50" spans="1:10" ht="15.75" thickBot="1" x14ac:dyDescent="0.5">
      <c r="A50" s="42">
        <f t="shared" si="0"/>
        <v>40</v>
      </c>
      <c r="B50" s="43" t="s">
        <v>198</v>
      </c>
      <c r="C50" s="174">
        <f>SUM(C47:C49)</f>
        <v>12243340.521170001</v>
      </c>
      <c r="D50" s="175">
        <f>SUM(D47:D49)</f>
        <v>1</v>
      </c>
      <c r="G50" s="161">
        <f>SUM(G47:G49)</f>
        <v>7.9518521599695191E-2</v>
      </c>
      <c r="H50" s="162"/>
      <c r="I50" s="55" t="str">
        <f>"Sum Lines "&amp;A47&amp;" thru "&amp;A49</f>
        <v>Sum Lines 37 thru 39</v>
      </c>
      <c r="J50" s="42">
        <f t="shared" si="1"/>
        <v>40</v>
      </c>
    </row>
    <row r="51" spans="1:10" ht="15.75" thickTop="1" x14ac:dyDescent="0.45">
      <c r="A51" s="42">
        <f t="shared" si="0"/>
        <v>41</v>
      </c>
      <c r="I51" s="55"/>
      <c r="J51" s="42">
        <f t="shared" si="1"/>
        <v>41</v>
      </c>
    </row>
    <row r="52" spans="1:10" ht="15.75" thickBot="1" x14ac:dyDescent="0.5">
      <c r="A52" s="42">
        <f t="shared" si="0"/>
        <v>42</v>
      </c>
      <c r="B52" s="47" t="s">
        <v>199</v>
      </c>
      <c r="G52" s="161">
        <f>G48+G49</f>
        <v>6.159962800520135E-2</v>
      </c>
      <c r="H52" s="162"/>
      <c r="I52" s="55" t="str">
        <f>"Line "&amp;A48&amp;" + Line "&amp;A49&amp;"; Col. d"</f>
        <v>Line 38 + Line 39; Col. d</v>
      </c>
      <c r="J52" s="42">
        <f t="shared" si="1"/>
        <v>42</v>
      </c>
    </row>
    <row r="53" spans="1:10" ht="16.149999999999999" thickTop="1" thickBot="1" x14ac:dyDescent="0.5">
      <c r="A53" s="166">
        <f t="shared" si="0"/>
        <v>43</v>
      </c>
      <c r="B53" s="179"/>
      <c r="C53" s="127"/>
      <c r="D53" s="127"/>
      <c r="E53" s="127"/>
      <c r="F53" s="127"/>
      <c r="G53" s="449"/>
      <c r="H53" s="449"/>
      <c r="I53" s="167"/>
      <c r="J53" s="166">
        <f t="shared" si="1"/>
        <v>43</v>
      </c>
    </row>
    <row r="54" spans="1:10" x14ac:dyDescent="0.45">
      <c r="A54" s="42">
        <f t="shared" si="0"/>
        <v>44</v>
      </c>
      <c r="B54" s="47"/>
      <c r="G54" s="173"/>
      <c r="H54" s="173"/>
      <c r="I54" s="55"/>
      <c r="J54" s="42">
        <f t="shared" si="1"/>
        <v>44</v>
      </c>
    </row>
    <row r="55" spans="1:10" ht="15.75" thickBot="1" x14ac:dyDescent="0.5">
      <c r="A55" s="42">
        <f t="shared" si="0"/>
        <v>45</v>
      </c>
      <c r="B55" s="47" t="s">
        <v>340</v>
      </c>
      <c r="G55" s="450">
        <v>0</v>
      </c>
      <c r="H55" s="173"/>
      <c r="I55" s="55" t="s">
        <v>17</v>
      </c>
      <c r="J55" s="42">
        <f t="shared" si="1"/>
        <v>45</v>
      </c>
    </row>
    <row r="56" spans="1:10" ht="15.75" thickTop="1" x14ac:dyDescent="0.45">
      <c r="A56" s="42">
        <f t="shared" si="0"/>
        <v>46</v>
      </c>
      <c r="C56" s="76" t="s">
        <v>10</v>
      </c>
      <c r="D56" s="76" t="s">
        <v>54</v>
      </c>
      <c r="E56" s="76" t="s">
        <v>185</v>
      </c>
      <c r="F56" s="76"/>
      <c r="G56" s="76" t="s">
        <v>186</v>
      </c>
      <c r="H56" s="173"/>
      <c r="I56" s="55"/>
      <c r="J56" s="42">
        <f t="shared" si="1"/>
        <v>46</v>
      </c>
    </row>
    <row r="57" spans="1:10" x14ac:dyDescent="0.45">
      <c r="A57" s="42">
        <f t="shared" si="0"/>
        <v>47</v>
      </c>
      <c r="D57" s="42" t="s">
        <v>187</v>
      </c>
      <c r="E57" s="42" t="s">
        <v>188</v>
      </c>
      <c r="F57" s="42"/>
      <c r="G57" s="42" t="s">
        <v>189</v>
      </c>
      <c r="H57" s="173"/>
      <c r="I57" s="55"/>
      <c r="J57" s="42">
        <f t="shared" si="1"/>
        <v>47</v>
      </c>
    </row>
    <row r="58" spans="1:10" ht="17.25" x14ac:dyDescent="0.45">
      <c r="A58" s="42">
        <f t="shared" si="0"/>
        <v>48</v>
      </c>
      <c r="B58" s="47" t="s">
        <v>201</v>
      </c>
      <c r="C58" s="388" t="s">
        <v>191</v>
      </c>
      <c r="D58" s="388" t="s">
        <v>192</v>
      </c>
      <c r="E58" s="388" t="s">
        <v>193</v>
      </c>
      <c r="F58" s="388"/>
      <c r="G58" s="388" t="s">
        <v>194</v>
      </c>
      <c r="H58" s="173"/>
      <c r="I58" s="55"/>
      <c r="J58" s="42">
        <f t="shared" si="1"/>
        <v>48</v>
      </c>
    </row>
    <row r="59" spans="1:10" x14ac:dyDescent="0.45">
      <c r="A59" s="42">
        <f t="shared" si="0"/>
        <v>49</v>
      </c>
      <c r="G59" s="173"/>
      <c r="H59" s="173"/>
      <c r="I59" s="55"/>
      <c r="J59" s="42">
        <f t="shared" si="1"/>
        <v>49</v>
      </c>
    </row>
    <row r="60" spans="1:10" x14ac:dyDescent="0.45">
      <c r="A60" s="42">
        <f t="shared" si="0"/>
        <v>50</v>
      </c>
      <c r="B60" s="43" t="s">
        <v>195</v>
      </c>
      <c r="C60" s="451">
        <v>0</v>
      </c>
      <c r="D60" s="452">
        <v>0</v>
      </c>
      <c r="E60" s="176">
        <v>0</v>
      </c>
      <c r="G60" s="171">
        <f>D60*E60</f>
        <v>0</v>
      </c>
      <c r="H60" s="173"/>
      <c r="I60" s="55" t="s">
        <v>17</v>
      </c>
      <c r="J60" s="42">
        <f t="shared" si="1"/>
        <v>50</v>
      </c>
    </row>
    <row r="61" spans="1:10" x14ac:dyDescent="0.45">
      <c r="A61" s="42">
        <f t="shared" si="0"/>
        <v>51</v>
      </c>
      <c r="B61" s="43" t="s">
        <v>196</v>
      </c>
      <c r="C61" s="453">
        <v>0</v>
      </c>
      <c r="D61" s="452">
        <v>0</v>
      </c>
      <c r="E61" s="176">
        <v>0</v>
      </c>
      <c r="G61" s="171">
        <f>D61*E61</f>
        <v>0</v>
      </c>
      <c r="H61" s="173"/>
      <c r="I61" s="55" t="s">
        <v>17</v>
      </c>
      <c r="J61" s="42">
        <f t="shared" si="1"/>
        <v>51</v>
      </c>
    </row>
    <row r="62" spans="1:10" x14ac:dyDescent="0.45">
      <c r="A62" s="42">
        <f t="shared" si="0"/>
        <v>52</v>
      </c>
      <c r="B62" s="43" t="s">
        <v>197</v>
      </c>
      <c r="C62" s="453">
        <v>0</v>
      </c>
      <c r="D62" s="454">
        <v>0</v>
      </c>
      <c r="E62" s="455">
        <v>0</v>
      </c>
      <c r="G62" s="448">
        <f>D62*E62</f>
        <v>0</v>
      </c>
      <c r="H62" s="173"/>
      <c r="I62" s="55" t="s">
        <v>17</v>
      </c>
      <c r="J62" s="42">
        <f t="shared" si="1"/>
        <v>52</v>
      </c>
    </row>
    <row r="63" spans="1:10" ht="15.75" thickBot="1" x14ac:dyDescent="0.5">
      <c r="A63" s="42">
        <f t="shared" si="0"/>
        <v>53</v>
      </c>
      <c r="B63" s="43" t="s">
        <v>198</v>
      </c>
      <c r="C63" s="174">
        <f>SUM(C60:C62)</f>
        <v>0</v>
      </c>
      <c r="D63" s="161">
        <f>SUM(D60:D62)</f>
        <v>0</v>
      </c>
      <c r="G63" s="161">
        <f>SUM(G60:G62)</f>
        <v>0</v>
      </c>
      <c r="H63" s="173"/>
      <c r="I63" s="55" t="str">
        <f>"Sum Lines "&amp;A60&amp;" thru "&amp;A62</f>
        <v>Sum Lines 50 thru 52</v>
      </c>
      <c r="J63" s="42">
        <f t="shared" si="1"/>
        <v>53</v>
      </c>
    </row>
    <row r="64" spans="1:10" ht="15.75" thickTop="1" x14ac:dyDescent="0.45">
      <c r="A64" s="42">
        <f t="shared" si="0"/>
        <v>54</v>
      </c>
      <c r="H64" s="173"/>
      <c r="I64" s="55"/>
      <c r="J64" s="42">
        <f t="shared" si="1"/>
        <v>54</v>
      </c>
    </row>
    <row r="65" spans="1:10" ht="15.75" thickBot="1" x14ac:dyDescent="0.5">
      <c r="A65" s="42">
        <f t="shared" si="0"/>
        <v>55</v>
      </c>
      <c r="B65" s="47" t="s">
        <v>202</v>
      </c>
      <c r="G65" s="161">
        <f>G61+G62</f>
        <v>0</v>
      </c>
      <c r="H65" s="173"/>
      <c r="I65" s="55" t="str">
        <f>"Line "&amp;A61&amp;" + Line "&amp;A62&amp;"; Col. d"</f>
        <v>Line 51 + Line 52; Col. d</v>
      </c>
      <c r="J65" s="42">
        <f t="shared" si="1"/>
        <v>55</v>
      </c>
    </row>
    <row r="66" spans="1:10" ht="15.75" thickTop="1" x14ac:dyDescent="0.45">
      <c r="B66" s="47"/>
      <c r="G66" s="173"/>
      <c r="H66" s="173"/>
      <c r="I66" s="55"/>
      <c r="J66" s="42"/>
    </row>
    <row r="67" spans="1:10" x14ac:dyDescent="0.45">
      <c r="B67" s="47"/>
      <c r="G67" s="173"/>
      <c r="H67" s="173"/>
      <c r="I67" s="55"/>
      <c r="J67" s="42"/>
    </row>
    <row r="68" spans="1:10" ht="17.25" x14ac:dyDescent="0.45">
      <c r="A68" s="74">
        <v>1</v>
      </c>
      <c r="B68" s="20" t="s">
        <v>200</v>
      </c>
      <c r="G68" s="70"/>
      <c r="H68" s="70"/>
      <c r="J68" s="42" t="s">
        <v>11</v>
      </c>
    </row>
    <row r="69" spans="1:10" ht="17.25" x14ac:dyDescent="0.45">
      <c r="A69" s="74"/>
      <c r="B69" s="20"/>
      <c r="G69" s="70"/>
      <c r="H69" s="70"/>
      <c r="J69" s="42"/>
    </row>
    <row r="70" spans="1:10" ht="17.25" x14ac:dyDescent="0.45">
      <c r="A70" s="74"/>
      <c r="B70" s="20"/>
      <c r="D70" s="42"/>
      <c r="G70" s="70"/>
      <c r="H70" s="70"/>
      <c r="J70" s="42"/>
    </row>
    <row r="71" spans="1:10" x14ac:dyDescent="0.45">
      <c r="B71" s="954" t="s">
        <v>339</v>
      </c>
      <c r="C71" s="954"/>
      <c r="D71" s="954"/>
      <c r="E71" s="954"/>
      <c r="F71" s="954"/>
      <c r="G71" s="954"/>
      <c r="H71" s="954"/>
      <c r="I71" s="954"/>
      <c r="J71" s="42"/>
    </row>
    <row r="72" spans="1:10" x14ac:dyDescent="0.45">
      <c r="B72" s="954" t="s">
        <v>142</v>
      </c>
      <c r="C72" s="954"/>
      <c r="D72" s="954"/>
      <c r="E72" s="954"/>
      <c r="F72" s="954"/>
      <c r="G72" s="954"/>
      <c r="H72" s="954"/>
      <c r="I72" s="954"/>
      <c r="J72" s="42"/>
    </row>
    <row r="73" spans="1:10" x14ac:dyDescent="0.45">
      <c r="B73" s="954" t="s">
        <v>143</v>
      </c>
      <c r="C73" s="954"/>
      <c r="D73" s="954"/>
      <c r="E73" s="954"/>
      <c r="F73" s="954"/>
      <c r="G73" s="954"/>
      <c r="H73" s="954"/>
      <c r="I73" s="954"/>
      <c r="J73" s="42"/>
    </row>
    <row r="74" spans="1:10" x14ac:dyDescent="0.45">
      <c r="B74" s="961" t="str">
        <f>B5</f>
        <v>Base Period &amp; True-Up Period 12 - Months Ending December 31, 2019</v>
      </c>
      <c r="C74" s="961"/>
      <c r="D74" s="961"/>
      <c r="E74" s="961"/>
      <c r="F74" s="961"/>
      <c r="G74" s="961"/>
      <c r="H74" s="961"/>
      <c r="I74" s="961"/>
      <c r="J74" s="42"/>
    </row>
    <row r="75" spans="1:10" x14ac:dyDescent="0.45">
      <c r="B75" s="956" t="s">
        <v>1</v>
      </c>
      <c r="C75" s="962"/>
      <c r="D75" s="962"/>
      <c r="E75" s="962"/>
      <c r="F75" s="962"/>
      <c r="G75" s="962"/>
      <c r="H75" s="962"/>
      <c r="I75" s="962"/>
      <c r="J75" s="42"/>
    </row>
    <row r="76" spans="1:10" x14ac:dyDescent="0.45">
      <c r="B76" s="42"/>
      <c r="C76" s="42"/>
      <c r="D76" s="42"/>
      <c r="E76" s="42"/>
      <c r="F76" s="42"/>
      <c r="G76" s="42"/>
      <c r="H76" s="42"/>
      <c r="I76" s="55"/>
      <c r="J76" s="42"/>
    </row>
    <row r="77" spans="1:10" x14ac:dyDescent="0.45">
      <c r="A77" s="42" t="s">
        <v>2</v>
      </c>
      <c r="B77" s="748"/>
      <c r="C77" s="748"/>
      <c r="D77" s="748"/>
      <c r="E77" s="748"/>
      <c r="F77" s="748"/>
      <c r="G77" s="748"/>
      <c r="H77" s="748"/>
      <c r="I77" s="55"/>
      <c r="J77" s="42" t="s">
        <v>2</v>
      </c>
    </row>
    <row r="78" spans="1:10" x14ac:dyDescent="0.45">
      <c r="A78" s="42" t="s">
        <v>6</v>
      </c>
      <c r="B78" s="42"/>
      <c r="C78" s="42"/>
      <c r="D78" s="42"/>
      <c r="E78" s="42"/>
      <c r="F78" s="42"/>
      <c r="G78" s="388" t="s">
        <v>4</v>
      </c>
      <c r="H78" s="748"/>
      <c r="I78" s="444" t="s">
        <v>5</v>
      </c>
      <c r="J78" s="42" t="s">
        <v>6</v>
      </c>
    </row>
    <row r="79" spans="1:10" x14ac:dyDescent="0.45">
      <c r="G79" s="42"/>
      <c r="H79" s="42"/>
      <c r="I79" s="55"/>
      <c r="J79" s="42"/>
    </row>
    <row r="80" spans="1:10" ht="17.649999999999999" x14ac:dyDescent="0.45">
      <c r="A80" s="42">
        <v>1</v>
      </c>
      <c r="B80" s="47" t="s">
        <v>341</v>
      </c>
      <c r="E80" s="748"/>
      <c r="F80" s="748"/>
      <c r="G80" s="180"/>
      <c r="H80" s="180"/>
      <c r="I80" s="55"/>
      <c r="J80" s="42">
        <v>1</v>
      </c>
    </row>
    <row r="81" spans="1:13" x14ac:dyDescent="0.45">
      <c r="A81" s="42">
        <f>A80+1</f>
        <v>2</v>
      </c>
      <c r="B81" s="181"/>
      <c r="E81" s="748"/>
      <c r="F81" s="748"/>
      <c r="G81" s="180"/>
      <c r="H81" s="180"/>
      <c r="I81" s="55"/>
      <c r="J81" s="42">
        <f>J80+1</f>
        <v>2</v>
      </c>
    </row>
    <row r="82" spans="1:13" x14ac:dyDescent="0.45">
      <c r="A82" s="42">
        <f>A81+1</f>
        <v>3</v>
      </c>
      <c r="B82" s="47" t="s">
        <v>342</v>
      </c>
      <c r="E82" s="748"/>
      <c r="F82" s="748"/>
      <c r="G82" s="180"/>
      <c r="H82" s="180"/>
      <c r="I82" s="55"/>
      <c r="J82" s="42">
        <f>J81+1</f>
        <v>3</v>
      </c>
    </row>
    <row r="83" spans="1:13" x14ac:dyDescent="0.45">
      <c r="A83" s="42">
        <f>A82+1</f>
        <v>4</v>
      </c>
      <c r="B83" s="748"/>
      <c r="C83" s="748"/>
      <c r="D83" s="748"/>
      <c r="E83" s="748"/>
      <c r="F83" s="748"/>
      <c r="G83" s="180"/>
      <c r="H83" s="180"/>
      <c r="I83" s="55"/>
      <c r="J83" s="42">
        <f>J82+1</f>
        <v>4</v>
      </c>
    </row>
    <row r="84" spans="1:13" x14ac:dyDescent="0.45">
      <c r="A84" s="42">
        <f t="shared" ref="A84:A110" si="2">A83+1</f>
        <v>5</v>
      </c>
      <c r="B84" s="49" t="s">
        <v>203</v>
      </c>
      <c r="C84" s="748"/>
      <c r="D84" s="748"/>
      <c r="E84" s="748"/>
      <c r="F84" s="748"/>
      <c r="G84" s="180"/>
      <c r="H84" s="180"/>
      <c r="I84" s="182"/>
      <c r="J84" s="42">
        <f t="shared" ref="J84:J110" si="3">J83+1</f>
        <v>5</v>
      </c>
    </row>
    <row r="85" spans="1:13" x14ac:dyDescent="0.45">
      <c r="A85" s="42">
        <f t="shared" si="2"/>
        <v>6</v>
      </c>
      <c r="B85" s="43" t="s">
        <v>204</v>
      </c>
      <c r="D85" s="748"/>
      <c r="E85" s="748"/>
      <c r="F85" s="748"/>
      <c r="G85" s="183">
        <f>G52</f>
        <v>6.159962800520135E-2</v>
      </c>
      <c r="H85" s="748"/>
      <c r="I85" s="55" t="s">
        <v>667</v>
      </c>
      <c r="J85" s="42">
        <f t="shared" si="3"/>
        <v>6</v>
      </c>
      <c r="L85" s="42"/>
    </row>
    <row r="86" spans="1:13" x14ac:dyDescent="0.45">
      <c r="A86" s="42">
        <f t="shared" si="2"/>
        <v>7</v>
      </c>
      <c r="B86" s="43" t="s">
        <v>205</v>
      </c>
      <c r="D86" s="748"/>
      <c r="E86" s="748"/>
      <c r="F86" s="748"/>
      <c r="G86" s="184">
        <v>3720.7176518702354</v>
      </c>
      <c r="H86" s="748"/>
      <c r="I86" s="55" t="s">
        <v>668</v>
      </c>
      <c r="J86" s="42">
        <f t="shared" si="3"/>
        <v>7</v>
      </c>
      <c r="L86" s="42"/>
    </row>
    <row r="87" spans="1:13" ht="17.25" x14ac:dyDescent="0.45">
      <c r="A87" s="42">
        <f t="shared" si="2"/>
        <v>8</v>
      </c>
      <c r="B87" s="43" t="s">
        <v>343</v>
      </c>
      <c r="D87" s="748"/>
      <c r="E87" s="748"/>
      <c r="F87" s="748"/>
      <c r="G87" s="185">
        <v>7491.7360400000025</v>
      </c>
      <c r="H87" s="748"/>
      <c r="I87" s="178" t="s">
        <v>669</v>
      </c>
      <c r="J87" s="42">
        <f t="shared" si="3"/>
        <v>8</v>
      </c>
      <c r="L87" s="748"/>
    </row>
    <row r="88" spans="1:13" ht="15.75" x14ac:dyDescent="0.5">
      <c r="A88" s="42">
        <f t="shared" si="2"/>
        <v>9</v>
      </c>
      <c r="B88" s="43" t="s">
        <v>207</v>
      </c>
      <c r="D88" s="748"/>
      <c r="E88" s="186"/>
      <c r="F88" s="748"/>
      <c r="G88" s="187">
        <f>'Pg11 Revised AV-4'!C36</f>
        <v>4318184.8960831314</v>
      </c>
      <c r="H88" s="28" t="s">
        <v>16</v>
      </c>
      <c r="I88" s="178" t="s">
        <v>670</v>
      </c>
      <c r="J88" s="42">
        <f t="shared" si="3"/>
        <v>9</v>
      </c>
    </row>
    <row r="89" spans="1:13" x14ac:dyDescent="0.45">
      <c r="A89" s="42">
        <f t="shared" si="2"/>
        <v>10</v>
      </c>
      <c r="B89" s="43" t="s">
        <v>208</v>
      </c>
      <c r="D89" s="188"/>
      <c r="E89" s="748"/>
      <c r="F89" s="748"/>
      <c r="G89" s="456">
        <v>0.21</v>
      </c>
      <c r="H89" s="748"/>
      <c r="I89" s="55" t="s">
        <v>209</v>
      </c>
      <c r="J89" s="42">
        <f t="shared" si="3"/>
        <v>10</v>
      </c>
      <c r="M89" s="189"/>
    </row>
    <row r="90" spans="1:13" x14ac:dyDescent="0.45">
      <c r="A90" s="42">
        <f t="shared" si="2"/>
        <v>11</v>
      </c>
      <c r="G90" s="42"/>
      <c r="H90" s="42"/>
      <c r="J90" s="42">
        <f t="shared" si="3"/>
        <v>11</v>
      </c>
    </row>
    <row r="91" spans="1:13" x14ac:dyDescent="0.45">
      <c r="A91" s="42">
        <f t="shared" si="2"/>
        <v>12</v>
      </c>
      <c r="B91" s="43" t="s">
        <v>210</v>
      </c>
      <c r="D91" s="748"/>
      <c r="E91" s="748"/>
      <c r="F91" s="748"/>
      <c r="G91" s="190">
        <f>(((G85)+(G87/G88))*G89-(G86/G88))/(1-G89)</f>
        <v>1.5745085203755071E-2</v>
      </c>
      <c r="H91" s="190"/>
      <c r="I91" s="55" t="s">
        <v>211</v>
      </c>
      <c r="J91" s="42">
        <f t="shared" si="3"/>
        <v>12</v>
      </c>
      <c r="M91" s="191"/>
    </row>
    <row r="92" spans="1:13" x14ac:dyDescent="0.45">
      <c r="A92" s="42">
        <f t="shared" si="2"/>
        <v>13</v>
      </c>
      <c r="B92" s="192" t="s">
        <v>212</v>
      </c>
      <c r="G92" s="42"/>
      <c r="H92" s="42"/>
      <c r="J92" s="42">
        <f t="shared" si="3"/>
        <v>13</v>
      </c>
    </row>
    <row r="93" spans="1:13" x14ac:dyDescent="0.45">
      <c r="A93" s="42">
        <f t="shared" si="2"/>
        <v>14</v>
      </c>
      <c r="G93" s="42"/>
      <c r="H93" s="42"/>
      <c r="J93" s="42">
        <f t="shared" si="3"/>
        <v>14</v>
      </c>
    </row>
    <row r="94" spans="1:13" x14ac:dyDescent="0.45">
      <c r="A94" s="42">
        <f t="shared" si="2"/>
        <v>15</v>
      </c>
      <c r="B94" s="47" t="s">
        <v>213</v>
      </c>
      <c r="C94" s="748"/>
      <c r="D94" s="748"/>
      <c r="E94" s="748"/>
      <c r="F94" s="748"/>
      <c r="G94" s="193"/>
      <c r="H94" s="193"/>
      <c r="I94" s="194"/>
      <c r="J94" s="42">
        <f t="shared" si="3"/>
        <v>15</v>
      </c>
      <c r="L94" s="195"/>
    </row>
    <row r="95" spans="1:13" x14ac:dyDescent="0.45">
      <c r="A95" s="42">
        <f t="shared" si="2"/>
        <v>16</v>
      </c>
      <c r="B95" s="60"/>
      <c r="C95" s="748"/>
      <c r="D95" s="748"/>
      <c r="E95" s="748"/>
      <c r="F95" s="748"/>
      <c r="G95" s="193"/>
      <c r="H95" s="193"/>
      <c r="I95" s="196"/>
      <c r="J95" s="42">
        <f t="shared" si="3"/>
        <v>16</v>
      </c>
      <c r="L95" s="748"/>
    </row>
    <row r="96" spans="1:13" x14ac:dyDescent="0.45">
      <c r="A96" s="42">
        <f t="shared" si="2"/>
        <v>17</v>
      </c>
      <c r="B96" s="49" t="s">
        <v>203</v>
      </c>
      <c r="C96" s="748"/>
      <c r="D96" s="748"/>
      <c r="E96" s="748"/>
      <c r="F96" s="748"/>
      <c r="G96" s="193"/>
      <c r="H96" s="193"/>
      <c r="I96" s="196"/>
      <c r="J96" s="42">
        <f t="shared" si="3"/>
        <v>17</v>
      </c>
      <c r="L96" s="748"/>
    </row>
    <row r="97" spans="1:13" x14ac:dyDescent="0.45">
      <c r="A97" s="42">
        <f t="shared" si="2"/>
        <v>18</v>
      </c>
      <c r="B97" s="43" t="s">
        <v>204</v>
      </c>
      <c r="D97" s="748"/>
      <c r="E97" s="748"/>
      <c r="F97" s="748"/>
      <c r="G97" s="169">
        <f>G85</f>
        <v>6.159962800520135E-2</v>
      </c>
      <c r="H97" s="169"/>
      <c r="I97" s="55" t="str">
        <f>"Line "&amp;A85&amp;" Above"</f>
        <v>Line 6 Above</v>
      </c>
      <c r="J97" s="42">
        <f t="shared" si="3"/>
        <v>18</v>
      </c>
      <c r="L97" s="42"/>
    </row>
    <row r="98" spans="1:13" x14ac:dyDescent="0.45">
      <c r="A98" s="42">
        <f t="shared" si="2"/>
        <v>19</v>
      </c>
      <c r="B98" s="43" t="s">
        <v>214</v>
      </c>
      <c r="D98" s="748"/>
      <c r="E98" s="748"/>
      <c r="F98" s="748"/>
      <c r="G98" s="197">
        <f>G87</f>
        <v>7491.7360400000025</v>
      </c>
      <c r="H98" s="197"/>
      <c r="I98" s="55" t="str">
        <f>"Line "&amp;A87&amp;" Above"</f>
        <v>Line 8 Above</v>
      </c>
      <c r="J98" s="42">
        <f t="shared" si="3"/>
        <v>19</v>
      </c>
      <c r="L98" s="42"/>
    </row>
    <row r="99" spans="1:13" ht="15.75" x14ac:dyDescent="0.5">
      <c r="A99" s="42">
        <f t="shared" si="2"/>
        <v>20</v>
      </c>
      <c r="B99" s="43" t="s">
        <v>215</v>
      </c>
      <c r="D99" s="748"/>
      <c r="E99" s="748"/>
      <c r="F99" s="748"/>
      <c r="G99" s="198">
        <f>G88</f>
        <v>4318184.8960831314</v>
      </c>
      <c r="H99" s="28" t="s">
        <v>16</v>
      </c>
      <c r="I99" s="55" t="str">
        <f>"Line "&amp;A88&amp;" Above"</f>
        <v>Line 9 Above</v>
      </c>
      <c r="J99" s="42">
        <f t="shared" si="3"/>
        <v>20</v>
      </c>
      <c r="L99" s="42"/>
    </row>
    <row r="100" spans="1:13" x14ac:dyDescent="0.45">
      <c r="A100" s="42">
        <f t="shared" si="2"/>
        <v>21</v>
      </c>
      <c r="B100" s="43" t="s">
        <v>216</v>
      </c>
      <c r="D100" s="748"/>
      <c r="E100" s="748"/>
      <c r="F100" s="748"/>
      <c r="G100" s="199">
        <f>G91</f>
        <v>1.5745085203755071E-2</v>
      </c>
      <c r="H100" s="199"/>
      <c r="I100" s="55" t="str">
        <f>"Line "&amp;A91&amp;" Above"</f>
        <v>Line 12 Above</v>
      </c>
      <c r="J100" s="42">
        <f t="shared" si="3"/>
        <v>21</v>
      </c>
    </row>
    <row r="101" spans="1:13" x14ac:dyDescent="0.45">
      <c r="A101" s="42">
        <f t="shared" si="2"/>
        <v>22</v>
      </c>
      <c r="B101" s="43" t="s">
        <v>217</v>
      </c>
      <c r="D101" s="748"/>
      <c r="E101" s="748"/>
      <c r="F101" s="748"/>
      <c r="G101" s="487">
        <v>8.8400000000000006E-2</v>
      </c>
      <c r="H101" s="748"/>
      <c r="I101" s="55" t="s">
        <v>218</v>
      </c>
      <c r="J101" s="42">
        <f t="shared" si="3"/>
        <v>22</v>
      </c>
    </row>
    <row r="102" spans="1:13" x14ac:dyDescent="0.45">
      <c r="A102" s="42">
        <f t="shared" si="2"/>
        <v>23</v>
      </c>
      <c r="B102" s="749"/>
      <c r="D102" s="748"/>
      <c r="E102" s="748"/>
      <c r="F102" s="748"/>
      <c r="G102" s="200"/>
      <c r="H102" s="200"/>
      <c r="I102" s="196"/>
      <c r="J102" s="42">
        <f t="shared" si="3"/>
        <v>23</v>
      </c>
    </row>
    <row r="103" spans="1:13" x14ac:dyDescent="0.45">
      <c r="A103" s="42">
        <f t="shared" si="2"/>
        <v>24</v>
      </c>
      <c r="B103" s="43" t="s">
        <v>219</v>
      </c>
      <c r="C103" s="42"/>
      <c r="D103" s="42"/>
      <c r="E103" s="748"/>
      <c r="F103" s="748"/>
      <c r="G103" s="457">
        <f>((G97)+(G98/G99)+G91)*G101/(1-G101)</f>
        <v>7.6685390567689379E-3</v>
      </c>
      <c r="H103" s="201"/>
      <c r="I103" s="55" t="s">
        <v>220</v>
      </c>
      <c r="J103" s="42">
        <f t="shared" si="3"/>
        <v>24</v>
      </c>
    </row>
    <row r="104" spans="1:13" x14ac:dyDescent="0.45">
      <c r="A104" s="42">
        <f t="shared" si="2"/>
        <v>25</v>
      </c>
      <c r="B104" s="192" t="s">
        <v>221</v>
      </c>
      <c r="G104" s="42"/>
      <c r="H104" s="42"/>
      <c r="I104" s="55"/>
      <c r="J104" s="42">
        <f t="shared" si="3"/>
        <v>25</v>
      </c>
      <c r="L104" s="42"/>
    </row>
    <row r="105" spans="1:13" x14ac:dyDescent="0.45">
      <c r="A105" s="42">
        <f t="shared" si="2"/>
        <v>26</v>
      </c>
      <c r="G105" s="42"/>
      <c r="H105" s="42"/>
      <c r="I105" s="55"/>
      <c r="J105" s="42">
        <f t="shared" si="3"/>
        <v>26</v>
      </c>
      <c r="L105" s="42"/>
    </row>
    <row r="106" spans="1:13" x14ac:dyDescent="0.45">
      <c r="A106" s="42">
        <f t="shared" si="2"/>
        <v>27</v>
      </c>
      <c r="B106" s="47" t="s">
        <v>222</v>
      </c>
      <c r="G106" s="190">
        <f>G103+G91</f>
        <v>2.341362426052401E-2</v>
      </c>
      <c r="H106" s="190"/>
      <c r="I106" s="55" t="str">
        <f>"Line "&amp;A91&amp;" + Line "&amp;A103</f>
        <v>Line 12 + Line 24</v>
      </c>
      <c r="J106" s="42">
        <f t="shared" si="3"/>
        <v>27</v>
      </c>
      <c r="L106" s="42"/>
    </row>
    <row r="107" spans="1:13" x14ac:dyDescent="0.45">
      <c r="A107" s="42">
        <f t="shared" si="2"/>
        <v>28</v>
      </c>
      <c r="G107" s="42"/>
      <c r="H107" s="42"/>
      <c r="I107" s="55"/>
      <c r="J107" s="42">
        <f t="shared" si="3"/>
        <v>28</v>
      </c>
      <c r="L107" s="42"/>
    </row>
    <row r="108" spans="1:13" x14ac:dyDescent="0.45">
      <c r="A108" s="42">
        <f t="shared" si="2"/>
        <v>29</v>
      </c>
      <c r="B108" s="47" t="s">
        <v>223</v>
      </c>
      <c r="G108" s="458">
        <f>G50</f>
        <v>7.9518521599695191E-2</v>
      </c>
      <c r="H108" s="748"/>
      <c r="I108" s="55" t="str">
        <f>"AV1; Line "&amp;A50</f>
        <v>AV1; Line 40</v>
      </c>
      <c r="J108" s="42">
        <f t="shared" si="3"/>
        <v>29</v>
      </c>
      <c r="L108" s="42"/>
    </row>
    <row r="109" spans="1:13" x14ac:dyDescent="0.45">
      <c r="A109" s="42">
        <f t="shared" si="2"/>
        <v>30</v>
      </c>
      <c r="G109" s="169"/>
      <c r="H109" s="169"/>
      <c r="I109" s="55"/>
      <c r="J109" s="42">
        <f t="shared" si="3"/>
        <v>30</v>
      </c>
      <c r="L109" s="42"/>
    </row>
    <row r="110" spans="1:13" ht="18" thickBot="1" x14ac:dyDescent="0.5">
      <c r="A110" s="42">
        <f t="shared" si="2"/>
        <v>31</v>
      </c>
      <c r="B110" s="47" t="s">
        <v>344</v>
      </c>
      <c r="G110" s="202">
        <f>G106+G108</f>
        <v>0.1029321458602192</v>
      </c>
      <c r="H110" s="201"/>
      <c r="I110" s="55" t="str">
        <f>"Line "&amp;A106&amp;" + Line "&amp;A108</f>
        <v>Line 27 + Line 29</v>
      </c>
      <c r="J110" s="42">
        <f t="shared" si="3"/>
        <v>31</v>
      </c>
      <c r="L110" s="203"/>
      <c r="M110" s="191"/>
    </row>
    <row r="111" spans="1:13" ht="15.75" thickTop="1" x14ac:dyDescent="0.45">
      <c r="B111" s="47"/>
      <c r="G111" s="205"/>
      <c r="H111" s="205"/>
      <c r="I111" s="55"/>
      <c r="J111" s="42"/>
      <c r="L111" s="203"/>
      <c r="M111" s="191"/>
    </row>
    <row r="112" spans="1:13" ht="15.75" x14ac:dyDescent="0.5">
      <c r="A112" s="28" t="s">
        <v>16</v>
      </c>
      <c r="B112" s="26" t="s">
        <v>350</v>
      </c>
      <c r="G112" s="205"/>
      <c r="H112" s="205"/>
      <c r="I112" s="55"/>
      <c r="J112" s="42"/>
      <c r="L112" s="203"/>
      <c r="M112" s="191"/>
    </row>
    <row r="113" spans="1:13" ht="17.649999999999999" x14ac:dyDescent="0.45">
      <c r="A113" s="459">
        <v>1</v>
      </c>
      <c r="B113" s="20" t="s">
        <v>361</v>
      </c>
      <c r="G113" s="205"/>
      <c r="H113" s="205"/>
      <c r="I113" s="55"/>
      <c r="J113" s="42"/>
      <c r="L113" s="203"/>
      <c r="M113" s="191"/>
    </row>
    <row r="114" spans="1:13" ht="17.649999999999999" x14ac:dyDescent="0.45">
      <c r="A114" s="459"/>
      <c r="B114" s="20"/>
      <c r="G114" s="205"/>
      <c r="H114" s="205"/>
      <c r="I114" s="55"/>
      <c r="J114" s="42"/>
      <c r="L114" s="203"/>
      <c r="M114" s="191"/>
    </row>
    <row r="115" spans="1:13" x14ac:dyDescent="0.45">
      <c r="A115" s="206"/>
      <c r="B115" s="749"/>
      <c r="C115" s="44"/>
      <c r="D115" s="44"/>
      <c r="E115" s="44"/>
      <c r="F115" s="44"/>
      <c r="G115" s="207"/>
      <c r="H115" s="207"/>
      <c r="I115" s="460"/>
      <c r="J115" s="42"/>
    </row>
    <row r="116" spans="1:13" x14ac:dyDescent="0.45">
      <c r="B116" s="954" t="s">
        <v>21</v>
      </c>
      <c r="C116" s="954"/>
      <c r="D116" s="954"/>
      <c r="E116" s="954"/>
      <c r="F116" s="954"/>
      <c r="G116" s="954"/>
      <c r="H116" s="954"/>
      <c r="I116" s="954"/>
    </row>
    <row r="117" spans="1:13" x14ac:dyDescent="0.45">
      <c r="B117" s="954" t="s">
        <v>142</v>
      </c>
      <c r="C117" s="954"/>
      <c r="D117" s="954"/>
      <c r="E117" s="954"/>
      <c r="F117" s="954"/>
      <c r="G117" s="954"/>
      <c r="H117" s="954"/>
      <c r="I117" s="954"/>
    </row>
    <row r="118" spans="1:13" x14ac:dyDescent="0.45">
      <c r="B118" s="954" t="s">
        <v>143</v>
      </c>
      <c r="C118" s="954"/>
      <c r="D118" s="954"/>
      <c r="E118" s="954"/>
      <c r="F118" s="954"/>
      <c r="G118" s="954"/>
      <c r="H118" s="954"/>
      <c r="I118" s="954"/>
    </row>
    <row r="119" spans="1:13" x14ac:dyDescent="0.45">
      <c r="B119" s="961" t="str">
        <f>B5</f>
        <v>Base Period &amp; True-Up Period 12 - Months Ending December 31, 2019</v>
      </c>
      <c r="C119" s="961"/>
      <c r="D119" s="961"/>
      <c r="E119" s="961"/>
      <c r="F119" s="961"/>
      <c r="G119" s="961"/>
      <c r="H119" s="961"/>
      <c r="I119" s="961"/>
    </row>
    <row r="120" spans="1:13" x14ac:dyDescent="0.45">
      <c r="B120" s="956" t="s">
        <v>1</v>
      </c>
      <c r="C120" s="962"/>
      <c r="D120" s="962"/>
      <c r="E120" s="962"/>
      <c r="F120" s="962"/>
      <c r="G120" s="962"/>
      <c r="H120" s="962"/>
      <c r="I120" s="962"/>
    </row>
    <row r="122" spans="1:13" x14ac:dyDescent="0.45">
      <c r="A122" s="42" t="s">
        <v>2</v>
      </c>
      <c r="B122" s="748"/>
      <c r="C122" s="748"/>
      <c r="D122" s="748"/>
      <c r="E122" s="748"/>
      <c r="F122" s="748"/>
      <c r="G122" s="748"/>
      <c r="H122" s="748"/>
      <c r="I122" s="55"/>
      <c r="J122" s="42" t="s">
        <v>2</v>
      </c>
    </row>
    <row r="123" spans="1:13" x14ac:dyDescent="0.45">
      <c r="A123" s="42" t="s">
        <v>6</v>
      </c>
      <c r="B123" s="42"/>
      <c r="C123" s="42"/>
      <c r="D123" s="42"/>
      <c r="E123" s="42"/>
      <c r="F123" s="42"/>
      <c r="G123" s="388" t="s">
        <v>4</v>
      </c>
      <c r="H123" s="748"/>
      <c r="I123" s="444" t="s">
        <v>5</v>
      </c>
      <c r="J123" s="42" t="s">
        <v>6</v>
      </c>
    </row>
    <row r="125" spans="1:13" ht="17.649999999999999" x14ac:dyDescent="0.45">
      <c r="A125" s="42">
        <v>1</v>
      </c>
      <c r="B125" s="47" t="s">
        <v>345</v>
      </c>
      <c r="J125" s="42">
        <v>1</v>
      </c>
    </row>
    <row r="126" spans="1:13" x14ac:dyDescent="0.45">
      <c r="A126" s="42">
        <f>A125+1</f>
        <v>2</v>
      </c>
      <c r="B126" s="181"/>
      <c r="J126" s="42">
        <f>J125+1</f>
        <v>2</v>
      </c>
    </row>
    <row r="127" spans="1:13" x14ac:dyDescent="0.45">
      <c r="A127" s="42">
        <f>A126+1</f>
        <v>3</v>
      </c>
      <c r="B127" s="47" t="s">
        <v>342</v>
      </c>
      <c r="J127" s="42">
        <f>J126+1</f>
        <v>3</v>
      </c>
    </row>
    <row r="128" spans="1:13" x14ac:dyDescent="0.45">
      <c r="A128" s="42">
        <f>A127+1</f>
        <v>4</v>
      </c>
      <c r="B128" s="748"/>
      <c r="J128" s="42">
        <f>J127+1</f>
        <v>4</v>
      </c>
    </row>
    <row r="129" spans="1:10" x14ac:dyDescent="0.45">
      <c r="A129" s="42">
        <f t="shared" ref="A129:A155" si="4">A128+1</f>
        <v>5</v>
      </c>
      <c r="B129" s="49" t="s">
        <v>203</v>
      </c>
      <c r="J129" s="42">
        <f t="shared" ref="J129:J155" si="5">J128+1</f>
        <v>5</v>
      </c>
    </row>
    <row r="130" spans="1:10" x14ac:dyDescent="0.45">
      <c r="A130" s="42">
        <f t="shared" si="4"/>
        <v>6</v>
      </c>
      <c r="B130" s="43" t="str">
        <f>B85</f>
        <v xml:space="preserve">     A = Sum of Preferred Stock and Return on Equity Component</v>
      </c>
      <c r="G130" s="183">
        <f>G65</f>
        <v>0</v>
      </c>
      <c r="I130" s="55" t="str">
        <f>"AV1; Line "&amp;A65</f>
        <v>AV1; Line 55</v>
      </c>
      <c r="J130" s="42">
        <f t="shared" si="5"/>
        <v>6</v>
      </c>
    </row>
    <row r="131" spans="1:10" x14ac:dyDescent="0.45">
      <c r="A131" s="42">
        <f t="shared" si="4"/>
        <v>7</v>
      </c>
      <c r="B131" s="43" t="str">
        <f>B86</f>
        <v xml:space="preserve">     B = Transmission Total Federal Tax Adjustments</v>
      </c>
      <c r="G131" s="204">
        <v>0</v>
      </c>
      <c r="I131" s="178" t="s">
        <v>17</v>
      </c>
      <c r="J131" s="42">
        <f t="shared" si="5"/>
        <v>7</v>
      </c>
    </row>
    <row r="132" spans="1:10" x14ac:dyDescent="0.45">
      <c r="A132" s="42">
        <f t="shared" si="4"/>
        <v>8</v>
      </c>
      <c r="B132" s="43" t="s">
        <v>206</v>
      </c>
      <c r="G132" s="461">
        <v>0</v>
      </c>
      <c r="I132" s="178" t="s">
        <v>17</v>
      </c>
      <c r="J132" s="42">
        <f t="shared" si="5"/>
        <v>8</v>
      </c>
    </row>
    <row r="133" spans="1:10" x14ac:dyDescent="0.45">
      <c r="A133" s="42">
        <f t="shared" si="4"/>
        <v>9</v>
      </c>
      <c r="B133" s="43" t="s">
        <v>224</v>
      </c>
      <c r="G133" s="461">
        <v>0</v>
      </c>
      <c r="I133" s="178" t="s">
        <v>17</v>
      </c>
      <c r="J133" s="42">
        <f t="shared" si="5"/>
        <v>9</v>
      </c>
    </row>
    <row r="134" spans="1:10" x14ac:dyDescent="0.45">
      <c r="A134" s="42">
        <f t="shared" si="4"/>
        <v>10</v>
      </c>
      <c r="B134" s="43" t="str">
        <f>B89</f>
        <v xml:space="preserve">     FT = Federal Income Tax Rate for Rate Effective Period</v>
      </c>
      <c r="G134" s="462">
        <f>G89</f>
        <v>0.21</v>
      </c>
      <c r="I134" s="55" t="str">
        <f>"AV2; Line "&amp;A89</f>
        <v>AV2; Line 10</v>
      </c>
      <c r="J134" s="42">
        <f t="shared" si="5"/>
        <v>10</v>
      </c>
    </row>
    <row r="135" spans="1:10" x14ac:dyDescent="0.45">
      <c r="A135" s="42">
        <f t="shared" si="4"/>
        <v>11</v>
      </c>
      <c r="G135" s="42"/>
      <c r="J135" s="42">
        <f t="shared" si="5"/>
        <v>11</v>
      </c>
    </row>
    <row r="136" spans="1:10" x14ac:dyDescent="0.45">
      <c r="A136" s="42">
        <f t="shared" si="4"/>
        <v>12</v>
      </c>
      <c r="B136" s="43" t="s">
        <v>225</v>
      </c>
      <c r="G136" s="190">
        <f>IFERROR((((G130)+(G132/G133))*G134-(G131/G133))/(1-G134),0)</f>
        <v>0</v>
      </c>
      <c r="I136" s="55" t="s">
        <v>226</v>
      </c>
      <c r="J136" s="42">
        <f t="shared" si="5"/>
        <v>12</v>
      </c>
    </row>
    <row r="137" spans="1:10" x14ac:dyDescent="0.45">
      <c r="A137" s="42">
        <f t="shared" si="4"/>
        <v>13</v>
      </c>
      <c r="B137" s="192" t="s">
        <v>212</v>
      </c>
      <c r="G137" s="177"/>
      <c r="J137" s="42">
        <f t="shared" si="5"/>
        <v>13</v>
      </c>
    </row>
    <row r="138" spans="1:10" x14ac:dyDescent="0.45">
      <c r="A138" s="42">
        <f t="shared" si="4"/>
        <v>14</v>
      </c>
      <c r="G138" s="42"/>
      <c r="J138" s="42">
        <f t="shared" si="5"/>
        <v>14</v>
      </c>
    </row>
    <row r="139" spans="1:10" x14ac:dyDescent="0.45">
      <c r="A139" s="42">
        <f t="shared" si="4"/>
        <v>15</v>
      </c>
      <c r="B139" s="47" t="s">
        <v>213</v>
      </c>
      <c r="G139" s="193"/>
      <c r="I139" s="194"/>
      <c r="J139" s="42">
        <f t="shared" si="5"/>
        <v>15</v>
      </c>
    </row>
    <row r="140" spans="1:10" x14ac:dyDescent="0.45">
      <c r="A140" s="42">
        <f t="shared" si="4"/>
        <v>16</v>
      </c>
      <c r="B140" s="60"/>
      <c r="G140" s="193"/>
      <c r="I140" s="182"/>
      <c r="J140" s="42">
        <f t="shared" si="5"/>
        <v>16</v>
      </c>
    </row>
    <row r="141" spans="1:10" x14ac:dyDescent="0.45">
      <c r="A141" s="42">
        <f t="shared" si="4"/>
        <v>17</v>
      </c>
      <c r="B141" s="49" t="s">
        <v>203</v>
      </c>
      <c r="G141" s="193"/>
      <c r="I141" s="182"/>
      <c r="J141" s="42">
        <f t="shared" si="5"/>
        <v>17</v>
      </c>
    </row>
    <row r="142" spans="1:10" x14ac:dyDescent="0.45">
      <c r="A142" s="42">
        <f t="shared" si="4"/>
        <v>18</v>
      </c>
      <c r="B142" s="43" t="str">
        <f>B97</f>
        <v xml:space="preserve">     A = Sum of Preferred Stock and Return on Equity Component</v>
      </c>
      <c r="G142" s="169">
        <f>G130</f>
        <v>0</v>
      </c>
      <c r="I142" s="55" t="str">
        <f>"Line "&amp;A130&amp;" Above"</f>
        <v>Line 6 Above</v>
      </c>
      <c r="J142" s="42">
        <f t="shared" si="5"/>
        <v>18</v>
      </c>
    </row>
    <row r="143" spans="1:10" x14ac:dyDescent="0.45">
      <c r="A143" s="42">
        <f t="shared" si="4"/>
        <v>19</v>
      </c>
      <c r="B143" s="43" t="str">
        <f>B98</f>
        <v xml:space="preserve">     B = Equity AFUDC Component of Transmission Depreciation Expense</v>
      </c>
      <c r="G143" s="197">
        <f>G132</f>
        <v>0</v>
      </c>
      <c r="I143" s="55" t="str">
        <f>"Line "&amp;A132&amp;" Above"</f>
        <v>Line 8 Above</v>
      </c>
      <c r="J143" s="42">
        <f t="shared" si="5"/>
        <v>19</v>
      </c>
    </row>
    <row r="144" spans="1:10" x14ac:dyDescent="0.45">
      <c r="A144" s="42">
        <f t="shared" si="4"/>
        <v>20</v>
      </c>
      <c r="B144" s="43" t="s">
        <v>227</v>
      </c>
      <c r="G144" s="197">
        <f>G133</f>
        <v>0</v>
      </c>
      <c r="I144" s="55" t="str">
        <f>"Line "&amp;A133&amp;" Above"</f>
        <v>Line 9 Above</v>
      </c>
      <c r="J144" s="42">
        <f t="shared" si="5"/>
        <v>20</v>
      </c>
    </row>
    <row r="145" spans="1:10" x14ac:dyDescent="0.45">
      <c r="A145" s="42">
        <f t="shared" si="4"/>
        <v>21</v>
      </c>
      <c r="B145" s="43" t="str">
        <f>B100</f>
        <v xml:space="preserve">     FT = Federal Income Tax Expense</v>
      </c>
      <c r="G145" s="199">
        <f>G136</f>
        <v>0</v>
      </c>
      <c r="I145" s="55" t="str">
        <f>"Line "&amp;A136&amp;" Above"</f>
        <v>Line 12 Above</v>
      </c>
      <c r="J145" s="42">
        <f t="shared" si="5"/>
        <v>21</v>
      </c>
    </row>
    <row r="146" spans="1:10" x14ac:dyDescent="0.45">
      <c r="A146" s="42">
        <f t="shared" si="4"/>
        <v>22</v>
      </c>
      <c r="B146" s="43" t="str">
        <f>B101</f>
        <v xml:space="preserve">     ST = State Income Tax Rate for Rate Effective Period</v>
      </c>
      <c r="G146" s="463">
        <f>G101</f>
        <v>8.8400000000000006E-2</v>
      </c>
      <c r="I146" s="55" t="str">
        <f>"AV2; Line "&amp;A101</f>
        <v>AV2; Line 22</v>
      </c>
      <c r="J146" s="42">
        <f t="shared" si="5"/>
        <v>22</v>
      </c>
    </row>
    <row r="147" spans="1:10" x14ac:dyDescent="0.45">
      <c r="A147" s="42">
        <f t="shared" si="4"/>
        <v>23</v>
      </c>
      <c r="B147" s="749"/>
      <c r="G147" s="200"/>
      <c r="I147" s="196"/>
      <c r="J147" s="42">
        <f t="shared" si="5"/>
        <v>23</v>
      </c>
    </row>
    <row r="148" spans="1:10" x14ac:dyDescent="0.45">
      <c r="A148" s="42">
        <f t="shared" si="4"/>
        <v>24</v>
      </c>
      <c r="B148" s="43" t="s">
        <v>219</v>
      </c>
      <c r="G148" s="457">
        <f>IFERROR(((G142)+(G143/G144)+G136)*G146/(1-G146),0)</f>
        <v>0</v>
      </c>
      <c r="I148" s="55" t="s">
        <v>220</v>
      </c>
      <c r="J148" s="42">
        <f t="shared" si="5"/>
        <v>24</v>
      </c>
    </row>
    <row r="149" spans="1:10" x14ac:dyDescent="0.45">
      <c r="A149" s="42">
        <f t="shared" si="4"/>
        <v>25</v>
      </c>
      <c r="B149" s="192" t="s">
        <v>221</v>
      </c>
      <c r="G149" s="42"/>
      <c r="I149" s="55"/>
      <c r="J149" s="42">
        <f t="shared" si="5"/>
        <v>25</v>
      </c>
    </row>
    <row r="150" spans="1:10" x14ac:dyDescent="0.45">
      <c r="A150" s="42">
        <f t="shared" si="4"/>
        <v>26</v>
      </c>
      <c r="G150" s="42"/>
      <c r="I150" s="55"/>
      <c r="J150" s="42">
        <f t="shared" si="5"/>
        <v>26</v>
      </c>
    </row>
    <row r="151" spans="1:10" x14ac:dyDescent="0.45">
      <c r="A151" s="42">
        <f t="shared" si="4"/>
        <v>27</v>
      </c>
      <c r="B151" s="47" t="s">
        <v>222</v>
      </c>
      <c r="G151" s="190">
        <f>G148+G136</f>
        <v>0</v>
      </c>
      <c r="I151" s="55" t="str">
        <f>"Line "&amp;A136&amp;" + Line "&amp;A148</f>
        <v>Line 12 + Line 24</v>
      </c>
      <c r="J151" s="42">
        <f t="shared" si="5"/>
        <v>27</v>
      </c>
    </row>
    <row r="152" spans="1:10" x14ac:dyDescent="0.45">
      <c r="A152" s="42">
        <f t="shared" si="4"/>
        <v>28</v>
      </c>
      <c r="G152" s="42"/>
      <c r="I152" s="55"/>
      <c r="J152" s="42">
        <f t="shared" si="5"/>
        <v>28</v>
      </c>
    </row>
    <row r="153" spans="1:10" x14ac:dyDescent="0.45">
      <c r="A153" s="42">
        <f t="shared" si="4"/>
        <v>29</v>
      </c>
      <c r="B153" s="47" t="s">
        <v>228</v>
      </c>
      <c r="G153" s="464">
        <f>G63</f>
        <v>0</v>
      </c>
      <c r="I153" s="55" t="str">
        <f>"AV1; Line "&amp;A63</f>
        <v>AV1; Line 53</v>
      </c>
      <c r="J153" s="42">
        <f t="shared" si="5"/>
        <v>29</v>
      </c>
    </row>
    <row r="154" spans="1:10" x14ac:dyDescent="0.45">
      <c r="A154" s="42">
        <f t="shared" si="4"/>
        <v>30</v>
      </c>
      <c r="G154" s="42"/>
      <c r="I154" s="55"/>
      <c r="J154" s="42">
        <f t="shared" si="5"/>
        <v>30</v>
      </c>
    </row>
    <row r="155" spans="1:10" ht="18" thickBot="1" x14ac:dyDescent="0.5">
      <c r="A155" s="42">
        <f t="shared" si="4"/>
        <v>31</v>
      </c>
      <c r="B155" s="47" t="s">
        <v>346</v>
      </c>
      <c r="G155" s="208">
        <f>G151+G153</f>
        <v>0</v>
      </c>
      <c r="I155" s="55" t="str">
        <f>"Line "&amp;A151&amp;" + Line "&amp;A153</f>
        <v>Line 27 + Line 29</v>
      </c>
      <c r="J155" s="42">
        <f t="shared" si="5"/>
        <v>31</v>
      </c>
    </row>
    <row r="156" spans="1:10" ht="15.75" thickTop="1" x14ac:dyDescent="0.45"/>
    <row r="158" spans="1:10" ht="17.25" x14ac:dyDescent="0.45">
      <c r="A158" s="74"/>
      <c r="B158" s="20"/>
    </row>
  </sheetData>
  <mergeCells count="15">
    <mergeCell ref="B120:I120"/>
    <mergeCell ref="B74:I74"/>
    <mergeCell ref="B119:I119"/>
    <mergeCell ref="B2:I2"/>
    <mergeCell ref="B3:I3"/>
    <mergeCell ref="B4:I4"/>
    <mergeCell ref="B5:I5"/>
    <mergeCell ref="B6:I6"/>
    <mergeCell ref="B116:I116"/>
    <mergeCell ref="B117:I117"/>
    <mergeCell ref="B118:I118"/>
    <mergeCell ref="B71:I71"/>
    <mergeCell ref="B72:I72"/>
    <mergeCell ref="B73:I73"/>
    <mergeCell ref="B75:I75"/>
  </mergeCells>
  <printOptions horizontalCentered="1"/>
  <pageMargins left="0.25" right="0.25" top="0.5" bottom="0.5" header="0.35" footer="0.25"/>
  <pageSetup scale="52" orientation="portrait" r:id="rId1"/>
  <headerFooter scaleWithDoc="0" alignWithMargins="0">
    <oddHeader>&amp;C&amp;"Times New Roman,Bold"REVISED</oddHeader>
    <oddFooter>&amp;CPage 10.&amp;P&amp;R&amp;F</oddFooter>
  </headerFooter>
  <rowBreaks count="2" manualBreakCount="2">
    <brk id="69" max="16383" man="1"/>
    <brk id="114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88"/>
  <sheetViews>
    <sheetView zoomScale="80" zoomScaleNormal="80" workbookViewId="0"/>
  </sheetViews>
  <sheetFormatPr defaultColWidth="8.73046875" defaultRowHeight="15.4" x14ac:dyDescent="0.45"/>
  <cols>
    <col min="1" max="1" width="5.19921875" style="643" customWidth="1"/>
    <col min="2" max="2" width="83" style="594" customWidth="1"/>
    <col min="3" max="3" width="16.796875" style="594" customWidth="1"/>
    <col min="4" max="4" width="1.53125" style="594" customWidth="1"/>
    <col min="5" max="5" width="38.73046875" style="594" customWidth="1"/>
    <col min="6" max="6" width="5.19921875" style="643" customWidth="1"/>
    <col min="7" max="16384" width="8.73046875" style="594"/>
  </cols>
  <sheetData>
    <row r="1" spans="1:6" x14ac:dyDescent="0.45">
      <c r="A1" s="751"/>
      <c r="B1" s="754"/>
      <c r="C1" s="593"/>
      <c r="D1" s="593"/>
      <c r="E1" s="470"/>
      <c r="F1" s="751"/>
    </row>
    <row r="2" spans="1:6" x14ac:dyDescent="0.45">
      <c r="A2" s="751"/>
      <c r="B2" s="947" t="s">
        <v>21</v>
      </c>
      <c r="C2" s="969"/>
      <c r="D2" s="969"/>
      <c r="E2" s="969"/>
      <c r="F2" s="751"/>
    </row>
    <row r="3" spans="1:6" x14ac:dyDescent="0.45">
      <c r="A3" s="751" t="s">
        <v>11</v>
      </c>
      <c r="B3" s="947" t="s">
        <v>406</v>
      </c>
      <c r="C3" s="969"/>
      <c r="D3" s="969"/>
      <c r="E3" s="969"/>
      <c r="F3" s="751" t="s">
        <v>11</v>
      </c>
    </row>
    <row r="4" spans="1:6" x14ac:dyDescent="0.45">
      <c r="A4" s="751"/>
      <c r="B4" s="966" t="s">
        <v>582</v>
      </c>
      <c r="C4" s="967"/>
      <c r="D4" s="967"/>
      <c r="E4" s="967"/>
      <c r="F4" s="751"/>
    </row>
    <row r="5" spans="1:6" x14ac:dyDescent="0.45">
      <c r="A5" s="751"/>
      <c r="B5" s="968" t="s">
        <v>1</v>
      </c>
      <c r="C5" s="969"/>
      <c r="D5" s="969"/>
      <c r="E5" s="969"/>
      <c r="F5" s="751"/>
    </row>
    <row r="6" spans="1:6" x14ac:dyDescent="0.45">
      <c r="A6" s="751"/>
      <c r="B6" s="753"/>
      <c r="C6" s="754"/>
      <c r="D6" s="754"/>
      <c r="E6" s="754"/>
      <c r="F6" s="751"/>
    </row>
    <row r="7" spans="1:6" x14ac:dyDescent="0.45">
      <c r="A7" s="751" t="s">
        <v>2</v>
      </c>
      <c r="B7" s="754"/>
      <c r="C7" s="596"/>
      <c r="D7" s="596"/>
      <c r="E7" s="746"/>
      <c r="F7" s="751" t="s">
        <v>2</v>
      </c>
    </row>
    <row r="8" spans="1:6" x14ac:dyDescent="0.45">
      <c r="A8" s="751" t="s">
        <v>6</v>
      </c>
      <c r="B8" s="754" t="s">
        <v>11</v>
      </c>
      <c r="C8" s="597" t="s">
        <v>4</v>
      </c>
      <c r="D8" s="596"/>
      <c r="E8" s="598" t="s">
        <v>5</v>
      </c>
      <c r="F8" s="751" t="s">
        <v>6</v>
      </c>
    </row>
    <row r="9" spans="1:6" x14ac:dyDescent="0.45">
      <c r="A9" s="751"/>
      <c r="B9" s="392" t="s">
        <v>407</v>
      </c>
      <c r="C9" s="599"/>
      <c r="D9" s="596"/>
      <c r="E9" s="746"/>
      <c r="F9" s="751"/>
    </row>
    <row r="10" spans="1:6" x14ac:dyDescent="0.45">
      <c r="A10" s="751"/>
      <c r="B10" s="600"/>
      <c r="C10" s="599"/>
      <c r="D10" s="596"/>
      <c r="E10" s="746"/>
      <c r="F10" s="751"/>
    </row>
    <row r="11" spans="1:6" x14ac:dyDescent="0.45">
      <c r="A11" s="751">
        <v>1</v>
      </c>
      <c r="B11" s="392" t="s">
        <v>408</v>
      </c>
      <c r="C11" s="599"/>
      <c r="D11" s="599"/>
      <c r="E11" s="746"/>
      <c r="F11" s="751">
        <f>A11</f>
        <v>1</v>
      </c>
    </row>
    <row r="12" spans="1:6" ht="15.75" x14ac:dyDescent="0.5">
      <c r="A12" s="751">
        <f>A11+1</f>
        <v>2</v>
      </c>
      <c r="B12" s="241" t="s">
        <v>409</v>
      </c>
      <c r="C12" s="864">
        <f>C77</f>
        <v>4996735.4096653843</v>
      </c>
      <c r="D12" s="28" t="s">
        <v>16</v>
      </c>
      <c r="E12" s="267" t="s">
        <v>671</v>
      </c>
      <c r="F12" s="751">
        <f>F11+1</f>
        <v>2</v>
      </c>
    </row>
    <row r="13" spans="1:6" x14ac:dyDescent="0.45">
      <c r="A13" s="751">
        <f t="shared" ref="A13:A48" si="0">A12+1</f>
        <v>3</v>
      </c>
      <c r="B13" s="241" t="s">
        <v>18</v>
      </c>
      <c r="C13" s="602">
        <f>C78</f>
        <v>4323.4788759540897</v>
      </c>
      <c r="D13" s="603"/>
      <c r="E13" s="267" t="s">
        <v>672</v>
      </c>
      <c r="F13" s="751">
        <f t="shared" ref="F13:F48" si="1">F12+1</f>
        <v>3</v>
      </c>
    </row>
    <row r="14" spans="1:6" x14ac:dyDescent="0.45">
      <c r="A14" s="751">
        <f t="shared" si="0"/>
        <v>4</v>
      </c>
      <c r="B14" s="241" t="s">
        <v>19</v>
      </c>
      <c r="C14" s="602">
        <f>C79</f>
        <v>30239.351098987459</v>
      </c>
      <c r="D14" s="603"/>
      <c r="E14" s="267" t="s">
        <v>673</v>
      </c>
      <c r="F14" s="751">
        <f t="shared" si="1"/>
        <v>4</v>
      </c>
    </row>
    <row r="15" spans="1:6" x14ac:dyDescent="0.45">
      <c r="A15" s="751">
        <f t="shared" si="0"/>
        <v>5</v>
      </c>
      <c r="B15" s="241" t="s">
        <v>410</v>
      </c>
      <c r="C15" s="604">
        <f>C80</f>
        <v>56838.313075711041</v>
      </c>
      <c r="D15" s="603"/>
      <c r="E15" s="267" t="s">
        <v>674</v>
      </c>
      <c r="F15" s="751">
        <f t="shared" si="1"/>
        <v>5</v>
      </c>
    </row>
    <row r="16" spans="1:6" ht="15.75" x14ac:dyDescent="0.5">
      <c r="A16" s="751">
        <f t="shared" si="0"/>
        <v>6</v>
      </c>
      <c r="B16" s="241" t="s">
        <v>411</v>
      </c>
      <c r="C16" s="619">
        <f>SUM(C12:C15)</f>
        <v>5088136.5527160363</v>
      </c>
      <c r="D16" s="28" t="s">
        <v>16</v>
      </c>
      <c r="E16" s="267" t="s">
        <v>675</v>
      </c>
      <c r="F16" s="751">
        <f t="shared" si="1"/>
        <v>6</v>
      </c>
    </row>
    <row r="17" spans="1:6" x14ac:dyDescent="0.45">
      <c r="A17" s="751">
        <f t="shared" si="0"/>
        <v>7</v>
      </c>
      <c r="B17" s="391"/>
      <c r="C17" s="607"/>
      <c r="D17" s="608"/>
      <c r="E17" s="746"/>
      <c r="F17" s="751">
        <f t="shared" si="1"/>
        <v>7</v>
      </c>
    </row>
    <row r="18" spans="1:6" x14ac:dyDescent="0.45">
      <c r="A18" s="751">
        <f t="shared" si="0"/>
        <v>8</v>
      </c>
      <c r="B18" s="392" t="s">
        <v>412</v>
      </c>
      <c r="C18" s="607"/>
      <c r="D18" s="608"/>
      <c r="E18" s="746"/>
      <c r="F18" s="751">
        <f t="shared" si="1"/>
        <v>8</v>
      </c>
    </row>
    <row r="19" spans="1:6" x14ac:dyDescent="0.45">
      <c r="A19" s="751">
        <f t="shared" si="0"/>
        <v>9</v>
      </c>
      <c r="B19" s="241" t="s">
        <v>413</v>
      </c>
      <c r="C19" s="609">
        <v>0</v>
      </c>
      <c r="D19" s="596"/>
      <c r="E19" s="267" t="s">
        <v>676</v>
      </c>
      <c r="F19" s="751">
        <f t="shared" si="1"/>
        <v>9</v>
      </c>
    </row>
    <row r="20" spans="1:6" x14ac:dyDescent="0.45">
      <c r="A20" s="751">
        <f t="shared" si="0"/>
        <v>10</v>
      </c>
      <c r="B20" s="241" t="s">
        <v>414</v>
      </c>
      <c r="C20" s="610">
        <v>0</v>
      </c>
      <c r="D20" s="596"/>
      <c r="E20" s="267" t="s">
        <v>677</v>
      </c>
      <c r="F20" s="751">
        <f t="shared" si="1"/>
        <v>10</v>
      </c>
    </row>
    <row r="21" spans="1:6" x14ac:dyDescent="0.45">
      <c r="A21" s="751">
        <f t="shared" si="0"/>
        <v>11</v>
      </c>
      <c r="B21" s="241" t="s">
        <v>415</v>
      </c>
      <c r="C21" s="611">
        <f>C19+C20</f>
        <v>0</v>
      </c>
      <c r="D21" s="612"/>
      <c r="E21" s="267" t="s">
        <v>678</v>
      </c>
      <c r="F21" s="751">
        <f t="shared" si="1"/>
        <v>11</v>
      </c>
    </row>
    <row r="22" spans="1:6" x14ac:dyDescent="0.45">
      <c r="A22" s="751">
        <f t="shared" si="0"/>
        <v>12</v>
      </c>
      <c r="B22" s="241"/>
      <c r="C22" s="613"/>
      <c r="D22" s="593"/>
      <c r="E22" s="746"/>
      <c r="F22" s="751">
        <f t="shared" si="1"/>
        <v>12</v>
      </c>
    </row>
    <row r="23" spans="1:6" x14ac:dyDescent="0.45">
      <c r="A23" s="751">
        <f t="shared" si="0"/>
        <v>13</v>
      </c>
      <c r="B23" s="392" t="s">
        <v>416</v>
      </c>
      <c r="C23" s="607"/>
      <c r="D23" s="608"/>
      <c r="E23" s="746"/>
      <c r="F23" s="751">
        <f t="shared" si="1"/>
        <v>13</v>
      </c>
    </row>
    <row r="24" spans="1:6" x14ac:dyDescent="0.45">
      <c r="A24" s="751">
        <f t="shared" si="0"/>
        <v>14</v>
      </c>
      <c r="B24" s="391" t="s">
        <v>417</v>
      </c>
      <c r="C24" s="614">
        <v>-856706.3276977893</v>
      </c>
      <c r="D24" s="596"/>
      <c r="E24" s="267" t="s">
        <v>679</v>
      </c>
      <c r="F24" s="751">
        <f t="shared" si="1"/>
        <v>14</v>
      </c>
    </row>
    <row r="25" spans="1:6" x14ac:dyDescent="0.45">
      <c r="A25" s="751">
        <f t="shared" si="0"/>
        <v>15</v>
      </c>
      <c r="B25" s="391" t="s">
        <v>418</v>
      </c>
      <c r="C25" s="615">
        <v>0</v>
      </c>
      <c r="D25" s="596"/>
      <c r="E25" s="267" t="s">
        <v>680</v>
      </c>
      <c r="F25" s="751">
        <f t="shared" si="1"/>
        <v>15</v>
      </c>
    </row>
    <row r="26" spans="1:6" x14ac:dyDescent="0.45">
      <c r="A26" s="751">
        <f t="shared" si="0"/>
        <v>16</v>
      </c>
      <c r="B26" s="241" t="s">
        <v>419</v>
      </c>
      <c r="C26" s="605">
        <f>SUM(C24:C25)</f>
        <v>-856706.3276977893</v>
      </c>
      <c r="D26" s="606"/>
      <c r="E26" s="267" t="s">
        <v>681</v>
      </c>
      <c r="F26" s="751">
        <f t="shared" si="1"/>
        <v>16</v>
      </c>
    </row>
    <row r="27" spans="1:6" x14ac:dyDescent="0.45">
      <c r="A27" s="751">
        <f t="shared" si="0"/>
        <v>17</v>
      </c>
      <c r="B27" s="754"/>
      <c r="C27" s="616"/>
      <c r="D27" s="617"/>
      <c r="E27" s="746"/>
      <c r="F27" s="751">
        <f t="shared" si="1"/>
        <v>17</v>
      </c>
    </row>
    <row r="28" spans="1:6" x14ac:dyDescent="0.45">
      <c r="A28" s="751">
        <f t="shared" si="0"/>
        <v>18</v>
      </c>
      <c r="B28" s="392" t="s">
        <v>420</v>
      </c>
      <c r="C28" s="616"/>
      <c r="D28" s="617"/>
      <c r="E28" s="746"/>
      <c r="F28" s="751">
        <f t="shared" si="1"/>
        <v>18</v>
      </c>
    </row>
    <row r="29" spans="1:6" x14ac:dyDescent="0.45">
      <c r="A29" s="751">
        <f t="shared" si="0"/>
        <v>19</v>
      </c>
      <c r="B29" s="241" t="s">
        <v>421</v>
      </c>
      <c r="C29" s="601">
        <f>'Pg9 Revised Stmt AL'!G15</f>
        <v>50939.981334164491</v>
      </c>
      <c r="D29" s="596"/>
      <c r="E29" s="267" t="s">
        <v>592</v>
      </c>
      <c r="F29" s="751">
        <f t="shared" si="1"/>
        <v>19</v>
      </c>
    </row>
    <row r="30" spans="1:6" x14ac:dyDescent="0.45">
      <c r="A30" s="751">
        <f t="shared" si="0"/>
        <v>20</v>
      </c>
      <c r="B30" s="241" t="s">
        <v>422</v>
      </c>
      <c r="C30" s="602">
        <f>'Pg9 Revised Stmt AL'!G19</f>
        <v>25515.262566078305</v>
      </c>
      <c r="D30" s="596"/>
      <c r="E30" s="267" t="s">
        <v>593</v>
      </c>
      <c r="F30" s="751">
        <f t="shared" si="1"/>
        <v>20</v>
      </c>
    </row>
    <row r="31" spans="1:6" ht="15.75" x14ac:dyDescent="0.5">
      <c r="A31" s="751">
        <f t="shared" si="0"/>
        <v>21</v>
      </c>
      <c r="B31" s="241" t="s">
        <v>423</v>
      </c>
      <c r="C31" s="618">
        <f>'Pg9 Revised Stmt AL'!E29</f>
        <v>10299.427164641706</v>
      </c>
      <c r="D31" s="28" t="s">
        <v>16</v>
      </c>
      <c r="E31" s="267" t="s">
        <v>594</v>
      </c>
      <c r="F31" s="751">
        <f t="shared" si="1"/>
        <v>21</v>
      </c>
    </row>
    <row r="32" spans="1:6" ht="15.75" x14ac:dyDescent="0.5">
      <c r="A32" s="751">
        <f t="shared" si="0"/>
        <v>22</v>
      </c>
      <c r="B32" s="241" t="s">
        <v>424</v>
      </c>
      <c r="C32" s="619">
        <f>SUM(C29:C31)</f>
        <v>86754.671064884504</v>
      </c>
      <c r="D32" s="28" t="s">
        <v>16</v>
      </c>
      <c r="E32" s="267" t="s">
        <v>682</v>
      </c>
      <c r="F32" s="751">
        <f t="shared" si="1"/>
        <v>22</v>
      </c>
    </row>
    <row r="33" spans="1:6" x14ac:dyDescent="0.45">
      <c r="A33" s="751">
        <f t="shared" si="0"/>
        <v>23</v>
      </c>
      <c r="B33" s="243"/>
      <c r="C33" s="620"/>
      <c r="D33" s="621"/>
      <c r="E33" s="746"/>
      <c r="F33" s="751">
        <f t="shared" si="1"/>
        <v>23</v>
      </c>
    </row>
    <row r="34" spans="1:6" x14ac:dyDescent="0.45">
      <c r="A34" s="751">
        <f t="shared" si="0"/>
        <v>24</v>
      </c>
      <c r="B34" s="241" t="s">
        <v>425</v>
      </c>
      <c r="C34" s="622">
        <v>0</v>
      </c>
      <c r="D34" s="596"/>
      <c r="E34" s="267" t="s">
        <v>683</v>
      </c>
      <c r="F34" s="751">
        <f t="shared" si="1"/>
        <v>24</v>
      </c>
    </row>
    <row r="35" spans="1:6" x14ac:dyDescent="0.45">
      <c r="A35" s="751">
        <f t="shared" si="0"/>
        <v>25</v>
      </c>
      <c r="B35" s="241"/>
      <c r="C35" s="620"/>
      <c r="D35" s="621"/>
      <c r="E35" s="746"/>
      <c r="F35" s="751">
        <f t="shared" si="1"/>
        <v>25</v>
      </c>
    </row>
    <row r="36" spans="1:6" ht="16.149999999999999" thickBot="1" x14ac:dyDescent="0.55000000000000004">
      <c r="A36" s="751">
        <f t="shared" si="0"/>
        <v>26</v>
      </c>
      <c r="B36" s="241" t="s">
        <v>426</v>
      </c>
      <c r="C36" s="623">
        <f>C16+C21+C26+C32+C34</f>
        <v>4318184.8960831314</v>
      </c>
      <c r="D36" s="28" t="s">
        <v>16</v>
      </c>
      <c r="E36" s="267" t="s">
        <v>684</v>
      </c>
      <c r="F36" s="751">
        <f t="shared" si="1"/>
        <v>26</v>
      </c>
    </row>
    <row r="37" spans="1:6" ht="15.75" thickTop="1" x14ac:dyDescent="0.45">
      <c r="A37" s="751">
        <f t="shared" si="0"/>
        <v>27</v>
      </c>
      <c r="B37" s="243"/>
      <c r="C37" s="624"/>
      <c r="D37" s="606"/>
      <c r="E37" s="746"/>
      <c r="F37" s="751">
        <f t="shared" si="1"/>
        <v>27</v>
      </c>
    </row>
    <row r="38" spans="1:6" x14ac:dyDescent="0.45">
      <c r="A38" s="751">
        <f t="shared" si="0"/>
        <v>28</v>
      </c>
      <c r="B38" s="392" t="s">
        <v>427</v>
      </c>
      <c r="C38" s="624"/>
      <c r="D38" s="606"/>
      <c r="E38" s="746"/>
      <c r="F38" s="751">
        <f t="shared" si="1"/>
        <v>28</v>
      </c>
    </row>
    <row r="39" spans="1:6" x14ac:dyDescent="0.45">
      <c r="A39" s="751">
        <f t="shared" si="0"/>
        <v>29</v>
      </c>
      <c r="B39" s="241" t="s">
        <v>428</v>
      </c>
      <c r="C39" s="625">
        <v>0</v>
      </c>
      <c r="D39" s="626"/>
      <c r="E39" s="267" t="s">
        <v>17</v>
      </c>
      <c r="F39" s="751">
        <f t="shared" si="1"/>
        <v>29</v>
      </c>
    </row>
    <row r="40" spans="1:6" x14ac:dyDescent="0.45">
      <c r="A40" s="751">
        <f t="shared" si="0"/>
        <v>30</v>
      </c>
      <c r="B40" s="241" t="s">
        <v>429</v>
      </c>
      <c r="C40" s="627">
        <v>0</v>
      </c>
      <c r="D40" s="596"/>
      <c r="E40" s="267" t="s">
        <v>17</v>
      </c>
      <c r="F40" s="751">
        <f t="shared" si="1"/>
        <v>30</v>
      </c>
    </row>
    <row r="41" spans="1:6" x14ac:dyDescent="0.45">
      <c r="A41" s="751">
        <f t="shared" si="0"/>
        <v>31</v>
      </c>
      <c r="B41" s="391" t="s">
        <v>430</v>
      </c>
      <c r="C41" s="619">
        <f>C39+C40</f>
        <v>0</v>
      </c>
      <c r="D41" s="606"/>
      <c r="E41" s="267" t="s">
        <v>685</v>
      </c>
      <c r="F41" s="751">
        <f t="shared" si="1"/>
        <v>31</v>
      </c>
    </row>
    <row r="42" spans="1:6" x14ac:dyDescent="0.45">
      <c r="A42" s="751">
        <f t="shared" si="0"/>
        <v>32</v>
      </c>
      <c r="B42" s="243"/>
      <c r="C42" s="624"/>
      <c r="D42" s="606"/>
      <c r="E42" s="746"/>
      <c r="F42" s="751">
        <f t="shared" si="1"/>
        <v>32</v>
      </c>
    </row>
    <row r="43" spans="1:6" x14ac:dyDescent="0.45">
      <c r="A43" s="751">
        <f t="shared" si="0"/>
        <v>33</v>
      </c>
      <c r="B43" s="392" t="s">
        <v>431</v>
      </c>
      <c r="C43" s="624"/>
      <c r="D43" s="606"/>
      <c r="E43" s="746"/>
      <c r="F43" s="751">
        <f t="shared" si="1"/>
        <v>33</v>
      </c>
    </row>
    <row r="44" spans="1:6" x14ac:dyDescent="0.45">
      <c r="A44" s="751">
        <f t="shared" si="0"/>
        <v>34</v>
      </c>
      <c r="B44" s="241" t="s">
        <v>432</v>
      </c>
      <c r="C44" s="625">
        <v>0</v>
      </c>
      <c r="D44" s="596"/>
      <c r="E44" s="267" t="s">
        <v>17</v>
      </c>
      <c r="F44" s="751">
        <f t="shared" si="1"/>
        <v>34</v>
      </c>
    </row>
    <row r="45" spans="1:6" x14ac:dyDescent="0.45">
      <c r="A45" s="751">
        <f t="shared" si="0"/>
        <v>35</v>
      </c>
      <c r="B45" s="391" t="s">
        <v>433</v>
      </c>
      <c r="C45" s="628">
        <v>0</v>
      </c>
      <c r="D45" s="596"/>
      <c r="E45" s="267" t="s">
        <v>17</v>
      </c>
      <c r="F45" s="751">
        <f t="shared" si="1"/>
        <v>35</v>
      </c>
    </row>
    <row r="46" spans="1:6" x14ac:dyDescent="0.45">
      <c r="A46" s="751">
        <f t="shared" si="0"/>
        <v>36</v>
      </c>
      <c r="B46" s="391" t="s">
        <v>434</v>
      </c>
      <c r="C46" s="619">
        <f>C44+C45</f>
        <v>0</v>
      </c>
      <c r="D46" s="606"/>
      <c r="E46" s="267" t="s">
        <v>686</v>
      </c>
      <c r="F46" s="751">
        <f t="shared" si="1"/>
        <v>36</v>
      </c>
    </row>
    <row r="47" spans="1:6" x14ac:dyDescent="0.45">
      <c r="A47" s="751">
        <f t="shared" si="0"/>
        <v>37</v>
      </c>
      <c r="B47" s="243"/>
      <c r="C47" s="624"/>
      <c r="D47" s="606"/>
      <c r="E47" s="746"/>
      <c r="F47" s="751">
        <f t="shared" si="1"/>
        <v>37</v>
      </c>
    </row>
    <row r="48" spans="1:6" ht="15.75" thickBot="1" x14ac:dyDescent="0.5">
      <c r="A48" s="751">
        <f t="shared" si="0"/>
        <v>38</v>
      </c>
      <c r="B48" s="392" t="s">
        <v>435</v>
      </c>
      <c r="C48" s="629">
        <v>0</v>
      </c>
      <c r="D48" s="596"/>
      <c r="E48" s="267" t="s">
        <v>17</v>
      </c>
      <c r="F48" s="751">
        <f t="shared" si="1"/>
        <v>38</v>
      </c>
    </row>
    <row r="49" spans="1:8" ht="15.75" thickTop="1" x14ac:dyDescent="0.45">
      <c r="A49" s="751"/>
      <c r="B49" s="243"/>
      <c r="C49" s="624"/>
      <c r="D49" s="606"/>
      <c r="E49" s="746"/>
      <c r="F49" s="751"/>
    </row>
    <row r="50" spans="1:8" ht="15.75" x14ac:dyDescent="0.5">
      <c r="A50" s="28" t="s">
        <v>16</v>
      </c>
      <c r="B50" s="26" t="s">
        <v>350</v>
      </c>
      <c r="C50" s="754"/>
      <c r="D50" s="754"/>
      <c r="E50" s="754"/>
      <c r="F50" s="751"/>
    </row>
    <row r="51" spans="1:8" ht="15.75" x14ac:dyDescent="0.5">
      <c r="A51" s="28"/>
      <c r="B51" s="26"/>
      <c r="C51" s="754"/>
      <c r="D51" s="754"/>
      <c r="E51" s="754"/>
      <c r="F51" s="751"/>
    </row>
    <row r="52" spans="1:8" ht="15.75" x14ac:dyDescent="0.5">
      <c r="A52" s="28"/>
      <c r="B52" s="26"/>
      <c r="C52" s="754"/>
      <c r="D52" s="754"/>
      <c r="E52" s="754"/>
      <c r="F52" s="751"/>
    </row>
    <row r="53" spans="1:8" x14ac:dyDescent="0.45">
      <c r="A53" s="751"/>
      <c r="B53" s="947" t="str">
        <f>B2</f>
        <v>SAN DIEGO GAS &amp; ELECTRIC COMPANY</v>
      </c>
      <c r="C53" s="969"/>
      <c r="D53" s="969"/>
      <c r="E53" s="969"/>
      <c r="F53" s="751"/>
    </row>
    <row r="54" spans="1:8" x14ac:dyDescent="0.45">
      <c r="A54" s="751"/>
      <c r="B54" s="947" t="str">
        <f>B3</f>
        <v xml:space="preserve">Derivation of End Use Transmission Rate Base </v>
      </c>
      <c r="C54" s="969"/>
      <c r="D54" s="969"/>
      <c r="E54" s="969"/>
      <c r="F54" s="751"/>
    </row>
    <row r="55" spans="1:8" x14ac:dyDescent="0.45">
      <c r="A55" s="751"/>
      <c r="B55" s="966" t="str">
        <f>B4</f>
        <v>Base Period &amp; True-Up Period 12 - Months Ending December 31, 2019</v>
      </c>
      <c r="C55" s="967"/>
      <c r="D55" s="967"/>
      <c r="E55" s="967"/>
      <c r="F55" s="751"/>
    </row>
    <row r="56" spans="1:8" x14ac:dyDescent="0.45">
      <c r="A56" s="751"/>
      <c r="B56" s="968" t="s">
        <v>1</v>
      </c>
      <c r="C56" s="969"/>
      <c r="D56" s="969"/>
      <c r="E56" s="969"/>
      <c r="F56" s="751"/>
    </row>
    <row r="57" spans="1:8" x14ac:dyDescent="0.45">
      <c r="A57" s="751"/>
      <c r="B57" s="753"/>
      <c r="C57" s="754"/>
      <c r="D57" s="754"/>
      <c r="E57" s="754"/>
      <c r="F57" s="751"/>
    </row>
    <row r="58" spans="1:8" x14ac:dyDescent="0.45">
      <c r="A58" s="751" t="s">
        <v>2</v>
      </c>
      <c r="B58" s="753"/>
      <c r="C58" s="754"/>
      <c r="D58" s="754"/>
      <c r="E58" s="754"/>
      <c r="F58" s="751"/>
    </row>
    <row r="59" spans="1:8" x14ac:dyDescent="0.45">
      <c r="A59" s="751" t="s">
        <v>6</v>
      </c>
      <c r="B59" s="753"/>
      <c r="C59" s="754"/>
      <c r="D59" s="754"/>
      <c r="E59" s="754"/>
      <c r="F59" s="751"/>
    </row>
    <row r="60" spans="1:8" x14ac:dyDescent="0.45">
      <c r="A60" s="751"/>
      <c r="B60" s="392" t="s">
        <v>436</v>
      </c>
      <c r="C60" s="754"/>
      <c r="D60" s="754"/>
      <c r="E60" s="754"/>
      <c r="F60" s="751"/>
    </row>
    <row r="61" spans="1:8" x14ac:dyDescent="0.45">
      <c r="A61" s="751"/>
      <c r="B61" s="600"/>
      <c r="C61" s="596"/>
      <c r="D61" s="596"/>
      <c r="E61" s="746"/>
      <c r="F61" s="751"/>
    </row>
    <row r="62" spans="1:8" x14ac:dyDescent="0.45">
      <c r="A62" s="751">
        <v>1</v>
      </c>
      <c r="B62" s="392" t="s">
        <v>437</v>
      </c>
      <c r="C62" s="596"/>
      <c r="D62" s="596"/>
      <c r="E62" s="746"/>
      <c r="F62" s="751">
        <f t="shared" ref="F62:F86" si="2">A62</f>
        <v>1</v>
      </c>
    </row>
    <row r="63" spans="1:8" x14ac:dyDescent="0.45">
      <c r="A63" s="751">
        <v>2</v>
      </c>
      <c r="B63" s="241" t="s">
        <v>409</v>
      </c>
      <c r="C63" s="630">
        <v>6268562.5495546153</v>
      </c>
      <c r="D63" s="596"/>
      <c r="E63" s="267" t="s">
        <v>687</v>
      </c>
      <c r="F63" s="751">
        <f t="shared" si="2"/>
        <v>2</v>
      </c>
      <c r="G63" s="631"/>
      <c r="H63" s="632"/>
    </row>
    <row r="64" spans="1:8" x14ac:dyDescent="0.45">
      <c r="A64" s="751">
        <v>3</v>
      </c>
      <c r="B64" s="241" t="s">
        <v>438</v>
      </c>
      <c r="C64" s="633">
        <v>18688.631684667187</v>
      </c>
      <c r="D64" s="596"/>
      <c r="E64" s="267" t="s">
        <v>688</v>
      </c>
      <c r="F64" s="751">
        <f t="shared" si="2"/>
        <v>3</v>
      </c>
      <c r="G64" s="631"/>
      <c r="H64" s="632"/>
    </row>
    <row r="65" spans="1:8" x14ac:dyDescent="0.45">
      <c r="A65" s="751">
        <v>4</v>
      </c>
      <c r="B65" s="241" t="s">
        <v>19</v>
      </c>
      <c r="C65" s="633">
        <v>48373.508859840331</v>
      </c>
      <c r="D65" s="596"/>
      <c r="E65" s="267" t="s">
        <v>648</v>
      </c>
      <c r="F65" s="751">
        <f t="shared" si="2"/>
        <v>4</v>
      </c>
      <c r="G65" s="631"/>
      <c r="H65" s="634"/>
    </row>
    <row r="66" spans="1:8" x14ac:dyDescent="0.45">
      <c r="A66" s="751">
        <v>5</v>
      </c>
      <c r="B66" s="241" t="s">
        <v>410</v>
      </c>
      <c r="C66" s="635">
        <v>108383.68918448385</v>
      </c>
      <c r="D66" s="596"/>
      <c r="E66" s="267" t="s">
        <v>649</v>
      </c>
      <c r="F66" s="751">
        <f t="shared" si="2"/>
        <v>5</v>
      </c>
      <c r="G66" s="632"/>
      <c r="H66" s="632"/>
    </row>
    <row r="67" spans="1:8" x14ac:dyDescent="0.45">
      <c r="A67" s="751">
        <v>6</v>
      </c>
      <c r="B67" s="241" t="s">
        <v>439</v>
      </c>
      <c r="C67" s="605">
        <f>SUM(C63:C66)</f>
        <v>6444008.379283607</v>
      </c>
      <c r="D67" s="606"/>
      <c r="E67" s="267" t="s">
        <v>675</v>
      </c>
      <c r="F67" s="751">
        <f t="shared" si="2"/>
        <v>6</v>
      </c>
      <c r="G67" s="631"/>
      <c r="H67" s="632"/>
    </row>
    <row r="68" spans="1:8" x14ac:dyDescent="0.45">
      <c r="A68" s="751">
        <v>7</v>
      </c>
      <c r="B68" s="391"/>
      <c r="C68" s="636"/>
      <c r="D68" s="596"/>
      <c r="E68" s="746"/>
      <c r="F68" s="751">
        <f t="shared" si="2"/>
        <v>7</v>
      </c>
      <c r="G68" s="632"/>
      <c r="H68" s="632"/>
    </row>
    <row r="69" spans="1:8" x14ac:dyDescent="0.45">
      <c r="A69" s="751">
        <v>8</v>
      </c>
      <c r="B69" s="390" t="s">
        <v>440</v>
      </c>
      <c r="C69" s="636"/>
      <c r="D69" s="596"/>
      <c r="E69" s="746"/>
      <c r="F69" s="751">
        <f t="shared" si="2"/>
        <v>8</v>
      </c>
      <c r="G69" s="632"/>
      <c r="H69" s="632"/>
    </row>
    <row r="70" spans="1:8" ht="15.75" x14ac:dyDescent="0.5">
      <c r="A70" s="751">
        <v>9</v>
      </c>
      <c r="B70" s="391" t="s">
        <v>441</v>
      </c>
      <c r="C70" s="865">
        <f>'Pg7 Revised Stmt AE'!I11</f>
        <v>1271827.139889231</v>
      </c>
      <c r="D70" s="28" t="s">
        <v>16</v>
      </c>
      <c r="E70" s="267" t="s">
        <v>689</v>
      </c>
      <c r="F70" s="751">
        <f t="shared" si="2"/>
        <v>9</v>
      </c>
      <c r="G70" s="632"/>
      <c r="H70" s="632"/>
    </row>
    <row r="71" spans="1:8" x14ac:dyDescent="0.45">
      <c r="A71" s="751">
        <v>10</v>
      </c>
      <c r="B71" s="391" t="s">
        <v>442</v>
      </c>
      <c r="C71" s="633">
        <f>'Pg7 Revised Stmt AE'!I21</f>
        <v>14365.152808713097</v>
      </c>
      <c r="D71" s="596"/>
      <c r="E71" s="267" t="s">
        <v>690</v>
      </c>
      <c r="F71" s="751">
        <f t="shared" si="2"/>
        <v>10</v>
      </c>
      <c r="G71" s="632"/>
      <c r="H71" s="632"/>
    </row>
    <row r="72" spans="1:8" x14ac:dyDescent="0.45">
      <c r="A72" s="751">
        <v>11</v>
      </c>
      <c r="B72" s="391" t="s">
        <v>443</v>
      </c>
      <c r="C72" s="633">
        <f>'Pg7 Revised Stmt AE'!I23</f>
        <v>18134.157760852871</v>
      </c>
      <c r="D72" s="596"/>
      <c r="E72" s="267" t="s">
        <v>691</v>
      </c>
      <c r="F72" s="751">
        <f t="shared" si="2"/>
        <v>11</v>
      </c>
      <c r="G72" s="632"/>
      <c r="H72" s="632"/>
    </row>
    <row r="73" spans="1:8" x14ac:dyDescent="0.45">
      <c r="A73" s="751">
        <v>12</v>
      </c>
      <c r="B73" s="391" t="s">
        <v>444</v>
      </c>
      <c r="C73" s="635">
        <f>'Pg7 Revised Stmt AE'!I25</f>
        <v>51545.376108772813</v>
      </c>
      <c r="D73" s="596"/>
      <c r="E73" s="267" t="s">
        <v>692</v>
      </c>
      <c r="F73" s="751">
        <f t="shared" si="2"/>
        <v>12</v>
      </c>
      <c r="G73" s="632"/>
      <c r="H73" s="632"/>
    </row>
    <row r="74" spans="1:8" ht="15.75" x14ac:dyDescent="0.5">
      <c r="A74" s="751">
        <v>13</v>
      </c>
      <c r="B74" s="637" t="s">
        <v>445</v>
      </c>
      <c r="C74" s="619">
        <f>SUM(C70:C73)</f>
        <v>1355871.8265675697</v>
      </c>
      <c r="D74" s="28" t="s">
        <v>16</v>
      </c>
      <c r="E74" s="267" t="s">
        <v>693</v>
      </c>
      <c r="F74" s="751">
        <f t="shared" si="2"/>
        <v>13</v>
      </c>
      <c r="G74" s="632"/>
      <c r="H74" s="632"/>
    </row>
    <row r="75" spans="1:8" x14ac:dyDescent="0.45">
      <c r="A75" s="751">
        <v>14</v>
      </c>
      <c r="B75" s="637"/>
      <c r="C75" s="616"/>
      <c r="D75" s="617"/>
      <c r="E75" s="746"/>
      <c r="F75" s="751">
        <f t="shared" si="2"/>
        <v>14</v>
      </c>
      <c r="G75" s="632"/>
      <c r="H75" s="632"/>
    </row>
    <row r="76" spans="1:8" x14ac:dyDescent="0.45">
      <c r="A76" s="751">
        <v>15</v>
      </c>
      <c r="B76" s="392" t="s">
        <v>408</v>
      </c>
      <c r="C76" s="616"/>
      <c r="D76" s="617"/>
      <c r="E76" s="746"/>
      <c r="F76" s="751">
        <f t="shared" si="2"/>
        <v>15</v>
      </c>
      <c r="G76" s="632"/>
      <c r="H76" s="632"/>
    </row>
    <row r="77" spans="1:8" ht="15.75" x14ac:dyDescent="0.5">
      <c r="A77" s="751">
        <v>16</v>
      </c>
      <c r="B77" s="241" t="s">
        <v>409</v>
      </c>
      <c r="C77" s="866">
        <f>C63-C70</f>
        <v>4996735.4096653843</v>
      </c>
      <c r="D77" s="28" t="s">
        <v>16</v>
      </c>
      <c r="E77" s="267" t="s">
        <v>694</v>
      </c>
      <c r="F77" s="751">
        <f t="shared" si="2"/>
        <v>16</v>
      </c>
      <c r="G77" s="632"/>
      <c r="H77" s="632"/>
    </row>
    <row r="78" spans="1:8" x14ac:dyDescent="0.45">
      <c r="A78" s="751">
        <v>17</v>
      </c>
      <c r="B78" s="241" t="s">
        <v>18</v>
      </c>
      <c r="C78" s="638">
        <f>C64-C71</f>
        <v>4323.4788759540897</v>
      </c>
      <c r="D78" s="639"/>
      <c r="E78" s="267" t="s">
        <v>695</v>
      </c>
      <c r="F78" s="751">
        <f t="shared" si="2"/>
        <v>17</v>
      </c>
      <c r="G78" s="632"/>
      <c r="H78" s="632"/>
    </row>
    <row r="79" spans="1:8" x14ac:dyDescent="0.45">
      <c r="A79" s="751">
        <v>18</v>
      </c>
      <c r="B79" s="241" t="s">
        <v>19</v>
      </c>
      <c r="C79" s="638">
        <f>C65-C72</f>
        <v>30239.351098987459</v>
      </c>
      <c r="D79" s="639"/>
      <c r="E79" s="267" t="s">
        <v>696</v>
      </c>
      <c r="F79" s="751">
        <f t="shared" si="2"/>
        <v>18</v>
      </c>
    </row>
    <row r="80" spans="1:8" x14ac:dyDescent="0.45">
      <c r="A80" s="751">
        <v>19</v>
      </c>
      <c r="B80" s="241" t="s">
        <v>410</v>
      </c>
      <c r="C80" s="640">
        <f>C66-C73</f>
        <v>56838.313075711041</v>
      </c>
      <c r="D80" s="641"/>
      <c r="E80" s="267" t="s">
        <v>697</v>
      </c>
      <c r="F80" s="751">
        <f t="shared" si="2"/>
        <v>19</v>
      </c>
    </row>
    <row r="81" spans="1:6" ht="16.149999999999999" thickBot="1" x14ac:dyDescent="0.55000000000000004">
      <c r="A81" s="751">
        <v>20</v>
      </c>
      <c r="B81" s="391" t="s">
        <v>411</v>
      </c>
      <c r="C81" s="867">
        <f>SUM(C77:C80)</f>
        <v>5088136.5527160363</v>
      </c>
      <c r="D81" s="28" t="s">
        <v>16</v>
      </c>
      <c r="E81" s="267" t="s">
        <v>698</v>
      </c>
      <c r="F81" s="751">
        <f t="shared" si="2"/>
        <v>20</v>
      </c>
    </row>
    <row r="82" spans="1:6" ht="15.75" thickTop="1" x14ac:dyDescent="0.45">
      <c r="A82" s="751">
        <v>21</v>
      </c>
      <c r="B82" s="243"/>
      <c r="C82" s="606"/>
      <c r="D82" s="606"/>
      <c r="E82" s="746"/>
      <c r="F82" s="751">
        <f t="shared" si="2"/>
        <v>21</v>
      </c>
    </row>
    <row r="83" spans="1:6" x14ac:dyDescent="0.45">
      <c r="A83" s="751">
        <v>22</v>
      </c>
      <c r="B83" s="392" t="s">
        <v>446</v>
      </c>
      <c r="C83" s="606"/>
      <c r="D83" s="606"/>
      <c r="E83" s="746"/>
      <c r="F83" s="751">
        <f t="shared" si="2"/>
        <v>22</v>
      </c>
    </row>
    <row r="84" spans="1:6" x14ac:dyDescent="0.45">
      <c r="A84" s="751">
        <v>23</v>
      </c>
      <c r="B84" s="241" t="s">
        <v>447</v>
      </c>
      <c r="C84" s="625">
        <v>0</v>
      </c>
      <c r="D84" s="606"/>
      <c r="E84" s="267" t="s">
        <v>17</v>
      </c>
      <c r="F84" s="751">
        <f t="shared" si="2"/>
        <v>23</v>
      </c>
    </row>
    <row r="85" spans="1:6" x14ac:dyDescent="0.45">
      <c r="A85" s="751">
        <v>24</v>
      </c>
      <c r="B85" s="391" t="s">
        <v>448</v>
      </c>
      <c r="C85" s="628">
        <v>0</v>
      </c>
      <c r="D85" s="606"/>
      <c r="E85" s="267" t="s">
        <v>17</v>
      </c>
      <c r="F85" s="751">
        <f t="shared" si="2"/>
        <v>24</v>
      </c>
    </row>
    <row r="86" spans="1:6" ht="15.75" thickBot="1" x14ac:dyDescent="0.5">
      <c r="A86" s="751">
        <v>25</v>
      </c>
      <c r="B86" s="241" t="s">
        <v>449</v>
      </c>
      <c r="C86" s="642">
        <f>C84-C85</f>
        <v>0</v>
      </c>
      <c r="D86" s="606"/>
      <c r="E86" s="267" t="s">
        <v>699</v>
      </c>
      <c r="F86" s="751">
        <f t="shared" si="2"/>
        <v>25</v>
      </c>
    </row>
    <row r="87" spans="1:6" ht="15.75" thickTop="1" x14ac:dyDescent="0.45">
      <c r="A87" s="751"/>
    </row>
    <row r="88" spans="1:6" ht="15.75" x14ac:dyDescent="0.5">
      <c r="A88" s="28" t="s">
        <v>16</v>
      </c>
      <c r="B88" s="26" t="s">
        <v>350</v>
      </c>
    </row>
  </sheetData>
  <mergeCells count="8">
    <mergeCell ref="B55:E55"/>
    <mergeCell ref="B56:E56"/>
    <mergeCell ref="B2:E2"/>
    <mergeCell ref="B3:E3"/>
    <mergeCell ref="B4:E4"/>
    <mergeCell ref="B5:E5"/>
    <mergeCell ref="B53:E53"/>
    <mergeCell ref="B54:E54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Roman,Bold"REVISED</oddHeader>
    <oddFooter>&amp;CPage 11.&amp;P&amp;R&amp;F</oddFooter>
  </headerFooter>
  <rowBreaks count="1" manualBreakCount="1">
    <brk id="5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L60"/>
  <sheetViews>
    <sheetView zoomScale="80" zoomScaleNormal="80" workbookViewId="0"/>
  </sheetViews>
  <sheetFormatPr defaultColWidth="9.06640625" defaultRowHeight="15.4" x14ac:dyDescent="0.45"/>
  <cols>
    <col min="1" max="1" width="5.06640625" style="643" customWidth="1"/>
    <col min="2" max="2" width="12.53125" style="902" customWidth="1"/>
    <col min="3" max="3" width="20" style="902" customWidth="1"/>
    <col min="4" max="8" width="21.53125" style="902" customWidth="1"/>
    <col min="9" max="9" width="5.06640625" style="643" customWidth="1"/>
    <col min="10" max="10" width="13.53125" style="902" customWidth="1"/>
    <col min="11" max="11" width="12.53125" style="902" customWidth="1"/>
    <col min="12" max="16384" width="9.06640625" style="902"/>
  </cols>
  <sheetData>
    <row r="1" spans="1:9" x14ac:dyDescent="0.45">
      <c r="D1" s="903"/>
    </row>
    <row r="2" spans="1:9" x14ac:dyDescent="0.45">
      <c r="B2" s="970" t="s">
        <v>21</v>
      </c>
      <c r="C2" s="970"/>
      <c r="D2" s="970"/>
      <c r="E2" s="970"/>
      <c r="F2" s="970"/>
      <c r="G2" s="970"/>
      <c r="H2" s="970"/>
      <c r="I2" s="904"/>
    </row>
    <row r="3" spans="1:9" x14ac:dyDescent="0.45">
      <c r="B3" s="970" t="s">
        <v>558</v>
      </c>
      <c r="C3" s="970"/>
      <c r="D3" s="970"/>
      <c r="E3" s="970"/>
      <c r="F3" s="970"/>
      <c r="G3" s="970"/>
      <c r="H3" s="970"/>
      <c r="I3" s="904"/>
    </row>
    <row r="4" spans="1:9" x14ac:dyDescent="0.45">
      <c r="B4" s="971" t="s">
        <v>559</v>
      </c>
      <c r="C4" s="971"/>
      <c r="D4" s="971"/>
      <c r="E4" s="971"/>
      <c r="F4" s="971"/>
      <c r="G4" s="971"/>
      <c r="H4" s="971"/>
      <c r="I4" s="904"/>
    </row>
    <row r="5" spans="1:9" x14ac:dyDescent="0.45">
      <c r="B5" s="971" t="s">
        <v>570</v>
      </c>
      <c r="C5" s="971"/>
      <c r="D5" s="971"/>
      <c r="E5" s="971"/>
      <c r="F5" s="971"/>
      <c r="G5" s="971"/>
      <c r="H5" s="971"/>
      <c r="I5" s="904"/>
    </row>
    <row r="6" spans="1:9" x14ac:dyDescent="0.45">
      <c r="B6" s="972" t="s">
        <v>1</v>
      </c>
      <c r="C6" s="972"/>
      <c r="D6" s="972"/>
      <c r="E6" s="972"/>
      <c r="F6" s="972"/>
      <c r="G6" s="972"/>
      <c r="H6" s="972"/>
      <c r="I6" s="904"/>
    </row>
    <row r="7" spans="1:9" x14ac:dyDescent="0.45">
      <c r="A7" s="904"/>
      <c r="B7" s="904"/>
      <c r="C7" s="904"/>
      <c r="D7" s="904"/>
      <c r="E7" s="904"/>
      <c r="F7" s="904"/>
      <c r="G7" s="904"/>
      <c r="H7" s="904"/>
      <c r="I7" s="904"/>
    </row>
    <row r="8" spans="1:9" x14ac:dyDescent="0.45">
      <c r="A8" s="42" t="s">
        <v>2</v>
      </c>
      <c r="B8" s="60"/>
      <c r="I8" s="42" t="s">
        <v>2</v>
      </c>
    </row>
    <row r="9" spans="1:9" x14ac:dyDescent="0.45">
      <c r="A9" s="905" t="s">
        <v>6</v>
      </c>
      <c r="B9" s="60"/>
      <c r="I9" s="905" t="s">
        <v>6</v>
      </c>
    </row>
    <row r="10" spans="1:9" x14ac:dyDescent="0.45">
      <c r="A10" s="42">
        <v>1</v>
      </c>
      <c r="C10" s="361" t="s">
        <v>244</v>
      </c>
      <c r="D10" s="361" t="s">
        <v>245</v>
      </c>
      <c r="E10" s="361" t="s">
        <v>246</v>
      </c>
      <c r="F10" s="361" t="s">
        <v>247</v>
      </c>
      <c r="G10" s="361" t="s">
        <v>248</v>
      </c>
      <c r="H10" s="361" t="s">
        <v>249</v>
      </c>
      <c r="I10" s="42">
        <v>1</v>
      </c>
    </row>
    <row r="11" spans="1:9" x14ac:dyDescent="0.45">
      <c r="A11" s="42">
        <f t="shared" ref="A11:A54" si="0">A10+1</f>
        <v>2</v>
      </c>
      <c r="B11" s="906" t="s">
        <v>255</v>
      </c>
      <c r="C11" s="42"/>
      <c r="D11" s="76" t="s">
        <v>562</v>
      </c>
      <c r="E11" s="42"/>
      <c r="F11" s="42" t="s">
        <v>563</v>
      </c>
      <c r="G11" s="42" t="s">
        <v>564</v>
      </c>
      <c r="H11" s="76" t="s">
        <v>565</v>
      </c>
      <c r="I11" s="42">
        <f t="shared" ref="I11:I54" si="1">I10+1</f>
        <v>2</v>
      </c>
    </row>
    <row r="12" spans="1:9" x14ac:dyDescent="0.45">
      <c r="A12" s="42">
        <f t="shared" si="0"/>
        <v>3</v>
      </c>
      <c r="B12" s="906"/>
      <c r="C12" s="42"/>
      <c r="D12" s="76"/>
      <c r="E12" s="42"/>
      <c r="F12" s="42"/>
      <c r="G12" s="42"/>
      <c r="H12" s="76"/>
      <c r="I12" s="42">
        <f t="shared" si="1"/>
        <v>3</v>
      </c>
    </row>
    <row r="13" spans="1:9" x14ac:dyDescent="0.45">
      <c r="A13" s="42">
        <f t="shared" si="0"/>
        <v>4</v>
      </c>
      <c r="C13" s="361"/>
      <c r="F13" s="896" t="s">
        <v>256</v>
      </c>
      <c r="H13" s="896" t="s">
        <v>256</v>
      </c>
      <c r="I13" s="42">
        <f t="shared" si="1"/>
        <v>4</v>
      </c>
    </row>
    <row r="14" spans="1:9" x14ac:dyDescent="0.45">
      <c r="A14" s="42">
        <f t="shared" si="0"/>
        <v>5</v>
      </c>
      <c r="C14" s="361"/>
      <c r="D14" s="896" t="s">
        <v>257</v>
      </c>
      <c r="E14" s="896"/>
      <c r="F14" s="896" t="s">
        <v>258</v>
      </c>
      <c r="H14" s="896" t="s">
        <v>258</v>
      </c>
      <c r="I14" s="42">
        <f t="shared" si="1"/>
        <v>5</v>
      </c>
    </row>
    <row r="15" spans="1:9" x14ac:dyDescent="0.45">
      <c r="A15" s="42">
        <f t="shared" si="0"/>
        <v>6</v>
      </c>
      <c r="C15" s="896"/>
      <c r="D15" s="896" t="s">
        <v>258</v>
      </c>
      <c r="E15" s="896" t="s">
        <v>257</v>
      </c>
      <c r="F15" s="896" t="s">
        <v>261</v>
      </c>
      <c r="H15" s="896" t="s">
        <v>261</v>
      </c>
      <c r="I15" s="42">
        <f t="shared" si="1"/>
        <v>6</v>
      </c>
    </row>
    <row r="16" spans="1:9" x14ac:dyDescent="0.45">
      <c r="A16" s="42">
        <f t="shared" si="0"/>
        <v>7</v>
      </c>
      <c r="C16" s="896"/>
      <c r="D16" s="896" t="s">
        <v>261</v>
      </c>
      <c r="E16" s="896" t="s">
        <v>264</v>
      </c>
      <c r="F16" s="896" t="s">
        <v>265</v>
      </c>
      <c r="G16" s="896"/>
      <c r="H16" s="896" t="s">
        <v>265</v>
      </c>
      <c r="I16" s="42">
        <f t="shared" si="1"/>
        <v>7</v>
      </c>
    </row>
    <row r="17" spans="1:12" ht="17.25" x14ac:dyDescent="0.45">
      <c r="A17" s="42">
        <f t="shared" si="0"/>
        <v>8</v>
      </c>
      <c r="B17" s="884" t="s">
        <v>266</v>
      </c>
      <c r="C17" s="884" t="s">
        <v>267</v>
      </c>
      <c r="D17" s="907" t="s">
        <v>265</v>
      </c>
      <c r="E17" s="907" t="s">
        <v>566</v>
      </c>
      <c r="F17" s="907" t="s">
        <v>274</v>
      </c>
      <c r="G17" s="908" t="s">
        <v>264</v>
      </c>
      <c r="H17" s="907" t="s">
        <v>275</v>
      </c>
      <c r="I17" s="42">
        <f t="shared" si="1"/>
        <v>8</v>
      </c>
    </row>
    <row r="18" spans="1:12" x14ac:dyDescent="0.45">
      <c r="A18" s="42">
        <f t="shared" si="0"/>
        <v>9</v>
      </c>
      <c r="B18" s="152" t="s">
        <v>276</v>
      </c>
      <c r="C18" s="363">
        <v>2019</v>
      </c>
      <c r="D18" s="909">
        <f>'Pg2 Appendix X C9 Comparison'!G28/12</f>
        <v>-6.9631929428517951</v>
      </c>
      <c r="E18" s="910">
        <v>4.4000000000000003E-3</v>
      </c>
      <c r="F18" s="911">
        <f>D18</f>
        <v>-6.9631929428517951</v>
      </c>
      <c r="G18" s="939">
        <f>(D18/2)*E18</f>
        <v>-1.5319024474273951E-2</v>
      </c>
      <c r="H18" s="912">
        <f t="shared" ref="H18:H53" si="2">F18+G18</f>
        <v>-6.9785119673260692</v>
      </c>
      <c r="I18" s="42">
        <f t="shared" si="1"/>
        <v>9</v>
      </c>
      <c r="J18" s="913"/>
    </row>
    <row r="19" spans="1:12" x14ac:dyDescent="0.45">
      <c r="A19" s="42">
        <f t="shared" si="0"/>
        <v>10</v>
      </c>
      <c r="B19" s="152" t="s">
        <v>277</v>
      </c>
      <c r="C19" s="363">
        <f>C18</f>
        <v>2019</v>
      </c>
      <c r="D19" s="909">
        <f>D18</f>
        <v>-6.9631929428517951</v>
      </c>
      <c r="E19" s="910">
        <v>4.0000000000000001E-3</v>
      </c>
      <c r="F19" s="914">
        <f>H18+D19</f>
        <v>-13.941704910177865</v>
      </c>
      <c r="G19" s="942">
        <f t="shared" ref="G19:G53" si="3">(H18+F19)/2*E19</f>
        <v>-4.1840433755007865E-2</v>
      </c>
      <c r="H19" s="915">
        <f t="shared" si="2"/>
        <v>-13.983545343932873</v>
      </c>
      <c r="I19" s="42">
        <f t="shared" si="1"/>
        <v>10</v>
      </c>
      <c r="J19" s="916"/>
    </row>
    <row r="20" spans="1:12" x14ac:dyDescent="0.45">
      <c r="A20" s="42">
        <f t="shared" si="0"/>
        <v>11</v>
      </c>
      <c r="B20" s="152" t="s">
        <v>278</v>
      </c>
      <c r="C20" s="363">
        <f t="shared" ref="C20:D29" si="4">C19</f>
        <v>2019</v>
      </c>
      <c r="D20" s="909">
        <f t="shared" si="4"/>
        <v>-6.9631929428517951</v>
      </c>
      <c r="E20" s="910">
        <v>4.4000000000000003E-3</v>
      </c>
      <c r="F20" s="914">
        <f>H19+D20</f>
        <v>-20.946738286784669</v>
      </c>
      <c r="G20" s="942">
        <f>(H19+F20)/2*E20</f>
        <v>-7.6846623987578591E-2</v>
      </c>
      <c r="H20" s="915">
        <f t="shared" si="2"/>
        <v>-21.023584910772247</v>
      </c>
      <c r="I20" s="42">
        <f t="shared" si="1"/>
        <v>11</v>
      </c>
      <c r="J20" s="916"/>
    </row>
    <row r="21" spans="1:12" x14ac:dyDescent="0.45">
      <c r="A21" s="42">
        <f t="shared" si="0"/>
        <v>12</v>
      </c>
      <c r="B21" s="152" t="s">
        <v>279</v>
      </c>
      <c r="C21" s="363">
        <f t="shared" si="4"/>
        <v>2019</v>
      </c>
      <c r="D21" s="909">
        <f t="shared" si="4"/>
        <v>-6.9631929428517951</v>
      </c>
      <c r="E21" s="910">
        <v>4.4999999999999997E-3</v>
      </c>
      <c r="F21" s="914">
        <f>H20+D21</f>
        <v>-27.986777853624041</v>
      </c>
      <c r="G21" s="942">
        <f>(H20+F21)/2*E21</f>
        <v>-0.11027331621989164</v>
      </c>
      <c r="H21" s="915">
        <f t="shared" si="2"/>
        <v>-28.097051169843933</v>
      </c>
      <c r="I21" s="42">
        <f t="shared" si="1"/>
        <v>12</v>
      </c>
      <c r="J21" s="916"/>
      <c r="L21" s="917"/>
    </row>
    <row r="22" spans="1:12" x14ac:dyDescent="0.45">
      <c r="A22" s="42">
        <f t="shared" si="0"/>
        <v>13</v>
      </c>
      <c r="B22" s="152" t="s">
        <v>280</v>
      </c>
      <c r="C22" s="363">
        <f t="shared" si="4"/>
        <v>2019</v>
      </c>
      <c r="D22" s="909">
        <f t="shared" si="4"/>
        <v>-6.9631929428517951</v>
      </c>
      <c r="E22" s="910">
        <v>4.5999999999999999E-3</v>
      </c>
      <c r="F22" s="914">
        <f t="shared" ref="F22:F53" si="5">H21+D22</f>
        <v>-35.060244112695727</v>
      </c>
      <c r="G22" s="942">
        <f t="shared" si="3"/>
        <v>-0.14526177914984123</v>
      </c>
      <c r="H22" s="915">
        <f t="shared" si="2"/>
        <v>-35.205505891845569</v>
      </c>
      <c r="I22" s="42">
        <f t="shared" si="1"/>
        <v>13</v>
      </c>
      <c r="J22" s="916"/>
    </row>
    <row r="23" spans="1:12" x14ac:dyDescent="0.45">
      <c r="A23" s="42">
        <f t="shared" si="0"/>
        <v>14</v>
      </c>
      <c r="B23" s="152" t="s">
        <v>281</v>
      </c>
      <c r="C23" s="363">
        <f t="shared" si="4"/>
        <v>2019</v>
      </c>
      <c r="D23" s="909">
        <f t="shared" si="4"/>
        <v>-6.9631929428517951</v>
      </c>
      <c r="E23" s="910">
        <v>4.4999999999999997E-3</v>
      </c>
      <c r="F23" s="914">
        <f t="shared" si="5"/>
        <v>-42.168698834697366</v>
      </c>
      <c r="G23" s="942">
        <f>(H22+F23)/2*E23</f>
        <v>-0.17409196063472157</v>
      </c>
      <c r="H23" s="915">
        <f t="shared" si="2"/>
        <v>-42.342790795332085</v>
      </c>
      <c r="I23" s="42">
        <f t="shared" si="1"/>
        <v>14</v>
      </c>
      <c r="J23" s="916"/>
    </row>
    <row r="24" spans="1:12" x14ac:dyDescent="0.45">
      <c r="A24" s="42">
        <f t="shared" si="0"/>
        <v>15</v>
      </c>
      <c r="B24" s="152" t="s">
        <v>282</v>
      </c>
      <c r="C24" s="363">
        <f t="shared" si="4"/>
        <v>2019</v>
      </c>
      <c r="D24" s="909">
        <f t="shared" si="4"/>
        <v>-6.9631929428517951</v>
      </c>
      <c r="E24" s="910">
        <v>4.7000000000000002E-3</v>
      </c>
      <c r="F24" s="914">
        <f t="shared" si="5"/>
        <v>-49.305983738183883</v>
      </c>
      <c r="G24" s="942">
        <f t="shared" si="3"/>
        <v>-0.21537462015376252</v>
      </c>
      <c r="H24" s="915">
        <f t="shared" si="2"/>
        <v>-49.521358358337643</v>
      </c>
      <c r="I24" s="42">
        <f t="shared" si="1"/>
        <v>15</v>
      </c>
      <c r="J24" s="916"/>
    </row>
    <row r="25" spans="1:12" x14ac:dyDescent="0.45">
      <c r="A25" s="42">
        <f t="shared" si="0"/>
        <v>16</v>
      </c>
      <c r="B25" s="152" t="s">
        <v>283</v>
      </c>
      <c r="C25" s="363">
        <f t="shared" si="4"/>
        <v>2019</v>
      </c>
      <c r="D25" s="909">
        <f t="shared" si="4"/>
        <v>-6.9631929428517951</v>
      </c>
      <c r="E25" s="910">
        <v>4.7000000000000002E-3</v>
      </c>
      <c r="F25" s="914">
        <f t="shared" si="5"/>
        <v>-56.484551301189441</v>
      </c>
      <c r="G25" s="942">
        <f t="shared" si="3"/>
        <v>-0.24911388769988865</v>
      </c>
      <c r="H25" s="915">
        <f t="shared" si="2"/>
        <v>-56.733665188889333</v>
      </c>
      <c r="I25" s="42">
        <f t="shared" si="1"/>
        <v>16</v>
      </c>
      <c r="J25" s="916"/>
    </row>
    <row r="26" spans="1:12" x14ac:dyDescent="0.45">
      <c r="A26" s="42">
        <f t="shared" si="0"/>
        <v>17</v>
      </c>
      <c r="B26" s="152" t="s">
        <v>284</v>
      </c>
      <c r="C26" s="363">
        <f t="shared" si="4"/>
        <v>2019</v>
      </c>
      <c r="D26" s="909">
        <f t="shared" si="4"/>
        <v>-6.9631929428517951</v>
      </c>
      <c r="E26" s="910">
        <v>4.4999999999999997E-3</v>
      </c>
      <c r="F26" s="914">
        <f t="shared" si="5"/>
        <v>-63.696858131741131</v>
      </c>
      <c r="G26" s="942">
        <f t="shared" si="3"/>
        <v>-0.27096867747141856</v>
      </c>
      <c r="H26" s="915">
        <f t="shared" si="2"/>
        <v>-63.967826809212546</v>
      </c>
      <c r="I26" s="42">
        <f t="shared" si="1"/>
        <v>17</v>
      </c>
      <c r="J26" s="916"/>
    </row>
    <row r="27" spans="1:12" x14ac:dyDescent="0.45">
      <c r="A27" s="42">
        <f t="shared" si="0"/>
        <v>18</v>
      </c>
      <c r="B27" s="152" t="s">
        <v>285</v>
      </c>
      <c r="C27" s="363">
        <f t="shared" si="4"/>
        <v>2019</v>
      </c>
      <c r="D27" s="909">
        <f t="shared" si="4"/>
        <v>-6.9631929428517951</v>
      </c>
      <c r="E27" s="910">
        <v>4.5999999999999999E-3</v>
      </c>
      <c r="F27" s="914">
        <f t="shared" si="5"/>
        <v>-70.931019752064344</v>
      </c>
      <c r="G27" s="942">
        <f t="shared" si="3"/>
        <v>-0.31026734709093684</v>
      </c>
      <c r="H27" s="915">
        <f t="shared" si="2"/>
        <v>-71.241287099155286</v>
      </c>
      <c r="I27" s="42">
        <f t="shared" si="1"/>
        <v>18</v>
      </c>
      <c r="J27" s="916"/>
    </row>
    <row r="28" spans="1:12" x14ac:dyDescent="0.45">
      <c r="A28" s="42">
        <f t="shared" si="0"/>
        <v>19</v>
      </c>
      <c r="B28" s="152" t="s">
        <v>286</v>
      </c>
      <c r="C28" s="363">
        <f t="shared" si="4"/>
        <v>2019</v>
      </c>
      <c r="D28" s="909">
        <f t="shared" si="4"/>
        <v>-6.9631929428517951</v>
      </c>
      <c r="E28" s="910">
        <v>4.4999999999999997E-3</v>
      </c>
      <c r="F28" s="914">
        <f t="shared" si="5"/>
        <v>-78.204480042007077</v>
      </c>
      <c r="G28" s="938">
        <f t="shared" si="3"/>
        <v>-0.33625297606761534</v>
      </c>
      <c r="H28" s="918">
        <f t="shared" si="2"/>
        <v>-78.54073301807469</v>
      </c>
      <c r="I28" s="42">
        <f t="shared" si="1"/>
        <v>19</v>
      </c>
      <c r="J28" s="916"/>
    </row>
    <row r="29" spans="1:12" x14ac:dyDescent="0.45">
      <c r="A29" s="42">
        <f t="shared" si="0"/>
        <v>20</v>
      </c>
      <c r="B29" s="919" t="s">
        <v>287</v>
      </c>
      <c r="C29" s="920">
        <f>C28</f>
        <v>2019</v>
      </c>
      <c r="D29" s="921">
        <f t="shared" si="4"/>
        <v>-6.9631929428517951</v>
      </c>
      <c r="E29" s="922">
        <v>4.5999999999999999E-3</v>
      </c>
      <c r="F29" s="923">
        <f t="shared" si="5"/>
        <v>-85.50392596092648</v>
      </c>
      <c r="G29" s="940">
        <f t="shared" si="3"/>
        <v>-0.37730271565170265</v>
      </c>
      <c r="H29" s="924">
        <f t="shared" si="2"/>
        <v>-85.881228676578189</v>
      </c>
      <c r="I29" s="42">
        <f t="shared" si="1"/>
        <v>20</v>
      </c>
      <c r="J29" s="916"/>
    </row>
    <row r="30" spans="1:12" x14ac:dyDescent="0.45">
      <c r="A30" s="42">
        <f t="shared" si="0"/>
        <v>21</v>
      </c>
      <c r="B30" s="152" t="s">
        <v>276</v>
      </c>
      <c r="C30" s="363">
        <f>C29+1</f>
        <v>2020</v>
      </c>
      <c r="D30" s="909"/>
      <c r="E30" s="910">
        <v>4.1999999999999997E-3</v>
      </c>
      <c r="F30" s="925">
        <f t="shared" si="5"/>
        <v>-85.881228676578189</v>
      </c>
      <c r="G30" s="941">
        <f t="shared" si="3"/>
        <v>-0.36070116044162837</v>
      </c>
      <c r="H30" s="242">
        <f t="shared" si="2"/>
        <v>-86.241929837019811</v>
      </c>
      <c r="I30" s="42">
        <f t="shared" si="1"/>
        <v>21</v>
      </c>
      <c r="J30" s="916"/>
    </row>
    <row r="31" spans="1:12" x14ac:dyDescent="0.45">
      <c r="A31" s="42">
        <f t="shared" si="0"/>
        <v>22</v>
      </c>
      <c r="B31" s="152" t="s">
        <v>277</v>
      </c>
      <c r="C31" s="363">
        <f>C30</f>
        <v>2020</v>
      </c>
      <c r="D31" s="909"/>
      <c r="E31" s="910">
        <v>3.8999999999999998E-3</v>
      </c>
      <c r="F31" s="925">
        <f t="shared" si="5"/>
        <v>-86.241929837019811</v>
      </c>
      <c r="G31" s="941">
        <f t="shared" si="3"/>
        <v>-0.33634352636437725</v>
      </c>
      <c r="H31" s="242">
        <f t="shared" si="2"/>
        <v>-86.578273363384184</v>
      </c>
      <c r="I31" s="42">
        <f t="shared" si="1"/>
        <v>22</v>
      </c>
      <c r="J31" s="916"/>
    </row>
    <row r="32" spans="1:12" x14ac:dyDescent="0.45">
      <c r="A32" s="42">
        <f t="shared" si="0"/>
        <v>23</v>
      </c>
      <c r="B32" s="152" t="s">
        <v>278</v>
      </c>
      <c r="C32" s="363">
        <f t="shared" ref="C32:C40" si="6">C31</f>
        <v>2020</v>
      </c>
      <c r="D32" s="909"/>
      <c r="E32" s="910">
        <v>4.1999999999999997E-3</v>
      </c>
      <c r="F32" s="925">
        <f t="shared" si="5"/>
        <v>-86.578273363384184</v>
      </c>
      <c r="G32" s="941">
        <f t="shared" si="3"/>
        <v>-0.36362874812621354</v>
      </c>
      <c r="H32" s="242">
        <f t="shared" si="2"/>
        <v>-86.941902111510402</v>
      </c>
      <c r="I32" s="42">
        <f t="shared" si="1"/>
        <v>23</v>
      </c>
      <c r="J32" s="916"/>
    </row>
    <row r="33" spans="1:10" x14ac:dyDescent="0.45">
      <c r="A33" s="42">
        <f t="shared" si="0"/>
        <v>24</v>
      </c>
      <c r="B33" s="152" t="s">
        <v>279</v>
      </c>
      <c r="C33" s="363">
        <f t="shared" si="6"/>
        <v>2020</v>
      </c>
      <c r="D33" s="909"/>
      <c r="E33" s="910">
        <v>3.8999999999999998E-3</v>
      </c>
      <c r="F33" s="925">
        <f t="shared" si="5"/>
        <v>-86.941902111510402</v>
      </c>
      <c r="G33" s="941">
        <f t="shared" si="3"/>
        <v>-0.33907341823489057</v>
      </c>
      <c r="H33" s="242">
        <f t="shared" si="2"/>
        <v>-87.280975529745291</v>
      </c>
      <c r="I33" s="42">
        <f t="shared" si="1"/>
        <v>24</v>
      </c>
      <c r="J33" s="916"/>
    </row>
    <row r="34" spans="1:10" x14ac:dyDescent="0.45">
      <c r="A34" s="42">
        <f t="shared" si="0"/>
        <v>25</v>
      </c>
      <c r="B34" s="152" t="s">
        <v>280</v>
      </c>
      <c r="C34" s="363">
        <f t="shared" si="6"/>
        <v>2020</v>
      </c>
      <c r="D34" s="909"/>
      <c r="E34" s="910">
        <v>4.0000000000000001E-3</v>
      </c>
      <c r="F34" s="925">
        <f t="shared" si="5"/>
        <v>-87.280975529745291</v>
      </c>
      <c r="G34" s="941">
        <f t="shared" si="3"/>
        <v>-0.34912390211898114</v>
      </c>
      <c r="H34" s="242">
        <f t="shared" si="2"/>
        <v>-87.630099431864267</v>
      </c>
      <c r="I34" s="42">
        <f t="shared" si="1"/>
        <v>25</v>
      </c>
      <c r="J34" s="916"/>
    </row>
    <row r="35" spans="1:10" x14ac:dyDescent="0.45">
      <c r="A35" s="42">
        <f t="shared" si="0"/>
        <v>26</v>
      </c>
      <c r="B35" s="152" t="s">
        <v>281</v>
      </c>
      <c r="C35" s="363">
        <f t="shared" si="6"/>
        <v>2020</v>
      </c>
      <c r="D35" s="909"/>
      <c r="E35" s="910">
        <v>3.8999999999999998E-3</v>
      </c>
      <c r="F35" s="925">
        <f t="shared" si="5"/>
        <v>-87.630099431864267</v>
      </c>
      <c r="G35" s="941">
        <f t="shared" si="3"/>
        <v>-0.34175738778427062</v>
      </c>
      <c r="H35" s="242">
        <f t="shared" si="2"/>
        <v>-87.971856819648536</v>
      </c>
      <c r="I35" s="42">
        <f t="shared" si="1"/>
        <v>26</v>
      </c>
      <c r="J35" s="916"/>
    </row>
    <row r="36" spans="1:10" x14ac:dyDescent="0.45">
      <c r="A36" s="42">
        <f t="shared" si="0"/>
        <v>27</v>
      </c>
      <c r="B36" s="152" t="s">
        <v>282</v>
      </c>
      <c r="C36" s="363">
        <f t="shared" si="6"/>
        <v>2020</v>
      </c>
      <c r="D36" s="909"/>
      <c r="E36" s="910">
        <v>2.8999999999999998E-3</v>
      </c>
      <c r="F36" s="925">
        <f t="shared" si="5"/>
        <v>-87.971856819648536</v>
      </c>
      <c r="G36" s="941">
        <f t="shared" si="3"/>
        <v>-0.25511838477698073</v>
      </c>
      <c r="H36" s="242">
        <f t="shared" si="2"/>
        <v>-88.226975204425514</v>
      </c>
      <c r="I36" s="42">
        <f t="shared" si="1"/>
        <v>27</v>
      </c>
      <c r="J36" s="916"/>
    </row>
    <row r="37" spans="1:10" x14ac:dyDescent="0.45">
      <c r="A37" s="42">
        <f t="shared" si="0"/>
        <v>28</v>
      </c>
      <c r="B37" s="152" t="s">
        <v>283</v>
      </c>
      <c r="C37" s="363">
        <f t="shared" si="6"/>
        <v>2020</v>
      </c>
      <c r="D37" s="909"/>
      <c r="E37" s="910">
        <v>2.8999999999999998E-3</v>
      </c>
      <c r="F37" s="925">
        <f t="shared" si="5"/>
        <v>-88.226975204425514</v>
      </c>
      <c r="G37" s="941">
        <f t="shared" si="3"/>
        <v>-0.25585822809283398</v>
      </c>
      <c r="H37" s="242">
        <f t="shared" si="2"/>
        <v>-88.482833432518348</v>
      </c>
      <c r="I37" s="42">
        <f t="shared" si="1"/>
        <v>28</v>
      </c>
      <c r="J37" s="916"/>
    </row>
    <row r="38" spans="1:10" x14ac:dyDescent="0.45">
      <c r="A38" s="42">
        <f t="shared" si="0"/>
        <v>29</v>
      </c>
      <c r="B38" s="152" t="s">
        <v>284</v>
      </c>
      <c r="C38" s="363">
        <f t="shared" si="6"/>
        <v>2020</v>
      </c>
      <c r="D38" s="909"/>
      <c r="E38" s="910">
        <v>2.8E-3</v>
      </c>
      <c r="F38" s="925">
        <f t="shared" si="5"/>
        <v>-88.482833432518348</v>
      </c>
      <c r="G38" s="941">
        <f t="shared" si="3"/>
        <v>-0.24775193361105138</v>
      </c>
      <c r="H38" s="242">
        <f t="shared" si="2"/>
        <v>-88.730585366129404</v>
      </c>
      <c r="I38" s="42">
        <f t="shared" si="1"/>
        <v>29</v>
      </c>
      <c r="J38" s="916"/>
    </row>
    <row r="39" spans="1:10" x14ac:dyDescent="0.45">
      <c r="A39" s="42">
        <f t="shared" si="0"/>
        <v>30</v>
      </c>
      <c r="B39" s="152" t="s">
        <v>285</v>
      </c>
      <c r="C39" s="363">
        <f t="shared" si="6"/>
        <v>2020</v>
      </c>
      <c r="D39" s="909"/>
      <c r="E39" s="910">
        <v>2.8E-3</v>
      </c>
      <c r="F39" s="925">
        <f t="shared" si="5"/>
        <v>-88.730585366129404</v>
      </c>
      <c r="G39" s="941">
        <f t="shared" si="3"/>
        <v>-0.24844563902516234</v>
      </c>
      <c r="H39" s="242">
        <f t="shared" si="2"/>
        <v>-88.979031005154567</v>
      </c>
      <c r="I39" s="42">
        <f t="shared" si="1"/>
        <v>30</v>
      </c>
      <c r="J39" s="916"/>
    </row>
    <row r="40" spans="1:10" x14ac:dyDescent="0.45">
      <c r="A40" s="42">
        <f t="shared" si="0"/>
        <v>31</v>
      </c>
      <c r="B40" s="152" t="s">
        <v>286</v>
      </c>
      <c r="C40" s="363">
        <f t="shared" si="6"/>
        <v>2020</v>
      </c>
      <c r="D40" s="909"/>
      <c r="E40" s="910">
        <v>2.7000000000000001E-3</v>
      </c>
      <c r="F40" s="925">
        <f t="shared" si="5"/>
        <v>-88.979031005154567</v>
      </c>
      <c r="G40" s="941">
        <f t="shared" si="3"/>
        <v>-0.24024338371391735</v>
      </c>
      <c r="H40" s="242">
        <f t="shared" si="2"/>
        <v>-89.219274388868484</v>
      </c>
      <c r="I40" s="42">
        <f t="shared" si="1"/>
        <v>31</v>
      </c>
      <c r="J40" s="916"/>
    </row>
    <row r="41" spans="1:10" x14ac:dyDescent="0.45">
      <c r="A41" s="42">
        <f t="shared" si="0"/>
        <v>32</v>
      </c>
      <c r="B41" s="919" t="s">
        <v>287</v>
      </c>
      <c r="C41" s="920">
        <f>C40</f>
        <v>2020</v>
      </c>
      <c r="D41" s="921"/>
      <c r="E41" s="922">
        <v>2.8E-3</v>
      </c>
      <c r="F41" s="923">
        <f t="shared" si="5"/>
        <v>-89.219274388868484</v>
      </c>
      <c r="G41" s="940">
        <f t="shared" si="3"/>
        <v>-0.24981396828883176</v>
      </c>
      <c r="H41" s="924">
        <f t="shared" si="2"/>
        <v>-89.469088357157318</v>
      </c>
      <c r="I41" s="42">
        <f t="shared" si="1"/>
        <v>32</v>
      </c>
      <c r="J41" s="916"/>
    </row>
    <row r="42" spans="1:10" x14ac:dyDescent="0.45">
      <c r="A42" s="42">
        <f t="shared" si="0"/>
        <v>33</v>
      </c>
      <c r="B42" s="152" t="s">
        <v>276</v>
      </c>
      <c r="C42" s="363">
        <f>C41+1</f>
        <v>2021</v>
      </c>
      <c r="D42" s="909"/>
      <c r="E42" s="910">
        <v>2.8E-3</v>
      </c>
      <c r="F42" s="925">
        <f t="shared" si="5"/>
        <v>-89.469088357157318</v>
      </c>
      <c r="G42" s="941">
        <f t="shared" si="3"/>
        <v>-0.2505134474000405</v>
      </c>
      <c r="H42" s="242">
        <f t="shared" si="2"/>
        <v>-89.719601804557357</v>
      </c>
      <c r="I42" s="42">
        <f t="shared" si="1"/>
        <v>33</v>
      </c>
      <c r="J42" s="916"/>
    </row>
    <row r="43" spans="1:10" x14ac:dyDescent="0.45">
      <c r="A43" s="42">
        <f t="shared" si="0"/>
        <v>34</v>
      </c>
      <c r="B43" s="152" t="s">
        <v>277</v>
      </c>
      <c r="C43" s="363">
        <f>C42</f>
        <v>2021</v>
      </c>
      <c r="D43" s="909"/>
      <c r="E43" s="910">
        <v>2.5000000000000001E-3</v>
      </c>
      <c r="F43" s="925">
        <f t="shared" si="5"/>
        <v>-89.719601804557357</v>
      </c>
      <c r="G43" s="941">
        <f t="shared" si="3"/>
        <v>-0.2242990045113934</v>
      </c>
      <c r="H43" s="242">
        <f t="shared" si="2"/>
        <v>-89.943900809068751</v>
      </c>
      <c r="I43" s="42">
        <f t="shared" si="1"/>
        <v>34</v>
      </c>
      <c r="J43" s="916"/>
    </row>
    <row r="44" spans="1:10" x14ac:dyDescent="0.45">
      <c r="A44" s="42">
        <f t="shared" si="0"/>
        <v>35</v>
      </c>
      <c r="B44" s="152" t="s">
        <v>278</v>
      </c>
      <c r="C44" s="363">
        <f t="shared" ref="C44:C52" si="7">C43</f>
        <v>2021</v>
      </c>
      <c r="D44" s="909"/>
      <c r="E44" s="910">
        <v>2.8E-3</v>
      </c>
      <c r="F44" s="925">
        <f t="shared" si="5"/>
        <v>-89.943900809068751</v>
      </c>
      <c r="G44" s="941">
        <f t="shared" si="3"/>
        <v>-0.25184292226539251</v>
      </c>
      <c r="H44" s="242">
        <f t="shared" si="2"/>
        <v>-90.195743731334147</v>
      </c>
      <c r="I44" s="42">
        <f t="shared" si="1"/>
        <v>35</v>
      </c>
      <c r="J44" s="916"/>
    </row>
    <row r="45" spans="1:10" x14ac:dyDescent="0.45">
      <c r="A45" s="42">
        <f t="shared" si="0"/>
        <v>36</v>
      </c>
      <c r="B45" s="152" t="s">
        <v>279</v>
      </c>
      <c r="C45" s="363">
        <f t="shared" si="7"/>
        <v>2021</v>
      </c>
      <c r="D45" s="909"/>
      <c r="E45" s="910">
        <v>2.7000000000000001E-3</v>
      </c>
      <c r="F45" s="925">
        <f t="shared" si="5"/>
        <v>-90.195743731334147</v>
      </c>
      <c r="G45" s="941">
        <f t="shared" si="3"/>
        <v>-0.24352850807460222</v>
      </c>
      <c r="H45" s="242">
        <f t="shared" si="2"/>
        <v>-90.439272239408751</v>
      </c>
      <c r="I45" s="42">
        <f t="shared" si="1"/>
        <v>36</v>
      </c>
      <c r="J45" s="916"/>
    </row>
    <row r="46" spans="1:10" x14ac:dyDescent="0.45">
      <c r="A46" s="42">
        <f t="shared" si="0"/>
        <v>37</v>
      </c>
      <c r="B46" s="152" t="s">
        <v>280</v>
      </c>
      <c r="C46" s="363">
        <f t="shared" si="7"/>
        <v>2021</v>
      </c>
      <c r="D46" s="909"/>
      <c r="E46" s="910">
        <v>2.8E-3</v>
      </c>
      <c r="F46" s="925">
        <f t="shared" si="5"/>
        <v>-90.439272239408751</v>
      </c>
      <c r="G46" s="941">
        <f t="shared" si="3"/>
        <v>-0.2532299622703445</v>
      </c>
      <c r="H46" s="242">
        <f t="shared" si="2"/>
        <v>-90.69250220167909</v>
      </c>
      <c r="I46" s="42">
        <f t="shared" si="1"/>
        <v>37</v>
      </c>
      <c r="J46" s="916"/>
    </row>
    <row r="47" spans="1:10" x14ac:dyDescent="0.45">
      <c r="A47" s="42">
        <f t="shared" si="0"/>
        <v>38</v>
      </c>
      <c r="B47" s="152" t="s">
        <v>281</v>
      </c>
      <c r="C47" s="363">
        <f t="shared" si="7"/>
        <v>2021</v>
      </c>
      <c r="D47" s="909"/>
      <c r="E47" s="910">
        <v>2.7000000000000001E-3</v>
      </c>
      <c r="F47" s="925">
        <f t="shared" si="5"/>
        <v>-90.69250220167909</v>
      </c>
      <c r="G47" s="941">
        <f t="shared" si="3"/>
        <v>-0.24486975594453356</v>
      </c>
      <c r="H47" s="242">
        <f t="shared" si="2"/>
        <v>-90.937371957623625</v>
      </c>
      <c r="I47" s="42">
        <f t="shared" si="1"/>
        <v>38</v>
      </c>
      <c r="J47" s="916"/>
    </row>
    <row r="48" spans="1:10" x14ac:dyDescent="0.45">
      <c r="A48" s="42">
        <f t="shared" si="0"/>
        <v>39</v>
      </c>
      <c r="B48" s="152" t="s">
        <v>282</v>
      </c>
      <c r="C48" s="363">
        <f t="shared" si="7"/>
        <v>2021</v>
      </c>
      <c r="D48" s="909"/>
      <c r="E48" s="937">
        <v>2.8E-3</v>
      </c>
      <c r="F48" s="925">
        <f t="shared" si="5"/>
        <v>-90.937371957623625</v>
      </c>
      <c r="G48" s="941">
        <f t="shared" si="3"/>
        <v>-0.25462464148134617</v>
      </c>
      <c r="H48" s="242">
        <f t="shared" si="2"/>
        <v>-91.191996599104968</v>
      </c>
      <c r="I48" s="42">
        <f t="shared" si="1"/>
        <v>39</v>
      </c>
      <c r="J48" s="916"/>
    </row>
    <row r="49" spans="1:10" x14ac:dyDescent="0.45">
      <c r="A49" s="42">
        <f t="shared" si="0"/>
        <v>40</v>
      </c>
      <c r="B49" s="152" t="s">
        <v>283</v>
      </c>
      <c r="C49" s="363">
        <f t="shared" si="7"/>
        <v>2021</v>
      </c>
      <c r="D49" s="909"/>
      <c r="E49" s="937">
        <v>2.8E-3</v>
      </c>
      <c r="F49" s="925">
        <f t="shared" si="5"/>
        <v>-91.191996599104968</v>
      </c>
      <c r="G49" s="941">
        <f t="shared" si="3"/>
        <v>-0.25533759047749388</v>
      </c>
      <c r="H49" s="242">
        <f t="shared" si="2"/>
        <v>-91.447334189582463</v>
      </c>
      <c r="I49" s="42">
        <f t="shared" si="1"/>
        <v>40</v>
      </c>
      <c r="J49" s="916"/>
    </row>
    <row r="50" spans="1:10" x14ac:dyDescent="0.45">
      <c r="A50" s="42">
        <f t="shared" si="0"/>
        <v>41</v>
      </c>
      <c r="B50" s="152" t="s">
        <v>284</v>
      </c>
      <c r="C50" s="363">
        <f t="shared" si="7"/>
        <v>2021</v>
      </c>
      <c r="D50" s="909"/>
      <c r="E50" s="937">
        <v>2.7000000000000001E-3</v>
      </c>
      <c r="F50" s="925">
        <f t="shared" si="5"/>
        <v>-91.447334189582463</v>
      </c>
      <c r="G50" s="941">
        <f t="shared" si="3"/>
        <v>-0.24690780231187268</v>
      </c>
      <c r="H50" s="242">
        <f t="shared" si="2"/>
        <v>-91.69424199189433</v>
      </c>
      <c r="I50" s="42">
        <f t="shared" si="1"/>
        <v>41</v>
      </c>
      <c r="J50" s="916"/>
    </row>
    <row r="51" spans="1:10" x14ac:dyDescent="0.45">
      <c r="A51" s="42">
        <f t="shared" si="0"/>
        <v>42</v>
      </c>
      <c r="B51" s="152" t="s">
        <v>285</v>
      </c>
      <c r="C51" s="363">
        <f t="shared" si="7"/>
        <v>2021</v>
      </c>
      <c r="D51" s="909"/>
      <c r="E51" s="910">
        <v>2.8E-3</v>
      </c>
      <c r="F51" s="925">
        <f t="shared" si="5"/>
        <v>-91.69424199189433</v>
      </c>
      <c r="G51" s="941">
        <f t="shared" si="3"/>
        <v>-0.2567438775773041</v>
      </c>
      <c r="H51" s="242">
        <f t="shared" si="2"/>
        <v>-91.950985869471637</v>
      </c>
      <c r="I51" s="42">
        <f t="shared" si="1"/>
        <v>42</v>
      </c>
      <c r="J51" s="916"/>
    </row>
    <row r="52" spans="1:10" x14ac:dyDescent="0.45">
      <c r="A52" s="42">
        <f t="shared" si="0"/>
        <v>43</v>
      </c>
      <c r="B52" s="152" t="s">
        <v>286</v>
      </c>
      <c r="C52" s="363">
        <f t="shared" si="7"/>
        <v>2021</v>
      </c>
      <c r="D52" s="909"/>
      <c r="E52" s="910">
        <v>2.7000000000000001E-3</v>
      </c>
      <c r="F52" s="925">
        <f t="shared" si="5"/>
        <v>-91.950985869471637</v>
      </c>
      <c r="G52" s="941">
        <f t="shared" si="3"/>
        <v>-0.24826766184757343</v>
      </c>
      <c r="H52" s="242">
        <f t="shared" si="2"/>
        <v>-92.199253531319215</v>
      </c>
      <c r="I52" s="42">
        <f t="shared" si="1"/>
        <v>43</v>
      </c>
      <c r="J52" s="916"/>
    </row>
    <row r="53" spans="1:10" x14ac:dyDescent="0.45">
      <c r="A53" s="42">
        <f t="shared" si="0"/>
        <v>44</v>
      </c>
      <c r="B53" s="919" t="s">
        <v>287</v>
      </c>
      <c r="C53" s="920">
        <f>C52</f>
        <v>2021</v>
      </c>
      <c r="D53" s="921"/>
      <c r="E53" s="922">
        <v>2.8E-3</v>
      </c>
      <c r="F53" s="923">
        <f t="shared" si="5"/>
        <v>-92.199253531319215</v>
      </c>
      <c r="G53" s="940">
        <f t="shared" si="3"/>
        <v>-0.25815790988769383</v>
      </c>
      <c r="H53" s="924">
        <f t="shared" si="2"/>
        <v>-92.457411441206915</v>
      </c>
      <c r="I53" s="42">
        <f t="shared" si="1"/>
        <v>44</v>
      </c>
      <c r="J53" s="916"/>
    </row>
    <row r="54" spans="1:10" ht="15.75" thickBot="1" x14ac:dyDescent="0.5">
      <c r="A54" s="42">
        <f t="shared" si="0"/>
        <v>45</v>
      </c>
      <c r="D54" s="926">
        <f>SUM(D18:D29)</f>
        <v>-83.558315314221545</v>
      </c>
      <c r="E54" s="927"/>
      <c r="F54" s="928"/>
      <c r="G54" s="973">
        <f>SUM(G18:G53)</f>
        <v>-8.8990961269853663</v>
      </c>
      <c r="H54" s="929"/>
      <c r="I54" s="42">
        <f t="shared" si="1"/>
        <v>45</v>
      </c>
    </row>
    <row r="55" spans="1:10" ht="15.75" thickTop="1" x14ac:dyDescent="0.45">
      <c r="D55" s="930"/>
      <c r="E55" s="930"/>
      <c r="F55" s="930"/>
      <c r="G55" s="385"/>
      <c r="H55" s="385"/>
    </row>
    <row r="56" spans="1:10" x14ac:dyDescent="0.45">
      <c r="B56" s="931"/>
    </row>
    <row r="57" spans="1:10" ht="17.25" x14ac:dyDescent="0.45">
      <c r="A57" s="387">
        <v>1</v>
      </c>
      <c r="B57" s="902" t="s">
        <v>292</v>
      </c>
      <c r="C57" s="932"/>
    </row>
    <row r="58" spans="1:10" ht="17.25" x14ac:dyDescent="0.45">
      <c r="A58" s="387">
        <v>2</v>
      </c>
      <c r="B58" s="902" t="s">
        <v>567</v>
      </c>
    </row>
    <row r="59" spans="1:10" ht="17.25" x14ac:dyDescent="0.45">
      <c r="A59" s="387">
        <v>3</v>
      </c>
      <c r="B59" s="902" t="s">
        <v>568</v>
      </c>
    </row>
    <row r="60" spans="1:10" x14ac:dyDescent="0.45">
      <c r="B60" s="902" t="s">
        <v>569</v>
      </c>
    </row>
  </sheetData>
  <mergeCells count="5">
    <mergeCell ref="B2:H2"/>
    <mergeCell ref="B4:H4"/>
    <mergeCell ref="B5:H5"/>
    <mergeCell ref="B6:H6"/>
    <mergeCell ref="B3:H3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&amp;CPage 12&amp;R&amp;F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6"/>
  <sheetViews>
    <sheetView zoomScale="80" zoomScaleNormal="80" workbookViewId="0"/>
  </sheetViews>
  <sheetFormatPr defaultColWidth="8.796875" defaultRowHeight="15.4" x14ac:dyDescent="0.45"/>
  <cols>
    <col min="1" max="1" width="5.06640625" style="42" customWidth="1"/>
    <col min="2" max="2" width="70.59765625" style="20" customWidth="1"/>
    <col min="3" max="3" width="16.33203125" style="20" bestFit="1" customWidth="1"/>
    <col min="4" max="4" width="1.59765625" style="20" customWidth="1"/>
    <col min="5" max="5" width="14.46484375" style="20" customWidth="1"/>
    <col min="6" max="6" width="1.59765625" style="20" customWidth="1"/>
    <col min="7" max="7" width="12.59765625" style="20" customWidth="1"/>
    <col min="8" max="8" width="40.59765625" style="20" customWidth="1"/>
    <col min="9" max="9" width="5.06640625" style="42" customWidth="1"/>
    <col min="10" max="16384" width="8.796875" style="20"/>
  </cols>
  <sheetData>
    <row r="2" spans="1:11" x14ac:dyDescent="0.45">
      <c r="A2" s="218"/>
      <c r="B2" s="947" t="s">
        <v>21</v>
      </c>
      <c r="C2" s="947"/>
      <c r="D2" s="947"/>
      <c r="E2" s="947"/>
      <c r="F2" s="947"/>
      <c r="G2" s="947"/>
      <c r="H2" s="947"/>
      <c r="I2" s="218"/>
    </row>
    <row r="3" spans="1:11" x14ac:dyDescent="0.45">
      <c r="A3" s="218"/>
      <c r="B3" s="947" t="s">
        <v>558</v>
      </c>
      <c r="C3" s="947"/>
      <c r="D3" s="947"/>
      <c r="E3" s="947"/>
      <c r="F3" s="947"/>
      <c r="G3" s="947"/>
      <c r="H3" s="947"/>
      <c r="I3" s="219"/>
    </row>
    <row r="4" spans="1:11" x14ac:dyDescent="0.45">
      <c r="B4" s="947" t="s">
        <v>559</v>
      </c>
      <c r="C4" s="947"/>
      <c r="D4" s="947"/>
      <c r="E4" s="947"/>
      <c r="F4" s="947"/>
      <c r="G4" s="947"/>
      <c r="H4" s="947"/>
      <c r="I4" s="214"/>
    </row>
    <row r="5" spans="1:11" x14ac:dyDescent="0.45">
      <c r="B5" s="947" t="s">
        <v>556</v>
      </c>
      <c r="C5" s="947"/>
      <c r="D5" s="947"/>
      <c r="E5" s="947"/>
      <c r="F5" s="947"/>
      <c r="G5" s="947"/>
      <c r="H5" s="947"/>
      <c r="I5" s="214"/>
    </row>
    <row r="6" spans="1:11" x14ac:dyDescent="0.45">
      <c r="B6" s="948" t="s">
        <v>1</v>
      </c>
      <c r="C6" s="947"/>
      <c r="D6" s="947"/>
      <c r="E6" s="947"/>
      <c r="F6" s="947"/>
      <c r="G6" s="947"/>
      <c r="H6" s="947"/>
      <c r="I6" s="214"/>
    </row>
    <row r="7" spans="1:11" x14ac:dyDescent="0.45">
      <c r="A7" s="218"/>
      <c r="B7" s="219"/>
      <c r="C7" s="220"/>
      <c r="D7" s="313"/>
      <c r="E7" s="313"/>
      <c r="F7" s="313"/>
      <c r="G7" s="313"/>
      <c r="H7" s="220"/>
      <c r="I7" s="218"/>
    </row>
    <row r="8" spans="1:11" ht="15.75" thickBot="1" x14ac:dyDescent="0.5">
      <c r="A8" s="218"/>
      <c r="B8" s="219"/>
      <c r="C8" s="326" t="s">
        <v>12</v>
      </c>
      <c r="D8" s="325"/>
      <c r="E8" s="326" t="s">
        <v>7</v>
      </c>
      <c r="F8" s="325"/>
      <c r="G8" s="326" t="s">
        <v>13</v>
      </c>
      <c r="H8" s="220"/>
      <c r="I8" s="218"/>
    </row>
    <row r="9" spans="1:11" ht="60" x14ac:dyDescent="0.45">
      <c r="A9" s="222" t="s">
        <v>2</v>
      </c>
      <c r="B9" s="327"/>
      <c r="C9" s="333" t="s">
        <v>560</v>
      </c>
      <c r="D9" s="219"/>
      <c r="E9" s="315" t="s">
        <v>561</v>
      </c>
      <c r="F9" s="25"/>
      <c r="G9" s="213" t="s">
        <v>14</v>
      </c>
      <c r="H9" s="225"/>
      <c r="I9" s="226" t="s">
        <v>2</v>
      </c>
    </row>
    <row r="10" spans="1:11" x14ac:dyDescent="0.45">
      <c r="A10" s="222" t="s">
        <v>6</v>
      </c>
      <c r="B10" s="227" t="s">
        <v>230</v>
      </c>
      <c r="C10" s="227" t="s">
        <v>4</v>
      </c>
      <c r="D10" s="227"/>
      <c r="E10" s="227" t="s">
        <v>4</v>
      </c>
      <c r="F10" s="227"/>
      <c r="G10" s="901" t="s">
        <v>15</v>
      </c>
      <c r="H10" s="227" t="s">
        <v>5</v>
      </c>
      <c r="I10" s="226" t="s">
        <v>6</v>
      </c>
    </row>
    <row r="11" spans="1:11" x14ac:dyDescent="0.45">
      <c r="A11" s="222"/>
      <c r="B11" s="328"/>
      <c r="C11" s="231"/>
      <c r="D11" s="230"/>
      <c r="E11" s="230"/>
      <c r="F11" s="230"/>
      <c r="G11" s="230"/>
      <c r="H11" s="231"/>
      <c r="I11" s="226"/>
    </row>
    <row r="12" spans="1:11" x14ac:dyDescent="0.45">
      <c r="A12" s="222">
        <v>1</v>
      </c>
      <c r="B12" s="329" t="s">
        <v>231</v>
      </c>
      <c r="C12" s="318">
        <f>'Pg3 Revised Appendix X C9'!C11</f>
        <v>182.59523467146886</v>
      </c>
      <c r="D12" s="234"/>
      <c r="E12" s="318">
        <f>'Pg4 As Filed Appendix X C9'!C11</f>
        <v>182.59523526231177</v>
      </c>
      <c r="F12" s="234"/>
      <c r="G12" s="234">
        <f>C12-E12</f>
        <v>-5.9084291592625959E-7</v>
      </c>
      <c r="H12" s="8" t="s">
        <v>706</v>
      </c>
      <c r="I12" s="226">
        <f>A12</f>
        <v>1</v>
      </c>
      <c r="K12" s="24"/>
    </row>
    <row r="13" spans="1:11" x14ac:dyDescent="0.45">
      <c r="A13" s="222">
        <f>A12+1</f>
        <v>2</v>
      </c>
      <c r="B13" s="330"/>
      <c r="C13" s="334"/>
      <c r="D13" s="238"/>
      <c r="E13" s="238"/>
      <c r="F13" s="238"/>
      <c r="G13" s="238"/>
      <c r="H13" s="219"/>
      <c r="I13" s="226">
        <f>I12+1</f>
        <v>2</v>
      </c>
    </row>
    <row r="14" spans="1:11" ht="15.75" x14ac:dyDescent="0.5">
      <c r="A14" s="222">
        <f t="shared" ref="A14:A29" si="0">A13+1</f>
        <v>3</v>
      </c>
      <c r="B14" s="329" t="s">
        <v>232</v>
      </c>
      <c r="C14" s="335">
        <f>'Pg3 Revised Appendix X C9'!C13</f>
        <v>2773.5658683537054</v>
      </c>
      <c r="D14" s="28" t="s">
        <v>16</v>
      </c>
      <c r="E14" s="319">
        <f>'Pg4 As Filed Appendix X C9'!C13</f>
        <v>2814.7722388133743</v>
      </c>
      <c r="F14" s="213"/>
      <c r="G14" s="322">
        <f>C14-E14</f>
        <v>-41.20637045966896</v>
      </c>
      <c r="H14" s="8" t="s">
        <v>707</v>
      </c>
      <c r="I14" s="226">
        <f t="shared" ref="I14:I29" si="1">I13+1</f>
        <v>3</v>
      </c>
      <c r="K14" s="30"/>
    </row>
    <row r="15" spans="1:11" x14ac:dyDescent="0.45">
      <c r="A15" s="222">
        <f t="shared" si="0"/>
        <v>4</v>
      </c>
      <c r="B15" s="330"/>
      <c r="C15" s="334"/>
      <c r="D15" s="238"/>
      <c r="E15" s="238"/>
      <c r="F15" s="238"/>
      <c r="G15" s="238"/>
      <c r="H15" s="240"/>
      <c r="I15" s="226">
        <f t="shared" si="1"/>
        <v>4</v>
      </c>
    </row>
    <row r="16" spans="1:11" x14ac:dyDescent="0.45">
      <c r="A16" s="222">
        <f t="shared" si="0"/>
        <v>5</v>
      </c>
      <c r="B16" s="241" t="s">
        <v>233</v>
      </c>
      <c r="C16" s="36">
        <f>'Pg3 Revised Appendix X C9'!C15</f>
        <v>946.2530084775392</v>
      </c>
      <c r="D16" s="242"/>
      <c r="E16" s="36">
        <f>'Pg4 As Filed Appendix X C9'!C15</f>
        <v>946.25302817681541</v>
      </c>
      <c r="F16" s="242"/>
      <c r="G16" s="316">
        <f>C16-E16</f>
        <v>-1.9699276208484662E-5</v>
      </c>
      <c r="H16" s="8" t="s">
        <v>708</v>
      </c>
      <c r="I16" s="226">
        <f t="shared" si="1"/>
        <v>5</v>
      </c>
      <c r="K16" s="30"/>
    </row>
    <row r="17" spans="1:13" x14ac:dyDescent="0.45">
      <c r="A17" s="222">
        <f t="shared" si="0"/>
        <v>6</v>
      </c>
      <c r="B17" s="243"/>
      <c r="C17" s="242"/>
      <c r="D17" s="242"/>
      <c r="E17" s="242"/>
      <c r="F17" s="242"/>
      <c r="G17" s="242"/>
      <c r="H17" s="235"/>
      <c r="I17" s="226">
        <f t="shared" si="1"/>
        <v>6</v>
      </c>
      <c r="K17" s="30"/>
    </row>
    <row r="18" spans="1:13" ht="15.75" x14ac:dyDescent="0.5">
      <c r="A18" s="222">
        <f t="shared" si="0"/>
        <v>7</v>
      </c>
      <c r="B18" s="331" t="s">
        <v>508</v>
      </c>
      <c r="C18" s="336">
        <f>C12+C14+C16</f>
        <v>3902.4141115027132</v>
      </c>
      <c r="D18" s="28" t="s">
        <v>16</v>
      </c>
      <c r="E18" s="317">
        <f>E12+E14+E16</f>
        <v>3943.6205022525014</v>
      </c>
      <c r="F18" s="213"/>
      <c r="G18" s="336">
        <f>G12+G14+G16</f>
        <v>-41.206390749788085</v>
      </c>
      <c r="H18" s="246" t="str">
        <f>"Sum Lines "&amp;A12&amp;", "&amp;A14&amp;", "&amp;A16</f>
        <v>Sum Lines 1, 3, 5</v>
      </c>
      <c r="I18" s="226">
        <f t="shared" si="1"/>
        <v>7</v>
      </c>
      <c r="K18" s="30"/>
    </row>
    <row r="19" spans="1:13" x14ac:dyDescent="0.45">
      <c r="A19" s="222">
        <f t="shared" si="0"/>
        <v>8</v>
      </c>
      <c r="B19" s="332"/>
      <c r="C19" s="334"/>
      <c r="D19" s="238"/>
      <c r="E19" s="238"/>
      <c r="F19" s="238"/>
      <c r="G19" s="238"/>
      <c r="H19" s="248"/>
      <c r="I19" s="226">
        <f t="shared" si="1"/>
        <v>8</v>
      </c>
    </row>
    <row r="20" spans="1:13" ht="15.75" x14ac:dyDescent="0.5">
      <c r="A20" s="222">
        <f t="shared" si="0"/>
        <v>9</v>
      </c>
      <c r="B20" s="329" t="s">
        <v>234</v>
      </c>
      <c r="C20" s="335">
        <f>'Pg3 Revised Appendix X C9'!C19</f>
        <v>1601.6400400405996</v>
      </c>
      <c r="D20" s="28" t="s">
        <v>16</v>
      </c>
      <c r="E20" s="320">
        <f>'Pg4 As Filed Appendix X C9'!C19</f>
        <v>1643.9919646050323</v>
      </c>
      <c r="F20" s="213"/>
      <c r="G20" s="322">
        <f>C20-E20</f>
        <v>-42.351924564432693</v>
      </c>
      <c r="H20" s="8" t="s">
        <v>709</v>
      </c>
      <c r="I20" s="226">
        <f t="shared" si="1"/>
        <v>9</v>
      </c>
    </row>
    <row r="21" spans="1:13" x14ac:dyDescent="0.45">
      <c r="A21" s="222">
        <f t="shared" si="0"/>
        <v>10</v>
      </c>
      <c r="B21" s="329"/>
      <c r="C21" s="334"/>
      <c r="D21" s="238"/>
      <c r="E21" s="238"/>
      <c r="F21" s="238"/>
      <c r="G21" s="238"/>
      <c r="H21" s="249"/>
      <c r="I21" s="226">
        <f t="shared" si="1"/>
        <v>10</v>
      </c>
    </row>
    <row r="22" spans="1:13" x14ac:dyDescent="0.45">
      <c r="A22" s="222">
        <f t="shared" si="0"/>
        <v>11</v>
      </c>
      <c r="B22" s="329" t="s">
        <v>235</v>
      </c>
      <c r="C22" s="36">
        <f>'Pg3 Revised Appendix X C9'!C21</f>
        <v>49.83930922779507</v>
      </c>
      <c r="D22" s="242"/>
      <c r="E22" s="36">
        <f>'Pg4 As Filed Appendix X C9'!C21</f>
        <v>49.83930922779507</v>
      </c>
      <c r="F22" s="242"/>
      <c r="G22" s="316">
        <f>C22-E22</f>
        <v>0</v>
      </c>
      <c r="H22" s="8" t="s">
        <v>710</v>
      </c>
      <c r="I22" s="226">
        <f t="shared" si="1"/>
        <v>11</v>
      </c>
    </row>
    <row r="23" spans="1:13" x14ac:dyDescent="0.45">
      <c r="A23" s="222">
        <f t="shared" si="0"/>
        <v>12</v>
      </c>
      <c r="B23" s="243"/>
      <c r="C23" s="337"/>
      <c r="D23" s="251"/>
      <c r="E23" s="251"/>
      <c r="F23" s="251"/>
      <c r="G23" s="251"/>
      <c r="H23" s="246"/>
      <c r="I23" s="226">
        <f t="shared" si="1"/>
        <v>12</v>
      </c>
    </row>
    <row r="24" spans="1:13" ht="15.75" x14ac:dyDescent="0.5">
      <c r="A24" s="222">
        <f t="shared" si="0"/>
        <v>13</v>
      </c>
      <c r="B24" s="243" t="s">
        <v>236</v>
      </c>
      <c r="C24" s="121">
        <f>C18+C20+C22</f>
        <v>5553.8934607711071</v>
      </c>
      <c r="D24" s="28" t="s">
        <v>16</v>
      </c>
      <c r="E24" s="40">
        <f>E18+E20+E22</f>
        <v>5637.4517760853287</v>
      </c>
      <c r="F24" s="213"/>
      <c r="G24" s="121">
        <f>G18+G20+G22</f>
        <v>-83.558315314220778</v>
      </c>
      <c r="H24" s="246" t="str">
        <f>"Sum Lines "&amp;A18&amp;", "&amp;A20&amp;", "&amp;A22</f>
        <v>Sum Lines 7, 9, 11</v>
      </c>
      <c r="I24" s="226">
        <f t="shared" si="1"/>
        <v>13</v>
      </c>
      <c r="K24" s="30"/>
    </row>
    <row r="25" spans="1:13" x14ac:dyDescent="0.45">
      <c r="A25" s="222">
        <f t="shared" si="0"/>
        <v>14</v>
      </c>
      <c r="B25" s="252"/>
      <c r="C25" s="101"/>
      <c r="D25" s="101"/>
      <c r="E25" s="101"/>
      <c r="F25" s="101"/>
      <c r="G25" s="101"/>
      <c r="H25" s="246"/>
      <c r="I25" s="226">
        <f t="shared" si="1"/>
        <v>14</v>
      </c>
      <c r="K25" s="30"/>
    </row>
    <row r="26" spans="1:13" x14ac:dyDescent="0.45">
      <c r="A26" s="222">
        <f t="shared" si="0"/>
        <v>15</v>
      </c>
      <c r="B26" s="241" t="s">
        <v>237</v>
      </c>
      <c r="C26" s="870">
        <f>'Pg3 Revised Appendix X C9'!C25</f>
        <v>0</v>
      </c>
      <c r="D26" s="101"/>
      <c r="E26" s="321">
        <f>'Pg4 As Filed Appendix X C9'!C25</f>
        <v>0</v>
      </c>
      <c r="F26" s="101"/>
      <c r="G26" s="135"/>
      <c r="H26" s="8" t="s">
        <v>711</v>
      </c>
      <c r="I26" s="226">
        <f t="shared" si="1"/>
        <v>15</v>
      </c>
      <c r="K26" s="30"/>
    </row>
    <row r="27" spans="1:13" x14ac:dyDescent="0.45">
      <c r="A27" s="222">
        <f t="shared" si="0"/>
        <v>16</v>
      </c>
      <c r="B27" s="220"/>
      <c r="C27" s="338"/>
      <c r="D27" s="254"/>
      <c r="E27" s="254"/>
      <c r="F27" s="254"/>
      <c r="G27" s="254"/>
      <c r="H27" s="246"/>
      <c r="I27" s="226">
        <f t="shared" si="1"/>
        <v>16</v>
      </c>
    </row>
    <row r="28" spans="1:13" ht="16.149999999999999" thickBot="1" x14ac:dyDescent="0.55000000000000004">
      <c r="A28" s="222">
        <f t="shared" si="0"/>
        <v>17</v>
      </c>
      <c r="B28" s="331" t="s">
        <v>238</v>
      </c>
      <c r="C28" s="339">
        <f>C24+C26</f>
        <v>5553.8934607711071</v>
      </c>
      <c r="D28" s="28" t="s">
        <v>16</v>
      </c>
      <c r="E28" s="323">
        <f>E24+E26</f>
        <v>5637.4517760853287</v>
      </c>
      <c r="F28" s="213"/>
      <c r="G28" s="324">
        <f>C28-E28</f>
        <v>-83.558315314221545</v>
      </c>
      <c r="H28" s="246" t="str">
        <f>"Line "&amp;A24&amp;" + Line "&amp;A26</f>
        <v>Line 13 + Line 15</v>
      </c>
      <c r="I28" s="226">
        <f t="shared" si="1"/>
        <v>17</v>
      </c>
      <c r="L28" s="24"/>
      <c r="M28" s="256"/>
    </row>
    <row r="29" spans="1:13" ht="16.149999999999999" thickTop="1" thickBot="1" x14ac:dyDescent="0.5">
      <c r="A29" s="222">
        <f t="shared" si="0"/>
        <v>18</v>
      </c>
      <c r="B29" s="221"/>
      <c r="C29" s="340"/>
      <c r="D29" s="221"/>
      <c r="E29" s="221"/>
      <c r="F29" s="221"/>
      <c r="G29" s="221"/>
      <c r="H29" s="221"/>
      <c r="I29" s="226">
        <f t="shared" si="1"/>
        <v>18</v>
      </c>
    </row>
    <row r="31" spans="1:13" ht="15.75" thickBot="1" x14ac:dyDescent="0.5">
      <c r="A31" s="218"/>
      <c r="B31" s="259"/>
      <c r="C31" s="260"/>
      <c r="D31" s="260"/>
      <c r="E31" s="260"/>
      <c r="F31" s="260"/>
      <c r="G31" s="260"/>
      <c r="H31" s="260"/>
      <c r="I31" s="218"/>
    </row>
    <row r="32" spans="1:13" ht="60.4" x14ac:dyDescent="0.45">
      <c r="A32" s="222" t="s">
        <v>2</v>
      </c>
      <c r="B32" s="314"/>
      <c r="C32" s="342" t="str">
        <f>C9</f>
        <v>Revised - Appendix X Cycle 9</v>
      </c>
      <c r="D32" s="219"/>
      <c r="E32" s="341" t="str">
        <f>E9</f>
        <v>As Filed - Appendix X Cycle 9 per ER 21-243</v>
      </c>
      <c r="F32" s="219"/>
      <c r="G32" s="219" t="str">
        <f>G9</f>
        <v>Difference</v>
      </c>
      <c r="H32" s="219"/>
      <c r="I32" s="226" t="s">
        <v>2</v>
      </c>
    </row>
    <row r="33" spans="1:9" x14ac:dyDescent="0.45">
      <c r="A33" s="222" t="s">
        <v>6</v>
      </c>
      <c r="B33" s="227" t="s">
        <v>239</v>
      </c>
      <c r="C33" s="227" t="str">
        <f>C10</f>
        <v>Amounts</v>
      </c>
      <c r="D33" s="227"/>
      <c r="E33" s="227" t="str">
        <f>E10</f>
        <v>Amounts</v>
      </c>
      <c r="F33" s="227"/>
      <c r="G33" s="227" t="str">
        <f>G10</f>
        <v>Incr (Decr)</v>
      </c>
      <c r="H33" s="227" t="str">
        <f>H10</f>
        <v>Reference</v>
      </c>
      <c r="I33" s="226" t="s">
        <v>6</v>
      </c>
    </row>
    <row r="34" spans="1:9" x14ac:dyDescent="0.45">
      <c r="A34" s="222">
        <f>A29+1</f>
        <v>19</v>
      </c>
      <c r="B34" s="313"/>
      <c r="C34" s="231"/>
      <c r="D34" s="230"/>
      <c r="E34" s="230"/>
      <c r="F34" s="230"/>
      <c r="G34" s="230"/>
      <c r="H34" s="231"/>
      <c r="I34" s="226">
        <f>I29+1</f>
        <v>19</v>
      </c>
    </row>
    <row r="35" spans="1:9" x14ac:dyDescent="0.45">
      <c r="A35" s="222">
        <f>A34+1</f>
        <v>20</v>
      </c>
      <c r="B35" s="329" t="str">
        <f>B12</f>
        <v>Section 1 - Direct Maintenance Expense Cost Component</v>
      </c>
      <c r="C35" s="264">
        <f>'Pg3 Revised Appendix X C9'!C34</f>
        <v>15.216269555955739</v>
      </c>
      <c r="D35" s="264"/>
      <c r="E35" s="264">
        <f>'Pg4 As Filed Appendix X C9'!C34</f>
        <v>15.216269605192648</v>
      </c>
      <c r="F35" s="264"/>
      <c r="G35" s="264">
        <f>C35-E35</f>
        <v>-4.9236909660521633E-8</v>
      </c>
      <c r="H35" s="8" t="s">
        <v>712</v>
      </c>
      <c r="I35" s="226">
        <f>I34+1</f>
        <v>20</v>
      </c>
    </row>
    <row r="36" spans="1:9" x14ac:dyDescent="0.45">
      <c r="A36" s="222">
        <f t="shared" ref="A36:A54" si="2">A35+1</f>
        <v>21</v>
      </c>
      <c r="B36" s="330"/>
      <c r="C36" s="343"/>
      <c r="D36" s="266"/>
      <c r="E36" s="266"/>
      <c r="F36" s="266"/>
      <c r="G36" s="266"/>
      <c r="H36" s="267"/>
      <c r="I36" s="226">
        <f t="shared" ref="I36:I54" si="3">I35+1</f>
        <v>21</v>
      </c>
    </row>
    <row r="37" spans="1:9" ht="15.75" x14ac:dyDescent="0.5">
      <c r="A37" s="222">
        <f t="shared" si="2"/>
        <v>22</v>
      </c>
      <c r="B37" s="329" t="str">
        <f>B14</f>
        <v>Section 2 - Non-Direct Expense Cost Component</v>
      </c>
      <c r="C37" s="344">
        <f>'Pg3 Revised Appendix X C9'!C36</f>
        <v>231.13048902947546</v>
      </c>
      <c r="D37" s="28" t="s">
        <v>16</v>
      </c>
      <c r="E37" s="349">
        <f>'Pg4 As Filed Appendix X C9'!C36</f>
        <v>234.56435323444785</v>
      </c>
      <c r="F37" s="213"/>
      <c r="G37" s="868">
        <f>C37-E37</f>
        <v>-3.4338642049723944</v>
      </c>
      <c r="H37" s="8" t="s">
        <v>713</v>
      </c>
      <c r="I37" s="226">
        <f t="shared" si="3"/>
        <v>22</v>
      </c>
    </row>
    <row r="38" spans="1:9" x14ac:dyDescent="0.45">
      <c r="A38" s="222">
        <f t="shared" si="2"/>
        <v>23</v>
      </c>
      <c r="B38" s="330"/>
      <c r="C38" s="345"/>
      <c r="D38" s="270"/>
      <c r="E38" s="270"/>
      <c r="F38" s="270"/>
      <c r="G38" s="270"/>
      <c r="H38" s="271"/>
      <c r="I38" s="226">
        <f t="shared" si="3"/>
        <v>23</v>
      </c>
    </row>
    <row r="39" spans="1:9" x14ac:dyDescent="0.45">
      <c r="A39" s="222">
        <f t="shared" si="2"/>
        <v>24</v>
      </c>
      <c r="B39" s="329" t="str">
        <f>B16</f>
        <v>Section 3 - Cost Component Containing Other Specific Expenses</v>
      </c>
      <c r="C39" s="350">
        <f>'Pg3 Revised Appendix X C9'!C38</f>
        <v>78.854417373128271</v>
      </c>
      <c r="D39" s="272"/>
      <c r="E39" s="350">
        <f>'Pg4 As Filed Appendix X C9'!C38</f>
        <v>78.854419014734617</v>
      </c>
      <c r="F39" s="272"/>
      <c r="G39" s="350">
        <f>C39-E39</f>
        <v>-1.6416063459701036E-6</v>
      </c>
      <c r="H39" s="8" t="s">
        <v>714</v>
      </c>
      <c r="I39" s="226">
        <f t="shared" si="3"/>
        <v>24</v>
      </c>
    </row>
    <row r="40" spans="1:9" x14ac:dyDescent="0.45">
      <c r="A40" s="222">
        <f t="shared" si="2"/>
        <v>25</v>
      </c>
      <c r="B40" s="332"/>
      <c r="C40" s="270"/>
      <c r="D40" s="270"/>
      <c r="E40" s="270"/>
      <c r="F40" s="270"/>
      <c r="G40" s="270"/>
      <c r="H40" s="235"/>
      <c r="I40" s="226">
        <f t="shared" si="3"/>
        <v>25</v>
      </c>
    </row>
    <row r="41" spans="1:9" ht="15.75" x14ac:dyDescent="0.5">
      <c r="A41" s="222">
        <f t="shared" si="2"/>
        <v>26</v>
      </c>
      <c r="B41" s="331" t="s">
        <v>509</v>
      </c>
      <c r="C41" s="346">
        <f>C35+C37+C39</f>
        <v>325.20117595855947</v>
      </c>
      <c r="D41" s="28" t="s">
        <v>16</v>
      </c>
      <c r="E41" s="353">
        <f>E35+E37+E39</f>
        <v>328.63504185437512</v>
      </c>
      <c r="F41" s="213"/>
      <c r="G41" s="869">
        <f>C41-E41</f>
        <v>-3.4338658958156429</v>
      </c>
      <c r="H41" s="246" t="str">
        <f>"Sum Lines "&amp;A35&amp;", "&amp;A37&amp;", "&amp;A39</f>
        <v>Sum Lines 20, 22, 24</v>
      </c>
      <c r="I41" s="226">
        <f t="shared" si="3"/>
        <v>26</v>
      </c>
    </row>
    <row r="42" spans="1:9" x14ac:dyDescent="0.45">
      <c r="A42" s="222">
        <f t="shared" si="2"/>
        <v>27</v>
      </c>
      <c r="B42" s="313"/>
      <c r="C42" s="345"/>
      <c r="D42" s="270"/>
      <c r="E42" s="270"/>
      <c r="F42" s="270"/>
      <c r="G42" s="270"/>
      <c r="H42" s="240"/>
      <c r="I42" s="226">
        <f t="shared" si="3"/>
        <v>27</v>
      </c>
    </row>
    <row r="43" spans="1:9" ht="15.75" x14ac:dyDescent="0.5">
      <c r="A43" s="222">
        <f t="shared" si="2"/>
        <v>28</v>
      </c>
      <c r="B43" s="329" t="str">
        <f>LEFT(B20,45)</f>
        <v>Section 4 - True-Up Adjustment Cost Component</v>
      </c>
      <c r="C43" s="344">
        <f>'Pg3 Revised Appendix X C9'!C42</f>
        <v>133.47000333671664</v>
      </c>
      <c r="D43" s="28" t="s">
        <v>16</v>
      </c>
      <c r="E43" s="351">
        <f>'Pg4 As Filed Appendix X C9'!C42</f>
        <v>136.99933038375269</v>
      </c>
      <c r="F43" s="213"/>
      <c r="G43" s="868">
        <f>C43-E43</f>
        <v>-3.5293270470360483</v>
      </c>
      <c r="H43" s="8" t="s">
        <v>715</v>
      </c>
      <c r="I43" s="226">
        <f t="shared" si="3"/>
        <v>28</v>
      </c>
    </row>
    <row r="44" spans="1:9" x14ac:dyDescent="0.45">
      <c r="A44" s="222">
        <f t="shared" si="2"/>
        <v>29</v>
      </c>
      <c r="B44" s="329"/>
      <c r="C44" s="345"/>
      <c r="D44" s="270"/>
      <c r="E44" s="270"/>
      <c r="F44" s="270"/>
      <c r="G44" s="270"/>
      <c r="H44" s="274"/>
      <c r="I44" s="226">
        <f t="shared" si="3"/>
        <v>29</v>
      </c>
    </row>
    <row r="45" spans="1:9" x14ac:dyDescent="0.45">
      <c r="A45" s="222">
        <f t="shared" si="2"/>
        <v>30</v>
      </c>
      <c r="B45" s="329" t="str">
        <f>B22</f>
        <v>Section 5 - Interest True-Up Adjustment Cost Component</v>
      </c>
      <c r="C45" s="272">
        <f>'Pg3 Revised Appendix X C9'!C44</f>
        <v>4.1532757689829225</v>
      </c>
      <c r="D45" s="272"/>
      <c r="E45" s="272">
        <f>'Pg4 As Filed Appendix X C9'!C44</f>
        <v>4.1532757689829225</v>
      </c>
      <c r="F45" s="272"/>
      <c r="G45" s="272">
        <f>C45-E45</f>
        <v>0</v>
      </c>
      <c r="H45" s="8" t="s">
        <v>716</v>
      </c>
      <c r="I45" s="226">
        <f t="shared" si="3"/>
        <v>30</v>
      </c>
    </row>
    <row r="46" spans="1:9" x14ac:dyDescent="0.45">
      <c r="A46" s="222">
        <f t="shared" si="2"/>
        <v>31</v>
      </c>
      <c r="B46" s="332"/>
      <c r="C46" s="32"/>
      <c r="D46" s="31"/>
      <c r="E46" s="31"/>
      <c r="F46" s="31"/>
      <c r="G46" s="31"/>
      <c r="H46" s="276"/>
      <c r="I46" s="226">
        <f t="shared" si="3"/>
        <v>31</v>
      </c>
    </row>
    <row r="47" spans="1:9" x14ac:dyDescent="0.45">
      <c r="A47" s="222">
        <f t="shared" si="2"/>
        <v>32</v>
      </c>
      <c r="B47" s="241" t="str">
        <f>B26</f>
        <v>Other Adjustments</v>
      </c>
      <c r="C47" s="350">
        <f>'Pg3 Revised Appendix X C9'!C46</f>
        <v>0</v>
      </c>
      <c r="D47" s="272"/>
      <c r="E47" s="350">
        <f>'Pg4 As Filed Appendix X C9'!C46</f>
        <v>0</v>
      </c>
      <c r="F47" s="272"/>
      <c r="G47" s="350">
        <f>C47-E47</f>
        <v>0</v>
      </c>
      <c r="H47" s="8" t="s">
        <v>717</v>
      </c>
      <c r="I47" s="226">
        <f t="shared" si="3"/>
        <v>32</v>
      </c>
    </row>
    <row r="48" spans="1:9" x14ac:dyDescent="0.45">
      <c r="A48" s="222">
        <f t="shared" si="2"/>
        <v>33</v>
      </c>
      <c r="B48" s="243"/>
      <c r="C48" s="32"/>
      <c r="D48" s="31"/>
      <c r="E48" s="31"/>
      <c r="F48" s="31"/>
      <c r="G48" s="31"/>
      <c r="H48" s="276"/>
      <c r="I48" s="226">
        <f t="shared" si="3"/>
        <v>33</v>
      </c>
    </row>
    <row r="49" spans="1:9" ht="15.75" x14ac:dyDescent="0.5">
      <c r="A49" s="222">
        <f t="shared" si="2"/>
        <v>34</v>
      </c>
      <c r="B49" s="243" t="s">
        <v>240</v>
      </c>
      <c r="C49" s="347">
        <f>C41+C43+C45+C47</f>
        <v>462.82445506425904</v>
      </c>
      <c r="D49" s="28" t="s">
        <v>16</v>
      </c>
      <c r="E49" s="352">
        <f>E41+E43+E45+E47</f>
        <v>469.78764800711076</v>
      </c>
      <c r="F49" s="213"/>
      <c r="G49" s="347">
        <f>G41+G43+G45+G47</f>
        <v>-6.9631929428516912</v>
      </c>
      <c r="H49" s="246" t="str">
        <f>"Sum Lines "&amp;A41&amp;", "&amp;A43&amp;", "&amp;A45&amp;", "&amp;A47</f>
        <v>Sum Lines 26, 28, 30, 32</v>
      </c>
      <c r="I49" s="226">
        <f t="shared" si="3"/>
        <v>34</v>
      </c>
    </row>
    <row r="50" spans="1:9" x14ac:dyDescent="0.45">
      <c r="A50" s="222">
        <f t="shared" si="2"/>
        <v>35</v>
      </c>
      <c r="B50" s="313"/>
      <c r="C50" s="348"/>
      <c r="D50" s="278"/>
      <c r="E50" s="278"/>
      <c r="F50" s="278"/>
      <c r="G50" s="278"/>
      <c r="H50" s="279"/>
      <c r="I50" s="226">
        <f t="shared" si="3"/>
        <v>35</v>
      </c>
    </row>
    <row r="51" spans="1:9" x14ac:dyDescent="0.45">
      <c r="A51" s="222">
        <f t="shared" si="2"/>
        <v>36</v>
      </c>
      <c r="B51" s="330" t="s">
        <v>241</v>
      </c>
      <c r="C51" s="356">
        <f>'Pg3 Revised Appendix X C9'!C50</f>
        <v>12</v>
      </c>
      <c r="D51" s="280"/>
      <c r="E51" s="356">
        <f>'Pg4 As Filed Appendix X C9'!C50</f>
        <v>12</v>
      </c>
      <c r="F51" s="280"/>
      <c r="G51" s="357">
        <f>C51-E51</f>
        <v>0</v>
      </c>
      <c r="H51" s="8" t="s">
        <v>718</v>
      </c>
      <c r="I51" s="226">
        <f t="shared" si="3"/>
        <v>36</v>
      </c>
    </row>
    <row r="52" spans="1:9" x14ac:dyDescent="0.45">
      <c r="A52" s="222">
        <f t="shared" si="2"/>
        <v>37</v>
      </c>
      <c r="B52" s="313"/>
      <c r="C52" s="348"/>
      <c r="D52" s="278"/>
      <c r="E52" s="278"/>
      <c r="F52" s="278"/>
      <c r="G52" s="278"/>
      <c r="H52" s="281"/>
      <c r="I52" s="226">
        <f t="shared" si="3"/>
        <v>37</v>
      </c>
    </row>
    <row r="53" spans="1:9" ht="16.149999999999999" thickBot="1" x14ac:dyDescent="0.55000000000000004">
      <c r="A53" s="222">
        <f t="shared" si="2"/>
        <v>38</v>
      </c>
      <c r="B53" s="331" t="str">
        <f>B28</f>
        <v>Total Annual Costs</v>
      </c>
      <c r="C53" s="355">
        <f>C49*C51</f>
        <v>5553.8934607711089</v>
      </c>
      <c r="D53" s="28" t="s">
        <v>16</v>
      </c>
      <c r="E53" s="355">
        <f>E49*E51</f>
        <v>5637.4517760853287</v>
      </c>
      <c r="F53" s="213"/>
      <c r="G53" s="324">
        <f>C53-E53</f>
        <v>-83.558315314219726</v>
      </c>
      <c r="H53" s="8" t="s">
        <v>719</v>
      </c>
      <c r="I53" s="226">
        <f t="shared" si="3"/>
        <v>38</v>
      </c>
    </row>
    <row r="54" spans="1:9" ht="16.149999999999999" thickTop="1" thickBot="1" x14ac:dyDescent="0.5">
      <c r="A54" s="222">
        <f t="shared" si="2"/>
        <v>39</v>
      </c>
      <c r="B54" s="221"/>
      <c r="C54" s="354"/>
      <c r="D54" s="283"/>
      <c r="E54" s="283"/>
      <c r="F54" s="283"/>
      <c r="G54" s="283"/>
      <c r="H54" s="284"/>
      <c r="I54" s="226">
        <f t="shared" si="3"/>
        <v>39</v>
      </c>
    </row>
    <row r="56" spans="1:9" ht="15.75" x14ac:dyDescent="0.5">
      <c r="A56" s="28" t="s">
        <v>16</v>
      </c>
      <c r="B56" s="26" t="s">
        <v>350</v>
      </c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60" orientation="portrait" r:id="rId1"/>
  <headerFooter scaleWithDoc="0" alignWithMargins="0">
    <oddFooter>&amp;CPage 2&amp;R&amp;F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H55"/>
  <sheetViews>
    <sheetView zoomScale="80" zoomScaleNormal="80" workbookViewId="0"/>
  </sheetViews>
  <sheetFormatPr defaultColWidth="8.73046875" defaultRowHeight="15.4" x14ac:dyDescent="0.45"/>
  <cols>
    <col min="1" max="1" width="5.19921875" style="42" customWidth="1"/>
    <col min="2" max="2" width="73.19921875" style="20" bestFit="1" customWidth="1"/>
    <col min="3" max="3" width="14.796875" style="20" customWidth="1"/>
    <col min="4" max="4" width="1.59765625" style="20" customWidth="1"/>
    <col min="5" max="5" width="51.46484375" style="20" bestFit="1" customWidth="1"/>
    <col min="6" max="6" width="5.19921875" style="42" customWidth="1"/>
    <col min="7" max="16384" width="8.73046875" style="20"/>
  </cols>
  <sheetData>
    <row r="1" spans="1:6" x14ac:dyDescent="0.45">
      <c r="A1" s="218"/>
      <c r="B1" s="746"/>
      <c r="C1" s="746"/>
      <c r="D1" s="746"/>
      <c r="E1" s="470"/>
      <c r="F1" s="218"/>
    </row>
    <row r="2" spans="1:6" x14ac:dyDescent="0.45">
      <c r="A2" s="218"/>
      <c r="B2" s="947" t="s">
        <v>21</v>
      </c>
      <c r="C2" s="947"/>
      <c r="D2" s="947"/>
      <c r="E2" s="947"/>
      <c r="F2" s="746"/>
    </row>
    <row r="3" spans="1:6" x14ac:dyDescent="0.45">
      <c r="B3" s="947" t="s">
        <v>349</v>
      </c>
      <c r="C3" s="947"/>
      <c r="D3" s="947"/>
      <c r="E3" s="947"/>
      <c r="F3" s="750"/>
    </row>
    <row r="4" spans="1:6" x14ac:dyDescent="0.45">
      <c r="B4" s="947" t="s">
        <v>229</v>
      </c>
      <c r="C4" s="947"/>
      <c r="D4" s="947"/>
      <c r="E4" s="947"/>
      <c r="F4" s="750"/>
    </row>
    <row r="5" spans="1:6" x14ac:dyDescent="0.45">
      <c r="A5" s="218"/>
      <c r="B5" s="949" t="s">
        <v>573</v>
      </c>
      <c r="C5" s="949"/>
      <c r="D5" s="949"/>
      <c r="E5" s="949"/>
      <c r="F5" s="218"/>
    </row>
    <row r="6" spans="1:6" x14ac:dyDescent="0.45">
      <c r="B6" s="948" t="s">
        <v>1</v>
      </c>
      <c r="C6" s="947"/>
      <c r="D6" s="947"/>
      <c r="E6" s="947"/>
      <c r="F6" s="750"/>
    </row>
    <row r="7" spans="1:6" ht="15.75" thickBot="1" x14ac:dyDescent="0.5">
      <c r="A7" s="218"/>
      <c r="B7" s="746"/>
      <c r="C7" s="754"/>
      <c r="D7" s="221"/>
      <c r="E7" s="754"/>
      <c r="F7" s="218"/>
    </row>
    <row r="8" spans="1:6" x14ac:dyDescent="0.45">
      <c r="A8" s="222" t="s">
        <v>2</v>
      </c>
      <c r="B8" s="223"/>
      <c r="C8" s="224"/>
      <c r="D8" s="746"/>
      <c r="E8" s="225"/>
      <c r="F8" s="226" t="s">
        <v>2</v>
      </c>
    </row>
    <row r="9" spans="1:6" x14ac:dyDescent="0.45">
      <c r="A9" s="222" t="s">
        <v>6</v>
      </c>
      <c r="B9" s="471" t="s">
        <v>230</v>
      </c>
      <c r="C9" s="858" t="s">
        <v>4</v>
      </c>
      <c r="D9" s="472"/>
      <c r="E9" s="472" t="s">
        <v>5</v>
      </c>
      <c r="F9" s="226" t="s">
        <v>6</v>
      </c>
    </row>
    <row r="10" spans="1:6" x14ac:dyDescent="0.45">
      <c r="A10" s="222"/>
      <c r="B10" s="228"/>
      <c r="C10" s="229"/>
      <c r="D10" s="230"/>
      <c r="E10" s="231"/>
      <c r="F10" s="226"/>
    </row>
    <row r="11" spans="1:6" x14ac:dyDescent="0.45">
      <c r="A11" s="222">
        <v>1</v>
      </c>
      <c r="B11" s="232" t="s">
        <v>231</v>
      </c>
      <c r="C11" s="233">
        <v>182.59523467146886</v>
      </c>
      <c r="D11" s="234"/>
      <c r="E11" s="235" t="s">
        <v>574</v>
      </c>
      <c r="F11" s="226">
        <f>A11</f>
        <v>1</v>
      </c>
    </row>
    <row r="12" spans="1:6" x14ac:dyDescent="0.45">
      <c r="A12" s="222">
        <f>A11+1</f>
        <v>2</v>
      </c>
      <c r="B12" s="236"/>
      <c r="C12" s="237"/>
      <c r="D12" s="238"/>
      <c r="E12" s="746"/>
      <c r="F12" s="226">
        <f>F11+1</f>
        <v>2</v>
      </c>
    </row>
    <row r="13" spans="1:6" ht="15.75" x14ac:dyDescent="0.5">
      <c r="A13" s="222">
        <f t="shared" ref="A13:A28" si="0">A12+1</f>
        <v>3</v>
      </c>
      <c r="B13" s="232" t="s">
        <v>232</v>
      </c>
      <c r="C13" s="239">
        <f>'Pg5 Rev B.Sec.2-Non-Direct Exp'!E35</f>
        <v>2773.5658683537054</v>
      </c>
      <c r="D13" s="28" t="s">
        <v>16</v>
      </c>
      <c r="E13" s="235" t="s">
        <v>575</v>
      </c>
      <c r="F13" s="226">
        <f t="shared" ref="F13:F28" si="1">F12+1</f>
        <v>3</v>
      </c>
    </row>
    <row r="14" spans="1:6" x14ac:dyDescent="0.45">
      <c r="A14" s="222">
        <f t="shared" si="0"/>
        <v>4</v>
      </c>
      <c r="B14" s="236"/>
      <c r="C14" s="237"/>
      <c r="D14" s="238"/>
      <c r="E14" s="240"/>
      <c r="F14" s="226">
        <f t="shared" si="1"/>
        <v>4</v>
      </c>
    </row>
    <row r="15" spans="1:6" x14ac:dyDescent="0.45">
      <c r="A15" s="222">
        <f t="shared" si="0"/>
        <v>5</v>
      </c>
      <c r="B15" s="241" t="s">
        <v>233</v>
      </c>
      <c r="C15" s="648">
        <v>946.2530084775392</v>
      </c>
      <c r="D15" s="242"/>
      <c r="E15" s="235" t="s">
        <v>576</v>
      </c>
      <c r="F15" s="226">
        <f t="shared" si="1"/>
        <v>5</v>
      </c>
    </row>
    <row r="16" spans="1:6" x14ac:dyDescent="0.45">
      <c r="A16" s="222">
        <f t="shared" si="0"/>
        <v>6</v>
      </c>
      <c r="B16" s="243"/>
      <c r="C16" s="139"/>
      <c r="D16" s="242"/>
      <c r="E16" s="235"/>
      <c r="F16" s="226">
        <f t="shared" si="1"/>
        <v>6</v>
      </c>
    </row>
    <row r="17" spans="1:8" ht="15.75" x14ac:dyDescent="0.5">
      <c r="A17" s="222">
        <f t="shared" si="0"/>
        <v>7</v>
      </c>
      <c r="B17" s="244" t="s">
        <v>551</v>
      </c>
      <c r="C17" s="245">
        <f>C11+C13+C15</f>
        <v>3902.4141115027132</v>
      </c>
      <c r="D17" s="28" t="s">
        <v>16</v>
      </c>
      <c r="E17" s="246" t="s">
        <v>577</v>
      </c>
      <c r="F17" s="226">
        <f t="shared" si="1"/>
        <v>7</v>
      </c>
    </row>
    <row r="18" spans="1:8" x14ac:dyDescent="0.45">
      <c r="A18" s="222">
        <f t="shared" si="0"/>
        <v>8</v>
      </c>
      <c r="B18" s="247"/>
      <c r="C18" s="237"/>
      <c r="D18" s="238"/>
      <c r="E18" s="248"/>
      <c r="F18" s="226">
        <f t="shared" si="1"/>
        <v>8</v>
      </c>
    </row>
    <row r="19" spans="1:8" ht="15.75" x14ac:dyDescent="0.5">
      <c r="A19" s="222">
        <f t="shared" si="0"/>
        <v>9</v>
      </c>
      <c r="B19" s="232" t="s">
        <v>234</v>
      </c>
      <c r="C19" s="239">
        <f>'Pg6 Revised D.Sec.4-TU'!M30</f>
        <v>1601.6400400405996</v>
      </c>
      <c r="D19" s="28" t="s">
        <v>16</v>
      </c>
      <c r="E19" s="235" t="s">
        <v>578</v>
      </c>
      <c r="F19" s="226">
        <f t="shared" si="1"/>
        <v>9</v>
      </c>
    </row>
    <row r="20" spans="1:8" x14ac:dyDescent="0.45">
      <c r="A20" s="222">
        <f t="shared" si="0"/>
        <v>10</v>
      </c>
      <c r="B20" s="232"/>
      <c r="C20" s="237"/>
      <c r="D20" s="238"/>
      <c r="E20" s="249"/>
      <c r="F20" s="226">
        <f t="shared" si="1"/>
        <v>10</v>
      </c>
    </row>
    <row r="21" spans="1:8" x14ac:dyDescent="0.45">
      <c r="A21" s="222">
        <f t="shared" si="0"/>
        <v>11</v>
      </c>
      <c r="B21" s="232" t="s">
        <v>235</v>
      </c>
      <c r="C21" s="648">
        <v>49.83930922779507</v>
      </c>
      <c r="D21" s="242"/>
      <c r="E21" s="246" t="s">
        <v>579</v>
      </c>
      <c r="F21" s="226">
        <f t="shared" si="1"/>
        <v>11</v>
      </c>
    </row>
    <row r="22" spans="1:8" x14ac:dyDescent="0.45">
      <c r="A22" s="222">
        <f t="shared" si="0"/>
        <v>12</v>
      </c>
      <c r="B22" s="243"/>
      <c r="C22" s="250"/>
      <c r="D22" s="251"/>
      <c r="E22" s="246"/>
      <c r="F22" s="226">
        <f t="shared" si="1"/>
        <v>12</v>
      </c>
    </row>
    <row r="23" spans="1:8" ht="15.75" x14ac:dyDescent="0.5">
      <c r="A23" s="222">
        <f t="shared" si="0"/>
        <v>13</v>
      </c>
      <c r="B23" s="243" t="s">
        <v>236</v>
      </c>
      <c r="C23" s="122">
        <f>C17+C19+C21</f>
        <v>5553.8934607711071</v>
      </c>
      <c r="D23" s="28" t="s">
        <v>16</v>
      </c>
      <c r="E23" s="246" t="s">
        <v>580</v>
      </c>
      <c r="F23" s="226">
        <f t="shared" si="1"/>
        <v>13</v>
      </c>
    </row>
    <row r="24" spans="1:8" x14ac:dyDescent="0.45">
      <c r="A24" s="222">
        <f t="shared" si="0"/>
        <v>14</v>
      </c>
      <c r="B24" s="252"/>
      <c r="C24" s="100"/>
      <c r="D24" s="101"/>
      <c r="E24" s="246"/>
      <c r="F24" s="226">
        <f t="shared" si="1"/>
        <v>14</v>
      </c>
    </row>
    <row r="25" spans="1:8" x14ac:dyDescent="0.45">
      <c r="A25" s="222">
        <f t="shared" si="0"/>
        <v>15</v>
      </c>
      <c r="B25" s="241" t="s">
        <v>237</v>
      </c>
      <c r="C25" s="649">
        <v>0</v>
      </c>
      <c r="D25" s="101"/>
      <c r="E25" s="246" t="s">
        <v>20</v>
      </c>
      <c r="F25" s="226">
        <f t="shared" si="1"/>
        <v>15</v>
      </c>
    </row>
    <row r="26" spans="1:8" x14ac:dyDescent="0.45">
      <c r="A26" s="222">
        <f t="shared" si="0"/>
        <v>16</v>
      </c>
      <c r="B26" s="754"/>
      <c r="C26" s="253"/>
      <c r="D26" s="254"/>
      <c r="E26" s="246"/>
      <c r="F26" s="226">
        <f t="shared" si="1"/>
        <v>16</v>
      </c>
    </row>
    <row r="27" spans="1:8" ht="15.75" x14ac:dyDescent="0.5">
      <c r="A27" s="222">
        <f t="shared" si="0"/>
        <v>17</v>
      </c>
      <c r="B27" s="244" t="s">
        <v>238</v>
      </c>
      <c r="C27" s="255">
        <f>C23+C25</f>
        <v>5553.8934607711071</v>
      </c>
      <c r="D27" s="28" t="s">
        <v>16</v>
      </c>
      <c r="E27" s="246" t="s">
        <v>581</v>
      </c>
      <c r="F27" s="226">
        <f t="shared" si="1"/>
        <v>17</v>
      </c>
      <c r="H27" s="256"/>
    </row>
    <row r="28" spans="1:8" ht="16.149999999999999" thickTop="1" thickBot="1" x14ac:dyDescent="0.5">
      <c r="A28" s="222">
        <f t="shared" si="0"/>
        <v>18</v>
      </c>
      <c r="B28" s="257"/>
      <c r="C28" s="258"/>
      <c r="D28" s="300"/>
      <c r="E28" s="221"/>
      <c r="F28" s="226">
        <f t="shared" si="1"/>
        <v>18</v>
      </c>
    </row>
    <row r="30" spans="1:8" ht="15.75" thickBot="1" x14ac:dyDescent="0.5">
      <c r="A30" s="218"/>
      <c r="B30" s="259"/>
      <c r="C30" s="260"/>
      <c r="D30" s="260"/>
      <c r="E30" s="260"/>
      <c r="F30" s="218"/>
    </row>
    <row r="31" spans="1:8" x14ac:dyDescent="0.45">
      <c r="A31" s="222" t="s">
        <v>2</v>
      </c>
      <c r="B31" s="261"/>
      <c r="C31" s="224"/>
      <c r="D31" s="746"/>
      <c r="E31" s="746"/>
      <c r="F31" s="226" t="s">
        <v>2</v>
      </c>
    </row>
    <row r="32" spans="1:8" x14ac:dyDescent="0.45">
      <c r="A32" s="222" t="s">
        <v>6</v>
      </c>
      <c r="B32" s="471" t="s">
        <v>239</v>
      </c>
      <c r="C32" s="858" t="str">
        <f>C9</f>
        <v>Amounts</v>
      </c>
      <c r="D32" s="472"/>
      <c r="E32" s="472" t="str">
        <f>E9</f>
        <v>Reference</v>
      </c>
      <c r="F32" s="226" t="s">
        <v>6</v>
      </c>
    </row>
    <row r="33" spans="1:6" x14ac:dyDescent="0.45">
      <c r="A33" s="222">
        <f>A28+1</f>
        <v>19</v>
      </c>
      <c r="B33" s="262"/>
      <c r="C33" s="229"/>
      <c r="D33" s="230"/>
      <c r="E33" s="231"/>
      <c r="F33" s="226">
        <f>F28+1</f>
        <v>19</v>
      </c>
    </row>
    <row r="34" spans="1:6" x14ac:dyDescent="0.45">
      <c r="A34" s="222">
        <f>A33+1</f>
        <v>20</v>
      </c>
      <c r="B34" s="232" t="str">
        <f>B11</f>
        <v>Section 1 - Direct Maintenance Expense Cost Component</v>
      </c>
      <c r="C34" s="263">
        <f>C11/12</f>
        <v>15.216269555955739</v>
      </c>
      <c r="D34" s="264"/>
      <c r="E34" s="235" t="str">
        <f>"Line "&amp;A11&amp;" / "&amp;C50&amp;" Months"</f>
        <v>Line 1 / 12 Months</v>
      </c>
      <c r="F34" s="226">
        <f>F33+1</f>
        <v>20</v>
      </c>
    </row>
    <row r="35" spans="1:6" x14ac:dyDescent="0.45">
      <c r="A35" s="222">
        <f t="shared" ref="A35:A53" si="2">A34+1</f>
        <v>21</v>
      </c>
      <c r="B35" s="236"/>
      <c r="C35" s="265"/>
      <c r="D35" s="266"/>
      <c r="E35" s="267"/>
      <c r="F35" s="226">
        <f t="shared" ref="F35:F53" si="3">F34+1</f>
        <v>21</v>
      </c>
    </row>
    <row r="36" spans="1:6" ht="15.75" x14ac:dyDescent="0.5">
      <c r="A36" s="222">
        <f t="shared" si="2"/>
        <v>22</v>
      </c>
      <c r="B36" s="232" t="str">
        <f>B13</f>
        <v>Section 2 - Non-Direct Expense Cost Component</v>
      </c>
      <c r="C36" s="268">
        <f>C13/12</f>
        <v>231.13048902947546</v>
      </c>
      <c r="D36" s="28" t="s">
        <v>16</v>
      </c>
      <c r="E36" s="235" t="str">
        <f>"Line "&amp;A13&amp;" / "&amp;C50&amp;" Months"</f>
        <v>Line 3 / 12 Months</v>
      </c>
      <c r="F36" s="226">
        <f t="shared" si="3"/>
        <v>22</v>
      </c>
    </row>
    <row r="37" spans="1:6" x14ac:dyDescent="0.45">
      <c r="A37" s="222">
        <f t="shared" si="2"/>
        <v>23</v>
      </c>
      <c r="B37" s="236"/>
      <c r="C37" s="269"/>
      <c r="D37" s="270"/>
      <c r="E37" s="271"/>
      <c r="F37" s="226">
        <f t="shared" si="3"/>
        <v>23</v>
      </c>
    </row>
    <row r="38" spans="1:6" x14ac:dyDescent="0.45">
      <c r="A38" s="222">
        <f t="shared" si="2"/>
        <v>24</v>
      </c>
      <c r="B38" s="232" t="str">
        <f>B15</f>
        <v>Section 3 - Cost Component Containing Other Specific Expenses</v>
      </c>
      <c r="C38" s="650">
        <f>C15/12</f>
        <v>78.854417373128271</v>
      </c>
      <c r="D38" s="272"/>
      <c r="E38" s="235" t="str">
        <f>"Line "&amp;A15&amp;" / "&amp;C50&amp;" Months"</f>
        <v>Line 5 / 12 Months</v>
      </c>
      <c r="F38" s="226">
        <f t="shared" si="3"/>
        <v>24</v>
      </c>
    </row>
    <row r="39" spans="1:6" x14ac:dyDescent="0.45">
      <c r="A39" s="222">
        <f t="shared" si="2"/>
        <v>25</v>
      </c>
      <c r="B39" s="247"/>
      <c r="C39" s="273"/>
      <c r="D39" s="270"/>
      <c r="E39" s="235"/>
      <c r="F39" s="226">
        <f t="shared" si="3"/>
        <v>25</v>
      </c>
    </row>
    <row r="40" spans="1:6" ht="15.75" x14ac:dyDescent="0.5">
      <c r="A40" s="222">
        <f t="shared" si="2"/>
        <v>26</v>
      </c>
      <c r="B40" s="244" t="s">
        <v>552</v>
      </c>
      <c r="C40" s="473">
        <f>C34+C36+C38</f>
        <v>325.20117595855947</v>
      </c>
      <c r="D40" s="28" t="s">
        <v>16</v>
      </c>
      <c r="E40" s="246" t="str">
        <f>"Sum Lines "&amp;A34&amp;", "&amp;A36&amp;", "&amp;A38</f>
        <v>Sum Lines 20, 22, 24</v>
      </c>
      <c r="F40" s="226">
        <f t="shared" si="3"/>
        <v>26</v>
      </c>
    </row>
    <row r="41" spans="1:6" x14ac:dyDescent="0.45">
      <c r="A41" s="222">
        <f t="shared" si="2"/>
        <v>27</v>
      </c>
      <c r="B41" s="262"/>
      <c r="C41" s="273"/>
      <c r="D41" s="270"/>
      <c r="E41" s="240"/>
      <c r="F41" s="226">
        <f t="shared" si="3"/>
        <v>27</v>
      </c>
    </row>
    <row r="42" spans="1:6" ht="15.75" x14ac:dyDescent="0.5">
      <c r="A42" s="222">
        <f t="shared" si="2"/>
        <v>28</v>
      </c>
      <c r="B42" s="232" t="str">
        <f>LEFT(B19,45)</f>
        <v>Section 4 - True-Up Adjustment Cost Component</v>
      </c>
      <c r="C42" s="473">
        <f>C19/12</f>
        <v>133.47000333671664</v>
      </c>
      <c r="D42" s="28" t="s">
        <v>16</v>
      </c>
      <c r="E42" s="235" t="str">
        <f>"Line "&amp;A19&amp;" / "&amp;C50&amp;" Months"</f>
        <v>Line 9 / 12 Months</v>
      </c>
      <c r="F42" s="226">
        <f t="shared" si="3"/>
        <v>28</v>
      </c>
    </row>
    <row r="43" spans="1:6" x14ac:dyDescent="0.45">
      <c r="A43" s="222">
        <f t="shared" si="2"/>
        <v>29</v>
      </c>
      <c r="B43" s="232"/>
      <c r="C43" s="269"/>
      <c r="D43" s="270"/>
      <c r="E43" s="274"/>
      <c r="F43" s="226">
        <f t="shared" si="3"/>
        <v>29</v>
      </c>
    </row>
    <row r="44" spans="1:6" x14ac:dyDescent="0.45">
      <c r="A44" s="222">
        <f t="shared" si="2"/>
        <v>30</v>
      </c>
      <c r="B44" s="232" t="str">
        <f>B21</f>
        <v>Section 5 - Interest True-Up Adjustment Cost Component</v>
      </c>
      <c r="C44" s="474">
        <f>C21/12</f>
        <v>4.1532757689829225</v>
      </c>
      <c r="D44" s="475"/>
      <c r="E44" s="246" t="str">
        <f>"Line "&amp;A21&amp;" / "&amp;C50&amp;" Months"</f>
        <v>Line 11 / 12 Months</v>
      </c>
      <c r="F44" s="226">
        <f t="shared" si="3"/>
        <v>30</v>
      </c>
    </row>
    <row r="45" spans="1:6" x14ac:dyDescent="0.45">
      <c r="A45" s="222">
        <f t="shared" si="2"/>
        <v>31</v>
      </c>
      <c r="B45" s="247"/>
      <c r="C45" s="275"/>
      <c r="D45" s="31"/>
      <c r="E45" s="276"/>
      <c r="F45" s="226">
        <f t="shared" si="3"/>
        <v>31</v>
      </c>
    </row>
    <row r="46" spans="1:6" x14ac:dyDescent="0.45">
      <c r="A46" s="222">
        <f t="shared" si="2"/>
        <v>32</v>
      </c>
      <c r="B46" s="241" t="str">
        <f>B25</f>
        <v>Other Adjustments</v>
      </c>
      <c r="C46" s="650">
        <f>C25/12</f>
        <v>0</v>
      </c>
      <c r="D46" s="272"/>
      <c r="E46" s="246" t="str">
        <f>"Line "&amp;A25&amp;" / "&amp;C50&amp;" Months"</f>
        <v>Line 15 / 12 Months</v>
      </c>
      <c r="F46" s="226">
        <f t="shared" si="3"/>
        <v>32</v>
      </c>
    </row>
    <row r="47" spans="1:6" x14ac:dyDescent="0.45">
      <c r="A47" s="222">
        <f t="shared" si="2"/>
        <v>33</v>
      </c>
      <c r="B47" s="243"/>
      <c r="C47" s="275"/>
      <c r="D47" s="31"/>
      <c r="E47" s="276"/>
      <c r="F47" s="226">
        <f t="shared" si="3"/>
        <v>33</v>
      </c>
    </row>
    <row r="48" spans="1:6" ht="16.149999999999999" thickBot="1" x14ac:dyDescent="0.55000000000000004">
      <c r="A48" s="222">
        <f t="shared" si="2"/>
        <v>34</v>
      </c>
      <c r="B48" s="243" t="s">
        <v>240</v>
      </c>
      <c r="C48" s="476">
        <f>C40+C42+C44+C46</f>
        <v>462.82445506425904</v>
      </c>
      <c r="D48" s="28" t="s">
        <v>16</v>
      </c>
      <c r="E48" s="246" t="str">
        <f>"Sum Lines "&amp;A40&amp;", "&amp;A42&amp;", "&amp;A44&amp;", "&amp;A46</f>
        <v>Sum Lines 26, 28, 30, 32</v>
      </c>
      <c r="F48" s="226">
        <f t="shared" si="3"/>
        <v>34</v>
      </c>
    </row>
    <row r="49" spans="1:6" ht="15.75" thickTop="1" x14ac:dyDescent="0.45">
      <c r="A49" s="222">
        <f t="shared" si="2"/>
        <v>35</v>
      </c>
      <c r="B49" s="262"/>
      <c r="C49" s="277"/>
      <c r="D49" s="278"/>
      <c r="E49" s="279"/>
      <c r="F49" s="226">
        <f t="shared" si="3"/>
        <v>35</v>
      </c>
    </row>
    <row r="50" spans="1:6" x14ac:dyDescent="0.45">
      <c r="A50" s="222">
        <f t="shared" si="2"/>
        <v>36</v>
      </c>
      <c r="B50" s="236" t="s">
        <v>241</v>
      </c>
      <c r="C50" s="651">
        <v>12</v>
      </c>
      <c r="D50" s="280"/>
      <c r="E50" s="279"/>
      <c r="F50" s="226">
        <f t="shared" si="3"/>
        <v>36</v>
      </c>
    </row>
    <row r="51" spans="1:6" x14ac:dyDescent="0.45">
      <c r="A51" s="222">
        <f t="shared" si="2"/>
        <v>37</v>
      </c>
      <c r="B51" s="262"/>
      <c r="C51" s="277"/>
      <c r="D51" s="278"/>
      <c r="E51" s="281"/>
      <c r="F51" s="226">
        <f t="shared" si="3"/>
        <v>37</v>
      </c>
    </row>
    <row r="52" spans="1:6" ht="16.149999999999999" thickBot="1" x14ac:dyDescent="0.55000000000000004">
      <c r="A52" s="222">
        <f t="shared" si="2"/>
        <v>38</v>
      </c>
      <c r="B52" s="244" t="str">
        <f>B27</f>
        <v>Total Annual Costs</v>
      </c>
      <c r="C52" s="477">
        <f>C48*C50</f>
        <v>5553.8934607711089</v>
      </c>
      <c r="D52" s="28" t="s">
        <v>16</v>
      </c>
      <c r="E52" s="246" t="str">
        <f>"Line "&amp;A48&amp;" x Line "&amp;A50</f>
        <v>Line 34 x Line 36</v>
      </c>
      <c r="F52" s="226">
        <f t="shared" si="3"/>
        <v>38</v>
      </c>
    </row>
    <row r="53" spans="1:6" ht="16.149999999999999" thickTop="1" thickBot="1" x14ac:dyDescent="0.5">
      <c r="A53" s="222">
        <f t="shared" si="2"/>
        <v>39</v>
      </c>
      <c r="B53" s="221"/>
      <c r="C53" s="282"/>
      <c r="D53" s="478"/>
      <c r="E53" s="284"/>
      <c r="F53" s="226">
        <f t="shared" si="3"/>
        <v>39</v>
      </c>
    </row>
    <row r="55" spans="1:6" ht="15.75" x14ac:dyDescent="0.5">
      <c r="A55" s="467" t="s">
        <v>16</v>
      </c>
      <c r="B55" s="26" t="s">
        <v>350</v>
      </c>
    </row>
  </sheetData>
  <mergeCells count="5">
    <mergeCell ref="B2:E2"/>
    <mergeCell ref="B3:E3"/>
    <mergeCell ref="B4:E4"/>
    <mergeCell ref="B5:E5"/>
    <mergeCell ref="B6:E6"/>
  </mergeCells>
  <printOptions horizontalCentered="1"/>
  <pageMargins left="0.25" right="0.25" top="0.5" bottom="0.5" header="0.35" footer="0.25"/>
  <pageSetup scale="67" orientation="portrait" r:id="rId1"/>
  <headerFooter scaleWithDoc="0" alignWithMargins="0">
    <oddHeader>&amp;C&amp;"Times New Roman,Bold"REVISED</oddHeader>
    <oddFooter>&amp;CPage 3&amp;R&amp;F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66F-B29C-4CA8-8780-A2635AF8E741}">
  <sheetPr>
    <pageSetUpPr fitToPage="1"/>
  </sheetPr>
  <dimension ref="A1:I53"/>
  <sheetViews>
    <sheetView zoomScale="80" zoomScaleNormal="80" workbookViewId="0"/>
  </sheetViews>
  <sheetFormatPr defaultColWidth="8.73046875" defaultRowHeight="15.4" x14ac:dyDescent="0.45"/>
  <cols>
    <col min="1" max="1" width="5.06640625" style="42" customWidth="1"/>
    <col min="2" max="2" width="73.06640625" style="20" bestFit="1" customWidth="1"/>
    <col min="3" max="3" width="14.796875" style="20" customWidth="1"/>
    <col min="4" max="4" width="51.33203125" style="20" bestFit="1" customWidth="1"/>
    <col min="5" max="5" width="5.06640625" style="42" customWidth="1"/>
    <col min="6" max="16384" width="8.73046875" style="20"/>
  </cols>
  <sheetData>
    <row r="1" spans="1:7" x14ac:dyDescent="0.45">
      <c r="A1" s="218"/>
      <c r="B1" s="492"/>
      <c r="C1" s="492"/>
      <c r="D1" s="492"/>
      <c r="E1" s="218"/>
    </row>
    <row r="2" spans="1:7" x14ac:dyDescent="0.45">
      <c r="A2" s="218"/>
      <c r="B2" s="947" t="s">
        <v>21</v>
      </c>
      <c r="C2" s="947"/>
      <c r="D2" s="947"/>
      <c r="E2" s="492"/>
    </row>
    <row r="3" spans="1:7" x14ac:dyDescent="0.45">
      <c r="B3" s="947" t="s">
        <v>349</v>
      </c>
      <c r="C3" s="947"/>
      <c r="D3" s="947"/>
      <c r="E3" s="493"/>
    </row>
    <row r="4" spans="1:7" x14ac:dyDescent="0.45">
      <c r="B4" s="947" t="s">
        <v>229</v>
      </c>
      <c r="C4" s="947"/>
      <c r="D4" s="947"/>
      <c r="E4" s="493"/>
    </row>
    <row r="5" spans="1:7" x14ac:dyDescent="0.45">
      <c r="A5" s="218"/>
      <c r="B5" s="949" t="s">
        <v>573</v>
      </c>
      <c r="C5" s="949"/>
      <c r="D5" s="949"/>
      <c r="E5" s="218"/>
    </row>
    <row r="6" spans="1:7" x14ac:dyDescent="0.45">
      <c r="B6" s="948" t="s">
        <v>1</v>
      </c>
      <c r="C6" s="947"/>
      <c r="D6" s="947"/>
      <c r="E6" s="493"/>
    </row>
    <row r="7" spans="1:7" ht="15.75" thickBot="1" x14ac:dyDescent="0.5">
      <c r="A7" s="218"/>
      <c r="B7" s="492"/>
      <c r="C7" s="595"/>
      <c r="D7" s="595"/>
      <c r="E7" s="218"/>
    </row>
    <row r="8" spans="1:7" x14ac:dyDescent="0.45">
      <c r="A8" s="222" t="s">
        <v>2</v>
      </c>
      <c r="B8" s="223"/>
      <c r="C8" s="285"/>
      <c r="D8" s="286"/>
      <c r="E8" s="226" t="s">
        <v>2</v>
      </c>
    </row>
    <row r="9" spans="1:7" x14ac:dyDescent="0.45">
      <c r="A9" s="222" t="s">
        <v>6</v>
      </c>
      <c r="B9" s="471" t="s">
        <v>230</v>
      </c>
      <c r="C9" s="471" t="s">
        <v>4</v>
      </c>
      <c r="D9" s="647" t="s">
        <v>5</v>
      </c>
      <c r="E9" s="226" t="s">
        <v>6</v>
      </c>
    </row>
    <row r="10" spans="1:7" x14ac:dyDescent="0.45">
      <c r="A10" s="222"/>
      <c r="B10" s="228"/>
      <c r="C10" s="287"/>
      <c r="D10" s="288"/>
      <c r="E10" s="226"/>
    </row>
    <row r="11" spans="1:7" x14ac:dyDescent="0.45">
      <c r="A11" s="222">
        <v>1</v>
      </c>
      <c r="B11" s="232" t="s">
        <v>231</v>
      </c>
      <c r="C11" s="289">
        <v>182.59523526231177</v>
      </c>
      <c r="D11" s="290" t="s">
        <v>574</v>
      </c>
      <c r="E11" s="226">
        <f>A11</f>
        <v>1</v>
      </c>
      <c r="G11" s="24"/>
    </row>
    <row r="12" spans="1:7" x14ac:dyDescent="0.45">
      <c r="A12" s="222">
        <f>A11+1</f>
        <v>2</v>
      </c>
      <c r="B12" s="236"/>
      <c r="C12" s="291"/>
      <c r="D12" s="292"/>
      <c r="E12" s="226">
        <f>E11+1</f>
        <v>2</v>
      </c>
    </row>
    <row r="13" spans="1:7" x14ac:dyDescent="0.45">
      <c r="A13" s="222">
        <f t="shared" ref="A13:A28" si="0">A12+1</f>
        <v>3</v>
      </c>
      <c r="B13" s="232" t="s">
        <v>232</v>
      </c>
      <c r="C13" s="293">
        <v>2814.7722388133743</v>
      </c>
      <c r="D13" s="290" t="s">
        <v>575</v>
      </c>
      <c r="E13" s="226">
        <f t="shared" ref="E13:E28" si="1">E12+1</f>
        <v>3</v>
      </c>
      <c r="G13" s="30"/>
    </row>
    <row r="14" spans="1:7" x14ac:dyDescent="0.45">
      <c r="A14" s="222">
        <f t="shared" si="0"/>
        <v>4</v>
      </c>
      <c r="B14" s="236"/>
      <c r="C14" s="291"/>
      <c r="D14" s="294"/>
      <c r="E14" s="226">
        <f t="shared" si="1"/>
        <v>4</v>
      </c>
    </row>
    <row r="15" spans="1:7" x14ac:dyDescent="0.45">
      <c r="A15" s="222">
        <f t="shared" si="0"/>
        <v>5</v>
      </c>
      <c r="B15" s="241" t="s">
        <v>233</v>
      </c>
      <c r="C15" s="648">
        <v>946.25302817681541</v>
      </c>
      <c r="D15" s="235" t="s">
        <v>576</v>
      </c>
      <c r="E15" s="226">
        <f t="shared" si="1"/>
        <v>5</v>
      </c>
      <c r="G15" s="30"/>
    </row>
    <row r="16" spans="1:7" x14ac:dyDescent="0.45">
      <c r="A16" s="222">
        <f t="shared" si="0"/>
        <v>6</v>
      </c>
      <c r="B16" s="243"/>
      <c r="C16" s="139"/>
      <c r="D16" s="235"/>
      <c r="E16" s="226">
        <f t="shared" si="1"/>
        <v>6</v>
      </c>
      <c r="G16" s="30"/>
    </row>
    <row r="17" spans="1:9" x14ac:dyDescent="0.45">
      <c r="A17" s="222">
        <f t="shared" si="0"/>
        <v>7</v>
      </c>
      <c r="B17" s="244" t="s">
        <v>508</v>
      </c>
      <c r="C17" s="295">
        <f>C11+C13+C15</f>
        <v>3943.6205022525014</v>
      </c>
      <c r="D17" s="246" t="s">
        <v>577</v>
      </c>
      <c r="E17" s="226">
        <f t="shared" si="1"/>
        <v>7</v>
      </c>
      <c r="G17" s="30"/>
    </row>
    <row r="18" spans="1:9" x14ac:dyDescent="0.45">
      <c r="A18" s="222">
        <f t="shared" si="0"/>
        <v>8</v>
      </c>
      <c r="B18" s="247"/>
      <c r="C18" s="291"/>
      <c r="D18" s="296"/>
      <c r="E18" s="226">
        <f t="shared" si="1"/>
        <v>8</v>
      </c>
    </row>
    <row r="19" spans="1:9" x14ac:dyDescent="0.45">
      <c r="A19" s="222">
        <f t="shared" si="0"/>
        <v>9</v>
      </c>
      <c r="B19" s="232" t="s">
        <v>234</v>
      </c>
      <c r="C19" s="297">
        <v>1643.9919646050323</v>
      </c>
      <c r="D19" s="235" t="s">
        <v>578</v>
      </c>
      <c r="E19" s="226">
        <f t="shared" si="1"/>
        <v>9</v>
      </c>
    </row>
    <row r="20" spans="1:9" x14ac:dyDescent="0.45">
      <c r="A20" s="222">
        <f t="shared" si="0"/>
        <v>10</v>
      </c>
      <c r="B20" s="232"/>
      <c r="C20" s="291"/>
      <c r="D20" s="298"/>
      <c r="E20" s="226">
        <f t="shared" si="1"/>
        <v>10</v>
      </c>
    </row>
    <row r="21" spans="1:9" x14ac:dyDescent="0.45">
      <c r="A21" s="222">
        <f t="shared" si="0"/>
        <v>11</v>
      </c>
      <c r="B21" s="232" t="s">
        <v>235</v>
      </c>
      <c r="C21" s="648">
        <v>49.83930922779507</v>
      </c>
      <c r="D21" s="246" t="s">
        <v>579</v>
      </c>
      <c r="E21" s="226">
        <f t="shared" si="1"/>
        <v>11</v>
      </c>
    </row>
    <row r="22" spans="1:9" x14ac:dyDescent="0.45">
      <c r="A22" s="222">
        <f t="shared" si="0"/>
        <v>12</v>
      </c>
      <c r="B22" s="243"/>
      <c r="C22" s="250"/>
      <c r="D22" s="299"/>
      <c r="E22" s="226">
        <f t="shared" si="1"/>
        <v>12</v>
      </c>
    </row>
    <row r="23" spans="1:9" x14ac:dyDescent="0.45">
      <c r="A23" s="222">
        <f t="shared" si="0"/>
        <v>13</v>
      </c>
      <c r="B23" s="243" t="s">
        <v>236</v>
      </c>
      <c r="C23" s="97">
        <f>C17+C19+C21</f>
        <v>5637.4517760853287</v>
      </c>
      <c r="D23" s="246" t="s">
        <v>580</v>
      </c>
      <c r="E23" s="226">
        <f t="shared" si="1"/>
        <v>13</v>
      </c>
      <c r="G23" s="30"/>
    </row>
    <row r="24" spans="1:9" x14ac:dyDescent="0.45">
      <c r="A24" s="222">
        <f t="shared" si="0"/>
        <v>14</v>
      </c>
      <c r="B24" s="252"/>
      <c r="C24" s="100"/>
      <c r="D24" s="246"/>
      <c r="E24" s="226">
        <f t="shared" si="1"/>
        <v>14</v>
      </c>
      <c r="G24" s="30"/>
    </row>
    <row r="25" spans="1:9" x14ac:dyDescent="0.45">
      <c r="A25" s="222">
        <f t="shared" si="0"/>
        <v>15</v>
      </c>
      <c r="B25" s="241" t="s">
        <v>237</v>
      </c>
      <c r="C25" s="649">
        <v>0</v>
      </c>
      <c r="D25" s="246" t="s">
        <v>20</v>
      </c>
      <c r="E25" s="226">
        <f t="shared" si="1"/>
        <v>15</v>
      </c>
      <c r="G25" s="30"/>
    </row>
    <row r="26" spans="1:9" x14ac:dyDescent="0.45">
      <c r="A26" s="222">
        <f t="shared" si="0"/>
        <v>16</v>
      </c>
      <c r="B26" s="595"/>
      <c r="C26" s="253"/>
      <c r="D26" s="299"/>
      <c r="E26" s="226">
        <f t="shared" si="1"/>
        <v>16</v>
      </c>
    </row>
    <row r="27" spans="1:9" ht="15.75" thickBot="1" x14ac:dyDescent="0.5">
      <c r="A27" s="222">
        <f t="shared" si="0"/>
        <v>17</v>
      </c>
      <c r="B27" s="244" t="s">
        <v>238</v>
      </c>
      <c r="C27" s="255">
        <f>C23+C25</f>
        <v>5637.4517760853287</v>
      </c>
      <c r="D27" s="299" t="s">
        <v>581</v>
      </c>
      <c r="E27" s="226">
        <f t="shared" si="1"/>
        <v>17</v>
      </c>
      <c r="H27" s="24"/>
      <c r="I27" s="256"/>
    </row>
    <row r="28" spans="1:9" ht="16.149999999999999" thickTop="1" thickBot="1" x14ac:dyDescent="0.5">
      <c r="A28" s="222">
        <f t="shared" si="0"/>
        <v>18</v>
      </c>
      <c r="B28" s="257"/>
      <c r="C28" s="257"/>
      <c r="D28" s="300"/>
      <c r="E28" s="226">
        <f t="shared" si="1"/>
        <v>18</v>
      </c>
    </row>
    <row r="30" spans="1:9" ht="15.75" thickBot="1" x14ac:dyDescent="0.5">
      <c r="A30" s="218"/>
      <c r="B30" s="259"/>
      <c r="C30" s="260"/>
      <c r="D30" s="260"/>
      <c r="E30" s="218"/>
    </row>
    <row r="31" spans="1:9" x14ac:dyDescent="0.45">
      <c r="A31" s="222" t="s">
        <v>2</v>
      </c>
      <c r="B31" s="261"/>
      <c r="C31" s="261"/>
      <c r="D31" s="292"/>
      <c r="E31" s="226" t="s">
        <v>2</v>
      </c>
    </row>
    <row r="32" spans="1:9" x14ac:dyDescent="0.45">
      <c r="A32" s="222" t="s">
        <v>6</v>
      </c>
      <c r="B32" s="471" t="s">
        <v>239</v>
      </c>
      <c r="C32" s="471" t="str">
        <f>C9</f>
        <v>Amounts</v>
      </c>
      <c r="D32" s="647" t="str">
        <f>D9</f>
        <v>Reference</v>
      </c>
      <c r="E32" s="226" t="s">
        <v>6</v>
      </c>
    </row>
    <row r="33" spans="1:5" x14ac:dyDescent="0.45">
      <c r="A33" s="222">
        <f>A28+1</f>
        <v>19</v>
      </c>
      <c r="B33" s="262"/>
      <c r="C33" s="287"/>
      <c r="D33" s="288"/>
      <c r="E33" s="226">
        <f>E28+1</f>
        <v>19</v>
      </c>
    </row>
    <row r="34" spans="1:5" x14ac:dyDescent="0.45">
      <c r="A34" s="222">
        <f>A33+1</f>
        <v>20</v>
      </c>
      <c r="B34" s="232" t="str">
        <f>B11</f>
        <v>Section 1 - Direct Maintenance Expense Cost Component</v>
      </c>
      <c r="C34" s="301">
        <f>C11/12</f>
        <v>15.216269605192648</v>
      </c>
      <c r="D34" s="290" t="str">
        <f>"Line "&amp;A11&amp;" / "&amp;C50&amp;" Months"</f>
        <v>Line 1 / 12 Months</v>
      </c>
      <c r="E34" s="226">
        <f>E33+1</f>
        <v>20</v>
      </c>
    </row>
    <row r="35" spans="1:5" x14ac:dyDescent="0.45">
      <c r="A35" s="222">
        <f t="shared" ref="A35:A53" si="2">A34+1</f>
        <v>21</v>
      </c>
      <c r="B35" s="236"/>
      <c r="C35" s="302"/>
      <c r="D35" s="303"/>
      <c r="E35" s="226">
        <f t="shared" ref="E35:E53" si="3">E34+1</f>
        <v>21</v>
      </c>
    </row>
    <row r="36" spans="1:5" x14ac:dyDescent="0.45">
      <c r="A36" s="222">
        <f t="shared" si="2"/>
        <v>22</v>
      </c>
      <c r="B36" s="232" t="str">
        <f>B13</f>
        <v>Section 2 - Non-Direct Expense Cost Component</v>
      </c>
      <c r="C36" s="304">
        <f>C13/12</f>
        <v>234.56435323444785</v>
      </c>
      <c r="D36" s="290" t="str">
        <f>"Line "&amp;A13&amp;" / "&amp;C50&amp;" Months"</f>
        <v>Line 3 / 12 Months</v>
      </c>
      <c r="E36" s="226">
        <f t="shared" si="3"/>
        <v>22</v>
      </c>
    </row>
    <row r="37" spans="1:5" x14ac:dyDescent="0.45">
      <c r="A37" s="222">
        <f t="shared" si="2"/>
        <v>23</v>
      </c>
      <c r="B37" s="236"/>
      <c r="C37" s="305"/>
      <c r="D37" s="306"/>
      <c r="E37" s="226">
        <f t="shared" si="3"/>
        <v>23</v>
      </c>
    </row>
    <row r="38" spans="1:5" x14ac:dyDescent="0.45">
      <c r="A38" s="222">
        <f t="shared" si="2"/>
        <v>24</v>
      </c>
      <c r="B38" s="232" t="str">
        <f>B15</f>
        <v>Section 3 - Cost Component Containing Other Specific Expenses</v>
      </c>
      <c r="C38" s="650">
        <f>C15/12</f>
        <v>78.854419014734617</v>
      </c>
      <c r="D38" s="290" t="str">
        <f>"Line "&amp;A15&amp;" / "&amp;C50&amp;" Months"</f>
        <v>Line 5 / 12 Months</v>
      </c>
      <c r="E38" s="226">
        <f t="shared" si="3"/>
        <v>24</v>
      </c>
    </row>
    <row r="39" spans="1:5" x14ac:dyDescent="0.45">
      <c r="A39" s="222">
        <f t="shared" si="2"/>
        <v>25</v>
      </c>
      <c r="B39" s="247"/>
      <c r="C39" s="307"/>
      <c r="D39" s="290"/>
      <c r="E39" s="226">
        <f t="shared" si="3"/>
        <v>25</v>
      </c>
    </row>
    <row r="40" spans="1:5" x14ac:dyDescent="0.45">
      <c r="A40" s="222">
        <f t="shared" si="2"/>
        <v>26</v>
      </c>
      <c r="B40" s="244" t="s">
        <v>509</v>
      </c>
      <c r="C40" s="479">
        <f>C34+C36+C38</f>
        <v>328.63504185437512</v>
      </c>
      <c r="D40" s="246" t="str">
        <f>"Sum Lines "&amp;A34&amp;", "&amp;A36&amp;", "&amp;A38</f>
        <v>Sum Lines 20, 22, 24</v>
      </c>
      <c r="E40" s="226">
        <f t="shared" si="3"/>
        <v>26</v>
      </c>
    </row>
    <row r="41" spans="1:5" x14ac:dyDescent="0.45">
      <c r="A41" s="222">
        <f t="shared" si="2"/>
        <v>27</v>
      </c>
      <c r="B41" s="262"/>
      <c r="C41" s="305"/>
      <c r="D41" s="294"/>
      <c r="E41" s="226">
        <f t="shared" si="3"/>
        <v>27</v>
      </c>
    </row>
    <row r="42" spans="1:5" x14ac:dyDescent="0.45">
      <c r="A42" s="222">
        <f t="shared" si="2"/>
        <v>28</v>
      </c>
      <c r="B42" s="232" t="str">
        <f>LEFT(B19,45)</f>
        <v>Section 4 - True-Up Adjustment Cost Component</v>
      </c>
      <c r="C42" s="479">
        <f>C19/12</f>
        <v>136.99933038375269</v>
      </c>
      <c r="D42" s="290" t="str">
        <f>"Line "&amp;A19&amp;" / "&amp;C50&amp;" Months"</f>
        <v>Line 9 / 12 Months</v>
      </c>
      <c r="E42" s="226">
        <f t="shared" si="3"/>
        <v>28</v>
      </c>
    </row>
    <row r="43" spans="1:5" x14ac:dyDescent="0.45">
      <c r="A43" s="222">
        <f t="shared" si="2"/>
        <v>29</v>
      </c>
      <c r="B43" s="232"/>
      <c r="C43" s="305"/>
      <c r="D43" s="308"/>
      <c r="E43" s="226">
        <f t="shared" si="3"/>
        <v>29</v>
      </c>
    </row>
    <row r="44" spans="1:5" x14ac:dyDescent="0.45">
      <c r="A44" s="222">
        <f t="shared" si="2"/>
        <v>30</v>
      </c>
      <c r="B44" s="232" t="str">
        <f>B21</f>
        <v>Section 5 - Interest True-Up Adjustment Cost Component</v>
      </c>
      <c r="C44" s="480">
        <f>C21/12</f>
        <v>4.1532757689829225</v>
      </c>
      <c r="D44" s="299" t="str">
        <f>"Line "&amp;A21&amp;" / "&amp;C50&amp;" Months"</f>
        <v>Line 11 / 12 Months</v>
      </c>
      <c r="E44" s="226">
        <f t="shared" si="3"/>
        <v>30</v>
      </c>
    </row>
    <row r="45" spans="1:5" x14ac:dyDescent="0.45">
      <c r="A45" s="222">
        <f t="shared" si="2"/>
        <v>31</v>
      </c>
      <c r="B45" s="247"/>
      <c r="C45" s="275"/>
      <c r="D45" s="309"/>
      <c r="E45" s="226">
        <f t="shared" si="3"/>
        <v>31</v>
      </c>
    </row>
    <row r="46" spans="1:5" x14ac:dyDescent="0.45">
      <c r="A46" s="222">
        <f t="shared" si="2"/>
        <v>32</v>
      </c>
      <c r="B46" s="241" t="str">
        <f>B25</f>
        <v>Other Adjustments</v>
      </c>
      <c r="C46" s="650">
        <f>C25/12</f>
        <v>0</v>
      </c>
      <c r="D46" s="299" t="str">
        <f>"Line "&amp;A25&amp;" / "&amp;C50&amp;" Months"</f>
        <v>Line 15 / 12 Months</v>
      </c>
      <c r="E46" s="226">
        <f t="shared" si="3"/>
        <v>32</v>
      </c>
    </row>
    <row r="47" spans="1:5" x14ac:dyDescent="0.45">
      <c r="A47" s="222">
        <f t="shared" si="2"/>
        <v>33</v>
      </c>
      <c r="B47" s="243"/>
      <c r="C47" s="275"/>
      <c r="D47" s="276"/>
      <c r="E47" s="226">
        <f t="shared" si="3"/>
        <v>33</v>
      </c>
    </row>
    <row r="48" spans="1:5" ht="15.75" thickBot="1" x14ac:dyDescent="0.5">
      <c r="A48" s="222">
        <f t="shared" si="2"/>
        <v>34</v>
      </c>
      <c r="B48" s="243" t="s">
        <v>240</v>
      </c>
      <c r="C48" s="476">
        <f>C40+C42+C44+C46</f>
        <v>469.78764800711076</v>
      </c>
      <c r="D48" s="246" t="str">
        <f>"Sum Lines "&amp;A40&amp;", "&amp;A42&amp;", "&amp;A44&amp;", "&amp;A46</f>
        <v>Sum Lines 26, 28, 30, 32</v>
      </c>
      <c r="E48" s="226">
        <f t="shared" si="3"/>
        <v>34</v>
      </c>
    </row>
    <row r="49" spans="1:5" ht="15.75" thickTop="1" x14ac:dyDescent="0.45">
      <c r="A49" s="222">
        <f t="shared" si="2"/>
        <v>35</v>
      </c>
      <c r="B49" s="262"/>
      <c r="C49" s="277"/>
      <c r="D49" s="310"/>
      <c r="E49" s="226">
        <f t="shared" si="3"/>
        <v>35</v>
      </c>
    </row>
    <row r="50" spans="1:5" x14ac:dyDescent="0.45">
      <c r="A50" s="222">
        <f t="shared" si="2"/>
        <v>36</v>
      </c>
      <c r="B50" s="236" t="s">
        <v>241</v>
      </c>
      <c r="C50" s="651">
        <v>12</v>
      </c>
      <c r="D50" s="310"/>
      <c r="E50" s="226">
        <f t="shared" si="3"/>
        <v>36</v>
      </c>
    </row>
    <row r="51" spans="1:5" x14ac:dyDescent="0.45">
      <c r="A51" s="222">
        <f t="shared" si="2"/>
        <v>37</v>
      </c>
      <c r="B51" s="262"/>
      <c r="C51" s="277"/>
      <c r="D51" s="311"/>
      <c r="E51" s="226">
        <f t="shared" si="3"/>
        <v>37</v>
      </c>
    </row>
    <row r="52" spans="1:5" ht="15.75" thickBot="1" x14ac:dyDescent="0.5">
      <c r="A52" s="222">
        <f t="shared" si="2"/>
        <v>38</v>
      </c>
      <c r="B52" s="244" t="str">
        <f>B27</f>
        <v>Total Annual Costs</v>
      </c>
      <c r="C52" s="481">
        <f>C48*C50</f>
        <v>5637.4517760853287</v>
      </c>
      <c r="D52" s="299" t="str">
        <f>"Line "&amp;A48&amp;" x Line "&amp;A50</f>
        <v>Line 34 x Line 36</v>
      </c>
      <c r="E52" s="226">
        <f t="shared" si="3"/>
        <v>38</v>
      </c>
    </row>
    <row r="53" spans="1:5" ht="16.149999999999999" thickTop="1" thickBot="1" x14ac:dyDescent="0.5">
      <c r="A53" s="222">
        <f t="shared" si="2"/>
        <v>39</v>
      </c>
      <c r="B53" s="221"/>
      <c r="C53" s="282"/>
      <c r="D53" s="312"/>
      <c r="E53" s="226">
        <f t="shared" si="3"/>
        <v>39</v>
      </c>
    </row>
  </sheetData>
  <mergeCells count="5">
    <mergeCell ref="B2:D2"/>
    <mergeCell ref="B3:D3"/>
    <mergeCell ref="B4:D4"/>
    <mergeCell ref="B5:D5"/>
    <mergeCell ref="B6:D6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Roman,Bold"AS FILED</oddHeader>
    <oddFooter>&amp;CPage 4&amp;R&amp;F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0"/>
  <sheetViews>
    <sheetView zoomScale="80" zoomScaleNormal="80" workbookViewId="0"/>
  </sheetViews>
  <sheetFormatPr defaultColWidth="8.73046875" defaultRowHeight="15.4" x14ac:dyDescent="0.45"/>
  <cols>
    <col min="1" max="1" width="5.19921875" style="43" customWidth="1"/>
    <col min="2" max="2" width="90.59765625" style="20" customWidth="1"/>
    <col min="3" max="3" width="10.46484375" style="20" customWidth="1"/>
    <col min="4" max="4" width="1.53125" style="20" customWidth="1"/>
    <col min="5" max="5" width="16.796875" style="20" customWidth="1"/>
    <col min="6" max="6" width="1.53125" style="20" customWidth="1"/>
    <col min="7" max="7" width="43.46484375" style="20" customWidth="1"/>
    <col min="8" max="8" width="5.19921875" style="42" customWidth="1"/>
    <col min="9" max="9" width="8.73046875" style="20"/>
    <col min="10" max="10" width="9.796875" style="20" customWidth="1"/>
    <col min="11" max="16384" width="8.73046875" style="20"/>
  </cols>
  <sheetData>
    <row r="1" spans="1:8" x14ac:dyDescent="0.45">
      <c r="A1" s="494"/>
      <c r="B1" s="495"/>
      <c r="C1" s="495"/>
      <c r="D1" s="495"/>
      <c r="E1" s="496"/>
      <c r="F1" s="496"/>
      <c r="G1" s="860"/>
      <c r="H1" s="218"/>
    </row>
    <row r="2" spans="1:8" x14ac:dyDescent="0.45">
      <c r="A2" s="494"/>
      <c r="B2" s="952" t="s">
        <v>21</v>
      </c>
      <c r="C2" s="952"/>
      <c r="D2" s="952"/>
      <c r="E2" s="952"/>
      <c r="F2" s="952"/>
      <c r="G2" s="952"/>
      <c r="H2" s="218"/>
    </row>
    <row r="3" spans="1:8" x14ac:dyDescent="0.45">
      <c r="B3" s="952" t="s">
        <v>349</v>
      </c>
      <c r="C3" s="952"/>
      <c r="D3" s="952"/>
      <c r="E3" s="952"/>
      <c r="F3" s="952"/>
      <c r="G3" s="952"/>
      <c r="H3" s="494"/>
    </row>
    <row r="4" spans="1:8" x14ac:dyDescent="0.45">
      <c r="B4" s="952" t="s">
        <v>363</v>
      </c>
      <c r="C4" s="952"/>
      <c r="D4" s="952"/>
      <c r="E4" s="952"/>
      <c r="F4" s="952"/>
      <c r="G4" s="952"/>
      <c r="H4" s="494"/>
    </row>
    <row r="5" spans="1:8" x14ac:dyDescent="0.45">
      <c r="B5" s="953" t="s">
        <v>582</v>
      </c>
      <c r="C5" s="953"/>
      <c r="D5" s="953"/>
      <c r="E5" s="953"/>
      <c r="F5" s="953"/>
      <c r="G5" s="953"/>
      <c r="H5" s="494"/>
    </row>
    <row r="6" spans="1:8" x14ac:dyDescent="0.45">
      <c r="B6" s="950" t="s">
        <v>1</v>
      </c>
      <c r="C6" s="950"/>
      <c r="D6" s="950"/>
      <c r="E6" s="950"/>
      <c r="F6" s="950"/>
      <c r="G6" s="950"/>
      <c r="H6" s="497"/>
    </row>
    <row r="7" spans="1:8" x14ac:dyDescent="0.45">
      <c r="A7" s="498"/>
      <c r="B7" s="747"/>
      <c r="C7" s="747"/>
      <c r="D7" s="747"/>
      <c r="E7" s="747"/>
      <c r="F7" s="747"/>
      <c r="G7" s="496"/>
      <c r="H7" s="218"/>
    </row>
    <row r="8" spans="1:8" x14ac:dyDescent="0.45">
      <c r="A8" s="499" t="s">
        <v>2</v>
      </c>
      <c r="B8" s="495"/>
      <c r="C8" s="495"/>
      <c r="D8" s="495"/>
      <c r="E8" s="747"/>
      <c r="F8" s="747"/>
      <c r="G8" s="495"/>
      <c r="H8" s="499" t="s">
        <v>2</v>
      </c>
    </row>
    <row r="9" spans="1:8" x14ac:dyDescent="0.45">
      <c r="A9" s="499" t="s">
        <v>6</v>
      </c>
      <c r="B9" s="495"/>
      <c r="C9" s="495"/>
      <c r="D9" s="495"/>
      <c r="E9" s="861" t="s">
        <v>4</v>
      </c>
      <c r="F9" s="500"/>
      <c r="G9" s="861" t="s">
        <v>5</v>
      </c>
      <c r="H9" s="499" t="s">
        <v>6</v>
      </c>
    </row>
    <row r="10" spans="1:8" x14ac:dyDescent="0.45">
      <c r="A10" s="499"/>
      <c r="B10" s="495"/>
      <c r="C10" s="495"/>
      <c r="D10" s="495"/>
      <c r="E10" s="747"/>
      <c r="F10" s="500"/>
      <c r="G10" s="747"/>
      <c r="H10" s="499"/>
    </row>
    <row r="11" spans="1:8" x14ac:dyDescent="0.45">
      <c r="A11" s="499">
        <v>1</v>
      </c>
      <c r="B11" s="501" t="s">
        <v>364</v>
      </c>
      <c r="C11" s="501"/>
      <c r="D11" s="501"/>
      <c r="E11" s="496"/>
      <c r="F11" s="496"/>
      <c r="G11" s="747"/>
      <c r="H11" s="499">
        <f>A11</f>
        <v>1</v>
      </c>
    </row>
    <row r="12" spans="1:8" ht="15.75" x14ac:dyDescent="0.5">
      <c r="A12" s="499">
        <f>A11+1</f>
        <v>2</v>
      </c>
      <c r="B12" s="502" t="s">
        <v>365</v>
      </c>
      <c r="C12" s="503"/>
      <c r="D12" s="503"/>
      <c r="E12" s="504">
        <f>E54</f>
        <v>8.4018398950358938E-3</v>
      </c>
      <c r="F12" s="28" t="s">
        <v>16</v>
      </c>
      <c r="G12" s="505" t="str">
        <f>"Page 2; Line "&amp;A54</f>
        <v>Page 2; Line 6</v>
      </c>
      <c r="H12" s="499">
        <f>H11+1</f>
        <v>2</v>
      </c>
    </row>
    <row r="13" spans="1:8" x14ac:dyDescent="0.45">
      <c r="A13" s="499">
        <f t="shared" ref="A13:A35" si="0">A12+1</f>
        <v>3</v>
      </c>
      <c r="B13" s="495"/>
      <c r="C13" s="506"/>
      <c r="D13" s="506"/>
      <c r="E13" s="507"/>
      <c r="F13" s="500"/>
      <c r="G13" s="505"/>
      <c r="H13" s="499">
        <f t="shared" ref="H13:H35" si="1">H12+1</f>
        <v>3</v>
      </c>
    </row>
    <row r="14" spans="1:8" ht="15.75" x14ac:dyDescent="0.5">
      <c r="A14" s="499">
        <f t="shared" si="0"/>
        <v>4</v>
      </c>
      <c r="B14" s="502" t="s">
        <v>366</v>
      </c>
      <c r="C14" s="503"/>
      <c r="D14" s="503"/>
      <c r="E14" s="504">
        <f>E59</f>
        <v>7.7917933660744338E-3</v>
      </c>
      <c r="F14" s="28" t="s">
        <v>16</v>
      </c>
      <c r="G14" s="505" t="str">
        <f>"Page 2; Line "&amp;A59</f>
        <v>Page 2; Line 11</v>
      </c>
      <c r="H14" s="499">
        <f t="shared" si="1"/>
        <v>4</v>
      </c>
    </row>
    <row r="15" spans="1:8" x14ac:dyDescent="0.45">
      <c r="A15" s="499">
        <f t="shared" si="0"/>
        <v>5</v>
      </c>
      <c r="B15" s="496"/>
      <c r="C15" s="498"/>
      <c r="D15" s="498"/>
      <c r="E15" s="510"/>
      <c r="F15" s="511"/>
      <c r="G15" s="505"/>
      <c r="H15" s="499">
        <f t="shared" si="1"/>
        <v>5</v>
      </c>
    </row>
    <row r="16" spans="1:8" x14ac:dyDescent="0.45">
      <c r="A16" s="499">
        <f t="shared" si="0"/>
        <v>6</v>
      </c>
      <c r="B16" s="496" t="s">
        <v>367</v>
      </c>
      <c r="C16" s="498"/>
      <c r="D16" s="498"/>
      <c r="E16" s="508">
        <f>E64</f>
        <v>9.8675808260498075E-3</v>
      </c>
      <c r="F16" s="511"/>
      <c r="G16" s="505" t="str">
        <f>"Page 2; Line "&amp;A64</f>
        <v>Page 2; Line 16</v>
      </c>
      <c r="H16" s="499">
        <f t="shared" si="1"/>
        <v>6</v>
      </c>
    </row>
    <row r="17" spans="1:8" x14ac:dyDescent="0.45">
      <c r="A17" s="499">
        <f t="shared" si="0"/>
        <v>7</v>
      </c>
      <c r="B17" s="496"/>
      <c r="C17" s="498"/>
      <c r="D17" s="498"/>
      <c r="E17" s="510"/>
      <c r="F17" s="511"/>
      <c r="G17" s="505"/>
      <c r="H17" s="499">
        <f t="shared" si="1"/>
        <v>7</v>
      </c>
    </row>
    <row r="18" spans="1:8" x14ac:dyDescent="0.45">
      <c r="A18" s="499">
        <f t="shared" si="0"/>
        <v>8</v>
      </c>
      <c r="B18" s="502" t="s">
        <v>368</v>
      </c>
      <c r="C18" s="503"/>
      <c r="D18" s="503"/>
      <c r="E18" s="508">
        <f>E69</f>
        <v>2.7191790349101279E-4</v>
      </c>
      <c r="F18" s="509"/>
      <c r="G18" s="505" t="str">
        <f>"Page 2; Line "&amp;A69</f>
        <v>Page 2; Line 21</v>
      </c>
      <c r="H18" s="499">
        <f t="shared" si="1"/>
        <v>8</v>
      </c>
    </row>
    <row r="19" spans="1:8" x14ac:dyDescent="0.45">
      <c r="A19" s="499">
        <f t="shared" si="0"/>
        <v>9</v>
      </c>
      <c r="B19" s="495"/>
      <c r="C19" s="506"/>
      <c r="D19" s="506"/>
      <c r="E19" s="507"/>
      <c r="F19" s="500"/>
      <c r="G19" s="505"/>
      <c r="H19" s="499">
        <f t="shared" si="1"/>
        <v>9</v>
      </c>
    </row>
    <row r="20" spans="1:8" x14ac:dyDescent="0.45">
      <c r="A20" s="499">
        <f t="shared" si="0"/>
        <v>10</v>
      </c>
      <c r="B20" s="502" t="s">
        <v>369</v>
      </c>
      <c r="C20" s="506"/>
      <c r="D20" s="506"/>
      <c r="E20" s="508">
        <f>E82</f>
        <v>1.7550323902646241E-3</v>
      </c>
      <c r="F20" s="500"/>
      <c r="G20" s="505" t="str">
        <f>"Page 2; Line "&amp;A82</f>
        <v>Page 2; Line 34</v>
      </c>
      <c r="H20" s="499">
        <f t="shared" si="1"/>
        <v>10</v>
      </c>
    </row>
    <row r="21" spans="1:8" x14ac:dyDescent="0.45">
      <c r="A21" s="499">
        <f t="shared" si="0"/>
        <v>11</v>
      </c>
      <c r="B21" s="495"/>
      <c r="C21" s="506"/>
      <c r="D21" s="506"/>
      <c r="E21" s="507"/>
      <c r="F21" s="500"/>
      <c r="G21" s="505"/>
      <c r="H21" s="499">
        <f t="shared" si="1"/>
        <v>11</v>
      </c>
    </row>
    <row r="22" spans="1:8" x14ac:dyDescent="0.45">
      <c r="A22" s="499">
        <f t="shared" si="0"/>
        <v>12</v>
      </c>
      <c r="B22" s="502" t="s">
        <v>370</v>
      </c>
      <c r="C22" s="503"/>
      <c r="D22" s="503"/>
      <c r="E22" s="508">
        <f>E99</f>
        <v>4.1366087471387441E-3</v>
      </c>
      <c r="F22" s="509"/>
      <c r="G22" s="505" t="str">
        <f>"Page 2; Line "&amp;A99</f>
        <v>Page 2; Line 51</v>
      </c>
      <c r="H22" s="499">
        <f t="shared" si="1"/>
        <v>12</v>
      </c>
    </row>
    <row r="23" spans="1:8" x14ac:dyDescent="0.45">
      <c r="A23" s="499">
        <f t="shared" si="0"/>
        <v>13</v>
      </c>
      <c r="B23" s="512"/>
      <c r="C23" s="513"/>
      <c r="D23" s="513"/>
      <c r="E23" s="514"/>
      <c r="F23" s="515"/>
      <c r="G23" s="505"/>
      <c r="H23" s="499">
        <f t="shared" si="1"/>
        <v>13</v>
      </c>
    </row>
    <row r="24" spans="1:8" ht="15.75" x14ac:dyDescent="0.5">
      <c r="A24" s="499">
        <f t="shared" si="0"/>
        <v>14</v>
      </c>
      <c r="B24" s="502" t="s">
        <v>371</v>
      </c>
      <c r="C24" s="503"/>
      <c r="D24" s="503"/>
      <c r="E24" s="516">
        <f>SUM(E12:E22)</f>
        <v>3.222477312805451E-2</v>
      </c>
      <c r="F24" s="28" t="s">
        <v>16</v>
      </c>
      <c r="G24" s="505" t="str">
        <f>"Sum Lines "&amp;A12&amp;" thru "&amp;A22&amp;""</f>
        <v>Sum Lines 2 thru 12</v>
      </c>
      <c r="H24" s="499">
        <f t="shared" si="1"/>
        <v>14</v>
      </c>
    </row>
    <row r="25" spans="1:8" x14ac:dyDescent="0.45">
      <c r="A25" s="499">
        <f t="shared" si="0"/>
        <v>15</v>
      </c>
      <c r="B25" s="495"/>
      <c r="C25" s="506"/>
      <c r="D25" s="506"/>
      <c r="E25" s="517"/>
      <c r="F25" s="518"/>
      <c r="G25" s="505"/>
      <c r="H25" s="499">
        <f t="shared" si="1"/>
        <v>15</v>
      </c>
    </row>
    <row r="26" spans="1:8" x14ac:dyDescent="0.45">
      <c r="A26" s="499">
        <f t="shared" si="0"/>
        <v>16</v>
      </c>
      <c r="B26" s="496" t="s">
        <v>372</v>
      </c>
      <c r="C26" s="519">
        <v>1.0274999999999999E-2</v>
      </c>
      <c r="D26" s="506"/>
      <c r="E26" s="520">
        <f>E24*C26</f>
        <v>3.3110954389076007E-4</v>
      </c>
      <c r="F26" s="521"/>
      <c r="G26" s="505" t="str">
        <f>"Line "&amp;A24&amp;" x Franchise Fee Rate"</f>
        <v>Line 14 x Franchise Fee Rate</v>
      </c>
      <c r="H26" s="499">
        <f t="shared" si="1"/>
        <v>16</v>
      </c>
    </row>
    <row r="27" spans="1:8" x14ac:dyDescent="0.45">
      <c r="A27" s="499">
        <f t="shared" si="0"/>
        <v>17</v>
      </c>
      <c r="B27" s="495"/>
      <c r="C27" s="506"/>
      <c r="D27" s="506"/>
      <c r="E27" s="522"/>
      <c r="F27" s="523"/>
      <c r="G27" s="505"/>
      <c r="H27" s="499">
        <f t="shared" si="1"/>
        <v>17</v>
      </c>
    </row>
    <row r="28" spans="1:8" ht="16.149999999999999" thickBot="1" x14ac:dyDescent="0.55000000000000004">
      <c r="A28" s="499">
        <f t="shared" si="0"/>
        <v>18</v>
      </c>
      <c r="B28" s="495" t="s">
        <v>373</v>
      </c>
      <c r="C28" s="506"/>
      <c r="D28" s="506"/>
      <c r="E28" s="524">
        <f>E24+E26</f>
        <v>3.2555882671945272E-2</v>
      </c>
      <c r="F28" s="28" t="s">
        <v>16</v>
      </c>
      <c r="G28" s="505" t="str">
        <f>"Line "&amp;A24&amp;" + Line "&amp;A26</f>
        <v>Line 14 + Line 16</v>
      </c>
      <c r="H28" s="499">
        <f t="shared" si="1"/>
        <v>18</v>
      </c>
    </row>
    <row r="29" spans="1:8" ht="15.75" thickTop="1" x14ac:dyDescent="0.45">
      <c r="A29" s="499">
        <f t="shared" si="0"/>
        <v>19</v>
      </c>
      <c r="B29" s="496"/>
      <c r="C29" s="498"/>
      <c r="D29" s="498"/>
      <c r="E29" s="506"/>
      <c r="F29" s="495"/>
      <c r="G29" s="495"/>
      <c r="H29" s="499">
        <f t="shared" si="1"/>
        <v>19</v>
      </c>
    </row>
    <row r="30" spans="1:8" x14ac:dyDescent="0.45">
      <c r="A30" s="499">
        <f t="shared" si="0"/>
        <v>20</v>
      </c>
      <c r="B30" s="501" t="s">
        <v>374</v>
      </c>
      <c r="C30" s="525"/>
      <c r="D30" s="525"/>
      <c r="E30" s="498"/>
      <c r="F30" s="496"/>
      <c r="G30" s="495"/>
      <c r="H30" s="499">
        <f t="shared" si="1"/>
        <v>20</v>
      </c>
    </row>
    <row r="31" spans="1:8" x14ac:dyDescent="0.45">
      <c r="A31" s="499">
        <f t="shared" si="0"/>
        <v>21</v>
      </c>
      <c r="B31" s="502" t="s">
        <v>553</v>
      </c>
      <c r="C31" s="503"/>
      <c r="D31" s="503"/>
      <c r="E31" s="358">
        <v>85194</v>
      </c>
      <c r="F31" s="500"/>
      <c r="G31" s="505" t="s">
        <v>375</v>
      </c>
      <c r="H31" s="499">
        <f t="shared" si="1"/>
        <v>21</v>
      </c>
    </row>
    <row r="32" spans="1:8" x14ac:dyDescent="0.45">
      <c r="A32" s="499">
        <f t="shared" si="0"/>
        <v>22</v>
      </c>
      <c r="B32" s="502"/>
      <c r="C32" s="503"/>
      <c r="D32" s="503"/>
      <c r="E32" s="503"/>
      <c r="F32" s="502"/>
      <c r="G32" s="505"/>
      <c r="H32" s="499">
        <f t="shared" si="1"/>
        <v>22</v>
      </c>
    </row>
    <row r="33" spans="1:10" ht="15.75" x14ac:dyDescent="0.5">
      <c r="A33" s="499">
        <f t="shared" si="0"/>
        <v>23</v>
      </c>
      <c r="B33" s="502" t="s">
        <v>376</v>
      </c>
      <c r="C33" s="503"/>
      <c r="D33" s="503"/>
      <c r="E33" s="516">
        <f>+E28</f>
        <v>3.2555882671945272E-2</v>
      </c>
      <c r="F33" s="28" t="s">
        <v>16</v>
      </c>
      <c r="G33" s="505" t="str">
        <f>"Line "&amp;A28&amp;" Above"</f>
        <v>Line 18 Above</v>
      </c>
      <c r="H33" s="499">
        <f t="shared" si="1"/>
        <v>23</v>
      </c>
    </row>
    <row r="34" spans="1:10" x14ac:dyDescent="0.45">
      <c r="A34" s="499">
        <f t="shared" si="0"/>
        <v>24</v>
      </c>
      <c r="B34" s="495"/>
      <c r="C34" s="506"/>
      <c r="D34" s="506"/>
      <c r="E34" s="526"/>
      <c r="F34" s="527"/>
      <c r="G34" s="505"/>
      <c r="H34" s="499">
        <f t="shared" si="1"/>
        <v>24</v>
      </c>
    </row>
    <row r="35" spans="1:10" ht="16.149999999999999" thickBot="1" x14ac:dyDescent="0.55000000000000004">
      <c r="A35" s="499">
        <f t="shared" si="0"/>
        <v>25</v>
      </c>
      <c r="B35" s="495" t="s">
        <v>377</v>
      </c>
      <c r="C35" s="503"/>
      <c r="D35" s="503"/>
      <c r="E35" s="528">
        <f>E31*E33</f>
        <v>2773.5658683537054</v>
      </c>
      <c r="F35" s="28" t="s">
        <v>16</v>
      </c>
      <c r="G35" s="505" t="str">
        <f>"Line "&amp;A31&amp;" x Line "&amp;A33</f>
        <v>Line 21 x Line 23</v>
      </c>
      <c r="H35" s="499">
        <f t="shared" si="1"/>
        <v>25</v>
      </c>
      <c r="J35" s="859"/>
    </row>
    <row r="36" spans="1:10" ht="15.75" thickTop="1" x14ac:dyDescent="0.45">
      <c r="A36" s="499"/>
      <c r="B36" s="495"/>
      <c r="C36" s="502"/>
      <c r="D36" s="502"/>
      <c r="E36" s="529"/>
      <c r="F36" s="530"/>
      <c r="G36" s="505"/>
      <c r="H36" s="499"/>
    </row>
    <row r="37" spans="1:10" ht="15.75" x14ac:dyDescent="0.5">
      <c r="A37" s="467" t="s">
        <v>16</v>
      </c>
      <c r="B37" s="26" t="s">
        <v>350</v>
      </c>
      <c r="C37" s="495"/>
      <c r="D37" s="495"/>
      <c r="E37" s="512"/>
      <c r="F37" s="512"/>
      <c r="G37" s="496"/>
      <c r="H37" s="218"/>
    </row>
    <row r="38" spans="1:10" ht="15.75" x14ac:dyDescent="0.5">
      <c r="A38" s="28"/>
      <c r="B38" s="26"/>
      <c r="C38" s="495"/>
      <c r="D38" s="495"/>
      <c r="E38" s="512"/>
      <c r="F38" s="512"/>
      <c r="G38" s="496"/>
      <c r="H38" s="218"/>
    </row>
    <row r="39" spans="1:10" ht="15.75" x14ac:dyDescent="0.5">
      <c r="A39" s="28"/>
      <c r="B39" s="26"/>
      <c r="C39" s="495"/>
      <c r="D39" s="495"/>
      <c r="E39" s="512"/>
      <c r="F39" s="512"/>
      <c r="G39" s="496"/>
      <c r="H39" s="218"/>
    </row>
    <row r="40" spans="1:10" x14ac:dyDescent="0.45">
      <c r="A40" s="498"/>
      <c r="B40" s="951" t="str">
        <f>B2</f>
        <v>SAN DIEGO GAS &amp; ELECTRIC COMPANY</v>
      </c>
      <c r="C40" s="951"/>
      <c r="D40" s="951"/>
      <c r="E40" s="951"/>
      <c r="F40" s="951"/>
      <c r="G40" s="951"/>
      <c r="H40" s="218"/>
    </row>
    <row r="41" spans="1:10" x14ac:dyDescent="0.45">
      <c r="B41" s="951" t="str">
        <f>B3</f>
        <v>CITIZENS' SHARE OF THE BORDER EAST LINE</v>
      </c>
      <c r="C41" s="951"/>
      <c r="D41" s="951"/>
      <c r="E41" s="951"/>
      <c r="F41" s="951"/>
      <c r="G41" s="951"/>
      <c r="H41" s="513"/>
    </row>
    <row r="42" spans="1:10" x14ac:dyDescent="0.45">
      <c r="B42" s="952" t="str">
        <f>B4</f>
        <v xml:space="preserve">Section 2 - Non-Direct Expense Cost Component </v>
      </c>
      <c r="C42" s="952"/>
      <c r="D42" s="952"/>
      <c r="E42" s="952"/>
      <c r="F42" s="952"/>
      <c r="G42" s="952"/>
      <c r="H42" s="506"/>
    </row>
    <row r="43" spans="1:10" x14ac:dyDescent="0.45">
      <c r="B43" s="953" t="str">
        <f>B5</f>
        <v>Base Period &amp; True-Up Period 12 - Months Ending December 31, 2019</v>
      </c>
      <c r="C43" s="953"/>
      <c r="D43" s="953"/>
      <c r="E43" s="953"/>
      <c r="F43" s="953"/>
      <c r="G43" s="953"/>
      <c r="H43" s="506"/>
    </row>
    <row r="44" spans="1:10" x14ac:dyDescent="0.45">
      <c r="B44" s="950" t="str">
        <f>B6</f>
        <v>($1,000)</v>
      </c>
      <c r="C44" s="947"/>
      <c r="D44" s="947"/>
      <c r="E44" s="947"/>
      <c r="F44" s="947"/>
      <c r="G44" s="947"/>
      <c r="H44" s="144"/>
    </row>
    <row r="45" spans="1:10" x14ac:dyDescent="0.45">
      <c r="A45" s="531"/>
      <c r="B45" s="495"/>
      <c r="C45" s="495"/>
      <c r="D45" s="495"/>
      <c r="E45" s="495"/>
      <c r="F45" s="495"/>
      <c r="G45" s="495"/>
      <c r="H45" s="218"/>
    </row>
    <row r="46" spans="1:10" x14ac:dyDescent="0.45">
      <c r="A46" s="499" t="s">
        <v>2</v>
      </c>
      <c r="B46" s="495"/>
      <c r="C46" s="495"/>
      <c r="D46" s="495"/>
      <c r="E46" s="747"/>
      <c r="F46" s="747"/>
      <c r="G46" s="495"/>
      <c r="H46" s="499" t="s">
        <v>2</v>
      </c>
    </row>
    <row r="47" spans="1:10" x14ac:dyDescent="0.45">
      <c r="A47" s="499" t="s">
        <v>6</v>
      </c>
      <c r="B47" s="495"/>
      <c r="C47" s="495"/>
      <c r="D47" s="495"/>
      <c r="E47" s="861" t="s">
        <v>4</v>
      </c>
      <c r="F47" s="505"/>
      <c r="G47" s="861" t="s">
        <v>5</v>
      </c>
      <c r="H47" s="499" t="s">
        <v>6</v>
      </c>
    </row>
    <row r="48" spans="1:10" x14ac:dyDescent="0.45">
      <c r="A48" s="499"/>
      <c r="B48" s="495"/>
      <c r="C48" s="495"/>
      <c r="D48" s="495"/>
      <c r="E48" s="747"/>
      <c r="F48" s="747"/>
      <c r="G48" s="495"/>
      <c r="H48" s="499"/>
    </row>
    <row r="49" spans="1:10" ht="15.75" x14ac:dyDescent="0.5">
      <c r="A49" s="499">
        <v>1</v>
      </c>
      <c r="B49" s="532" t="s">
        <v>378</v>
      </c>
      <c r="C49" s="532"/>
      <c r="D49" s="532"/>
      <c r="E49" s="862">
        <f>'Pg11 Revised AV-4'!C16</f>
        <v>5088136.5527160363</v>
      </c>
      <c r="F49" s="28" t="s">
        <v>16</v>
      </c>
      <c r="G49" s="505" t="s">
        <v>583</v>
      </c>
      <c r="H49" s="499">
        <f>A49</f>
        <v>1</v>
      </c>
    </row>
    <row r="50" spans="1:10" x14ac:dyDescent="0.45">
      <c r="A50" s="499">
        <f>A49+1</f>
        <v>2</v>
      </c>
      <c r="B50" s="495"/>
      <c r="C50" s="495"/>
      <c r="D50" s="495"/>
      <c r="E50" s="494"/>
      <c r="F50" s="747"/>
      <c r="G50" s="495"/>
      <c r="H50" s="499">
        <f>H49+1</f>
        <v>2</v>
      </c>
    </row>
    <row r="51" spans="1:10" x14ac:dyDescent="0.45">
      <c r="A51" s="499">
        <f t="shared" ref="A51:A99" si="2">A50+1</f>
        <v>3</v>
      </c>
      <c r="B51" s="501" t="s">
        <v>379</v>
      </c>
      <c r="C51" s="501"/>
      <c r="D51" s="501"/>
      <c r="E51" s="533"/>
      <c r="F51" s="534"/>
      <c r="G51" s="495"/>
      <c r="H51" s="499">
        <f t="shared" ref="H51:H99" si="3">H50+1</f>
        <v>3</v>
      </c>
    </row>
    <row r="52" spans="1:10" ht="15.75" x14ac:dyDescent="0.5">
      <c r="A52" s="499">
        <f t="shared" si="2"/>
        <v>4</v>
      </c>
      <c r="B52" s="502" t="s">
        <v>380</v>
      </c>
      <c r="C52" s="502"/>
      <c r="D52" s="502"/>
      <c r="E52" s="535">
        <f>'Pg8 Revised Stmt AH'!E28</f>
        <v>42749.708679999996</v>
      </c>
      <c r="F52" s="28" t="s">
        <v>16</v>
      </c>
      <c r="G52" s="505" t="s">
        <v>584</v>
      </c>
      <c r="H52" s="499">
        <f t="shared" si="3"/>
        <v>4</v>
      </c>
      <c r="J52" s="536"/>
    </row>
    <row r="53" spans="1:10" x14ac:dyDescent="0.45">
      <c r="A53" s="499">
        <f t="shared" si="2"/>
        <v>5</v>
      </c>
      <c r="B53" s="502"/>
      <c r="C53" s="502"/>
      <c r="D53" s="502"/>
      <c r="E53" s="359"/>
      <c r="F53" s="537"/>
      <c r="G53" s="505"/>
      <c r="H53" s="499">
        <f t="shared" si="3"/>
        <v>5</v>
      </c>
      <c r="J53" s="536"/>
    </row>
    <row r="54" spans="1:10" ht="15.75" x14ac:dyDescent="0.5">
      <c r="A54" s="499">
        <f t="shared" si="2"/>
        <v>6</v>
      </c>
      <c r="B54" s="502" t="s">
        <v>381</v>
      </c>
      <c r="C54" s="495"/>
      <c r="D54" s="495"/>
      <c r="E54" s="863">
        <f>E52/E49</f>
        <v>8.4018398950358938E-3</v>
      </c>
      <c r="F54" s="28" t="s">
        <v>16</v>
      </c>
      <c r="G54" s="505" t="s">
        <v>585</v>
      </c>
      <c r="H54" s="499">
        <f t="shared" si="3"/>
        <v>6</v>
      </c>
      <c r="J54" s="536"/>
    </row>
    <row r="55" spans="1:10" x14ac:dyDescent="0.45">
      <c r="A55" s="499">
        <f t="shared" si="2"/>
        <v>7</v>
      </c>
      <c r="B55" s="502"/>
      <c r="C55" s="502"/>
      <c r="D55" s="502"/>
      <c r="E55" s="540"/>
      <c r="F55" s="541"/>
      <c r="G55" s="505"/>
      <c r="H55" s="499">
        <f t="shared" si="3"/>
        <v>7</v>
      </c>
    </row>
    <row r="56" spans="1:10" x14ac:dyDescent="0.45">
      <c r="A56" s="499">
        <f t="shared" si="2"/>
        <v>8</v>
      </c>
      <c r="B56" s="501" t="s">
        <v>382</v>
      </c>
      <c r="C56" s="501"/>
      <c r="D56" s="501"/>
      <c r="E56" s="542"/>
      <c r="F56" s="543"/>
      <c r="G56" s="544"/>
      <c r="H56" s="499">
        <f t="shared" si="3"/>
        <v>8</v>
      </c>
    </row>
    <row r="57" spans="1:10" ht="15.75" x14ac:dyDescent="0.5">
      <c r="A57" s="499">
        <f t="shared" si="2"/>
        <v>9</v>
      </c>
      <c r="B57" s="502" t="s">
        <v>383</v>
      </c>
      <c r="C57" s="502"/>
      <c r="D57" s="502"/>
      <c r="E57" s="545">
        <f>'Pg8 Revised Stmt AH'!E51</f>
        <v>39645.708637133648</v>
      </c>
      <c r="F57" s="28" t="s">
        <v>16</v>
      </c>
      <c r="G57" s="505" t="s">
        <v>586</v>
      </c>
      <c r="H57" s="499">
        <f t="shared" si="3"/>
        <v>9</v>
      </c>
    </row>
    <row r="58" spans="1:10" x14ac:dyDescent="0.45">
      <c r="A58" s="499">
        <f t="shared" si="2"/>
        <v>10</v>
      </c>
      <c r="B58" s="495"/>
      <c r="C58" s="495"/>
      <c r="D58" s="495"/>
      <c r="E58" s="542"/>
      <c r="F58" s="543"/>
      <c r="G58" s="505"/>
      <c r="H58" s="499">
        <f t="shared" si="3"/>
        <v>10</v>
      </c>
    </row>
    <row r="59" spans="1:10" ht="15.75" x14ac:dyDescent="0.5">
      <c r="A59" s="499">
        <f t="shared" si="2"/>
        <v>11</v>
      </c>
      <c r="B59" s="546" t="s">
        <v>384</v>
      </c>
      <c r="C59" s="544"/>
      <c r="D59" s="544"/>
      <c r="E59" s="863">
        <f>E57/E49</f>
        <v>7.7917933660744338E-3</v>
      </c>
      <c r="F59" s="28" t="s">
        <v>16</v>
      </c>
      <c r="G59" s="505" t="s">
        <v>587</v>
      </c>
      <c r="H59" s="499">
        <f t="shared" si="3"/>
        <v>11</v>
      </c>
    </row>
    <row r="60" spans="1:10" x14ac:dyDescent="0.45">
      <c r="A60" s="499">
        <f t="shared" si="2"/>
        <v>12</v>
      </c>
      <c r="B60" s="544"/>
      <c r="C60" s="544"/>
      <c r="D60" s="544"/>
      <c r="E60" s="547"/>
      <c r="F60" s="548"/>
      <c r="G60" s="505"/>
      <c r="H60" s="499">
        <f t="shared" si="3"/>
        <v>12</v>
      </c>
    </row>
    <row r="61" spans="1:10" x14ac:dyDescent="0.45">
      <c r="A61" s="499">
        <f t="shared" si="2"/>
        <v>13</v>
      </c>
      <c r="B61" s="501" t="s">
        <v>385</v>
      </c>
      <c r="C61" s="544"/>
      <c r="D61" s="544"/>
      <c r="E61" s="547"/>
      <c r="F61" s="548"/>
      <c r="G61" s="505"/>
      <c r="H61" s="499">
        <f t="shared" si="3"/>
        <v>13</v>
      </c>
    </row>
    <row r="62" spans="1:10" x14ac:dyDescent="0.45">
      <c r="A62" s="499">
        <f t="shared" si="2"/>
        <v>14</v>
      </c>
      <c r="B62" s="546" t="s">
        <v>367</v>
      </c>
      <c r="C62" s="544"/>
      <c r="D62" s="544"/>
      <c r="E62" s="549">
        <v>50207.598687903926</v>
      </c>
      <c r="F62" s="548"/>
      <c r="G62" s="505" t="s">
        <v>588</v>
      </c>
      <c r="H62" s="499">
        <f t="shared" si="3"/>
        <v>14</v>
      </c>
    </row>
    <row r="63" spans="1:10" x14ac:dyDescent="0.45">
      <c r="A63" s="499">
        <f t="shared" si="2"/>
        <v>15</v>
      </c>
      <c r="B63" s="544"/>
      <c r="C63" s="544"/>
      <c r="D63" s="544"/>
      <c r="E63" s="542"/>
      <c r="F63" s="548"/>
      <c r="G63" s="505"/>
      <c r="H63" s="499">
        <f t="shared" si="3"/>
        <v>15</v>
      </c>
    </row>
    <row r="64" spans="1:10" x14ac:dyDescent="0.45">
      <c r="A64" s="499">
        <f t="shared" si="2"/>
        <v>16</v>
      </c>
      <c r="B64" s="546" t="s">
        <v>386</v>
      </c>
      <c r="C64" s="544"/>
      <c r="D64" s="544"/>
      <c r="E64" s="538">
        <f>E62/E49</f>
        <v>9.8675808260498075E-3</v>
      </c>
      <c r="F64" s="548"/>
      <c r="G64" s="505" t="s">
        <v>589</v>
      </c>
      <c r="H64" s="499">
        <f t="shared" si="3"/>
        <v>16</v>
      </c>
    </row>
    <row r="65" spans="1:8" x14ac:dyDescent="0.45">
      <c r="A65" s="499">
        <f t="shared" si="2"/>
        <v>17</v>
      </c>
      <c r="B65" s="544"/>
      <c r="C65" s="544"/>
      <c r="D65" s="544"/>
      <c r="E65" s="547"/>
      <c r="F65" s="548"/>
      <c r="G65" s="505"/>
      <c r="H65" s="499">
        <f t="shared" si="3"/>
        <v>17</v>
      </c>
    </row>
    <row r="66" spans="1:8" x14ac:dyDescent="0.45">
      <c r="A66" s="499">
        <f t="shared" si="2"/>
        <v>18</v>
      </c>
      <c r="B66" s="501" t="s">
        <v>387</v>
      </c>
      <c r="C66" s="501"/>
      <c r="D66" s="501"/>
      <c r="E66" s="547"/>
      <c r="F66" s="548"/>
      <c r="G66" s="505"/>
      <c r="H66" s="499">
        <f t="shared" si="3"/>
        <v>18</v>
      </c>
    </row>
    <row r="67" spans="1:8" x14ac:dyDescent="0.45">
      <c r="A67" s="499">
        <f t="shared" si="2"/>
        <v>19</v>
      </c>
      <c r="B67" s="502" t="s">
        <v>368</v>
      </c>
      <c r="C67" s="502"/>
      <c r="D67" s="502"/>
      <c r="E67" s="549">
        <v>1383.5554240905337</v>
      </c>
      <c r="F67" s="747"/>
      <c r="G67" s="505" t="s">
        <v>590</v>
      </c>
      <c r="H67" s="499">
        <f t="shared" si="3"/>
        <v>19</v>
      </c>
    </row>
    <row r="68" spans="1:8" x14ac:dyDescent="0.45">
      <c r="A68" s="499">
        <f t="shared" si="2"/>
        <v>20</v>
      </c>
      <c r="B68" s="544"/>
      <c r="C68" s="544"/>
      <c r="D68" s="544"/>
      <c r="E68" s="547"/>
      <c r="F68" s="548"/>
      <c r="G68" s="505"/>
      <c r="H68" s="499">
        <f t="shared" si="3"/>
        <v>20</v>
      </c>
    </row>
    <row r="69" spans="1:8" x14ac:dyDescent="0.45">
      <c r="A69" s="499">
        <f t="shared" si="2"/>
        <v>21</v>
      </c>
      <c r="B69" s="546" t="s">
        <v>388</v>
      </c>
      <c r="C69" s="544"/>
      <c r="D69" s="544"/>
      <c r="E69" s="538">
        <f>E67/E49</f>
        <v>2.7191790349101279E-4</v>
      </c>
      <c r="F69" s="539"/>
      <c r="G69" s="505" t="s">
        <v>591</v>
      </c>
      <c r="H69" s="499">
        <f t="shared" si="3"/>
        <v>21</v>
      </c>
    </row>
    <row r="70" spans="1:8" x14ac:dyDescent="0.45">
      <c r="A70" s="499">
        <f t="shared" si="2"/>
        <v>22</v>
      </c>
      <c r="B70" s="544"/>
      <c r="C70" s="544"/>
      <c r="D70" s="544"/>
      <c r="E70" s="547"/>
      <c r="F70" s="548"/>
      <c r="G70" s="505"/>
      <c r="H70" s="499">
        <f t="shared" si="3"/>
        <v>22</v>
      </c>
    </row>
    <row r="71" spans="1:8" x14ac:dyDescent="0.45">
      <c r="A71" s="499">
        <f t="shared" si="2"/>
        <v>23</v>
      </c>
      <c r="B71" s="501" t="s">
        <v>389</v>
      </c>
      <c r="C71" s="501"/>
      <c r="D71" s="501"/>
      <c r="E71" s="550"/>
      <c r="F71" s="551"/>
      <c r="G71" s="505"/>
      <c r="H71" s="499">
        <f t="shared" si="3"/>
        <v>23</v>
      </c>
    </row>
    <row r="72" spans="1:8" x14ac:dyDescent="0.45">
      <c r="A72" s="499">
        <f t="shared" si="2"/>
        <v>24</v>
      </c>
      <c r="B72" s="552" t="s">
        <v>390</v>
      </c>
      <c r="C72" s="495"/>
      <c r="D72" s="495"/>
      <c r="E72" s="550"/>
      <c r="F72" s="551"/>
      <c r="G72" s="505"/>
      <c r="H72" s="499">
        <f t="shared" si="3"/>
        <v>24</v>
      </c>
    </row>
    <row r="73" spans="1:8" x14ac:dyDescent="0.45">
      <c r="A73" s="499">
        <f t="shared" si="2"/>
        <v>25</v>
      </c>
      <c r="B73" s="502" t="s">
        <v>391</v>
      </c>
      <c r="C73" s="502"/>
      <c r="D73" s="502"/>
      <c r="E73" s="553">
        <f>'Pg9 Revised Stmt AL'!G15</f>
        <v>50939.981334164491</v>
      </c>
      <c r="F73" s="747"/>
      <c r="G73" s="505" t="s">
        <v>592</v>
      </c>
      <c r="H73" s="499">
        <f t="shared" si="3"/>
        <v>25</v>
      </c>
    </row>
    <row r="74" spans="1:8" x14ac:dyDescent="0.45">
      <c r="A74" s="499">
        <f t="shared" si="2"/>
        <v>26</v>
      </c>
      <c r="B74" s="502" t="s">
        <v>392</v>
      </c>
      <c r="C74" s="502"/>
      <c r="D74" s="502"/>
      <c r="E74" s="554">
        <f>'Pg9 Revised Stmt AL'!G19</f>
        <v>25515.262566078305</v>
      </c>
      <c r="F74" s="747"/>
      <c r="G74" s="505" t="s">
        <v>593</v>
      </c>
      <c r="H74" s="499">
        <f t="shared" si="3"/>
        <v>26</v>
      </c>
    </row>
    <row r="75" spans="1:8" ht="15.75" x14ac:dyDescent="0.5">
      <c r="A75" s="499">
        <f t="shared" si="2"/>
        <v>27</v>
      </c>
      <c r="B75" s="502" t="s">
        <v>393</v>
      </c>
      <c r="C75" s="502"/>
      <c r="D75" s="502"/>
      <c r="E75" s="555">
        <f>'Pg9 Revised Stmt AL'!E29</f>
        <v>10299.427164641706</v>
      </c>
      <c r="F75" s="28" t="s">
        <v>16</v>
      </c>
      <c r="G75" s="505" t="s">
        <v>594</v>
      </c>
      <c r="H75" s="499">
        <f t="shared" si="3"/>
        <v>27</v>
      </c>
    </row>
    <row r="76" spans="1:8" ht="15.75" x14ac:dyDescent="0.5">
      <c r="A76" s="499">
        <f t="shared" si="2"/>
        <v>28</v>
      </c>
      <c r="B76" s="502" t="s">
        <v>394</v>
      </c>
      <c r="C76" s="495"/>
      <c r="D76" s="495"/>
      <c r="E76" s="556">
        <f>SUM(E73:E75)</f>
        <v>86754.671064884504</v>
      </c>
      <c r="F76" s="28" t="s">
        <v>16</v>
      </c>
      <c r="G76" s="505" t="s">
        <v>595</v>
      </c>
      <c r="H76" s="499">
        <f t="shared" si="3"/>
        <v>28</v>
      </c>
    </row>
    <row r="77" spans="1:8" x14ac:dyDescent="0.45">
      <c r="A77" s="499">
        <f t="shared" si="2"/>
        <v>29</v>
      </c>
      <c r="B77" s="495"/>
      <c r="C77" s="495"/>
      <c r="D77" s="495"/>
      <c r="E77" s="557"/>
      <c r="F77" s="558"/>
      <c r="G77" s="505"/>
      <c r="H77" s="499">
        <f t="shared" si="3"/>
        <v>29</v>
      </c>
    </row>
    <row r="78" spans="1:8" x14ac:dyDescent="0.45">
      <c r="A78" s="499">
        <f t="shared" si="2"/>
        <v>30</v>
      </c>
      <c r="B78" s="502" t="s">
        <v>395</v>
      </c>
      <c r="C78" s="502"/>
      <c r="D78" s="502"/>
      <c r="E78" s="559">
        <f>'Pg10 Revised Stmt AV'!G110</f>
        <v>0.1029321458602192</v>
      </c>
      <c r="F78" s="747"/>
      <c r="G78" s="505" t="s">
        <v>596</v>
      </c>
      <c r="H78" s="499">
        <f t="shared" si="3"/>
        <v>30</v>
      </c>
    </row>
    <row r="79" spans="1:8" x14ac:dyDescent="0.45">
      <c r="A79" s="499">
        <f t="shared" si="2"/>
        <v>31</v>
      </c>
      <c r="B79" s="495"/>
      <c r="C79" s="495"/>
      <c r="D79" s="495"/>
      <c r="E79" s="557"/>
      <c r="F79" s="558"/>
      <c r="G79" s="505"/>
      <c r="H79" s="499">
        <f t="shared" si="3"/>
        <v>31</v>
      </c>
    </row>
    <row r="80" spans="1:8" ht="15.75" x14ac:dyDescent="0.5">
      <c r="A80" s="499">
        <f t="shared" si="2"/>
        <v>32</v>
      </c>
      <c r="B80" s="502" t="s">
        <v>396</v>
      </c>
      <c r="C80" s="495"/>
      <c r="D80" s="495"/>
      <c r="E80" s="560">
        <f>E76*E78</f>
        <v>8929.8444561060296</v>
      </c>
      <c r="F80" s="28" t="s">
        <v>16</v>
      </c>
      <c r="G80" s="505" t="s">
        <v>597</v>
      </c>
      <c r="H80" s="499">
        <f t="shared" si="3"/>
        <v>32</v>
      </c>
    </row>
    <row r="81" spans="1:9" x14ac:dyDescent="0.45">
      <c r="A81" s="499">
        <f t="shared" si="2"/>
        <v>33</v>
      </c>
      <c r="B81" s="495"/>
      <c r="C81" s="495"/>
      <c r="D81" s="495"/>
      <c r="E81" s="557"/>
      <c r="F81" s="558"/>
      <c r="G81" s="505"/>
      <c r="H81" s="499">
        <f t="shared" si="3"/>
        <v>33</v>
      </c>
    </row>
    <row r="82" spans="1:9" x14ac:dyDescent="0.45">
      <c r="A82" s="499">
        <f t="shared" si="2"/>
        <v>34</v>
      </c>
      <c r="B82" s="502" t="s">
        <v>397</v>
      </c>
      <c r="C82" s="495"/>
      <c r="D82" s="495"/>
      <c r="E82" s="538">
        <f>E80/E49</f>
        <v>1.7550323902646241E-3</v>
      </c>
      <c r="F82" s="539"/>
      <c r="G82" s="505" t="s">
        <v>598</v>
      </c>
      <c r="H82" s="499">
        <f t="shared" si="3"/>
        <v>34</v>
      </c>
    </row>
    <row r="83" spans="1:9" x14ac:dyDescent="0.45">
      <c r="A83" s="499">
        <f t="shared" si="2"/>
        <v>35</v>
      </c>
      <c r="B83" s="502"/>
      <c r="C83" s="495"/>
      <c r="D83" s="495"/>
      <c r="E83" s="561"/>
      <c r="F83" s="539"/>
      <c r="G83" s="505"/>
      <c r="H83" s="499">
        <f t="shared" si="3"/>
        <v>35</v>
      </c>
    </row>
    <row r="84" spans="1:9" x14ac:dyDescent="0.45">
      <c r="A84" s="499">
        <f t="shared" si="2"/>
        <v>36</v>
      </c>
      <c r="B84" s="501" t="s">
        <v>398</v>
      </c>
      <c r="C84" s="562"/>
      <c r="D84" s="562"/>
      <c r="E84" s="563"/>
      <c r="F84" s="563"/>
      <c r="G84" s="563"/>
      <c r="H84" s="499">
        <f t="shared" si="3"/>
        <v>36</v>
      </c>
    </row>
    <row r="85" spans="1:9" x14ac:dyDescent="0.45">
      <c r="A85" s="499">
        <f t="shared" si="2"/>
        <v>37</v>
      </c>
      <c r="B85" s="502" t="s">
        <v>399</v>
      </c>
      <c r="C85" s="562"/>
      <c r="D85" s="562"/>
      <c r="E85" s="38">
        <f>'Pg11 Revised AV-4'!C14</f>
        <v>30239.351098987459</v>
      </c>
      <c r="F85" s="563"/>
      <c r="G85" s="505" t="s">
        <v>599</v>
      </c>
      <c r="H85" s="499">
        <f t="shared" si="3"/>
        <v>37</v>
      </c>
    </row>
    <row r="86" spans="1:9" x14ac:dyDescent="0.45">
      <c r="A86" s="499">
        <f t="shared" si="2"/>
        <v>38</v>
      </c>
      <c r="B86" s="501"/>
      <c r="C86" s="562"/>
      <c r="D86" s="562"/>
      <c r="E86" s="564"/>
      <c r="F86" s="563"/>
      <c r="G86" s="563"/>
      <c r="H86" s="499">
        <f t="shared" si="3"/>
        <v>38</v>
      </c>
    </row>
    <row r="87" spans="1:9" x14ac:dyDescent="0.45">
      <c r="A87" s="499">
        <f t="shared" si="2"/>
        <v>39</v>
      </c>
      <c r="B87" s="502" t="s">
        <v>400</v>
      </c>
      <c r="C87" s="562"/>
      <c r="D87" s="562"/>
      <c r="E87" s="565">
        <f>'Pg11 Revised AV-4'!C15</f>
        <v>56838.313075711041</v>
      </c>
      <c r="F87" s="563"/>
      <c r="G87" s="505" t="s">
        <v>600</v>
      </c>
      <c r="H87" s="499">
        <f t="shared" si="3"/>
        <v>39</v>
      </c>
    </row>
    <row r="88" spans="1:9" ht="18.399999999999999" x14ac:dyDescent="0.85">
      <c r="A88" s="499">
        <f t="shared" si="2"/>
        <v>40</v>
      </c>
      <c r="B88" s="562"/>
      <c r="C88" s="566"/>
      <c r="D88" s="566"/>
      <c r="E88" s="567"/>
      <c r="F88" s="568"/>
      <c r="G88" s="562"/>
      <c r="H88" s="499">
        <f t="shared" si="3"/>
        <v>40</v>
      </c>
    </row>
    <row r="89" spans="1:9" x14ac:dyDescent="0.45">
      <c r="A89" s="499">
        <f t="shared" si="2"/>
        <v>41</v>
      </c>
      <c r="B89" s="502" t="s">
        <v>401</v>
      </c>
      <c r="C89" s="566"/>
      <c r="D89" s="566"/>
      <c r="E89" s="569">
        <f>E85+E87</f>
        <v>87077.664174698497</v>
      </c>
      <c r="F89" s="570"/>
      <c r="G89" s="505" t="s">
        <v>601</v>
      </c>
      <c r="H89" s="499">
        <f t="shared" si="3"/>
        <v>41</v>
      </c>
    </row>
    <row r="90" spans="1:9" x14ac:dyDescent="0.45">
      <c r="A90" s="499">
        <f t="shared" si="2"/>
        <v>42</v>
      </c>
      <c r="B90" s="571"/>
      <c r="C90" s="566"/>
      <c r="D90" s="566"/>
      <c r="E90" s="572"/>
      <c r="F90" s="570"/>
      <c r="G90" s="573"/>
      <c r="H90" s="499">
        <f t="shared" si="3"/>
        <v>42</v>
      </c>
    </row>
    <row r="91" spans="1:9" x14ac:dyDescent="0.45">
      <c r="A91" s="499">
        <f t="shared" si="2"/>
        <v>43</v>
      </c>
      <c r="B91" s="502" t="s">
        <v>395</v>
      </c>
      <c r="C91" s="566"/>
      <c r="D91" s="566"/>
      <c r="E91" s="574">
        <f>E78</f>
        <v>0.1029321458602192</v>
      </c>
      <c r="F91" s="570"/>
      <c r="G91" s="505" t="s">
        <v>602</v>
      </c>
      <c r="H91" s="499">
        <f t="shared" si="3"/>
        <v>43</v>
      </c>
    </row>
    <row r="92" spans="1:9" x14ac:dyDescent="0.45">
      <c r="A92" s="499">
        <f t="shared" si="2"/>
        <v>44</v>
      </c>
      <c r="B92" s="562"/>
      <c r="C92" s="566"/>
      <c r="D92" s="566"/>
      <c r="E92" s="575"/>
      <c r="F92" s="576"/>
      <c r="G92" s="562"/>
      <c r="H92" s="499">
        <f t="shared" si="3"/>
        <v>44</v>
      </c>
    </row>
    <row r="93" spans="1:9" x14ac:dyDescent="0.45">
      <c r="A93" s="499">
        <f t="shared" si="2"/>
        <v>45</v>
      </c>
      <c r="B93" s="502" t="s">
        <v>402</v>
      </c>
      <c r="C93" s="566"/>
      <c r="D93" s="566"/>
      <c r="E93" s="577">
        <f>E89*E91</f>
        <v>8963.0908299972507</v>
      </c>
      <c r="F93" s="578"/>
      <c r="G93" s="505" t="s">
        <v>603</v>
      </c>
      <c r="H93" s="499">
        <f t="shared" si="3"/>
        <v>45</v>
      </c>
    </row>
    <row r="94" spans="1:9" x14ac:dyDescent="0.45">
      <c r="A94" s="499">
        <f t="shared" si="2"/>
        <v>46</v>
      </c>
      <c r="B94" s="571"/>
      <c r="C94" s="566"/>
      <c r="D94" s="566"/>
      <c r="E94" s="579"/>
      <c r="F94" s="578"/>
      <c r="G94" s="573"/>
      <c r="H94" s="499">
        <f t="shared" si="3"/>
        <v>46</v>
      </c>
    </row>
    <row r="95" spans="1:9" x14ac:dyDescent="0.45">
      <c r="A95" s="499">
        <f t="shared" si="2"/>
        <v>47</v>
      </c>
      <c r="B95" s="502" t="s">
        <v>403</v>
      </c>
      <c r="C95" s="566"/>
      <c r="D95" s="566"/>
      <c r="E95" s="580">
        <v>12084.539340604279</v>
      </c>
      <c r="F95" s="578"/>
      <c r="G95" s="505" t="s">
        <v>604</v>
      </c>
      <c r="H95" s="499">
        <f t="shared" si="3"/>
        <v>47</v>
      </c>
      <c r="I95" s="566"/>
    </row>
    <row r="96" spans="1:9" x14ac:dyDescent="0.45">
      <c r="A96" s="499">
        <f t="shared" si="2"/>
        <v>48</v>
      </c>
      <c r="B96" s="502"/>
      <c r="C96" s="566"/>
      <c r="D96" s="566"/>
      <c r="E96" s="317"/>
      <c r="F96" s="578"/>
      <c r="G96" s="505"/>
      <c r="H96" s="499">
        <f t="shared" si="3"/>
        <v>48</v>
      </c>
    </row>
    <row r="97" spans="1:8" x14ac:dyDescent="0.45">
      <c r="A97" s="499">
        <f t="shared" si="2"/>
        <v>49</v>
      </c>
      <c r="B97" s="502" t="s">
        <v>404</v>
      </c>
      <c r="C97" s="566"/>
      <c r="D97" s="566"/>
      <c r="E97" s="317">
        <f>E93+E95</f>
        <v>21047.630170601529</v>
      </c>
      <c r="F97" s="578"/>
      <c r="G97" s="505" t="s">
        <v>605</v>
      </c>
      <c r="H97" s="499">
        <f t="shared" si="3"/>
        <v>49</v>
      </c>
    </row>
    <row r="98" spans="1:8" x14ac:dyDescent="0.45">
      <c r="A98" s="499">
        <f t="shared" si="2"/>
        <v>50</v>
      </c>
      <c r="B98" s="562"/>
      <c r="C98" s="566"/>
      <c r="D98" s="566"/>
      <c r="E98" s="581"/>
      <c r="F98" s="562"/>
      <c r="G98" s="562"/>
      <c r="H98" s="499">
        <f t="shared" si="3"/>
        <v>50</v>
      </c>
    </row>
    <row r="99" spans="1:8" ht="15.75" thickBot="1" x14ac:dyDescent="0.5">
      <c r="A99" s="499">
        <f t="shared" si="2"/>
        <v>51</v>
      </c>
      <c r="B99" s="502" t="s">
        <v>405</v>
      </c>
      <c r="C99" s="566"/>
      <c r="D99" s="566"/>
      <c r="E99" s="582">
        <f>E97/E49</f>
        <v>4.1366087471387441E-3</v>
      </c>
      <c r="F99" s="583"/>
      <c r="G99" s="505" t="s">
        <v>606</v>
      </c>
      <c r="H99" s="499">
        <f t="shared" si="3"/>
        <v>51</v>
      </c>
    </row>
    <row r="100" spans="1:8" ht="15.75" thickTop="1" x14ac:dyDescent="0.45">
      <c r="A100" s="506"/>
    </row>
    <row r="101" spans="1:8" ht="15.75" x14ac:dyDescent="0.5">
      <c r="A101" s="467" t="s">
        <v>16</v>
      </c>
      <c r="B101" s="26" t="s">
        <v>350</v>
      </c>
    </row>
    <row r="102" spans="1:8" x14ac:dyDescent="0.45">
      <c r="A102" s="506"/>
    </row>
    <row r="103" spans="1:8" x14ac:dyDescent="0.45">
      <c r="A103" s="506"/>
    </row>
    <row r="104" spans="1:8" x14ac:dyDescent="0.45">
      <c r="A104" s="506"/>
    </row>
    <row r="105" spans="1:8" x14ac:dyDescent="0.45">
      <c r="A105" s="506"/>
    </row>
    <row r="106" spans="1:8" x14ac:dyDescent="0.45">
      <c r="A106" s="506"/>
    </row>
    <row r="107" spans="1:8" x14ac:dyDescent="0.45">
      <c r="A107" s="506"/>
    </row>
    <row r="108" spans="1:8" x14ac:dyDescent="0.45">
      <c r="A108" s="506"/>
    </row>
    <row r="109" spans="1:8" x14ac:dyDescent="0.45">
      <c r="A109" s="506"/>
    </row>
    <row r="110" spans="1:8" x14ac:dyDescent="0.45">
      <c r="A110" s="506"/>
    </row>
    <row r="111" spans="1:8" x14ac:dyDescent="0.45">
      <c r="A111" s="506"/>
    </row>
    <row r="112" spans="1:8" x14ac:dyDescent="0.45">
      <c r="A112" s="506"/>
    </row>
    <row r="113" spans="1:1" x14ac:dyDescent="0.45">
      <c r="A113" s="506"/>
    </row>
    <row r="114" spans="1:1" x14ac:dyDescent="0.45">
      <c r="A114" s="506"/>
    </row>
    <row r="115" spans="1:1" x14ac:dyDescent="0.45">
      <c r="A115" s="506"/>
    </row>
    <row r="116" spans="1:1" x14ac:dyDescent="0.45">
      <c r="A116" s="506"/>
    </row>
    <row r="117" spans="1:1" x14ac:dyDescent="0.45">
      <c r="A117" s="506"/>
    </row>
    <row r="118" spans="1:1" x14ac:dyDescent="0.45">
      <c r="A118" s="506"/>
    </row>
    <row r="119" spans="1:1" x14ac:dyDescent="0.45">
      <c r="A119" s="506"/>
    </row>
    <row r="120" spans="1:1" x14ac:dyDescent="0.45">
      <c r="A120" s="506"/>
    </row>
    <row r="121" spans="1:1" x14ac:dyDescent="0.45">
      <c r="A121" s="506"/>
    </row>
    <row r="122" spans="1:1" x14ac:dyDescent="0.45">
      <c r="A122" s="506"/>
    </row>
    <row r="123" spans="1:1" x14ac:dyDescent="0.45">
      <c r="A123" s="506"/>
    </row>
    <row r="124" spans="1:1" x14ac:dyDescent="0.45">
      <c r="A124" s="506"/>
    </row>
    <row r="125" spans="1:1" x14ac:dyDescent="0.45">
      <c r="A125" s="506"/>
    </row>
    <row r="126" spans="1:1" x14ac:dyDescent="0.45">
      <c r="A126" s="506"/>
    </row>
    <row r="127" spans="1:1" x14ac:dyDescent="0.45">
      <c r="A127" s="506"/>
    </row>
    <row r="128" spans="1:1" x14ac:dyDescent="0.45">
      <c r="A128" s="506"/>
    </row>
    <row r="129" spans="1:1" x14ac:dyDescent="0.45">
      <c r="A129" s="506"/>
    </row>
    <row r="130" spans="1:1" x14ac:dyDescent="0.45">
      <c r="A130" s="506"/>
    </row>
    <row r="131" spans="1:1" x14ac:dyDescent="0.45">
      <c r="A131" s="506"/>
    </row>
    <row r="132" spans="1:1" x14ac:dyDescent="0.45">
      <c r="A132" s="506"/>
    </row>
    <row r="133" spans="1:1" x14ac:dyDescent="0.45">
      <c r="A133" s="506"/>
    </row>
    <row r="134" spans="1:1" x14ac:dyDescent="0.45">
      <c r="A134" s="506"/>
    </row>
    <row r="135" spans="1:1" x14ac:dyDescent="0.45">
      <c r="A135" s="506"/>
    </row>
    <row r="136" spans="1:1" x14ac:dyDescent="0.45">
      <c r="A136" s="506"/>
    </row>
    <row r="137" spans="1:1" x14ac:dyDescent="0.45">
      <c r="A137" s="506"/>
    </row>
    <row r="138" spans="1:1" x14ac:dyDescent="0.45">
      <c r="A138" s="506"/>
    </row>
    <row r="139" spans="1:1" x14ac:dyDescent="0.45">
      <c r="A139" s="506"/>
    </row>
    <row r="140" spans="1:1" x14ac:dyDescent="0.45">
      <c r="A140" s="506"/>
    </row>
    <row r="141" spans="1:1" x14ac:dyDescent="0.45">
      <c r="A141" s="506"/>
    </row>
    <row r="142" spans="1:1" x14ac:dyDescent="0.45">
      <c r="A142" s="506"/>
    </row>
    <row r="143" spans="1:1" x14ac:dyDescent="0.45">
      <c r="A143" s="506"/>
    </row>
    <row r="144" spans="1:1" x14ac:dyDescent="0.45">
      <c r="A144" s="506"/>
    </row>
    <row r="145" spans="1:6" x14ac:dyDescent="0.45">
      <c r="A145" s="506"/>
    </row>
    <row r="146" spans="1:6" x14ac:dyDescent="0.45">
      <c r="A146" s="506"/>
    </row>
    <row r="147" spans="1:6" x14ac:dyDescent="0.45">
      <c r="A147" s="506"/>
    </row>
    <row r="148" spans="1:6" x14ac:dyDescent="0.45">
      <c r="A148" s="506"/>
    </row>
    <row r="149" spans="1:6" x14ac:dyDescent="0.45">
      <c r="A149" s="506"/>
    </row>
    <row r="150" spans="1:6" x14ac:dyDescent="0.45">
      <c r="A150" s="506"/>
    </row>
    <row r="151" spans="1:6" x14ac:dyDescent="0.45">
      <c r="A151" s="506"/>
    </row>
    <row r="152" spans="1:6" x14ac:dyDescent="0.45">
      <c r="A152" s="506"/>
    </row>
    <row r="153" spans="1:6" x14ac:dyDescent="0.45">
      <c r="A153" s="506"/>
    </row>
    <row r="154" spans="1:6" x14ac:dyDescent="0.45">
      <c r="A154" s="506"/>
      <c r="B154" s="496"/>
      <c r="C154" s="496"/>
      <c r="D154" s="496"/>
      <c r="E154" s="496"/>
      <c r="F154" s="496"/>
    </row>
    <row r="155" spans="1:6" x14ac:dyDescent="0.45">
      <c r="A155" s="506"/>
      <c r="B155" s="496"/>
      <c r="C155" s="496"/>
      <c r="D155" s="496"/>
      <c r="E155" s="496"/>
      <c r="F155" s="496"/>
    </row>
    <row r="160" spans="1:6" x14ac:dyDescent="0.45">
      <c r="A160" s="498"/>
      <c r="B160" s="496"/>
      <c r="C160" s="496"/>
      <c r="D160" s="496"/>
      <c r="E160" s="584"/>
      <c r="F160" s="584"/>
    </row>
  </sheetData>
  <mergeCells count="10">
    <mergeCell ref="B2:G2"/>
    <mergeCell ref="B3:G3"/>
    <mergeCell ref="B4:G4"/>
    <mergeCell ref="B5:G5"/>
    <mergeCell ref="B6:G6"/>
    <mergeCell ref="B44:G44"/>
    <mergeCell ref="B40:G40"/>
    <mergeCell ref="B41:G41"/>
    <mergeCell ref="B42:G42"/>
    <mergeCell ref="B43:G43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Roman,Bold"REVISED</oddHeader>
    <oddFooter>&amp;CPage 5.&amp;P&amp;R&amp;F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Q41"/>
  <sheetViews>
    <sheetView zoomScale="80" zoomScaleNormal="80" workbookViewId="0"/>
  </sheetViews>
  <sheetFormatPr defaultColWidth="9.19921875" defaultRowHeight="15.4" x14ac:dyDescent="0.45"/>
  <cols>
    <col min="1" max="1" width="5.265625" style="42" customWidth="1"/>
    <col min="2" max="2" width="12.53125" style="43" customWidth="1"/>
    <col min="3" max="3" width="20" style="43" customWidth="1"/>
    <col min="4" max="7" width="21.53125" style="43" customWidth="1"/>
    <col min="8" max="8" width="22.73046875" style="43" bestFit="1" customWidth="1"/>
    <col min="9" max="13" width="21.53125" style="43" customWidth="1"/>
    <col min="14" max="14" width="5.265625" style="42" customWidth="1"/>
    <col min="15" max="15" width="13.53125" style="43" customWidth="1"/>
    <col min="16" max="16" width="12.53125" style="43" customWidth="1"/>
    <col min="17" max="16384" width="9.19921875" style="43"/>
  </cols>
  <sheetData>
    <row r="1" spans="1:14" x14ac:dyDescent="0.45">
      <c r="I1" s="749"/>
      <c r="M1" s="44"/>
    </row>
    <row r="2" spans="1:14" x14ac:dyDescent="0.45">
      <c r="B2" s="954" t="s">
        <v>21</v>
      </c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954"/>
      <c r="N2" s="954"/>
    </row>
    <row r="3" spans="1:14" x14ac:dyDescent="0.4">
      <c r="B3" s="947" t="s">
        <v>349</v>
      </c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  <c r="N3" s="947"/>
    </row>
    <row r="4" spans="1:14" x14ac:dyDescent="0.4">
      <c r="B4" s="947" t="s">
        <v>243</v>
      </c>
      <c r="C4" s="947"/>
      <c r="D4" s="947"/>
      <c r="E4" s="947"/>
      <c r="F4" s="947"/>
      <c r="G4" s="947"/>
      <c r="H4" s="947"/>
      <c r="I4" s="947"/>
      <c r="J4" s="947"/>
      <c r="K4" s="947"/>
      <c r="L4" s="947"/>
      <c r="M4" s="947"/>
      <c r="N4" s="947"/>
    </row>
    <row r="5" spans="1:14" x14ac:dyDescent="0.4">
      <c r="B5" s="955" t="s">
        <v>607</v>
      </c>
      <c r="C5" s="955"/>
      <c r="D5" s="955"/>
      <c r="E5" s="955"/>
      <c r="F5" s="955"/>
      <c r="G5" s="955"/>
      <c r="H5" s="955"/>
      <c r="I5" s="955"/>
      <c r="J5" s="955"/>
      <c r="K5" s="955"/>
      <c r="L5" s="955"/>
      <c r="M5" s="955"/>
      <c r="N5" s="955"/>
    </row>
    <row r="6" spans="1:14" x14ac:dyDescent="0.45">
      <c r="B6" s="956" t="s">
        <v>1</v>
      </c>
      <c r="C6" s="956"/>
      <c r="D6" s="956"/>
      <c r="E6" s="956"/>
      <c r="F6" s="956"/>
      <c r="G6" s="956"/>
      <c r="H6" s="956"/>
      <c r="I6" s="956"/>
      <c r="J6" s="956"/>
      <c r="K6" s="956"/>
      <c r="L6" s="956"/>
      <c r="M6" s="956"/>
      <c r="N6" s="748"/>
    </row>
    <row r="7" spans="1:14" x14ac:dyDescent="0.45">
      <c r="A7" s="748"/>
      <c r="B7" s="748"/>
      <c r="C7" s="748"/>
      <c r="D7" s="748"/>
      <c r="E7" s="748"/>
      <c r="F7" s="748"/>
      <c r="G7" s="748"/>
      <c r="H7" s="748"/>
      <c r="I7" s="748"/>
      <c r="J7" s="748"/>
      <c r="K7" s="748"/>
      <c r="L7" s="748"/>
      <c r="M7" s="748"/>
      <c r="N7" s="748"/>
    </row>
    <row r="8" spans="1:14" x14ac:dyDescent="0.45">
      <c r="A8" s="42" t="s">
        <v>2</v>
      </c>
      <c r="B8" s="60"/>
      <c r="E8" s="49"/>
      <c r="F8" s="189"/>
      <c r="G8" s="189"/>
      <c r="N8" s="42" t="s">
        <v>2</v>
      </c>
    </row>
    <row r="9" spans="1:14" x14ac:dyDescent="0.45">
      <c r="A9" s="42" t="s">
        <v>6</v>
      </c>
      <c r="B9" s="60"/>
      <c r="E9" s="49"/>
      <c r="F9" s="189"/>
      <c r="G9" s="189"/>
      <c r="N9" s="42" t="s">
        <v>6</v>
      </c>
    </row>
    <row r="10" spans="1:14" ht="15.75" x14ac:dyDescent="0.5">
      <c r="A10" s="42">
        <v>1</v>
      </c>
      <c r="D10" s="28" t="s">
        <v>16</v>
      </c>
      <c r="E10" s="49"/>
      <c r="I10" s="28" t="s">
        <v>16</v>
      </c>
      <c r="J10" s="360"/>
      <c r="K10" s="28" t="s">
        <v>16</v>
      </c>
      <c r="L10" s="28" t="s">
        <v>16</v>
      </c>
      <c r="M10" s="28" t="s">
        <v>16</v>
      </c>
      <c r="N10" s="42">
        <v>1</v>
      </c>
    </row>
    <row r="11" spans="1:14" x14ac:dyDescent="0.45">
      <c r="A11" s="42">
        <f t="shared" ref="A11:A31" si="0">A10+1</f>
        <v>2</v>
      </c>
      <c r="C11" s="361" t="s">
        <v>244</v>
      </c>
      <c r="D11" s="361" t="s">
        <v>245</v>
      </c>
      <c r="E11" s="361" t="s">
        <v>246</v>
      </c>
      <c r="F11" s="361" t="s">
        <v>247</v>
      </c>
      <c r="G11" s="361" t="s">
        <v>248</v>
      </c>
      <c r="H11" s="361" t="s">
        <v>249</v>
      </c>
      <c r="I11" s="361" t="s">
        <v>250</v>
      </c>
      <c r="J11" s="361" t="s">
        <v>251</v>
      </c>
      <c r="K11" s="361" t="s">
        <v>252</v>
      </c>
      <c r="L11" s="361" t="s">
        <v>253</v>
      </c>
      <c r="M11" s="361" t="s">
        <v>254</v>
      </c>
      <c r="N11" s="42">
        <f t="shared" ref="N11:N31" si="1">N10+1</f>
        <v>2</v>
      </c>
    </row>
    <row r="12" spans="1:14" x14ac:dyDescent="0.45">
      <c r="A12" s="42">
        <f t="shared" si="0"/>
        <v>3</v>
      </c>
      <c r="B12" s="49" t="s">
        <v>255</v>
      </c>
      <c r="C12" s="42"/>
      <c r="D12" s="42"/>
      <c r="E12" s="42"/>
      <c r="F12" s="42" t="str">
        <f>"= "&amp;F11&amp;"; Line "&amp;A31&amp;" / 12"</f>
        <v>= Col. 4; Line 22 / 12</v>
      </c>
      <c r="G12" s="42"/>
      <c r="H12" s="76" t="str">
        <f>"= Sum "&amp;E11&amp;" thru "&amp;G11</f>
        <v>= Sum Col. 3 thru Col. 5</v>
      </c>
      <c r="I12" s="76" t="str">
        <f>"= "&amp;D11&amp;" - "&amp;H11</f>
        <v>= Col. 2 - Col. 6</v>
      </c>
      <c r="J12" s="42"/>
      <c r="K12" s="42" t="str">
        <f>"See Footnote "&amp;A40</f>
        <v>See Footnote 6</v>
      </c>
      <c r="L12" s="42" t="str">
        <f>"See Footnote "&amp;A41</f>
        <v>See Footnote 7</v>
      </c>
      <c r="M12" s="76" t="str">
        <f>"= "&amp;K11&amp;" + "&amp;L11</f>
        <v>= Col. 9 + Col. 10</v>
      </c>
      <c r="N12" s="42">
        <f t="shared" si="1"/>
        <v>3</v>
      </c>
    </row>
    <row r="13" spans="1:14" x14ac:dyDescent="0.45">
      <c r="A13" s="42">
        <f t="shared" si="0"/>
        <v>4</v>
      </c>
      <c r="B13" s="49"/>
      <c r="C13" s="42"/>
      <c r="D13" s="42"/>
      <c r="E13" s="42"/>
      <c r="F13" s="42"/>
      <c r="G13" s="42"/>
      <c r="H13" s="76"/>
      <c r="I13" s="76"/>
      <c r="J13" s="42"/>
      <c r="K13" s="42"/>
      <c r="L13" s="42"/>
      <c r="M13" s="76"/>
      <c r="N13" s="42">
        <f t="shared" si="1"/>
        <v>4</v>
      </c>
    </row>
    <row r="14" spans="1:14" x14ac:dyDescent="0.45">
      <c r="A14" s="42">
        <f t="shared" si="0"/>
        <v>5</v>
      </c>
      <c r="C14" s="361"/>
      <c r="H14" s="748"/>
      <c r="K14" s="748" t="s">
        <v>256</v>
      </c>
      <c r="M14" s="748" t="s">
        <v>256</v>
      </c>
      <c r="N14" s="42">
        <f t="shared" si="1"/>
        <v>5</v>
      </c>
    </row>
    <row r="15" spans="1:14" x14ac:dyDescent="0.45">
      <c r="A15" s="42">
        <f t="shared" si="0"/>
        <v>6</v>
      </c>
      <c r="C15" s="361"/>
      <c r="F15" s="748"/>
      <c r="G15" s="748"/>
      <c r="H15" s="748"/>
      <c r="I15" s="748" t="s">
        <v>257</v>
      </c>
      <c r="J15" s="748"/>
      <c r="K15" s="748" t="s">
        <v>258</v>
      </c>
      <c r="M15" s="748" t="s">
        <v>258</v>
      </c>
      <c r="N15" s="42">
        <f t="shared" si="1"/>
        <v>6</v>
      </c>
    </row>
    <row r="16" spans="1:14" x14ac:dyDescent="0.45">
      <c r="A16" s="42">
        <f t="shared" si="0"/>
        <v>7</v>
      </c>
      <c r="C16" s="748"/>
      <c r="D16" s="748" t="s">
        <v>257</v>
      </c>
      <c r="E16" s="748" t="s">
        <v>257</v>
      </c>
      <c r="F16" s="748" t="s">
        <v>259</v>
      </c>
      <c r="G16" s="748"/>
      <c r="H16" s="748" t="s">
        <v>260</v>
      </c>
      <c r="I16" s="748" t="s">
        <v>258</v>
      </c>
      <c r="J16" s="748" t="s">
        <v>257</v>
      </c>
      <c r="K16" s="748" t="s">
        <v>261</v>
      </c>
      <c r="M16" s="748" t="s">
        <v>261</v>
      </c>
      <c r="N16" s="42">
        <f t="shared" si="1"/>
        <v>7</v>
      </c>
    </row>
    <row r="17" spans="1:17" x14ac:dyDescent="0.45">
      <c r="A17" s="42">
        <f t="shared" si="0"/>
        <v>8</v>
      </c>
      <c r="C17" s="748"/>
      <c r="D17" s="748" t="s">
        <v>262</v>
      </c>
      <c r="E17" s="748" t="s">
        <v>262</v>
      </c>
      <c r="F17" s="748" t="s">
        <v>262</v>
      </c>
      <c r="G17" s="748" t="s">
        <v>263</v>
      </c>
      <c r="H17" s="748" t="s">
        <v>262</v>
      </c>
      <c r="I17" s="748" t="s">
        <v>261</v>
      </c>
      <c r="J17" s="748" t="s">
        <v>264</v>
      </c>
      <c r="K17" s="748" t="s">
        <v>265</v>
      </c>
      <c r="L17" s="748"/>
      <c r="M17" s="748" t="s">
        <v>265</v>
      </c>
      <c r="N17" s="42">
        <f t="shared" si="1"/>
        <v>8</v>
      </c>
    </row>
    <row r="18" spans="1:17" ht="17.25" x14ac:dyDescent="0.45">
      <c r="A18" s="42">
        <f t="shared" si="0"/>
        <v>9</v>
      </c>
      <c r="B18" s="362" t="s">
        <v>266</v>
      </c>
      <c r="C18" s="362" t="s">
        <v>267</v>
      </c>
      <c r="D18" s="189" t="s">
        <v>268</v>
      </c>
      <c r="E18" s="189" t="s">
        <v>269</v>
      </c>
      <c r="F18" s="189" t="s">
        <v>270</v>
      </c>
      <c r="G18" s="189" t="s">
        <v>271</v>
      </c>
      <c r="H18" s="189" t="s">
        <v>272</v>
      </c>
      <c r="I18" s="189" t="s">
        <v>265</v>
      </c>
      <c r="J18" s="189" t="s">
        <v>273</v>
      </c>
      <c r="K18" s="189" t="s">
        <v>274</v>
      </c>
      <c r="L18" s="189" t="s">
        <v>264</v>
      </c>
      <c r="M18" s="189" t="s">
        <v>275</v>
      </c>
      <c r="N18" s="42">
        <f t="shared" si="1"/>
        <v>9</v>
      </c>
    </row>
    <row r="19" spans="1:17" x14ac:dyDescent="0.45">
      <c r="A19" s="42">
        <f t="shared" si="0"/>
        <v>10</v>
      </c>
      <c r="B19" s="152" t="s">
        <v>276</v>
      </c>
      <c r="C19" s="363" t="str">
        <f>RIGHT(B5,4)</f>
        <v>2019</v>
      </c>
      <c r="D19" s="187">
        <f>'Pg3 Revised Appendix X C9'!C40</f>
        <v>325.20117595855947</v>
      </c>
      <c r="E19" s="488">
        <v>214.31790862074178</v>
      </c>
      <c r="F19" s="488">
        <v>-111.52199563095193</v>
      </c>
      <c r="G19" s="488">
        <v>80.109298496661268</v>
      </c>
      <c r="H19" s="317">
        <f>SUM(E19:G19)</f>
        <v>182.90521148645109</v>
      </c>
      <c r="I19" s="489">
        <f>D19-H19</f>
        <v>142.29596447210838</v>
      </c>
      <c r="J19" s="364">
        <v>4.4000000000000003E-3</v>
      </c>
      <c r="K19" s="490">
        <f>I19</f>
        <v>142.29596447210838</v>
      </c>
      <c r="L19" s="365">
        <f>(I19/2)*J19</f>
        <v>0.31305112183863848</v>
      </c>
      <c r="M19" s="491">
        <f t="shared" ref="M19:M29" si="2">K19+L19</f>
        <v>142.60901559394702</v>
      </c>
      <c r="N19" s="42">
        <f t="shared" si="1"/>
        <v>10</v>
      </c>
      <c r="O19" s="41"/>
    </row>
    <row r="20" spans="1:17" x14ac:dyDescent="0.45">
      <c r="A20" s="42">
        <f t="shared" si="0"/>
        <v>11</v>
      </c>
      <c r="B20" s="152" t="s">
        <v>277</v>
      </c>
      <c r="C20" s="363" t="str">
        <f>C19</f>
        <v>2019</v>
      </c>
      <c r="D20" s="371">
        <f>$D$19</f>
        <v>325.20117595855947</v>
      </c>
      <c r="E20" s="172">
        <v>214.31790862074178</v>
      </c>
      <c r="F20" s="172">
        <v>-111.52199563095193</v>
      </c>
      <c r="G20" s="172">
        <v>80.109298496661268</v>
      </c>
      <c r="H20" s="242">
        <f>SUM(E20:G20)</f>
        <v>182.90521148645109</v>
      </c>
      <c r="I20" s="368">
        <f t="shared" ref="I20:I30" si="3">D20-H20</f>
        <v>142.29596447210838</v>
      </c>
      <c r="J20" s="364">
        <v>4.0000000000000001E-3</v>
      </c>
      <c r="K20" s="369">
        <f>M19+I20</f>
        <v>284.90498006605537</v>
      </c>
      <c r="L20" s="366">
        <f t="shared" ref="L20:L30" si="4">(M19+K20)/2*J20</f>
        <v>0.85502799132000473</v>
      </c>
      <c r="M20" s="370">
        <f t="shared" si="2"/>
        <v>285.76000805737539</v>
      </c>
      <c r="N20" s="42">
        <f t="shared" si="1"/>
        <v>11</v>
      </c>
      <c r="O20" s="188"/>
    </row>
    <row r="21" spans="1:17" x14ac:dyDescent="0.45">
      <c r="A21" s="42">
        <f t="shared" si="0"/>
        <v>12</v>
      </c>
      <c r="B21" s="152" t="s">
        <v>278</v>
      </c>
      <c r="C21" s="363" t="str">
        <f>C19</f>
        <v>2019</v>
      </c>
      <c r="D21" s="371">
        <f t="shared" ref="D21:D30" si="5">$D$19</f>
        <v>325.20117595855947</v>
      </c>
      <c r="E21" s="172">
        <v>214.31790862074178</v>
      </c>
      <c r="F21" s="172">
        <v>-111.52199563095193</v>
      </c>
      <c r="G21" s="172">
        <v>80.109298496661268</v>
      </c>
      <c r="H21" s="242">
        <f t="shared" ref="H21:H29" si="6">SUM(E21:G21)</f>
        <v>182.90521148645109</v>
      </c>
      <c r="I21" s="368">
        <f t="shared" si="3"/>
        <v>142.29596447210838</v>
      </c>
      <c r="J21" s="364">
        <v>4.4000000000000003E-3</v>
      </c>
      <c r="K21" s="369">
        <f t="shared" ref="K21:K29" si="7">M20+I21</f>
        <v>428.05597252948377</v>
      </c>
      <c r="L21" s="366">
        <f>(M20+K21)/2*J21</f>
        <v>1.5703951572910901</v>
      </c>
      <c r="M21" s="370">
        <f t="shared" si="2"/>
        <v>429.62636768677487</v>
      </c>
      <c r="N21" s="42">
        <f t="shared" si="1"/>
        <v>12</v>
      </c>
      <c r="O21" s="188"/>
    </row>
    <row r="22" spans="1:17" x14ac:dyDescent="0.45">
      <c r="A22" s="42">
        <f t="shared" si="0"/>
        <v>13</v>
      </c>
      <c r="B22" s="152" t="s">
        <v>279</v>
      </c>
      <c r="C22" s="363" t="str">
        <f>C19</f>
        <v>2019</v>
      </c>
      <c r="D22" s="371">
        <f t="shared" si="5"/>
        <v>325.20117595855947</v>
      </c>
      <c r="E22" s="172">
        <v>214.31790862074178</v>
      </c>
      <c r="F22" s="172">
        <v>-111.52199563095193</v>
      </c>
      <c r="G22" s="172">
        <v>80.109298496661268</v>
      </c>
      <c r="H22" s="242">
        <f t="shared" si="6"/>
        <v>182.90521148645109</v>
      </c>
      <c r="I22" s="368">
        <f>D22-H22</f>
        <v>142.29596447210838</v>
      </c>
      <c r="J22" s="364">
        <v>4.4999999999999997E-3</v>
      </c>
      <c r="K22" s="369">
        <f t="shared" si="7"/>
        <v>571.92233215888325</v>
      </c>
      <c r="L22" s="366">
        <f>(M21+K22)/2*J22</f>
        <v>2.2534845746527306</v>
      </c>
      <c r="M22" s="370">
        <f t="shared" si="2"/>
        <v>574.17581673353595</v>
      </c>
      <c r="N22" s="42">
        <f t="shared" si="1"/>
        <v>13</v>
      </c>
      <c r="O22" s="188"/>
      <c r="Q22" s="367"/>
    </row>
    <row r="23" spans="1:17" x14ac:dyDescent="0.45">
      <c r="A23" s="42">
        <f t="shared" si="0"/>
        <v>14</v>
      </c>
      <c r="B23" s="152" t="s">
        <v>280</v>
      </c>
      <c r="C23" s="363" t="str">
        <f>C19</f>
        <v>2019</v>
      </c>
      <c r="D23" s="371">
        <f t="shared" si="5"/>
        <v>325.20117595855947</v>
      </c>
      <c r="E23" s="172">
        <v>214.31790862074178</v>
      </c>
      <c r="F23" s="172">
        <v>-111.52199563095193</v>
      </c>
      <c r="G23" s="172">
        <v>80.109298496661268</v>
      </c>
      <c r="H23" s="242">
        <f t="shared" si="6"/>
        <v>182.90521148645109</v>
      </c>
      <c r="I23" s="368">
        <f t="shared" si="3"/>
        <v>142.29596447210838</v>
      </c>
      <c r="J23" s="364">
        <v>4.5999999999999999E-3</v>
      </c>
      <c r="K23" s="369">
        <f t="shared" si="7"/>
        <v>716.47178120564433</v>
      </c>
      <c r="L23" s="366">
        <f t="shared" si="4"/>
        <v>2.9684894752601148</v>
      </c>
      <c r="M23" s="370">
        <f t="shared" si="2"/>
        <v>719.4402706809044</v>
      </c>
      <c r="N23" s="42">
        <f t="shared" si="1"/>
        <v>14</v>
      </c>
      <c r="O23" s="188"/>
    </row>
    <row r="24" spans="1:17" x14ac:dyDescent="0.45">
      <c r="A24" s="42">
        <f t="shared" si="0"/>
        <v>15</v>
      </c>
      <c r="B24" s="152" t="s">
        <v>281</v>
      </c>
      <c r="C24" s="363" t="str">
        <f>C19</f>
        <v>2019</v>
      </c>
      <c r="D24" s="371">
        <f t="shared" si="5"/>
        <v>325.20117595855947</v>
      </c>
      <c r="E24" s="39">
        <v>288.95415264480692</v>
      </c>
      <c r="F24" s="39">
        <v>-84.485757445093</v>
      </c>
      <c r="G24" s="39">
        <v>0</v>
      </c>
      <c r="H24" s="242">
        <f>SUM(E24:G24)</f>
        <v>204.46839519971394</v>
      </c>
      <c r="I24" s="368">
        <f t="shared" si="3"/>
        <v>120.73278075884554</v>
      </c>
      <c r="J24" s="364">
        <v>4.4999999999999997E-3</v>
      </c>
      <c r="K24" s="369">
        <f t="shared" si="7"/>
        <v>840.17305143975</v>
      </c>
      <c r="L24" s="366">
        <f>(M23+K24)/2*J24</f>
        <v>3.5091299747714721</v>
      </c>
      <c r="M24" s="370">
        <f t="shared" si="2"/>
        <v>843.68218141452144</v>
      </c>
      <c r="N24" s="42">
        <f t="shared" si="1"/>
        <v>15</v>
      </c>
      <c r="O24" s="188"/>
    </row>
    <row r="25" spans="1:17" x14ac:dyDescent="0.45">
      <c r="A25" s="42">
        <f t="shared" si="0"/>
        <v>16</v>
      </c>
      <c r="B25" s="152" t="s">
        <v>282</v>
      </c>
      <c r="C25" s="363" t="str">
        <f>C19</f>
        <v>2019</v>
      </c>
      <c r="D25" s="371">
        <f t="shared" si="5"/>
        <v>325.20117595855947</v>
      </c>
      <c r="E25" s="172">
        <v>288.95415264480692</v>
      </c>
      <c r="F25" s="172">
        <v>-84.485757445093</v>
      </c>
      <c r="G25" s="172">
        <v>0</v>
      </c>
      <c r="H25" s="242">
        <f t="shared" si="6"/>
        <v>204.46839519971394</v>
      </c>
      <c r="I25" s="368">
        <f t="shared" si="3"/>
        <v>120.73278075884554</v>
      </c>
      <c r="J25" s="364">
        <v>4.7000000000000002E-3</v>
      </c>
      <c r="K25" s="369">
        <f t="shared" si="7"/>
        <v>964.41496217336703</v>
      </c>
      <c r="L25" s="366">
        <f t="shared" si="4"/>
        <v>4.2490282874315382</v>
      </c>
      <c r="M25" s="370">
        <f t="shared" si="2"/>
        <v>968.66399046079857</v>
      </c>
      <c r="N25" s="42">
        <f t="shared" si="1"/>
        <v>16</v>
      </c>
      <c r="O25" s="188"/>
    </row>
    <row r="26" spans="1:17" x14ac:dyDescent="0.45">
      <c r="A26" s="42">
        <f t="shared" si="0"/>
        <v>17</v>
      </c>
      <c r="B26" s="152" t="s">
        <v>283</v>
      </c>
      <c r="C26" s="363" t="str">
        <f>C19</f>
        <v>2019</v>
      </c>
      <c r="D26" s="371">
        <f t="shared" si="5"/>
        <v>325.20117595855947</v>
      </c>
      <c r="E26" s="172">
        <v>288.95415264480692</v>
      </c>
      <c r="F26" s="172">
        <v>-84.485757445093</v>
      </c>
      <c r="G26" s="172">
        <v>0</v>
      </c>
      <c r="H26" s="242">
        <f t="shared" si="6"/>
        <v>204.46839519971394</v>
      </c>
      <c r="I26" s="368">
        <f t="shared" si="3"/>
        <v>120.73278075884554</v>
      </c>
      <c r="J26" s="364">
        <v>4.7000000000000002E-3</v>
      </c>
      <c r="K26" s="369">
        <f t="shared" si="7"/>
        <v>1089.3967712196441</v>
      </c>
      <c r="L26" s="366">
        <f t="shared" si="4"/>
        <v>4.8364427899490403</v>
      </c>
      <c r="M26" s="370">
        <f t="shared" si="2"/>
        <v>1094.233214009593</v>
      </c>
      <c r="N26" s="42">
        <f t="shared" si="1"/>
        <v>17</v>
      </c>
      <c r="O26" s="188"/>
    </row>
    <row r="27" spans="1:17" x14ac:dyDescent="0.45">
      <c r="A27" s="42">
        <f t="shared" si="0"/>
        <v>18</v>
      </c>
      <c r="B27" s="152" t="s">
        <v>284</v>
      </c>
      <c r="C27" s="363" t="str">
        <f>C19</f>
        <v>2019</v>
      </c>
      <c r="D27" s="371">
        <f t="shared" si="5"/>
        <v>325.20117595855947</v>
      </c>
      <c r="E27" s="172">
        <v>288.95415264480692</v>
      </c>
      <c r="F27" s="172">
        <v>-84.485757445093</v>
      </c>
      <c r="G27" s="172">
        <v>0</v>
      </c>
      <c r="H27" s="242">
        <f t="shared" si="6"/>
        <v>204.46839519971394</v>
      </c>
      <c r="I27" s="368">
        <f t="shared" si="3"/>
        <v>120.73278075884554</v>
      </c>
      <c r="J27" s="364">
        <v>4.4999999999999997E-3</v>
      </c>
      <c r="K27" s="369">
        <f t="shared" si="7"/>
        <v>1214.9659947684386</v>
      </c>
      <c r="L27" s="366">
        <f t="shared" si="4"/>
        <v>5.1956982197505708</v>
      </c>
      <c r="M27" s="370">
        <f t="shared" si="2"/>
        <v>1220.1616929881891</v>
      </c>
      <c r="N27" s="42">
        <f t="shared" si="1"/>
        <v>18</v>
      </c>
      <c r="O27" s="188"/>
    </row>
    <row r="28" spans="1:17" x14ac:dyDescent="0.45">
      <c r="A28" s="42">
        <f t="shared" si="0"/>
        <v>19</v>
      </c>
      <c r="B28" s="152" t="s">
        <v>285</v>
      </c>
      <c r="C28" s="363" t="str">
        <f>C19</f>
        <v>2019</v>
      </c>
      <c r="D28" s="371">
        <f t="shared" si="5"/>
        <v>325.20117595855947</v>
      </c>
      <c r="E28" s="172">
        <v>288.95415264480692</v>
      </c>
      <c r="F28" s="172">
        <v>-84.485757445093</v>
      </c>
      <c r="G28" s="172">
        <v>0</v>
      </c>
      <c r="H28" s="242">
        <f t="shared" si="6"/>
        <v>204.46839519971394</v>
      </c>
      <c r="I28" s="368">
        <f t="shared" si="3"/>
        <v>120.73278075884554</v>
      </c>
      <c r="J28" s="364">
        <v>4.5999999999999999E-3</v>
      </c>
      <c r="K28" s="369">
        <f t="shared" si="7"/>
        <v>1340.8944737470347</v>
      </c>
      <c r="L28" s="366">
        <f t="shared" si="4"/>
        <v>5.8904291834910154</v>
      </c>
      <c r="M28" s="370">
        <f t="shared" si="2"/>
        <v>1346.7849029305257</v>
      </c>
      <c r="N28" s="42">
        <f t="shared" si="1"/>
        <v>19</v>
      </c>
      <c r="O28" s="188"/>
    </row>
    <row r="29" spans="1:17" x14ac:dyDescent="0.45">
      <c r="A29" s="42">
        <f t="shared" si="0"/>
        <v>20</v>
      </c>
      <c r="B29" s="152" t="s">
        <v>286</v>
      </c>
      <c r="C29" s="363" t="str">
        <f>C19</f>
        <v>2019</v>
      </c>
      <c r="D29" s="371">
        <f t="shared" si="5"/>
        <v>325.20117595855947</v>
      </c>
      <c r="E29" s="172">
        <v>288.95415264480692</v>
      </c>
      <c r="F29" s="172">
        <v>-84.485757445093</v>
      </c>
      <c r="G29" s="172">
        <v>0</v>
      </c>
      <c r="H29" s="242">
        <f t="shared" si="6"/>
        <v>204.46839519971394</v>
      </c>
      <c r="I29" s="368">
        <f t="shared" si="3"/>
        <v>120.73278075884554</v>
      </c>
      <c r="J29" s="364">
        <v>4.4999999999999997E-3</v>
      </c>
      <c r="K29" s="369">
        <f t="shared" si="7"/>
        <v>1467.5176836893713</v>
      </c>
      <c r="L29" s="366">
        <f t="shared" si="4"/>
        <v>6.3321808198947673</v>
      </c>
      <c r="M29" s="370">
        <f t="shared" si="2"/>
        <v>1473.8498645092661</v>
      </c>
      <c r="N29" s="42">
        <f t="shared" si="1"/>
        <v>20</v>
      </c>
      <c r="O29" s="188"/>
    </row>
    <row r="30" spans="1:17" x14ac:dyDescent="0.45">
      <c r="A30" s="42">
        <f t="shared" si="0"/>
        <v>21</v>
      </c>
      <c r="B30" s="372" t="s">
        <v>287</v>
      </c>
      <c r="C30" s="373" t="str">
        <f>C19</f>
        <v>2019</v>
      </c>
      <c r="D30" s="380">
        <f t="shared" si="5"/>
        <v>325.20117595855947</v>
      </c>
      <c r="E30" s="172">
        <v>288.95415264480692</v>
      </c>
      <c r="F30" s="172">
        <v>-84.485757445093</v>
      </c>
      <c r="G30" s="172">
        <v>0</v>
      </c>
      <c r="H30" s="375">
        <f>SUM(E30:G30)</f>
        <v>204.46839519971394</v>
      </c>
      <c r="I30" s="376">
        <f t="shared" si="3"/>
        <v>120.73278075884554</v>
      </c>
      <c r="J30" s="377">
        <v>4.5999999999999999E-3</v>
      </c>
      <c r="K30" s="378">
        <f>M29+I30</f>
        <v>1594.5826452681117</v>
      </c>
      <c r="L30" s="379">
        <f t="shared" si="4"/>
        <v>7.0573947724879691</v>
      </c>
      <c r="M30" s="380">
        <f>K30+L30</f>
        <v>1601.6400400405996</v>
      </c>
      <c r="N30" s="42">
        <f t="shared" si="1"/>
        <v>21</v>
      </c>
      <c r="O30" s="188"/>
    </row>
    <row r="31" spans="1:17" ht="15.75" thickBot="1" x14ac:dyDescent="0.5">
      <c r="A31" s="42">
        <f t="shared" si="0"/>
        <v>22</v>
      </c>
      <c r="D31" s="381">
        <f t="shared" ref="D31:I31" si="8">SUM(D19:D30)</f>
        <v>3902.4141115027128</v>
      </c>
      <c r="E31" s="382">
        <f>SUM(E19:E30)</f>
        <v>3094.2686116173577</v>
      </c>
      <c r="F31" s="382">
        <f t="shared" si="8"/>
        <v>-1149.0102802704107</v>
      </c>
      <c r="G31" s="382">
        <f t="shared" si="8"/>
        <v>400.54649248330634</v>
      </c>
      <c r="H31" s="382">
        <f t="shared" si="8"/>
        <v>2345.8048238302531</v>
      </c>
      <c r="I31" s="381">
        <f t="shared" si="8"/>
        <v>1556.6092876724611</v>
      </c>
      <c r="J31" s="383"/>
      <c r="K31" s="384"/>
      <c r="L31" s="381">
        <f>SUM(L19:L30)</f>
        <v>45.030752368138948</v>
      </c>
      <c r="M31" s="384"/>
      <c r="N31" s="42">
        <f t="shared" si="1"/>
        <v>22</v>
      </c>
    </row>
    <row r="32" spans="1:17" ht="15.75" thickTop="1" x14ac:dyDescent="0.45">
      <c r="D32" s="385"/>
      <c r="E32" s="385"/>
      <c r="F32" s="385"/>
      <c r="G32" s="385"/>
      <c r="H32" s="385"/>
      <c r="I32" s="385"/>
      <c r="J32" s="385"/>
      <c r="K32" s="385"/>
      <c r="L32" s="385"/>
      <c r="M32" s="385"/>
    </row>
    <row r="33" spans="1:7" ht="15.75" x14ac:dyDescent="0.5">
      <c r="A33" s="467" t="s">
        <v>16</v>
      </c>
      <c r="B33" s="26" t="s">
        <v>350</v>
      </c>
      <c r="F33" s="386"/>
      <c r="G33" s="386"/>
    </row>
    <row r="34" spans="1:7" ht="17.25" x14ac:dyDescent="0.45">
      <c r="A34" s="387">
        <v>1</v>
      </c>
      <c r="B34" s="43" t="s">
        <v>700</v>
      </c>
      <c r="F34" s="386"/>
      <c r="G34" s="386"/>
    </row>
    <row r="35" spans="1:7" ht="17.25" x14ac:dyDescent="0.45">
      <c r="A35" s="387">
        <v>2</v>
      </c>
      <c r="B35" s="43" t="s">
        <v>288</v>
      </c>
    </row>
    <row r="36" spans="1:7" ht="17.25" x14ac:dyDescent="0.45">
      <c r="A36" s="387">
        <v>3</v>
      </c>
      <c r="B36" s="43" t="s">
        <v>289</v>
      </c>
    </row>
    <row r="37" spans="1:7" ht="17.25" x14ac:dyDescent="0.45">
      <c r="A37" s="387">
        <v>4</v>
      </c>
      <c r="B37" s="43" t="s">
        <v>290</v>
      </c>
    </row>
    <row r="38" spans="1:7" ht="17.25" x14ac:dyDescent="0.45">
      <c r="A38" s="387"/>
      <c r="B38" s="43" t="s">
        <v>291</v>
      </c>
    </row>
    <row r="39" spans="1:7" ht="17.25" x14ac:dyDescent="0.45">
      <c r="A39" s="387">
        <v>5</v>
      </c>
      <c r="B39" s="43" t="s">
        <v>292</v>
      </c>
      <c r="C39" s="749"/>
    </row>
    <row r="40" spans="1:7" ht="17.25" x14ac:dyDescent="0.45">
      <c r="A40" s="387">
        <v>6</v>
      </c>
      <c r="B40" s="43" t="s">
        <v>293</v>
      </c>
    </row>
    <row r="41" spans="1:7" ht="17.25" x14ac:dyDescent="0.45">
      <c r="A41" s="387">
        <v>7</v>
      </c>
      <c r="B41" s="43" t="s">
        <v>294</v>
      </c>
    </row>
  </sheetData>
  <mergeCells count="5">
    <mergeCell ref="B2:N2"/>
    <mergeCell ref="B3:N3"/>
    <mergeCell ref="B4:N4"/>
    <mergeCell ref="B5:N5"/>
    <mergeCell ref="B6:M6"/>
  </mergeCells>
  <printOptions horizontalCentered="1"/>
  <pageMargins left="0.25" right="0.25" top="0.5" bottom="0.5" header="0.4" footer="0.25"/>
  <pageSetup scale="51" orientation="landscape" r:id="rId1"/>
  <headerFooter scaleWithDoc="0" alignWithMargins="0">
    <oddHeader>&amp;C&amp;"Times New Roman,Bold"&amp;10REVISED</oddHeader>
    <oddFooter>&amp;CPage 6&amp;R&amp;F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74A3-063A-4426-8536-7CE90DF9A527}">
  <sheetPr>
    <pageSetUpPr fitToPage="1"/>
  </sheetPr>
  <dimension ref="A1:N36"/>
  <sheetViews>
    <sheetView zoomScale="80" zoomScaleNormal="80" workbookViewId="0"/>
  </sheetViews>
  <sheetFormatPr defaultColWidth="8.796875" defaultRowHeight="15.4" x14ac:dyDescent="0.45"/>
  <cols>
    <col min="1" max="1" width="5.265625" style="751" bestFit="1" customWidth="1"/>
    <col min="2" max="2" width="67.53125" style="142" customWidth="1"/>
    <col min="3" max="3" width="24" style="751" customWidth="1"/>
    <col min="4" max="4" width="1.53125" style="142" customWidth="1"/>
    <col min="5" max="5" width="16.796875" style="142" customWidth="1"/>
    <col min="6" max="6" width="1.53125" style="142" customWidth="1"/>
    <col min="7" max="7" width="16.796875" style="142" customWidth="1"/>
    <col min="8" max="8" width="1.53125" style="142" customWidth="1"/>
    <col min="9" max="9" width="16.796875" style="142" customWidth="1"/>
    <col min="10" max="10" width="1.53125" style="142" customWidth="1"/>
    <col min="11" max="11" width="34.53125" style="142" customWidth="1"/>
    <col min="12" max="12" width="5.265625" style="142" bestFit="1" customWidth="1"/>
    <col min="13" max="13" width="8.796875" style="142"/>
    <col min="14" max="14" width="33.46484375" style="142" customWidth="1"/>
    <col min="15" max="16384" width="8.796875" style="142"/>
  </cols>
  <sheetData>
    <row r="1" spans="1:14" x14ac:dyDescent="0.45">
      <c r="H1" s="751"/>
      <c r="I1" s="751"/>
      <c r="J1" s="751"/>
      <c r="K1" s="751"/>
      <c r="L1" s="751"/>
    </row>
    <row r="2" spans="1:14" x14ac:dyDescent="0.45">
      <c r="B2" s="957" t="s">
        <v>21</v>
      </c>
      <c r="C2" s="957"/>
      <c r="D2" s="957"/>
      <c r="E2" s="957"/>
      <c r="F2" s="957"/>
      <c r="G2" s="957"/>
      <c r="H2" s="957"/>
      <c r="I2" s="957"/>
      <c r="J2" s="957"/>
      <c r="K2" s="957"/>
      <c r="L2" s="751"/>
    </row>
    <row r="3" spans="1:14" x14ac:dyDescent="0.45">
      <c r="B3" s="957" t="s">
        <v>510</v>
      </c>
      <c r="C3" s="957"/>
      <c r="D3" s="957"/>
      <c r="E3" s="957"/>
      <c r="F3" s="957"/>
      <c r="G3" s="957"/>
      <c r="H3" s="957"/>
      <c r="I3" s="957"/>
      <c r="J3" s="957"/>
      <c r="K3" s="957"/>
      <c r="L3" s="751"/>
    </row>
    <row r="4" spans="1:14" x14ac:dyDescent="0.45">
      <c r="B4" s="957" t="s">
        <v>511</v>
      </c>
      <c r="C4" s="957"/>
      <c r="D4" s="957"/>
      <c r="E4" s="957"/>
      <c r="F4" s="957"/>
      <c r="G4" s="957"/>
      <c r="H4" s="957"/>
      <c r="I4" s="957"/>
      <c r="J4" s="957"/>
      <c r="K4" s="957"/>
      <c r="L4" s="751"/>
    </row>
    <row r="5" spans="1:14" x14ac:dyDescent="0.45">
      <c r="B5" s="958" t="s">
        <v>582</v>
      </c>
      <c r="C5" s="958"/>
      <c r="D5" s="958"/>
      <c r="E5" s="958"/>
      <c r="F5" s="958"/>
      <c r="G5" s="958"/>
      <c r="H5" s="958"/>
      <c r="I5" s="958"/>
      <c r="J5" s="958"/>
      <c r="K5" s="958"/>
      <c r="L5" s="751"/>
      <c r="N5" s="144"/>
    </row>
    <row r="6" spans="1:14" x14ac:dyDescent="0.45">
      <c r="B6" s="959" t="s">
        <v>1</v>
      </c>
      <c r="C6" s="960"/>
      <c r="D6" s="960"/>
      <c r="E6" s="960"/>
      <c r="F6" s="960"/>
      <c r="G6" s="960"/>
      <c r="H6" s="960"/>
      <c r="I6" s="960"/>
      <c r="J6" s="960"/>
      <c r="K6" s="960"/>
      <c r="L6" s="751"/>
      <c r="N6" s="758"/>
    </row>
    <row r="7" spans="1:14" x14ac:dyDescent="0.45">
      <c r="B7" s="751"/>
      <c r="D7" s="751"/>
      <c r="E7" s="751"/>
      <c r="F7" s="751"/>
      <c r="G7" s="751"/>
      <c r="H7" s="750"/>
      <c r="I7" s="750"/>
      <c r="J7" s="750"/>
      <c r="K7" s="751"/>
      <c r="L7" s="751"/>
    </row>
    <row r="8" spans="1:14" x14ac:dyDescent="0.45">
      <c r="A8" s="751" t="s">
        <v>2</v>
      </c>
      <c r="B8" s="750"/>
      <c r="C8" s="42" t="s">
        <v>24</v>
      </c>
      <c r="D8" s="750"/>
      <c r="E8" s="759" t="s">
        <v>10</v>
      </c>
      <c r="F8" s="751"/>
      <c r="G8" s="759" t="s">
        <v>54</v>
      </c>
      <c r="H8" s="751"/>
      <c r="I8" s="759" t="s">
        <v>512</v>
      </c>
      <c r="J8" s="750"/>
      <c r="K8" s="751"/>
      <c r="L8" s="751" t="s">
        <v>2</v>
      </c>
    </row>
    <row r="9" spans="1:14" x14ac:dyDescent="0.45">
      <c r="A9" s="751" t="s">
        <v>6</v>
      </c>
      <c r="B9" s="750"/>
      <c r="C9" s="388" t="s">
        <v>25</v>
      </c>
      <c r="D9" s="750"/>
      <c r="E9" s="760" t="s">
        <v>608</v>
      </c>
      <c r="F9" s="750"/>
      <c r="G9" s="760" t="s">
        <v>609</v>
      </c>
      <c r="H9" s="750"/>
      <c r="I9" s="424" t="s">
        <v>125</v>
      </c>
      <c r="J9" s="750"/>
      <c r="K9" s="425" t="s">
        <v>5</v>
      </c>
      <c r="L9" s="751" t="s">
        <v>6</v>
      </c>
    </row>
    <row r="10" spans="1:14" x14ac:dyDescent="0.45">
      <c r="B10" s="751"/>
      <c r="D10" s="751"/>
      <c r="E10" s="751"/>
      <c r="F10" s="751"/>
      <c r="G10" s="751"/>
      <c r="H10" s="751"/>
      <c r="I10" s="751"/>
      <c r="J10" s="751"/>
      <c r="K10" s="751"/>
      <c r="L10" s="751"/>
    </row>
    <row r="11" spans="1:14" ht="18" x14ac:dyDescent="0.5">
      <c r="A11" s="751">
        <v>1</v>
      </c>
      <c r="B11" s="391" t="s">
        <v>513</v>
      </c>
      <c r="D11" s="751"/>
      <c r="E11" s="761"/>
      <c r="F11" s="431"/>
      <c r="G11" s="761"/>
      <c r="H11" s="762"/>
      <c r="I11" s="778">
        <f>'Pg 7.1 Revised AE-1'!E36</f>
        <v>1271827.139889231</v>
      </c>
      <c r="J11" s="28" t="s">
        <v>16</v>
      </c>
      <c r="K11" s="751" t="s">
        <v>610</v>
      </c>
      <c r="L11" s="751">
        <f>A11</f>
        <v>1</v>
      </c>
    </row>
    <row r="12" spans="1:14" x14ac:dyDescent="0.45">
      <c r="A12" s="751">
        <f>A11+1</f>
        <v>2</v>
      </c>
      <c r="B12" s="391"/>
      <c r="E12" s="146"/>
      <c r="G12" s="146"/>
      <c r="H12" s="147"/>
      <c r="I12" s="146"/>
      <c r="J12" s="147"/>
      <c r="K12" s="763"/>
      <c r="L12" s="751">
        <f>L11+1</f>
        <v>2</v>
      </c>
    </row>
    <row r="13" spans="1:14" ht="17.649999999999999" x14ac:dyDescent="0.45">
      <c r="A13" s="751">
        <f t="shared" ref="A13:A29" si="0">+A12+1</f>
        <v>3</v>
      </c>
      <c r="B13" s="391" t="s">
        <v>514</v>
      </c>
      <c r="E13" s="48">
        <v>131071.19467</v>
      </c>
      <c r="F13" s="764"/>
      <c r="G13" s="48">
        <v>143542.72462000002</v>
      </c>
      <c r="H13" s="145"/>
      <c r="I13" s="433">
        <f>(E13+G13)/2</f>
        <v>137306.959645</v>
      </c>
      <c r="J13" s="145"/>
      <c r="K13" s="751" t="s">
        <v>611</v>
      </c>
      <c r="L13" s="751">
        <f t="shared" ref="L13:L29" si="1">+L12+1</f>
        <v>3</v>
      </c>
    </row>
    <row r="14" spans="1:14" x14ac:dyDescent="0.45">
      <c r="A14" s="751">
        <f t="shared" si="0"/>
        <v>4</v>
      </c>
      <c r="B14" s="391"/>
      <c r="E14" s="146"/>
      <c r="G14" s="146"/>
      <c r="H14" s="147"/>
      <c r="I14" s="433"/>
      <c r="J14" s="147"/>
      <c r="K14" s="765"/>
      <c r="L14" s="751">
        <f t="shared" si="1"/>
        <v>4</v>
      </c>
    </row>
    <row r="15" spans="1:14" ht="17.649999999999999" x14ac:dyDescent="0.45">
      <c r="A15" s="751">
        <f t="shared" si="0"/>
        <v>5</v>
      </c>
      <c r="B15" s="391" t="s">
        <v>515</v>
      </c>
      <c r="E15" s="766">
        <v>162544.22695999997</v>
      </c>
      <c r="G15" s="766">
        <v>184120.52502999999</v>
      </c>
      <c r="H15" s="767"/>
      <c r="I15" s="433">
        <f>(E15+G15)/2</f>
        <v>173332.37599499998</v>
      </c>
      <c r="J15" s="147"/>
      <c r="K15" s="751" t="s">
        <v>612</v>
      </c>
      <c r="L15" s="751">
        <f t="shared" si="1"/>
        <v>5</v>
      </c>
    </row>
    <row r="16" spans="1:14" x14ac:dyDescent="0.45">
      <c r="A16" s="751">
        <f t="shared" si="0"/>
        <v>6</v>
      </c>
      <c r="B16" s="391"/>
      <c r="E16" s="433"/>
      <c r="G16" s="433"/>
      <c r="H16" s="147"/>
      <c r="I16" s="434"/>
      <c r="J16" s="147"/>
      <c r="K16" s="765"/>
      <c r="L16" s="751">
        <f t="shared" si="1"/>
        <v>6</v>
      </c>
    </row>
    <row r="17" spans="1:12" ht="17.649999999999999" x14ac:dyDescent="0.45">
      <c r="A17" s="751">
        <f t="shared" si="0"/>
        <v>7</v>
      </c>
      <c r="B17" s="391" t="s">
        <v>516</v>
      </c>
      <c r="E17" s="766">
        <v>466070.85504506301</v>
      </c>
      <c r="G17" s="766">
        <v>519305.21042369795</v>
      </c>
      <c r="H17" s="767"/>
      <c r="I17" s="433">
        <f>(E17+G17)/2</f>
        <v>492688.03273438045</v>
      </c>
      <c r="J17" s="147"/>
      <c r="K17" s="751" t="s">
        <v>613</v>
      </c>
      <c r="L17" s="751">
        <f t="shared" si="1"/>
        <v>7</v>
      </c>
    </row>
    <row r="18" spans="1:12" x14ac:dyDescent="0.45">
      <c r="A18" s="751">
        <f t="shared" si="0"/>
        <v>8</v>
      </c>
      <c r="B18" s="391"/>
      <c r="E18" s="146"/>
      <c r="G18" s="146"/>
      <c r="H18" s="147"/>
      <c r="I18" s="146"/>
      <c r="J18" s="147"/>
      <c r="K18" s="68"/>
      <c r="L18" s="751">
        <f t="shared" si="1"/>
        <v>8</v>
      </c>
    </row>
    <row r="19" spans="1:12" x14ac:dyDescent="0.45">
      <c r="A19" s="751">
        <f t="shared" si="0"/>
        <v>9</v>
      </c>
      <c r="B19" s="391" t="s">
        <v>39</v>
      </c>
      <c r="E19" s="148"/>
      <c r="G19" s="148"/>
      <c r="H19" s="149"/>
      <c r="I19" s="427">
        <v>0.1046207187592927</v>
      </c>
      <c r="J19" s="149"/>
      <c r="K19" s="765" t="s">
        <v>614</v>
      </c>
      <c r="L19" s="751">
        <f t="shared" si="1"/>
        <v>9</v>
      </c>
    </row>
    <row r="20" spans="1:12" x14ac:dyDescent="0.45">
      <c r="A20" s="751">
        <f t="shared" si="0"/>
        <v>10</v>
      </c>
      <c r="B20" s="391"/>
      <c r="E20" s="146"/>
      <c r="G20" s="146"/>
      <c r="H20" s="147"/>
      <c r="I20" s="768"/>
      <c r="J20" s="147"/>
      <c r="K20" s="68"/>
      <c r="L20" s="751">
        <f t="shared" si="1"/>
        <v>10</v>
      </c>
    </row>
    <row r="21" spans="1:12" x14ac:dyDescent="0.45">
      <c r="A21" s="751">
        <f t="shared" si="0"/>
        <v>11</v>
      </c>
      <c r="B21" s="391" t="s">
        <v>442</v>
      </c>
      <c r="E21" s="146"/>
      <c r="G21" s="146"/>
      <c r="H21" s="147"/>
      <c r="I21" s="769">
        <f>I13*I19</f>
        <v>14365.152808713097</v>
      </c>
      <c r="J21" s="145"/>
      <c r="K21" s="68" t="s">
        <v>615</v>
      </c>
      <c r="L21" s="751">
        <f t="shared" si="1"/>
        <v>11</v>
      </c>
    </row>
    <row r="22" spans="1:12" x14ac:dyDescent="0.45">
      <c r="A22" s="751">
        <f t="shared" si="0"/>
        <v>12</v>
      </c>
      <c r="B22" s="391"/>
      <c r="E22" s="146"/>
      <c r="G22" s="146"/>
      <c r="H22" s="147"/>
      <c r="I22" s="768"/>
      <c r="J22" s="147"/>
      <c r="K22" s="68"/>
      <c r="L22" s="751">
        <f t="shared" si="1"/>
        <v>12</v>
      </c>
    </row>
    <row r="23" spans="1:12" x14ac:dyDescent="0.45">
      <c r="A23" s="751">
        <f t="shared" si="0"/>
        <v>13</v>
      </c>
      <c r="B23" s="391" t="s">
        <v>517</v>
      </c>
      <c r="E23" s="433"/>
      <c r="F23" s="430"/>
      <c r="G23" s="433"/>
      <c r="H23" s="770"/>
      <c r="I23" s="771">
        <f>I15*I19</f>
        <v>18134.157760852871</v>
      </c>
      <c r="J23" s="147"/>
      <c r="K23" s="68" t="s">
        <v>616</v>
      </c>
      <c r="L23" s="751">
        <f t="shared" si="1"/>
        <v>13</v>
      </c>
    </row>
    <row r="24" spans="1:12" x14ac:dyDescent="0.45">
      <c r="A24" s="751">
        <f t="shared" si="0"/>
        <v>14</v>
      </c>
      <c r="B24" s="391"/>
      <c r="E24" s="433"/>
      <c r="F24" s="430"/>
      <c r="G24" s="433"/>
      <c r="H24" s="767"/>
      <c r="I24" s="772"/>
      <c r="J24" s="147"/>
      <c r="K24" s="68"/>
      <c r="L24" s="751">
        <f t="shared" si="1"/>
        <v>14</v>
      </c>
    </row>
    <row r="25" spans="1:12" x14ac:dyDescent="0.45">
      <c r="A25" s="751">
        <f t="shared" si="0"/>
        <v>15</v>
      </c>
      <c r="B25" s="391" t="s">
        <v>518</v>
      </c>
      <c r="E25" s="771"/>
      <c r="F25" s="430"/>
      <c r="G25" s="771"/>
      <c r="H25" s="767"/>
      <c r="I25" s="773">
        <f>I17*I19</f>
        <v>51545.376108772813</v>
      </c>
      <c r="J25" s="147"/>
      <c r="K25" s="68" t="s">
        <v>617</v>
      </c>
      <c r="L25" s="751">
        <f t="shared" si="1"/>
        <v>15</v>
      </c>
    </row>
    <row r="26" spans="1:12" x14ac:dyDescent="0.45">
      <c r="A26" s="751">
        <f t="shared" si="0"/>
        <v>16</v>
      </c>
      <c r="B26" s="391"/>
      <c r="E26" s="771"/>
      <c r="F26" s="430"/>
      <c r="G26" s="771"/>
      <c r="H26" s="767"/>
      <c r="I26" s="772"/>
      <c r="J26" s="147"/>
      <c r="K26" s="68"/>
      <c r="L26" s="751">
        <f t="shared" si="1"/>
        <v>16</v>
      </c>
    </row>
    <row r="27" spans="1:12" ht="16.149999999999999" thickBot="1" x14ac:dyDescent="0.55000000000000004">
      <c r="A27" s="751">
        <f t="shared" si="0"/>
        <v>17</v>
      </c>
      <c r="B27" s="391" t="s">
        <v>445</v>
      </c>
      <c r="E27" s="428"/>
      <c r="F27" s="430"/>
      <c r="G27" s="428"/>
      <c r="H27" s="767"/>
      <c r="I27" s="777">
        <f>I11+I21+I23+I25</f>
        <v>1355871.8265675697</v>
      </c>
      <c r="J27" s="28" t="s">
        <v>16</v>
      </c>
      <c r="K27" s="68" t="s">
        <v>618</v>
      </c>
      <c r="L27" s="751">
        <f t="shared" si="1"/>
        <v>17</v>
      </c>
    </row>
    <row r="28" spans="1:12" ht="15.75" thickTop="1" x14ac:dyDescent="0.45">
      <c r="A28" s="751">
        <f t="shared" si="0"/>
        <v>18</v>
      </c>
      <c r="B28" s="391"/>
      <c r="E28" s="428"/>
      <c r="F28" s="430"/>
      <c r="G28" s="428"/>
      <c r="H28" s="767"/>
      <c r="I28" s="428"/>
      <c r="J28" s="145"/>
      <c r="K28" s="68"/>
      <c r="L28" s="751">
        <f t="shared" si="1"/>
        <v>18</v>
      </c>
    </row>
    <row r="29" spans="1:12" ht="18" thickBot="1" x14ac:dyDescent="0.5">
      <c r="A29" s="751">
        <f t="shared" si="0"/>
        <v>19</v>
      </c>
      <c r="B29" s="391" t="s">
        <v>519</v>
      </c>
      <c r="E29" s="428"/>
      <c r="F29" s="430"/>
      <c r="G29" s="428"/>
      <c r="H29" s="767"/>
      <c r="I29" s="774">
        <v>0</v>
      </c>
      <c r="J29" s="751"/>
      <c r="K29" s="751" t="s">
        <v>17</v>
      </c>
      <c r="L29" s="751">
        <f t="shared" si="1"/>
        <v>19</v>
      </c>
    </row>
    <row r="30" spans="1:12" ht="15.75" thickTop="1" x14ac:dyDescent="0.45">
      <c r="B30" s="391"/>
      <c r="G30" s="426"/>
      <c r="H30" s="147"/>
      <c r="I30" s="147"/>
      <c r="J30" s="147"/>
      <c r="K30" s="68"/>
      <c r="L30" s="751"/>
    </row>
    <row r="31" spans="1:12" ht="15.75" x14ac:dyDescent="0.5">
      <c r="A31" s="467" t="s">
        <v>16</v>
      </c>
      <c r="B31" s="26" t="s">
        <v>350</v>
      </c>
    </row>
    <row r="32" spans="1:12" ht="17.25" x14ac:dyDescent="0.4">
      <c r="A32" s="775">
        <v>1</v>
      </c>
      <c r="B32" s="142" t="s">
        <v>520</v>
      </c>
    </row>
    <row r="33" spans="1:2" ht="17.649999999999999" x14ac:dyDescent="0.45">
      <c r="A33" s="776">
        <v>2</v>
      </c>
      <c r="B33" s="391" t="s">
        <v>521</v>
      </c>
    </row>
    <row r="34" spans="1:2" ht="17.25" x14ac:dyDescent="0.4">
      <c r="A34" s="776">
        <v>3</v>
      </c>
      <c r="B34" s="142" t="s">
        <v>522</v>
      </c>
    </row>
    <row r="35" spans="1:2" ht="17.25" x14ac:dyDescent="0.4">
      <c r="A35" s="776">
        <v>4</v>
      </c>
      <c r="B35" s="142" t="s">
        <v>523</v>
      </c>
    </row>
    <row r="36" spans="1:2" x14ac:dyDescent="0.45">
      <c r="A36" s="145"/>
      <c r="B36" s="144"/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52" orientation="portrait" r:id="rId1"/>
  <headerFooter scaleWithDoc="0" alignWithMargins="0">
    <oddHeader>&amp;C&amp;"Times New Roman,Bold"REVISED</oddHeader>
    <oddFooter>&amp;CPage 7&amp;R&amp;F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7EF2B-A627-48CE-A1D0-A772F5CE7B66}">
  <sheetPr>
    <pageSetUpPr fitToPage="1"/>
  </sheetPr>
  <dimension ref="A2:I49"/>
  <sheetViews>
    <sheetView zoomScale="80" zoomScaleNormal="80" workbookViewId="0"/>
  </sheetViews>
  <sheetFormatPr defaultColWidth="9.19921875" defaultRowHeight="15" x14ac:dyDescent="0.45"/>
  <cols>
    <col min="1" max="1" width="5.265625" style="750" customWidth="1"/>
    <col min="2" max="2" width="35.265625" style="144" customWidth="1"/>
    <col min="3" max="3" width="18.53125" style="814" customWidth="1"/>
    <col min="4" max="4" width="25.265625" style="814" customWidth="1"/>
    <col min="5" max="5" width="18.53125" style="144" customWidth="1"/>
    <col min="6" max="6" width="1.59765625" style="144" customWidth="1"/>
    <col min="7" max="7" width="69.53125" style="144" bestFit="1" customWidth="1"/>
    <col min="8" max="8" width="5.19921875" style="750" customWidth="1"/>
    <col min="9" max="9" width="24" style="144" customWidth="1"/>
    <col min="10" max="10" width="11" style="144" customWidth="1"/>
    <col min="11" max="11" width="7.265625" style="144" customWidth="1"/>
    <col min="12" max="12" width="9.265625" style="144" customWidth="1"/>
    <col min="13" max="13" width="14" style="144" customWidth="1"/>
    <col min="14" max="14" width="13.46484375" style="144" customWidth="1"/>
    <col min="15" max="16384" width="9.19921875" style="144"/>
  </cols>
  <sheetData>
    <row r="2" spans="1:9" x14ac:dyDescent="0.45">
      <c r="B2" s="957" t="s">
        <v>21</v>
      </c>
      <c r="C2" s="957"/>
      <c r="D2" s="957"/>
      <c r="E2" s="957"/>
      <c r="F2" s="957"/>
      <c r="G2" s="957"/>
    </row>
    <row r="3" spans="1:9" x14ac:dyDescent="0.45">
      <c r="B3" s="957" t="s">
        <v>524</v>
      </c>
      <c r="C3" s="957"/>
      <c r="D3" s="957"/>
      <c r="E3" s="957"/>
      <c r="F3" s="957"/>
      <c r="G3" s="957"/>
    </row>
    <row r="4" spans="1:9" x14ac:dyDescent="0.45">
      <c r="B4" s="957" t="s">
        <v>525</v>
      </c>
      <c r="C4" s="957"/>
      <c r="D4" s="957"/>
      <c r="E4" s="957"/>
      <c r="F4" s="957"/>
      <c r="G4" s="957"/>
    </row>
    <row r="5" spans="1:9" x14ac:dyDescent="0.45">
      <c r="B5" s="957" t="s">
        <v>619</v>
      </c>
      <c r="C5" s="957"/>
      <c r="D5" s="957"/>
      <c r="E5" s="957"/>
      <c r="F5" s="957"/>
      <c r="G5" s="957"/>
    </row>
    <row r="6" spans="1:9" x14ac:dyDescent="0.45">
      <c r="B6" s="959" t="s">
        <v>1</v>
      </c>
      <c r="C6" s="959"/>
      <c r="D6" s="959"/>
      <c r="E6" s="959"/>
      <c r="F6" s="959"/>
      <c r="G6" s="959"/>
    </row>
    <row r="7" spans="1:9" x14ac:dyDescent="0.45">
      <c r="B7" s="779"/>
      <c r="C7" s="780"/>
      <c r="D7" s="780"/>
      <c r="E7" s="779"/>
      <c r="F7" s="779"/>
      <c r="G7" s="779"/>
    </row>
    <row r="8" spans="1:9" x14ac:dyDescent="0.45">
      <c r="B8" s="957" t="s">
        <v>526</v>
      </c>
      <c r="C8" s="957"/>
      <c r="D8" s="957"/>
      <c r="E8" s="957"/>
      <c r="F8" s="957"/>
      <c r="G8" s="957"/>
    </row>
    <row r="9" spans="1:9" x14ac:dyDescent="0.45">
      <c r="F9" s="883"/>
    </row>
    <row r="10" spans="1:9" ht="15.4" x14ac:dyDescent="0.45">
      <c r="A10" s="751"/>
      <c r="B10" s="781"/>
      <c r="C10" s="782" t="s">
        <v>9</v>
      </c>
      <c r="D10" s="783"/>
      <c r="E10" s="783"/>
      <c r="F10" s="839"/>
      <c r="G10" s="782"/>
    </row>
    <row r="11" spans="1:9" ht="15.4" x14ac:dyDescent="0.45">
      <c r="A11" s="751"/>
      <c r="B11" s="784"/>
      <c r="C11" s="750" t="s">
        <v>527</v>
      </c>
      <c r="D11" s="784"/>
      <c r="E11" s="784" t="s">
        <v>527</v>
      </c>
      <c r="F11" s="840"/>
      <c r="G11" s="785"/>
    </row>
    <row r="12" spans="1:9" ht="15.4" x14ac:dyDescent="0.45">
      <c r="A12" s="751" t="s">
        <v>2</v>
      </c>
      <c r="B12" s="786"/>
      <c r="C12" s="750" t="s">
        <v>528</v>
      </c>
      <c r="D12" s="787"/>
      <c r="E12" s="784" t="s">
        <v>528</v>
      </c>
      <c r="F12" s="840"/>
      <c r="G12" s="842"/>
      <c r="H12" s="751" t="s">
        <v>2</v>
      </c>
    </row>
    <row r="13" spans="1:9" ht="17.25" x14ac:dyDescent="0.45">
      <c r="A13" s="751" t="s">
        <v>6</v>
      </c>
      <c r="B13" s="788" t="s">
        <v>266</v>
      </c>
      <c r="C13" s="789" t="s">
        <v>529</v>
      </c>
      <c r="D13" s="788" t="s">
        <v>5</v>
      </c>
      <c r="E13" s="788" t="s">
        <v>530</v>
      </c>
      <c r="F13" s="884"/>
      <c r="G13" s="876" t="s">
        <v>5</v>
      </c>
      <c r="H13" s="751" t="s">
        <v>6</v>
      </c>
    </row>
    <row r="14" spans="1:9" ht="15.4" x14ac:dyDescent="0.45">
      <c r="A14" s="751">
        <v>1</v>
      </c>
      <c r="B14" s="791" t="s">
        <v>620</v>
      </c>
      <c r="C14" s="792">
        <v>1199426.52688</v>
      </c>
      <c r="D14" s="793" t="s">
        <v>531</v>
      </c>
      <c r="E14" s="885">
        <v>1180379.3838899999</v>
      </c>
      <c r="F14" s="829"/>
      <c r="G14" s="877" t="s">
        <v>623</v>
      </c>
      <c r="H14" s="751">
        <f>A14</f>
        <v>1</v>
      </c>
      <c r="I14" s="794"/>
    </row>
    <row r="15" spans="1:9" ht="15.4" x14ac:dyDescent="0.45">
      <c r="A15" s="751">
        <f>A14+1</f>
        <v>2</v>
      </c>
      <c r="B15" s="791" t="s">
        <v>621</v>
      </c>
      <c r="C15" s="795">
        <v>1211877.17616</v>
      </c>
      <c r="D15" s="796"/>
      <c r="E15" s="817">
        <v>1192735.35672</v>
      </c>
      <c r="F15" s="871"/>
      <c r="G15" s="878"/>
      <c r="H15" s="751">
        <f>H14+1</f>
        <v>2</v>
      </c>
    </row>
    <row r="16" spans="1:9" ht="15.4" x14ac:dyDescent="0.45">
      <c r="A16" s="751">
        <f t="shared" ref="A16:A36" si="0">A15+1</f>
        <v>3</v>
      </c>
      <c r="B16" s="791" t="s">
        <v>532</v>
      </c>
      <c r="C16" s="795">
        <v>1224639.0976499999</v>
      </c>
      <c r="D16" s="796"/>
      <c r="E16" s="817">
        <v>1205308.5212399999</v>
      </c>
      <c r="F16" s="871"/>
      <c r="G16" s="878"/>
      <c r="H16" s="751">
        <f t="shared" ref="H16:H36" si="1">H15+1</f>
        <v>3</v>
      </c>
    </row>
    <row r="17" spans="1:9" ht="15.4" x14ac:dyDescent="0.45">
      <c r="A17" s="751">
        <f t="shared" si="0"/>
        <v>4</v>
      </c>
      <c r="B17" s="791" t="s">
        <v>533</v>
      </c>
      <c r="C17" s="795">
        <v>1237240.5189499999</v>
      </c>
      <c r="D17" s="796"/>
      <c r="E17" s="817">
        <v>1217756.8415399999</v>
      </c>
      <c r="F17" s="871"/>
      <c r="G17" s="878"/>
      <c r="H17" s="751">
        <f t="shared" si="1"/>
        <v>4</v>
      </c>
    </row>
    <row r="18" spans="1:9" ht="15.4" x14ac:dyDescent="0.45">
      <c r="A18" s="751">
        <f t="shared" si="0"/>
        <v>5</v>
      </c>
      <c r="B18" s="791" t="s">
        <v>534</v>
      </c>
      <c r="C18" s="795">
        <v>1248530.4984200001</v>
      </c>
      <c r="D18" s="796"/>
      <c r="E18" s="817">
        <v>1228535.05122</v>
      </c>
      <c r="F18" s="871"/>
      <c r="G18" s="878"/>
      <c r="H18" s="751">
        <f t="shared" si="1"/>
        <v>5</v>
      </c>
      <c r="I18" s="797"/>
    </row>
    <row r="19" spans="1:9" ht="15.4" x14ac:dyDescent="0.45">
      <c r="A19" s="751">
        <f t="shared" si="0"/>
        <v>6</v>
      </c>
      <c r="B19" s="791" t="s">
        <v>535</v>
      </c>
      <c r="C19" s="795">
        <v>1261388.6180199999</v>
      </c>
      <c r="D19" s="796"/>
      <c r="E19" s="817">
        <v>1241225.0640700001</v>
      </c>
      <c r="F19" s="871"/>
      <c r="G19" s="878"/>
      <c r="H19" s="751">
        <f t="shared" si="1"/>
        <v>6</v>
      </c>
    </row>
    <row r="20" spans="1:9" ht="15.4" x14ac:dyDescent="0.45">
      <c r="A20" s="751">
        <f>A19+1</f>
        <v>7</v>
      </c>
      <c r="B20" s="791" t="s">
        <v>536</v>
      </c>
      <c r="C20" s="795">
        <v>1273261.5575699999</v>
      </c>
      <c r="D20" s="796"/>
      <c r="E20" s="817">
        <v>1252952.5412699999</v>
      </c>
      <c r="F20" s="871"/>
      <c r="G20" s="878"/>
      <c r="H20" s="751">
        <f>H19+1</f>
        <v>7</v>
      </c>
    </row>
    <row r="21" spans="1:9" ht="15.4" x14ac:dyDescent="0.45">
      <c r="A21" s="751">
        <f t="shared" si="0"/>
        <v>8</v>
      </c>
      <c r="B21" s="791" t="s">
        <v>537</v>
      </c>
      <c r="C21" s="795">
        <v>1284510.8316800001</v>
      </c>
      <c r="D21" s="796"/>
      <c r="E21" s="817">
        <v>1264088.6529900001</v>
      </c>
      <c r="F21" s="871"/>
      <c r="G21" s="878"/>
      <c r="H21" s="751">
        <f t="shared" si="1"/>
        <v>8</v>
      </c>
    </row>
    <row r="22" spans="1:9" ht="15.4" x14ac:dyDescent="0.45">
      <c r="A22" s="751">
        <f t="shared" si="0"/>
        <v>9</v>
      </c>
      <c r="B22" s="791" t="s">
        <v>538</v>
      </c>
      <c r="C22" s="795">
        <v>1293857.5753200001</v>
      </c>
      <c r="D22" s="796"/>
      <c r="E22" s="817">
        <v>1273297.7149</v>
      </c>
      <c r="F22" s="871"/>
      <c r="G22" s="878"/>
      <c r="H22" s="751">
        <f t="shared" si="1"/>
        <v>9</v>
      </c>
    </row>
    <row r="23" spans="1:9" ht="15.4" x14ac:dyDescent="0.45">
      <c r="A23" s="751">
        <f t="shared" si="0"/>
        <v>10</v>
      </c>
      <c r="B23" s="791" t="s">
        <v>539</v>
      </c>
      <c r="C23" s="795">
        <v>1305129.85002</v>
      </c>
      <c r="D23" s="796"/>
      <c r="E23" s="817">
        <v>1284465.28259</v>
      </c>
      <c r="F23" s="871"/>
      <c r="G23" s="878"/>
      <c r="H23" s="751">
        <f t="shared" si="1"/>
        <v>10</v>
      </c>
    </row>
    <row r="24" spans="1:9" ht="15.4" x14ac:dyDescent="0.45">
      <c r="A24" s="751">
        <f t="shared" si="0"/>
        <v>11</v>
      </c>
      <c r="B24" s="791" t="s">
        <v>540</v>
      </c>
      <c r="C24" s="795">
        <v>1316694.12907</v>
      </c>
      <c r="D24" s="796"/>
      <c r="E24" s="817">
        <v>1295873.75395</v>
      </c>
      <c r="F24" s="871"/>
      <c r="G24" s="878"/>
      <c r="H24" s="751">
        <f t="shared" si="1"/>
        <v>11</v>
      </c>
    </row>
    <row r="25" spans="1:9" ht="15.4" x14ac:dyDescent="0.45">
      <c r="A25" s="751">
        <f t="shared" si="0"/>
        <v>12</v>
      </c>
      <c r="B25" s="791" t="s">
        <v>541</v>
      </c>
      <c r="C25" s="795">
        <v>1324997.6989899999</v>
      </c>
      <c r="D25" s="796"/>
      <c r="E25" s="817">
        <v>1304075.0719000001</v>
      </c>
      <c r="F25" s="871"/>
      <c r="G25" s="878"/>
      <c r="H25" s="751">
        <f t="shared" si="1"/>
        <v>12</v>
      </c>
    </row>
    <row r="26" spans="1:9" ht="15.4" x14ac:dyDescent="0.45">
      <c r="A26" s="751">
        <f t="shared" si="0"/>
        <v>13</v>
      </c>
      <c r="B26" s="798" t="s">
        <v>622</v>
      </c>
      <c r="C26" s="799">
        <v>1336480.78113</v>
      </c>
      <c r="D26" s="800" t="s">
        <v>531</v>
      </c>
      <c r="E26" s="801">
        <v>1315464.7984499999</v>
      </c>
      <c r="F26" s="872"/>
      <c r="G26" s="877" t="s">
        <v>624</v>
      </c>
      <c r="H26" s="751">
        <f t="shared" si="1"/>
        <v>13</v>
      </c>
      <c r="I26" s="794"/>
    </row>
    <row r="27" spans="1:9" ht="15.4" x14ac:dyDescent="0.45">
      <c r="A27" s="751">
        <f t="shared" si="0"/>
        <v>14</v>
      </c>
      <c r="B27" s="802"/>
      <c r="C27" s="803"/>
      <c r="D27" s="781"/>
      <c r="E27" s="886"/>
      <c r="F27" s="873"/>
      <c r="G27" s="821"/>
      <c r="H27" s="751">
        <f t="shared" si="1"/>
        <v>14</v>
      </c>
    </row>
    <row r="28" spans="1:9" ht="15.4" x14ac:dyDescent="0.45">
      <c r="A28" s="751">
        <f t="shared" si="0"/>
        <v>15</v>
      </c>
      <c r="B28" s="802" t="s">
        <v>542</v>
      </c>
      <c r="C28" s="804">
        <f>SUM(C14:C26)</f>
        <v>16518034.859859999</v>
      </c>
      <c r="D28" s="805" t="str">
        <f>"Sum Lines "&amp;A14&amp;" thru "&amp;A26</f>
        <v>Sum Lines 1 thru 13</v>
      </c>
      <c r="E28" s="887">
        <f>SUM(E14:E26)</f>
        <v>16256158.03473</v>
      </c>
      <c r="F28" s="874"/>
      <c r="G28" s="879" t="str">
        <f>"Sum Lines "&amp;A14&amp;" thru "&amp;A26</f>
        <v>Sum Lines 1 thru 13</v>
      </c>
      <c r="H28" s="751">
        <f t="shared" si="1"/>
        <v>15</v>
      </c>
    </row>
    <row r="29" spans="1:9" ht="15.4" x14ac:dyDescent="0.45">
      <c r="A29" s="751">
        <f t="shared" si="0"/>
        <v>16</v>
      </c>
      <c r="B29" s="806"/>
      <c r="C29" s="807"/>
      <c r="D29" s="808"/>
      <c r="E29" s="888"/>
      <c r="F29" s="890"/>
      <c r="G29" s="880"/>
      <c r="H29" s="751">
        <f t="shared" si="1"/>
        <v>16</v>
      </c>
    </row>
    <row r="30" spans="1:9" ht="15.4" x14ac:dyDescent="0.45">
      <c r="A30" s="751">
        <f t="shared" si="0"/>
        <v>17</v>
      </c>
      <c r="B30" s="802"/>
      <c r="C30" s="809"/>
      <c r="D30" s="810"/>
      <c r="E30" s="889"/>
      <c r="F30" s="875"/>
      <c r="G30" s="881"/>
      <c r="H30" s="751">
        <f t="shared" si="1"/>
        <v>17</v>
      </c>
    </row>
    <row r="31" spans="1:9" ht="15.4" x14ac:dyDescent="0.45">
      <c r="A31" s="751">
        <f t="shared" si="0"/>
        <v>18</v>
      </c>
      <c r="B31" s="802" t="s">
        <v>543</v>
      </c>
      <c r="C31" s="804">
        <f>C28/13</f>
        <v>1270618.0661430769</v>
      </c>
      <c r="D31" s="805" t="str">
        <f>"Average of Lines "&amp;A14&amp;" thru "&amp;A26</f>
        <v>Average of Lines 1 thru 13</v>
      </c>
      <c r="E31" s="887">
        <f>E28/13</f>
        <v>1250473.6949792309</v>
      </c>
      <c r="F31" s="874"/>
      <c r="G31" s="877" t="s">
        <v>625</v>
      </c>
      <c r="H31" s="751">
        <f t="shared" si="1"/>
        <v>18</v>
      </c>
      <c r="I31" s="794"/>
    </row>
    <row r="32" spans="1:9" ht="15.4" x14ac:dyDescent="0.45">
      <c r="A32" s="751">
        <f t="shared" si="0"/>
        <v>19</v>
      </c>
      <c r="B32" s="806"/>
      <c r="C32" s="811"/>
      <c r="D32" s="812"/>
      <c r="E32" s="812"/>
      <c r="F32" s="891"/>
      <c r="G32" s="882"/>
      <c r="H32" s="751">
        <f t="shared" si="1"/>
        <v>19</v>
      </c>
    </row>
    <row r="33" spans="1:9" ht="15.4" x14ac:dyDescent="0.45">
      <c r="A33" s="751">
        <f t="shared" si="0"/>
        <v>20</v>
      </c>
      <c r="B33" s="142"/>
      <c r="C33" s="142"/>
      <c r="D33" s="142"/>
      <c r="E33" s="142"/>
      <c r="F33" s="142"/>
      <c r="G33" s="142"/>
      <c r="H33" s="751">
        <f t="shared" si="1"/>
        <v>20</v>
      </c>
    </row>
    <row r="34" spans="1:9" ht="15.75" x14ac:dyDescent="0.5">
      <c r="A34" s="751">
        <f t="shared" si="0"/>
        <v>21</v>
      </c>
      <c r="B34" s="142" t="s">
        <v>544</v>
      </c>
      <c r="C34" s="142"/>
      <c r="D34" s="142"/>
      <c r="E34" s="816">
        <f>'Pg 7.1A Revised AE-1A'!G31</f>
        <v>21353.444909999998</v>
      </c>
      <c r="F34" s="467" t="s">
        <v>16</v>
      </c>
      <c r="G34" s="751" t="s">
        <v>626</v>
      </c>
      <c r="H34" s="751">
        <f t="shared" si="1"/>
        <v>21</v>
      </c>
      <c r="I34" s="794"/>
    </row>
    <row r="35" spans="1:9" ht="15.4" x14ac:dyDescent="0.45">
      <c r="A35" s="751">
        <f t="shared" si="0"/>
        <v>22</v>
      </c>
      <c r="B35" s="142"/>
      <c r="C35" s="142"/>
      <c r="D35" s="142"/>
      <c r="E35" s="815"/>
      <c r="F35" s="815"/>
      <c r="G35" s="142"/>
      <c r="H35" s="751">
        <f t="shared" si="1"/>
        <v>22</v>
      </c>
    </row>
    <row r="36" spans="1:9" ht="16.149999999999999" thickBot="1" x14ac:dyDescent="0.55000000000000004">
      <c r="A36" s="751">
        <f t="shared" si="0"/>
        <v>23</v>
      </c>
      <c r="B36" s="144" t="s">
        <v>545</v>
      </c>
      <c r="C36" s="142"/>
      <c r="D36" s="142"/>
      <c r="E36" s="703">
        <f>E31+E34</f>
        <v>1271827.139889231</v>
      </c>
      <c r="F36" s="467" t="s">
        <v>16</v>
      </c>
      <c r="G36" s="751" t="str">
        <f>"Line "&amp;A31&amp;" + Line "&amp;A34</f>
        <v>Line 18 + Line 21</v>
      </c>
      <c r="H36" s="751">
        <f t="shared" si="1"/>
        <v>23</v>
      </c>
    </row>
    <row r="37" spans="1:9" ht="15.75" thickTop="1" x14ac:dyDescent="0.45">
      <c r="A37" s="751"/>
      <c r="C37" s="142"/>
      <c r="D37" s="142"/>
      <c r="E37" s="142"/>
      <c r="F37" s="142"/>
      <c r="G37" s="142"/>
    </row>
    <row r="38" spans="1:9" ht="15.75" x14ac:dyDescent="0.5">
      <c r="A38" s="467" t="s">
        <v>16</v>
      </c>
      <c r="B38" s="26" t="s">
        <v>350</v>
      </c>
      <c r="C38" s="142"/>
      <c r="D38" s="142"/>
      <c r="E38" s="813"/>
      <c r="F38" s="813"/>
      <c r="G38" s="142"/>
    </row>
    <row r="39" spans="1:9" ht="17.25" x14ac:dyDescent="0.45">
      <c r="A39" s="423">
        <v>1</v>
      </c>
      <c r="B39" s="142" t="s">
        <v>546</v>
      </c>
      <c r="C39" s="142"/>
      <c r="D39" s="142"/>
      <c r="E39" s="142"/>
      <c r="F39" s="142"/>
      <c r="G39" s="142"/>
    </row>
    <row r="40" spans="1:9" ht="15.4" x14ac:dyDescent="0.45">
      <c r="B40" s="142" t="s">
        <v>547</v>
      </c>
      <c r="C40" s="142"/>
      <c r="D40" s="142"/>
      <c r="E40" s="142"/>
      <c r="F40" s="142"/>
      <c r="G40" s="142"/>
    </row>
    <row r="41" spans="1:9" ht="15.4" x14ac:dyDescent="0.45">
      <c r="B41" s="142"/>
      <c r="C41" s="142"/>
      <c r="D41" s="142"/>
      <c r="E41" s="142"/>
      <c r="F41" s="142"/>
      <c r="G41" s="142"/>
    </row>
    <row r="42" spans="1:9" ht="15.4" x14ac:dyDescent="0.45">
      <c r="B42" s="142"/>
      <c r="C42" s="142"/>
      <c r="D42" s="142"/>
      <c r="E42" s="142"/>
      <c r="F42" s="142"/>
      <c r="G42" s="142"/>
    </row>
    <row r="43" spans="1:9" ht="15.4" x14ac:dyDescent="0.45">
      <c r="A43" s="752"/>
      <c r="B43" s="142"/>
    </row>
    <row r="46" spans="1:9" x14ac:dyDescent="0.45">
      <c r="A46" s="752"/>
    </row>
    <row r="49" spans="1:1" x14ac:dyDescent="0.45">
      <c r="A49" s="752"/>
    </row>
  </sheetData>
  <mergeCells count="6">
    <mergeCell ref="B8:G8"/>
    <mergeCell ref="B2:G2"/>
    <mergeCell ref="B3:G3"/>
    <mergeCell ref="B4:G4"/>
    <mergeCell ref="B5:G5"/>
    <mergeCell ref="B6:G6"/>
  </mergeCells>
  <printOptions horizontalCentered="1"/>
  <pageMargins left="0.25" right="0.25" top="0.5" bottom="0.5" header="0.4" footer="0.25"/>
  <pageSetup scale="74" orientation="landscape" r:id="rId1"/>
  <headerFooter scaleWithDoc="0" alignWithMargins="0">
    <oddHeader>&amp;C&amp;"Times New Roman,Bold"REVISED</oddHeader>
    <oddFooter>&amp;CPage 7.1&amp;R&amp;F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4CDE-41A7-466C-8E32-977E83520225}">
  <sheetPr>
    <pageSetUpPr fitToPage="1"/>
  </sheetPr>
  <dimension ref="A2:L47"/>
  <sheetViews>
    <sheetView zoomScale="80" zoomScaleNormal="80" workbookViewId="0"/>
  </sheetViews>
  <sheetFormatPr defaultColWidth="9.19921875" defaultRowHeight="15" x14ac:dyDescent="0.45"/>
  <cols>
    <col min="1" max="1" width="5.265625" style="750" customWidth="1"/>
    <col min="2" max="2" width="35.265625" style="144" customWidth="1"/>
    <col min="3" max="3" width="1.59765625" style="144" customWidth="1"/>
    <col min="4" max="4" width="18.53125" style="814" customWidth="1"/>
    <col min="5" max="5" width="1.59765625" style="814" customWidth="1"/>
    <col min="6" max="6" width="25.19921875" style="825" customWidth="1"/>
    <col min="7" max="7" width="18.53125" style="144" customWidth="1"/>
    <col min="8" max="8" width="1.59765625" style="144" customWidth="1"/>
    <col min="9" max="9" width="62.53125" style="144" customWidth="1"/>
    <col min="10" max="10" width="5.265625" style="750" customWidth="1"/>
    <col min="11" max="11" width="24" style="144" customWidth="1"/>
    <col min="12" max="12" width="11" style="144" customWidth="1"/>
    <col min="13" max="13" width="7.265625" style="144" customWidth="1"/>
    <col min="14" max="14" width="9.265625" style="144" customWidth="1"/>
    <col min="15" max="15" width="14" style="144" customWidth="1"/>
    <col min="16" max="16" width="13.46484375" style="144" customWidth="1"/>
    <col min="17" max="16384" width="9.19921875" style="144"/>
  </cols>
  <sheetData>
    <row r="2" spans="1:12" x14ac:dyDescent="0.45">
      <c r="B2" s="957" t="s">
        <v>21</v>
      </c>
      <c r="C2" s="957"/>
      <c r="D2" s="957"/>
      <c r="E2" s="957"/>
      <c r="F2" s="957"/>
      <c r="G2" s="957"/>
      <c r="H2" s="957"/>
      <c r="I2" s="957"/>
    </row>
    <row r="3" spans="1:12" x14ac:dyDescent="0.45">
      <c r="B3" s="957" t="s">
        <v>524</v>
      </c>
      <c r="C3" s="957"/>
      <c r="D3" s="957"/>
      <c r="E3" s="957"/>
      <c r="F3" s="957"/>
      <c r="G3" s="957"/>
      <c r="H3" s="957"/>
      <c r="I3" s="957"/>
    </row>
    <row r="4" spans="1:12" x14ac:dyDescent="0.45">
      <c r="B4" s="957" t="s">
        <v>525</v>
      </c>
      <c r="C4" s="957"/>
      <c r="D4" s="957"/>
      <c r="E4" s="957"/>
      <c r="F4" s="957"/>
      <c r="G4" s="957"/>
      <c r="H4" s="957"/>
      <c r="I4" s="957"/>
    </row>
    <row r="5" spans="1:12" x14ac:dyDescent="0.45">
      <c r="B5" s="957" t="s">
        <v>619</v>
      </c>
      <c r="C5" s="957"/>
      <c r="D5" s="957"/>
      <c r="E5" s="957"/>
      <c r="F5" s="957"/>
      <c r="G5" s="957"/>
      <c r="H5" s="957"/>
      <c r="I5" s="957"/>
    </row>
    <row r="6" spans="1:12" x14ac:dyDescent="0.45">
      <c r="B6" s="959" t="s">
        <v>1</v>
      </c>
      <c r="C6" s="959"/>
      <c r="D6" s="959"/>
      <c r="E6" s="959"/>
      <c r="F6" s="959"/>
      <c r="G6" s="959"/>
      <c r="H6" s="959"/>
      <c r="I6" s="959"/>
    </row>
    <row r="7" spans="1:12" x14ac:dyDescent="0.45">
      <c r="B7" s="779"/>
      <c r="C7" s="779"/>
      <c r="D7" s="780"/>
      <c r="E7" s="780"/>
      <c r="F7" s="818"/>
      <c r="G7" s="779"/>
      <c r="H7" s="779"/>
      <c r="I7" s="779"/>
    </row>
    <row r="8" spans="1:12" x14ac:dyDescent="0.45">
      <c r="B8" s="957" t="s">
        <v>526</v>
      </c>
      <c r="C8" s="957"/>
      <c r="D8" s="957"/>
      <c r="E8" s="957"/>
      <c r="F8" s="957"/>
      <c r="G8" s="957"/>
      <c r="H8" s="957"/>
      <c r="I8" s="957"/>
    </row>
    <row r="9" spans="1:12" x14ac:dyDescent="0.45">
      <c r="C9" s="837"/>
      <c r="F9" s="841"/>
      <c r="H9" s="837"/>
    </row>
    <row r="10" spans="1:12" x14ac:dyDescent="0.45">
      <c r="B10" s="850"/>
      <c r="C10" s="821"/>
      <c r="D10" s="782" t="s">
        <v>9</v>
      </c>
      <c r="E10" s="838"/>
      <c r="F10" s="782"/>
      <c r="G10" s="782"/>
      <c r="H10" s="839"/>
      <c r="I10" s="782"/>
    </row>
    <row r="11" spans="1:12" x14ac:dyDescent="0.45">
      <c r="B11" s="851"/>
      <c r="C11" s="785"/>
      <c r="D11" s="785" t="s">
        <v>527</v>
      </c>
      <c r="E11" s="750"/>
      <c r="F11" s="785"/>
      <c r="G11" s="819" t="s">
        <v>527</v>
      </c>
      <c r="H11" s="839"/>
      <c r="I11" s="842"/>
    </row>
    <row r="12" spans="1:12" ht="15.4" x14ac:dyDescent="0.45">
      <c r="A12" s="751" t="s">
        <v>2</v>
      </c>
      <c r="B12" s="852"/>
      <c r="C12" s="894"/>
      <c r="D12" s="785" t="s">
        <v>528</v>
      </c>
      <c r="E12" s="750"/>
      <c r="F12" s="785"/>
      <c r="G12" s="785" t="s">
        <v>528</v>
      </c>
      <c r="H12" s="840"/>
      <c r="I12" s="842"/>
      <c r="J12" s="751" t="s">
        <v>2</v>
      </c>
    </row>
    <row r="13" spans="1:12" ht="17.25" x14ac:dyDescent="0.45">
      <c r="A13" s="751" t="s">
        <v>6</v>
      </c>
      <c r="B13" s="853" t="s">
        <v>266</v>
      </c>
      <c r="C13" s="876"/>
      <c r="D13" s="790" t="s">
        <v>529</v>
      </c>
      <c r="E13" s="789"/>
      <c r="F13" s="876" t="s">
        <v>5</v>
      </c>
      <c r="G13" s="790" t="s">
        <v>530</v>
      </c>
      <c r="H13" s="789"/>
      <c r="I13" s="790" t="s">
        <v>5</v>
      </c>
      <c r="J13" s="751" t="s">
        <v>6</v>
      </c>
    </row>
    <row r="14" spans="1:12" ht="15.4" x14ac:dyDescent="0.45">
      <c r="A14" s="751">
        <v>1</v>
      </c>
      <c r="B14" s="854" t="s">
        <v>620</v>
      </c>
      <c r="C14" s="849"/>
      <c r="D14" s="792">
        <v>19934.964690000001</v>
      </c>
      <c r="E14" s="829"/>
      <c r="F14" s="877" t="s">
        <v>531</v>
      </c>
      <c r="G14" s="792">
        <f t="shared" ref="G14:G26" si="0">D14</f>
        <v>19934.964690000001</v>
      </c>
      <c r="H14" s="829"/>
      <c r="I14" s="843" t="s">
        <v>531</v>
      </c>
      <c r="J14" s="751">
        <f>A14</f>
        <v>1</v>
      </c>
      <c r="K14" s="794"/>
      <c r="L14" s="794"/>
    </row>
    <row r="15" spans="1:12" ht="15.4" x14ac:dyDescent="0.45">
      <c r="A15" s="751">
        <f>A14+1</f>
        <v>2</v>
      </c>
      <c r="B15" s="854" t="s">
        <v>621</v>
      </c>
      <c r="C15" s="849"/>
      <c r="D15" s="820">
        <v>20171.378059999999</v>
      </c>
      <c r="E15" s="830"/>
      <c r="F15" s="844"/>
      <c r="G15" s="820">
        <f t="shared" si="0"/>
        <v>20171.378059999999</v>
      </c>
      <c r="H15" s="830"/>
      <c r="I15" s="844"/>
      <c r="J15" s="751">
        <f>J14+1</f>
        <v>2</v>
      </c>
    </row>
    <row r="16" spans="1:12" ht="15.4" x14ac:dyDescent="0.45">
      <c r="A16" s="751">
        <f t="shared" ref="A16:A32" si="1">A15+1</f>
        <v>3</v>
      </c>
      <c r="B16" s="854" t="s">
        <v>532</v>
      </c>
      <c r="C16" s="849"/>
      <c r="D16" s="820">
        <v>20407.791430000001</v>
      </c>
      <c r="E16" s="830"/>
      <c r="F16" s="844"/>
      <c r="G16" s="820">
        <f t="shared" si="0"/>
        <v>20407.791430000001</v>
      </c>
      <c r="H16" s="830"/>
      <c r="I16" s="844"/>
      <c r="J16" s="751">
        <f t="shared" ref="J16:J32" si="2">J15+1</f>
        <v>3</v>
      </c>
    </row>
    <row r="17" spans="1:12" ht="15.4" x14ac:dyDescent="0.45">
      <c r="A17" s="751">
        <f t="shared" si="1"/>
        <v>4</v>
      </c>
      <c r="B17" s="854" t="s">
        <v>533</v>
      </c>
      <c r="C17" s="849"/>
      <c r="D17" s="820">
        <v>20644.2048</v>
      </c>
      <c r="E17" s="830"/>
      <c r="F17" s="844"/>
      <c r="G17" s="820">
        <f t="shared" si="0"/>
        <v>20644.2048</v>
      </c>
      <c r="H17" s="830"/>
      <c r="I17" s="844"/>
      <c r="J17" s="751">
        <f t="shared" si="2"/>
        <v>4</v>
      </c>
    </row>
    <row r="18" spans="1:12" ht="15.4" x14ac:dyDescent="0.45">
      <c r="A18" s="751">
        <f t="shared" si="1"/>
        <v>5</v>
      </c>
      <c r="B18" s="854" t="s">
        <v>534</v>
      </c>
      <c r="C18" s="849"/>
      <c r="D18" s="820">
        <v>20880.618170000002</v>
      </c>
      <c r="E18" s="830"/>
      <c r="F18" s="844"/>
      <c r="G18" s="820">
        <f t="shared" si="0"/>
        <v>20880.618170000002</v>
      </c>
      <c r="H18" s="830"/>
      <c r="I18" s="844"/>
      <c r="J18" s="751">
        <f t="shared" si="2"/>
        <v>5</v>
      </c>
    </row>
    <row r="19" spans="1:12" ht="15.4" x14ac:dyDescent="0.45">
      <c r="A19" s="751">
        <f t="shared" si="1"/>
        <v>6</v>
      </c>
      <c r="B19" s="854" t="s">
        <v>535</v>
      </c>
      <c r="C19" s="849"/>
      <c r="D19" s="820">
        <v>21117.03154</v>
      </c>
      <c r="E19" s="830"/>
      <c r="F19" s="844"/>
      <c r="G19" s="820">
        <f t="shared" si="0"/>
        <v>21117.03154</v>
      </c>
      <c r="H19" s="830"/>
      <c r="I19" s="844"/>
      <c r="J19" s="751">
        <f t="shared" si="2"/>
        <v>6</v>
      </c>
    </row>
    <row r="20" spans="1:12" ht="15.4" x14ac:dyDescent="0.45">
      <c r="A20" s="751">
        <f>A19+1</f>
        <v>7</v>
      </c>
      <c r="B20" s="854" t="s">
        <v>536</v>
      </c>
      <c r="C20" s="849"/>
      <c r="D20" s="820">
        <v>21353.444909999998</v>
      </c>
      <c r="E20" s="830"/>
      <c r="F20" s="844"/>
      <c r="G20" s="820">
        <f t="shared" si="0"/>
        <v>21353.444909999998</v>
      </c>
      <c r="H20" s="830"/>
      <c r="I20" s="844"/>
      <c r="J20" s="751">
        <f>J19+1</f>
        <v>7</v>
      </c>
    </row>
    <row r="21" spans="1:12" ht="15.4" x14ac:dyDescent="0.45">
      <c r="A21" s="751">
        <f t="shared" si="1"/>
        <v>8</v>
      </c>
      <c r="B21" s="854" t="s">
        <v>537</v>
      </c>
      <c r="C21" s="849"/>
      <c r="D21" s="820">
        <v>21589.85828</v>
      </c>
      <c r="E21" s="830"/>
      <c r="F21" s="844"/>
      <c r="G21" s="820">
        <f t="shared" si="0"/>
        <v>21589.85828</v>
      </c>
      <c r="H21" s="830"/>
      <c r="I21" s="844"/>
      <c r="J21" s="751">
        <f t="shared" si="2"/>
        <v>8</v>
      </c>
    </row>
    <row r="22" spans="1:12" ht="15.4" x14ac:dyDescent="0.45">
      <c r="A22" s="751">
        <f t="shared" si="1"/>
        <v>9</v>
      </c>
      <c r="B22" s="854" t="s">
        <v>538</v>
      </c>
      <c r="C22" s="849"/>
      <c r="D22" s="820">
        <v>21826.271649999999</v>
      </c>
      <c r="E22" s="830"/>
      <c r="F22" s="844"/>
      <c r="G22" s="820">
        <f t="shared" si="0"/>
        <v>21826.271649999999</v>
      </c>
      <c r="H22" s="830"/>
      <c r="I22" s="844"/>
      <c r="J22" s="751">
        <f t="shared" si="2"/>
        <v>9</v>
      </c>
    </row>
    <row r="23" spans="1:12" ht="20.25" x14ac:dyDescent="0.5">
      <c r="A23" s="751">
        <f t="shared" si="1"/>
        <v>10</v>
      </c>
      <c r="B23" s="933" t="s">
        <v>539</v>
      </c>
      <c r="C23" s="857">
        <v>2</v>
      </c>
      <c r="D23" s="827">
        <f>22100.14752-37.4625</f>
        <v>22062.685019999997</v>
      </c>
      <c r="E23" s="467" t="s">
        <v>16</v>
      </c>
      <c r="F23" s="857"/>
      <c r="G23" s="827">
        <f t="shared" si="0"/>
        <v>22062.685019999997</v>
      </c>
      <c r="H23" s="467" t="s">
        <v>16</v>
      </c>
      <c r="I23" s="857"/>
      <c r="J23" s="751">
        <f t="shared" si="2"/>
        <v>10</v>
      </c>
    </row>
    <row r="24" spans="1:12" ht="20.25" x14ac:dyDescent="0.5">
      <c r="A24" s="751">
        <f t="shared" si="1"/>
        <v>11</v>
      </c>
      <c r="B24" s="934" t="s">
        <v>540</v>
      </c>
      <c r="C24" s="857">
        <v>2</v>
      </c>
      <c r="D24" s="827">
        <f>22411.48589-112.3875</f>
        <v>22299.098389999999</v>
      </c>
      <c r="E24" s="467" t="s">
        <v>16</v>
      </c>
      <c r="F24" s="857"/>
      <c r="G24" s="827">
        <f t="shared" si="0"/>
        <v>22299.098389999999</v>
      </c>
      <c r="H24" s="467" t="s">
        <v>16</v>
      </c>
      <c r="I24" s="857"/>
      <c r="J24" s="751">
        <f t="shared" si="2"/>
        <v>11</v>
      </c>
    </row>
    <row r="25" spans="1:12" ht="20.25" x14ac:dyDescent="0.5">
      <c r="A25" s="751">
        <f t="shared" si="1"/>
        <v>12</v>
      </c>
      <c r="B25" s="934" t="s">
        <v>541</v>
      </c>
      <c r="C25" s="857">
        <v>2</v>
      </c>
      <c r="D25" s="827">
        <f>22722.82426-187.3125</f>
        <v>22535.511760000001</v>
      </c>
      <c r="E25" s="467" t="s">
        <v>16</v>
      </c>
      <c r="F25" s="857"/>
      <c r="G25" s="827">
        <f t="shared" si="0"/>
        <v>22535.511760000001</v>
      </c>
      <c r="H25" s="467" t="s">
        <v>16</v>
      </c>
      <c r="I25" s="857"/>
      <c r="J25" s="751">
        <f t="shared" si="2"/>
        <v>12</v>
      </c>
    </row>
    <row r="26" spans="1:12" ht="20.25" x14ac:dyDescent="0.5">
      <c r="A26" s="751">
        <f t="shared" si="1"/>
        <v>13</v>
      </c>
      <c r="B26" s="935" t="s">
        <v>622</v>
      </c>
      <c r="C26" s="895">
        <v>2</v>
      </c>
      <c r="D26" s="835">
        <f>23034.16263-262.2375</f>
        <v>22771.92513</v>
      </c>
      <c r="E26" s="467" t="s">
        <v>16</v>
      </c>
      <c r="F26" s="892" t="s">
        <v>531</v>
      </c>
      <c r="G26" s="835">
        <f t="shared" si="0"/>
        <v>22771.92513</v>
      </c>
      <c r="H26" s="848" t="s">
        <v>16</v>
      </c>
      <c r="I26" s="845" t="s">
        <v>531</v>
      </c>
      <c r="J26" s="751">
        <f t="shared" si="2"/>
        <v>13</v>
      </c>
      <c r="L26" s="794"/>
    </row>
    <row r="27" spans="1:12" ht="15.4" x14ac:dyDescent="0.45">
      <c r="A27" s="751">
        <f t="shared" si="1"/>
        <v>14</v>
      </c>
      <c r="B27" s="855"/>
      <c r="C27" s="822"/>
      <c r="D27" s="826"/>
      <c r="E27" s="831"/>
      <c r="F27" s="822"/>
      <c r="G27" s="828"/>
      <c r="H27" s="836"/>
      <c r="I27" s="822"/>
      <c r="J27" s="751">
        <f t="shared" si="2"/>
        <v>14</v>
      </c>
    </row>
    <row r="28" spans="1:12" ht="15.75" x14ac:dyDescent="0.5">
      <c r="A28" s="751">
        <f t="shared" si="1"/>
        <v>15</v>
      </c>
      <c r="B28" s="855" t="s">
        <v>542</v>
      </c>
      <c r="C28" s="822"/>
      <c r="D28" s="804">
        <f>SUM(D14:D26)</f>
        <v>277594.78382999997</v>
      </c>
      <c r="E28" s="467" t="s">
        <v>16</v>
      </c>
      <c r="F28" s="879" t="str">
        <f>"Sum Lines "&amp;A14&amp;" thru "&amp;A26</f>
        <v>Sum Lines 1 thru 13</v>
      </c>
      <c r="G28" s="804">
        <f>SUM(G14:G26)</f>
        <v>277594.78382999997</v>
      </c>
      <c r="H28" s="467" t="s">
        <v>16</v>
      </c>
      <c r="I28" s="846" t="str">
        <f>"Sum Lines "&amp;A14&amp;" thru "&amp;A26</f>
        <v>Sum Lines 1 thru 13</v>
      </c>
      <c r="J28" s="751">
        <f t="shared" si="2"/>
        <v>15</v>
      </c>
    </row>
    <row r="29" spans="1:12" ht="15.4" x14ac:dyDescent="0.45">
      <c r="A29" s="751">
        <f t="shared" si="1"/>
        <v>16</v>
      </c>
      <c r="B29" s="856"/>
      <c r="C29" s="893"/>
      <c r="D29" s="807"/>
      <c r="E29" s="833"/>
      <c r="F29" s="880"/>
      <c r="G29" s="807"/>
      <c r="H29" s="833"/>
      <c r="I29" s="847"/>
      <c r="J29" s="751">
        <f t="shared" si="2"/>
        <v>16</v>
      </c>
    </row>
    <row r="30" spans="1:12" ht="15.4" x14ac:dyDescent="0.45">
      <c r="A30" s="751">
        <f t="shared" si="1"/>
        <v>17</v>
      </c>
      <c r="B30" s="855"/>
      <c r="C30" s="822"/>
      <c r="D30" s="804"/>
      <c r="E30" s="832"/>
      <c r="F30" s="881"/>
      <c r="G30" s="804"/>
      <c r="H30" s="832"/>
      <c r="I30" s="822"/>
      <c r="J30" s="751">
        <f t="shared" si="2"/>
        <v>17</v>
      </c>
    </row>
    <row r="31" spans="1:12" ht="15.75" x14ac:dyDescent="0.5">
      <c r="A31" s="751">
        <f t="shared" si="1"/>
        <v>18</v>
      </c>
      <c r="B31" s="855" t="s">
        <v>543</v>
      </c>
      <c r="C31" s="822"/>
      <c r="D31" s="804">
        <f>D28/13</f>
        <v>21353.444909999998</v>
      </c>
      <c r="E31" s="467" t="s">
        <v>16</v>
      </c>
      <c r="F31" s="879" t="str">
        <f>"Average of Lines "&amp;A14&amp;" thru "&amp;A26</f>
        <v>Average of Lines 1 thru 13</v>
      </c>
      <c r="G31" s="804">
        <f>G28/13</f>
        <v>21353.444909999998</v>
      </c>
      <c r="H31" s="467" t="s">
        <v>16</v>
      </c>
      <c r="I31" s="846" t="str">
        <f>"Average of Lines "&amp;A14&amp;" thru "&amp;A26</f>
        <v>Average of Lines 1 thru 13</v>
      </c>
      <c r="J31" s="751">
        <f t="shared" si="2"/>
        <v>18</v>
      </c>
      <c r="K31" s="794"/>
      <c r="L31" s="794"/>
    </row>
    <row r="32" spans="1:12" ht="15.4" x14ac:dyDescent="0.45">
      <c r="A32" s="751">
        <f t="shared" si="1"/>
        <v>19</v>
      </c>
      <c r="B32" s="856"/>
      <c r="C32" s="893"/>
      <c r="D32" s="811"/>
      <c r="E32" s="834"/>
      <c r="F32" s="893"/>
      <c r="G32" s="811"/>
      <c r="H32" s="834"/>
      <c r="I32" s="847"/>
      <c r="J32" s="751">
        <f t="shared" si="2"/>
        <v>19</v>
      </c>
    </row>
    <row r="33" spans="1:8" ht="15.4" x14ac:dyDescent="0.45">
      <c r="A33" s="751"/>
      <c r="D33" s="823"/>
      <c r="E33" s="823"/>
      <c r="F33" s="144"/>
      <c r="G33" s="823"/>
      <c r="H33" s="823"/>
    </row>
    <row r="34" spans="1:8" ht="15.75" x14ac:dyDescent="0.5">
      <c r="A34" s="467" t="s">
        <v>16</v>
      </c>
      <c r="B34" s="26" t="s">
        <v>350</v>
      </c>
      <c r="C34" s="26"/>
      <c r="D34" s="823"/>
      <c r="E34" s="823"/>
      <c r="F34" s="144"/>
      <c r="G34" s="823"/>
      <c r="H34" s="823"/>
    </row>
    <row r="35" spans="1:8" ht="17.25" x14ac:dyDescent="0.45">
      <c r="A35" s="423">
        <v>1</v>
      </c>
      <c r="B35" s="142" t="s">
        <v>548</v>
      </c>
      <c r="C35" s="142"/>
      <c r="D35" s="823"/>
      <c r="E35" s="823"/>
      <c r="F35" s="144"/>
      <c r="G35" s="823"/>
      <c r="H35" s="823"/>
    </row>
    <row r="36" spans="1:8" ht="17.25" x14ac:dyDescent="0.45">
      <c r="A36" s="423">
        <v>2</v>
      </c>
      <c r="B36" s="142" t="s">
        <v>550</v>
      </c>
      <c r="C36" s="142"/>
      <c r="D36" s="823"/>
      <c r="E36" s="823"/>
      <c r="F36" s="144"/>
      <c r="G36" s="823"/>
      <c r="H36" s="823"/>
    </row>
    <row r="37" spans="1:8" ht="15.4" x14ac:dyDescent="0.45">
      <c r="B37" s="142" t="s">
        <v>549</v>
      </c>
      <c r="C37" s="142"/>
      <c r="D37" s="823"/>
      <c r="E37" s="823"/>
      <c r="F37" s="144"/>
      <c r="G37" s="823"/>
      <c r="H37" s="823"/>
    </row>
    <row r="38" spans="1:8" x14ac:dyDescent="0.45">
      <c r="D38" s="823"/>
      <c r="E38" s="823"/>
      <c r="F38" s="144"/>
      <c r="G38" s="823"/>
      <c r="H38" s="823"/>
    </row>
    <row r="39" spans="1:8" x14ac:dyDescent="0.45">
      <c r="D39" s="824"/>
      <c r="E39" s="824"/>
      <c r="G39" s="823"/>
      <c r="H39" s="823"/>
    </row>
    <row r="40" spans="1:8" x14ac:dyDescent="0.45">
      <c r="D40" s="824"/>
      <c r="E40" s="824"/>
      <c r="G40" s="823"/>
      <c r="H40" s="823"/>
    </row>
    <row r="41" spans="1:8" x14ac:dyDescent="0.45">
      <c r="D41" s="824"/>
      <c r="E41" s="824"/>
      <c r="G41" s="823"/>
      <c r="H41" s="823"/>
    </row>
    <row r="42" spans="1:8" x14ac:dyDescent="0.45">
      <c r="D42" s="824"/>
      <c r="E42" s="824"/>
      <c r="G42" s="823"/>
      <c r="H42" s="823"/>
    </row>
    <row r="43" spans="1:8" x14ac:dyDescent="0.45">
      <c r="D43" s="824"/>
      <c r="E43" s="824"/>
      <c r="G43" s="823"/>
      <c r="H43" s="823"/>
    </row>
    <row r="44" spans="1:8" x14ac:dyDescent="0.45">
      <c r="D44" s="824"/>
      <c r="E44" s="824"/>
      <c r="G44" s="823"/>
      <c r="H44" s="823"/>
    </row>
    <row r="45" spans="1:8" x14ac:dyDescent="0.45">
      <c r="D45" s="824"/>
      <c r="E45" s="824"/>
      <c r="G45" s="823"/>
      <c r="H45" s="823"/>
    </row>
    <row r="46" spans="1:8" x14ac:dyDescent="0.45">
      <c r="D46" s="824"/>
      <c r="E46" s="824"/>
      <c r="G46" s="823"/>
      <c r="H46" s="823"/>
    </row>
    <row r="47" spans="1:8" x14ac:dyDescent="0.45">
      <c r="D47" s="824"/>
      <c r="E47" s="824"/>
      <c r="G47" s="823"/>
      <c r="H47" s="823"/>
    </row>
  </sheetData>
  <mergeCells count="6">
    <mergeCell ref="B8:I8"/>
    <mergeCell ref="B2:I2"/>
    <mergeCell ref="B3:I3"/>
    <mergeCell ref="B4:I4"/>
    <mergeCell ref="B5:I5"/>
    <mergeCell ref="B6:I6"/>
  </mergeCells>
  <printOptions horizontalCentered="1"/>
  <pageMargins left="0.25" right="0.25" top="0.5" bottom="0.5" header="0.4" footer="0.25"/>
  <pageSetup scale="76" orientation="landscape" r:id="rId1"/>
  <headerFooter scaleWithDoc="0" alignWithMargins="0">
    <oddHeader>&amp;C&amp;"Times New Roman,Bold"REVISED</oddHeader>
    <oddFooter>&amp;CPage 7.1A&amp;R&amp;F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3B3B9-87C6-4A42-8C75-02B6AB4D9C35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d1b6833a-d8f7-4a13-b002-37960639cb34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F4A69C-E7FC-4889-A661-A888FD7A2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6833a-d8f7-4a13-b002-37960639c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Pg1 Appendix X C9 Cost Adj</vt:lpstr>
      <vt:lpstr>Pg2 Appendix X C9 Comparison</vt:lpstr>
      <vt:lpstr>Pg3 Revised Appendix X C9</vt:lpstr>
      <vt:lpstr>Pg4 As Filed Appendix X C9</vt:lpstr>
      <vt:lpstr>Pg5 Rev B.Sec.2-Non-Direct Exp</vt:lpstr>
      <vt:lpstr>Pg6 Revised D.Sec.4-TU</vt:lpstr>
      <vt:lpstr>Pg7 Revised Stmt AE</vt:lpstr>
      <vt:lpstr>Pg 7.1 Revised AE-1</vt:lpstr>
      <vt:lpstr>Pg 7.1A Revised AE-1A</vt:lpstr>
      <vt:lpstr>Pg 7.1B As Filed AE-1A</vt:lpstr>
      <vt:lpstr>Pg8 Revised Stmt AH</vt:lpstr>
      <vt:lpstr>Pg8.1 Revised AH-2</vt:lpstr>
      <vt:lpstr>Pg8.2 Revised AH-3</vt:lpstr>
      <vt:lpstr>Pg9 Revised Stmt AL</vt:lpstr>
      <vt:lpstr>Pg10 Revised Stmt AV</vt:lpstr>
      <vt:lpstr>Pg11 Revised AV-4</vt:lpstr>
      <vt:lpstr>Pg12 Appendix X C9 Int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Tanedo, Lolit</dc:creator>
  <cp:lastModifiedBy>Tanedo, Lolit</cp:lastModifiedBy>
  <cp:lastPrinted>2021-10-13T19:49:39Z</cp:lastPrinted>
  <dcterms:created xsi:type="dcterms:W3CDTF">2021-03-15T22:51:55Z</dcterms:created>
  <dcterms:modified xsi:type="dcterms:W3CDTF">2021-10-13T19:50:04Z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0x0101005C0FDD8C43D82F49AB8C4057A15F2F1C</vt:lpwstr>
  </property>
</Properties>
</file>