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Cost Adjustment Workpapers - July Posting/"/>
    </mc:Choice>
  </mc:AlternateContent>
  <xr:revisionPtr revIDLastSave="680" documentId="8_{11EF70F0-F75B-4805-AE42-19845CFB137E}" xr6:coauthVersionLast="47" xr6:coauthVersionMax="47" xr10:uidLastSave="{92EC0D3C-2648-4B33-A41D-12E8814D425E}"/>
  <bookViews>
    <workbookView xWindow="-110" yWindow="-110" windowWidth="19420" windowHeight="10420" tabRatio="928" xr2:uid="{00000000-000D-0000-FFFF-FFFF00000000}"/>
  </bookViews>
  <sheets>
    <sheet name="Pg1 App X C8 Cost Adj" sheetId="157" r:id="rId1"/>
    <sheet name="Pg2 App X C8 Comparison" sheetId="158" r:id="rId2"/>
    <sheet name="Pg3 Rev App X C8 Summary" sheetId="223" r:id="rId3"/>
    <sheet name="Pg4 As Filed App X C8 FERC Adj " sheetId="159" r:id="rId4"/>
    <sheet name="Pg5 Rev Sec 2 Non-Dir Exp" sheetId="224" r:id="rId5"/>
    <sheet name="Pg6 As Filed Sec 2 Non Dir Exp " sheetId="164" r:id="rId6"/>
    <sheet name="Pg7 Rev Sec 4a-TU" sheetId="225" r:id="rId7"/>
    <sheet name="Pg7.1 As Filed Sec 4a-TU FERC" sheetId="166" r:id="rId8"/>
    <sheet name="Pg8 Rev Sec 4b-TU COS" sheetId="226" r:id="rId9"/>
    <sheet name="Pg8.1 As Filed Sec 4b-TU FERC" sheetId="169" r:id="rId10"/>
    <sheet name="Pg9 Rev Stmt AH" sheetId="227" r:id="rId11"/>
    <sheet name="Pg9.1 As Filed Stmt AH FERC Adj" sheetId="188" r:id="rId12"/>
    <sheet name="Pg9.2 Rev AH-3" sheetId="229" r:id="rId13"/>
    <sheet name="Pg9.3 As Filed AH-3 FERC Adj" sheetId="192" r:id="rId14"/>
    <sheet name="Pg10 Rev Stmt AL" sheetId="230" r:id="rId15"/>
    <sheet name="Pg10.1 As Filed Stmt AL FERC" sheetId="199" r:id="rId16"/>
    <sheet name="Pg11 Rev Stmt AV" sheetId="231" r:id="rId17"/>
    <sheet name="Pg12 As Filed Stmt AV FERC Adj" sheetId="201" r:id="rId18"/>
    <sheet name="Pg13 Rev AV-4" sheetId="232" r:id="rId19"/>
    <sheet name="Pg14 As Filed AV-4 FERC Adj" sheetId="203" r:id="rId20"/>
    <sheet name="Pg15 App X C8 Int Calc" sheetId="205" r:id="rId21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hidden="1">{"Income Statement",#N/A,FALSE,"CFMODEL";"Balance Sheet",#N/A,FALSE,"CFMODEL"}</definedName>
    <definedName name="aaaa">#REF!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hidden="1">{"var_page",#N/A,FALSE,"template"}</definedName>
    <definedName name="Ad_Valorem_Taxes">#REF!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hidden="1">{"variance_page",#N/A,FALSE,"template"}</definedName>
    <definedName name="ccccc">#REF!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hidden="1">{"SourcesUses",#N/A,TRUE,#N/A;"TransOverview",#N/A,TRUE,"CFMODEL"}</definedName>
    <definedName name="dddd" hidden="1">#REF!</definedName>
    <definedName name="ddddd">[0]!ddddd</definedName>
    <definedName name="dddddd">[0]!dddddd</definedName>
    <definedName name="ddddddd">[0]!ddddddd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>{"'Summary'!$A$1:$J$24"}</definedName>
    <definedName name="h_1">{"'Summary'!$A$1:$J$24"}</definedName>
    <definedName name="h_1_1">{"'Summary'!$A$1:$J$24"}</definedName>
    <definedName name="h_1_1_1">{"'Summary'!$A$1:$J$24"}</definedName>
    <definedName name="h_1_2">{"'Summary'!$A$1:$J$24"}</definedName>
    <definedName name="h_1_2_1">{"'Summary'!$A$1:$J$24"}</definedName>
    <definedName name="h_1_3">{"'Summary'!$A$1:$J$24"}</definedName>
    <definedName name="h_2">{"'Summary'!$A$1:$J$24"}</definedName>
    <definedName name="h_2_1">{"'Summary'!$A$1:$J$24"}</definedName>
    <definedName name="h_2_1_1">{"'Summary'!$A$1:$J$24"}</definedName>
    <definedName name="h_2_2">{"'Summary'!$A$1:$J$24"}</definedName>
    <definedName name="h_2_2_1">{"'Summary'!$A$1:$J$24"}</definedName>
    <definedName name="h_2_3">{"'Summary'!$A$1:$J$24"}</definedName>
    <definedName name="h_3">{"'Summary'!$A$1:$J$24"}</definedName>
    <definedName name="h_3_1">{"'Summary'!$A$1:$J$24"}</definedName>
    <definedName name="h_3_1_1">{"'Summary'!$A$1:$J$24"}</definedName>
    <definedName name="h_3_2">{"'Summary'!$A$1:$J$24"}</definedName>
    <definedName name="h_3_2_1">{"'Summary'!$A$1:$J$24"}</definedName>
    <definedName name="h_3_3">{"'Summary'!$A$1:$J$24"}</definedName>
    <definedName name="h_4">{"'Summary'!$A$1:$J$24"}</definedName>
    <definedName name="h_4_1">{"'Summary'!$A$1:$J$24"}</definedName>
    <definedName name="h_4_1_1">{"'Summary'!$A$1:$J$24"}</definedName>
    <definedName name="h_4_2">{"'Summary'!$A$1:$J$24"}</definedName>
    <definedName name="h_4_2_1">{"'Summary'!$A$1:$J$24"}</definedName>
    <definedName name="h_4_3">{"'Summary'!$A$1:$J$24"}</definedName>
    <definedName name="h_5">{"'Summary'!$A$1:$J$24"}</definedName>
    <definedName name="h_5_1">{"'Summary'!$A$1:$J$24"}</definedName>
    <definedName name="h_5_1_1">{"'Summary'!$A$1:$J$24"}</definedName>
    <definedName name="h_5_2">{"'Summary'!$A$1:$J$24"}</definedName>
    <definedName name="h_5_2_1">{"'Summary'!$A$1:$J$24"}</definedName>
    <definedName name="h_5_3">{"'Summary'!$A$1:$J$24"}</definedName>
    <definedName name="h_control">{"'Summary'!$A$1:$J$24"}</definedName>
    <definedName name="h_control_1">{"'Summary'!$A$1:$J$24"}</definedName>
    <definedName name="h_control_1_1">{"'Summary'!$A$1:$J$24"}</definedName>
    <definedName name="h_control_1_1_1">{"'Summary'!$A$1:$J$24"}</definedName>
    <definedName name="h_control_1_2">{"'Summary'!$A$1:$J$24"}</definedName>
    <definedName name="h_control_1_2_1">{"'Summary'!$A$1:$J$24"}</definedName>
    <definedName name="h_control_1_3">{"'Summary'!$A$1:$J$24"}</definedName>
    <definedName name="h_control_2">{"'Summary'!$A$1:$J$24"}</definedName>
    <definedName name="h_control_2_1">{"'Summary'!$A$1:$J$24"}</definedName>
    <definedName name="h_control_2_1_1">{"'Summary'!$A$1:$J$24"}</definedName>
    <definedName name="h_control_2_2">{"'Summary'!$A$1:$J$24"}</definedName>
    <definedName name="h_control_2_2_1">{"'Summary'!$A$1:$J$24"}</definedName>
    <definedName name="h_control_2_3">{"'Summary'!$A$1:$J$24"}</definedName>
    <definedName name="h_control_3">{"'Summary'!$A$1:$J$24"}</definedName>
    <definedName name="h_control_3_1">{"'Summary'!$A$1:$J$24"}</definedName>
    <definedName name="h_control_3_1_1">{"'Summary'!$A$1:$J$24"}</definedName>
    <definedName name="h_control_3_2">{"'Summary'!$A$1:$J$24"}</definedName>
    <definedName name="h_control_3_2_1">{"'Summary'!$A$1:$J$24"}</definedName>
    <definedName name="h_control_3_3">{"'Summary'!$A$1:$J$24"}</definedName>
    <definedName name="h_control_4">{"'Summary'!$A$1:$J$24"}</definedName>
    <definedName name="h_control_4_1">{"'Summary'!$A$1:$J$24"}</definedName>
    <definedName name="h_control_4_1_1">{"'Summary'!$A$1:$J$24"}</definedName>
    <definedName name="h_control_4_2">{"'Summary'!$A$1:$J$24"}</definedName>
    <definedName name="h_control_4_2_1">{"'Summary'!$A$1:$J$24"}</definedName>
    <definedName name="h_control_4_3">{"'Summary'!$A$1:$J$24"}</definedName>
    <definedName name="h_control_5">{"'Summary'!$A$1:$J$24"}</definedName>
    <definedName name="h_control_5_1">{"'Summary'!$A$1:$J$24"}</definedName>
    <definedName name="h_control_5_1_1">{"'Summary'!$A$1:$J$24"}</definedName>
    <definedName name="h_control_5_2">{"'Summary'!$A$1:$J$24"}</definedName>
    <definedName name="h_control_5_2_1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 hidden="1">1252</definedName>
    <definedName name="HTML_Control" hidden="1">{"'Attachment'!$A$1:$L$49"}</definedName>
    <definedName name="HTML_Control_1">{"'Summary'!$A$1:$J$24"}</definedName>
    <definedName name="HTML_Control_1_1">{"'Summary'!$A$1:$J$24"}</definedName>
    <definedName name="HTML_Control_1_1_1">{"'Summary'!$A$1:$J$24"}</definedName>
    <definedName name="HTML_Control_1_2">{"'Summary'!$A$1:$J$24"}</definedName>
    <definedName name="HTML_Control_1_2_1">{"'Summary'!$A$1:$J$24"}</definedName>
    <definedName name="HTML_Control_1_3">{"'Summary'!$A$1:$J$24"}</definedName>
    <definedName name="HTML_Control_2">{"'Summary'!$A$1:$J$24"}</definedName>
    <definedName name="HTML_Control_2_1">{"'Summary'!$A$1:$J$24"}</definedName>
    <definedName name="HTML_Control_2_1_1">{"'Summary'!$A$1:$J$24"}</definedName>
    <definedName name="HTML_Control_2_2">{"'Summary'!$A$1:$J$24"}</definedName>
    <definedName name="HTML_Control_2_2_1">{"'Summary'!$A$1:$J$24"}</definedName>
    <definedName name="HTML_Control_2_3">{"'Summary'!$A$1:$J$24"}</definedName>
    <definedName name="HTML_Control_3">{"'Summary'!$A$1:$J$24"}</definedName>
    <definedName name="HTML_Control_3_1">{"'Summary'!$A$1:$J$24"}</definedName>
    <definedName name="HTML_Control_3_1_1">{"'Summary'!$A$1:$J$24"}</definedName>
    <definedName name="HTML_Control_3_2">{"'Summary'!$A$1:$J$24"}</definedName>
    <definedName name="HTML_Control_3_2_1">{"'Summary'!$A$1:$J$24"}</definedName>
    <definedName name="HTML_Control_3_3">{"'Summary'!$A$1:$J$24"}</definedName>
    <definedName name="HTML_Control_4">{"'Summary'!$A$1:$J$24"}</definedName>
    <definedName name="HTML_Control_4_1">{"'Summary'!$A$1:$J$24"}</definedName>
    <definedName name="HTML_Control_4_1_1">{"'Summary'!$A$1:$J$24"}</definedName>
    <definedName name="HTML_Control_4_2">{"'Summary'!$A$1:$J$24"}</definedName>
    <definedName name="HTML_Control_4_2_1">{"'Summary'!$A$1:$J$24"}</definedName>
    <definedName name="HTML_Control_4_3">{"'Summary'!$A$1:$J$24"}</definedName>
    <definedName name="HTML_Control_5">{"'Summary'!$A$1:$J$24"}</definedName>
    <definedName name="HTML_Control_5_1">{"'Summary'!$A$1:$J$24"}</definedName>
    <definedName name="HTML_Control_5_1_1">{"'Summary'!$A$1:$J$24"}</definedName>
    <definedName name="HTML_Control_5_2">{"'Summary'!$A$1:$J$24"}</definedName>
    <definedName name="HTML_Control_5_2_1">{"'Summary'!$A$1:$J$24"}</definedName>
    <definedName name="HTML_Control_5_3">{"'Summary'!$A$1:$J$24"}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Description" hidden="1">""</definedName>
    <definedName name="HTML_Email" hidden="1">"dsullivan@sdge.com"</definedName>
    <definedName name="HTML_Header" hidden="1">"SRAC"</definedName>
    <definedName name="HTML_LastUpdate" hidden="1">"04/01/2002"</definedName>
    <definedName name="HTML_LineAfter" hidden="1">TRUE</definedName>
    <definedName name="HTML_LineBefore" hidden="1">TRUE</definedName>
    <definedName name="HTML_Name" hidden="1">"Daniel L. Sullivan"</definedName>
    <definedName name="HTML_OBDlg2" hidden="1">TRUE</definedName>
    <definedName name="HTML_OBDlg4" hidden="1">TRUE</definedName>
    <definedName name="HTML_OS" hidden="1">0</definedName>
    <definedName name="HTML_PathFile" hidden="1">"S:\FUELS\DATA\SULLIVAN\DATA\Srac Spreadsheet\FILING\2002\SracHTML\Srac0402.htm"</definedName>
    <definedName name="HTML_Title" hidden="1">"April 2002 SRAC Prices"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hidden="1">{"2002Frcst","06Month",FALSE,"Frcst Format 2002"}</definedName>
    <definedName name="JUN">#REF!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>{"'Summary'!$A$1:$J$24"}</definedName>
    <definedName name="one_1">{"'Summary'!$A$1:$J$24"}</definedName>
    <definedName name="one_1_1">{"'Summary'!$A$1:$J$24"}</definedName>
    <definedName name="one_1_1_1">{"'Summary'!$A$1:$J$24"}</definedName>
    <definedName name="one_1_2">{"'Summary'!$A$1:$J$24"}</definedName>
    <definedName name="one_1_2_1">{"'Summary'!$A$1:$J$24"}</definedName>
    <definedName name="one_1_3">{"'Summary'!$A$1:$J$24"}</definedName>
    <definedName name="one_2">{"'Summary'!$A$1:$J$24"}</definedName>
    <definedName name="one_2_1">{"'Summary'!$A$1:$J$24"}</definedName>
    <definedName name="one_2_1_1">{"'Summary'!$A$1:$J$24"}</definedName>
    <definedName name="one_2_2">{"'Summary'!$A$1:$J$24"}</definedName>
    <definedName name="one_2_2_1">{"'Summary'!$A$1:$J$24"}</definedName>
    <definedName name="one_2_3">{"'Summary'!$A$1:$J$24"}</definedName>
    <definedName name="one_3">{"'Summary'!$A$1:$J$24"}</definedName>
    <definedName name="one_3_1">{"'Summary'!$A$1:$J$24"}</definedName>
    <definedName name="one_3_1_1">{"'Summary'!$A$1:$J$24"}</definedName>
    <definedName name="one_3_2">{"'Summary'!$A$1:$J$24"}</definedName>
    <definedName name="one_3_2_1">{"'Summary'!$A$1:$J$24"}</definedName>
    <definedName name="one_3_3">{"'Summary'!$A$1:$J$24"}</definedName>
    <definedName name="one_4">{"'Summary'!$A$1:$J$24"}</definedName>
    <definedName name="one_4_1">{"'Summary'!$A$1:$J$24"}</definedName>
    <definedName name="one_4_1_1">{"'Summary'!$A$1:$J$24"}</definedName>
    <definedName name="one_4_2">{"'Summary'!$A$1:$J$24"}</definedName>
    <definedName name="one_4_2_1">{"'Summary'!$A$1:$J$24"}</definedName>
    <definedName name="one_4_3">{"'Summary'!$A$1:$J$24"}</definedName>
    <definedName name="one_5">{"'Summary'!$A$1:$J$24"}</definedName>
    <definedName name="one_5_1">{"'Summary'!$A$1:$J$24"}</definedName>
    <definedName name="one_5_1_1">{"'Summary'!$A$1:$J$24"}</definedName>
    <definedName name="one_5_2">{"'Summary'!$A$1:$J$24"}</definedName>
    <definedName name="one_5_2_1">{"'Summary'!$A$1:$J$24"}</definedName>
    <definedName name="one_5_3">{"'Summary'!$A$1:$J$24"}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15">'Pg10.1 As Filed Stmt AL FERC'!$A$2:$J$34</definedName>
    <definedName name="_xlnm.Print_Area" localSheetId="17">'Pg12 As Filed Stmt AV FERC Adj'!$A$2:$J$162</definedName>
    <definedName name="_xlnm.Print_Area" localSheetId="19">'Pg14 As Filed AV-4 FERC Adj'!$A$2:$F$95</definedName>
    <definedName name="_xlnm.Print_Area" localSheetId="3">'Pg4 As Filed App X C8 FERC Adj '!$A$2:$F$56</definedName>
    <definedName name="_xlnm.Print_Area" localSheetId="5">'Pg6 As Filed Sec 2 Non Dir Exp '!$A$2:$H$169</definedName>
    <definedName name="_xlnm.Print_Area" localSheetId="7">'Pg7.1 As Filed Sec 4a-TU FERC'!$A$2:$R$54</definedName>
    <definedName name="_xlnm.Print_Area" localSheetId="9">'Pg8.1 As Filed Sec 4b-TU FERC'!$A$2:$G$28</definedName>
    <definedName name="_xlnm.Print_Area" localSheetId="11">'Pg9.1 As Filed Stmt AH FERC Adj'!$A$2:$I$75</definedName>
    <definedName name="_xlnm.Print_Area" localSheetId="13">'Pg9.3 As Filed AH-3 FERC Adj'!$A$2:$O$61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_xlnm.Print_Titles" localSheetId="20">'Pg15 App X C8 Int Calc'!$1:$17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>[0]!PRINTCAT</definedName>
    <definedName name="PRINTER">#REF!</definedName>
    <definedName name="PRINTOTHER">#REF!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hidden="1">{"SourcesUses",#N/A,TRUE,#N/A;"TransOverview",#N/A,TRUE,"CFMODEL"}</definedName>
    <definedName name="ssssssssssss">[0]!ssssssssssss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hidden="1">{"Sch.D_P_1Gas",#N/A,FALSE,"Sch.D";"Sch.D_P_2Elec",#N/A,FALSE,"Sch.D"}</definedName>
    <definedName name="TEST2">#REF!</definedName>
    <definedName name="test2006" hidden="1">{"SourcesUses",#N/A,TRUE,#N/A;"TransOverview",#N/A,TRUE,"CFMODEL"}</definedName>
    <definedName name="TEST3">#REF!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wwwwwwww">{"2002Frcst","05Month",FALSE,"Frcst Format 2002"}</definedName>
    <definedName name="wwwwwwwwwww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229" l="1"/>
  <c r="Q46" i="229"/>
  <c r="Q47" i="229"/>
  <c r="Q48" i="229"/>
  <c r="B51" i="232"/>
  <c r="B115" i="231"/>
  <c r="B32" i="230"/>
  <c r="C53" i="229"/>
  <c r="C74" i="227"/>
  <c r="B26" i="226"/>
  <c r="B46" i="225"/>
  <c r="B96" i="224"/>
  <c r="B44" i="224"/>
  <c r="B55" i="223"/>
  <c r="G49" i="158" l="1"/>
  <c r="G27" i="158" l="1"/>
  <c r="C47" i="223"/>
  <c r="C25" i="223"/>
  <c r="E53" i="158" l="1"/>
  <c r="E49" i="158"/>
  <c r="E27" i="158"/>
  <c r="C49" i="158"/>
  <c r="C27" i="158"/>
  <c r="I90" i="205" l="1"/>
  <c r="I91" i="205" s="1"/>
  <c r="I92" i="205" s="1"/>
  <c r="I93" i="205" s="1"/>
  <c r="I94" i="205" s="1"/>
  <c r="I95" i="205" s="1"/>
  <c r="I96" i="205" s="1"/>
  <c r="I97" i="205" s="1"/>
  <c r="I98" i="205" s="1"/>
  <c r="I99" i="205" s="1"/>
  <c r="I100" i="205" s="1"/>
  <c r="I101" i="205" s="1"/>
  <c r="I102" i="205" s="1"/>
  <c r="A90" i="205"/>
  <c r="A91" i="205" s="1"/>
  <c r="A92" i="205" s="1"/>
  <c r="A93" i="205" s="1"/>
  <c r="A94" i="205" s="1"/>
  <c r="A95" i="205" s="1"/>
  <c r="A96" i="205" s="1"/>
  <c r="A97" i="205" s="1"/>
  <c r="A98" i="205" s="1"/>
  <c r="A99" i="205" s="1"/>
  <c r="A100" i="205" s="1"/>
  <c r="A101" i="205" s="1"/>
  <c r="A102" i="205" s="1"/>
  <c r="E51" i="158"/>
  <c r="E25" i="158"/>
  <c r="E21" i="158"/>
  <c r="E17" i="158"/>
  <c r="E15" i="158"/>
  <c r="E13" i="158"/>
  <c r="C51" i="158"/>
  <c r="C47" i="158"/>
  <c r="C39" i="158"/>
  <c r="C35" i="158"/>
  <c r="C25" i="158"/>
  <c r="C17" i="158"/>
  <c r="C13" i="158"/>
  <c r="E113" i="224"/>
  <c r="E151" i="224" s="1"/>
  <c r="E153" i="224" s="1"/>
  <c r="E134" i="224" s="1"/>
  <c r="A109" i="224"/>
  <c r="A110" i="224" s="1"/>
  <c r="A111" i="224" s="1"/>
  <c r="A112" i="224" s="1"/>
  <c r="A113" i="224" s="1"/>
  <c r="A114" i="224" s="1"/>
  <c r="A115" i="224" s="1"/>
  <c r="A116" i="224" s="1"/>
  <c r="A117" i="224" s="1"/>
  <c r="A118" i="224" s="1"/>
  <c r="A119" i="224" s="1"/>
  <c r="A120" i="224" s="1"/>
  <c r="A121" i="224" s="1"/>
  <c r="A122" i="224" s="1"/>
  <c r="A123" i="224" s="1"/>
  <c r="A124" i="224" s="1"/>
  <c r="A125" i="224" s="1"/>
  <c r="A126" i="224" s="1"/>
  <c r="A127" i="224" s="1"/>
  <c r="A128" i="224" s="1"/>
  <c r="A129" i="224" s="1"/>
  <c r="A130" i="224" s="1"/>
  <c r="A131" i="224" s="1"/>
  <c r="A132" i="224" s="1"/>
  <c r="A133" i="224" s="1"/>
  <c r="A134" i="224" s="1"/>
  <c r="A135" i="224" s="1"/>
  <c r="A136" i="224" s="1"/>
  <c r="A137" i="224" s="1"/>
  <c r="A138" i="224" s="1"/>
  <c r="A139" i="224" s="1"/>
  <c r="A140" i="224" s="1"/>
  <c r="A141" i="224" s="1"/>
  <c r="A142" i="224" s="1"/>
  <c r="A143" i="224" s="1"/>
  <c r="A144" i="224" s="1"/>
  <c r="A145" i="224" s="1"/>
  <c r="A146" i="224" s="1"/>
  <c r="A147" i="224" s="1"/>
  <c r="A148" i="224" s="1"/>
  <c r="A149" i="224" s="1"/>
  <c r="A150" i="224" s="1"/>
  <c r="A151" i="224" s="1"/>
  <c r="A152" i="224" s="1"/>
  <c r="A153" i="224" s="1"/>
  <c r="A154" i="224" s="1"/>
  <c r="A155" i="224" s="1"/>
  <c r="A156" i="224" s="1"/>
  <c r="A157" i="224" s="1"/>
  <c r="A158" i="224" s="1"/>
  <c r="A159" i="224" s="1"/>
  <c r="A160" i="224" s="1"/>
  <c r="A161" i="224" s="1"/>
  <c r="A162" i="224" s="1"/>
  <c r="A163" i="224" s="1"/>
  <c r="A164" i="224" s="1"/>
  <c r="A165" i="224" s="1"/>
  <c r="H108" i="224"/>
  <c r="H109" i="224" s="1"/>
  <c r="H110" i="224" s="1"/>
  <c r="H111" i="224" s="1"/>
  <c r="H112" i="224" s="1"/>
  <c r="H113" i="224" s="1"/>
  <c r="H114" i="224" s="1"/>
  <c r="H115" i="224" s="1"/>
  <c r="H116" i="224" s="1"/>
  <c r="H117" i="224" s="1"/>
  <c r="H118" i="224" s="1"/>
  <c r="H119" i="224" s="1"/>
  <c r="H120" i="224" s="1"/>
  <c r="H121" i="224" s="1"/>
  <c r="H122" i="224" s="1"/>
  <c r="H123" i="224" s="1"/>
  <c r="H124" i="224" s="1"/>
  <c r="H125" i="224" s="1"/>
  <c r="H126" i="224" s="1"/>
  <c r="H127" i="224" s="1"/>
  <c r="H128" i="224" s="1"/>
  <c r="H129" i="224" s="1"/>
  <c r="H130" i="224" s="1"/>
  <c r="H131" i="224" s="1"/>
  <c r="H132" i="224" s="1"/>
  <c r="H133" i="224" s="1"/>
  <c r="H134" i="224" s="1"/>
  <c r="H135" i="224" s="1"/>
  <c r="H136" i="224" s="1"/>
  <c r="H137" i="224" s="1"/>
  <c r="H138" i="224" s="1"/>
  <c r="H139" i="224" s="1"/>
  <c r="H140" i="224" s="1"/>
  <c r="H141" i="224" s="1"/>
  <c r="H142" i="224" s="1"/>
  <c r="H143" i="224" s="1"/>
  <c r="H144" i="224" s="1"/>
  <c r="H145" i="224" s="1"/>
  <c r="H146" i="224" s="1"/>
  <c r="H147" i="224" s="1"/>
  <c r="H148" i="224" s="1"/>
  <c r="H149" i="224" s="1"/>
  <c r="H150" i="224" s="1"/>
  <c r="H151" i="224" s="1"/>
  <c r="H152" i="224" s="1"/>
  <c r="H153" i="224" s="1"/>
  <c r="H154" i="224" s="1"/>
  <c r="H155" i="224" s="1"/>
  <c r="H156" i="224" s="1"/>
  <c r="H157" i="224" s="1"/>
  <c r="H158" i="224" s="1"/>
  <c r="H159" i="224" s="1"/>
  <c r="H160" i="224" s="1"/>
  <c r="H161" i="224" s="1"/>
  <c r="H162" i="224" s="1"/>
  <c r="H163" i="224" s="1"/>
  <c r="H164" i="224" s="1"/>
  <c r="H165" i="224" s="1"/>
  <c r="B102" i="224"/>
  <c r="E77" i="224"/>
  <c r="E18" i="224" s="1"/>
  <c r="E67" i="224"/>
  <c r="E65" i="224"/>
  <c r="E14" i="224" s="1"/>
  <c r="E61" i="224"/>
  <c r="E12" i="224" s="1"/>
  <c r="A57" i="224"/>
  <c r="A58" i="224" s="1"/>
  <c r="A59" i="224" s="1"/>
  <c r="A60" i="224" s="1"/>
  <c r="A61" i="224" s="1"/>
  <c r="A62" i="224" s="1"/>
  <c r="A63" i="224" s="1"/>
  <c r="A64" i="224" s="1"/>
  <c r="A65" i="224" s="1"/>
  <c r="A66" i="224" s="1"/>
  <c r="A67" i="224" s="1"/>
  <c r="A68" i="224" s="1"/>
  <c r="A69" i="224" s="1"/>
  <c r="A70" i="224" s="1"/>
  <c r="A71" i="224" s="1"/>
  <c r="A72" i="224" s="1"/>
  <c r="A73" i="224" s="1"/>
  <c r="A74" i="224" s="1"/>
  <c r="A75" i="224" s="1"/>
  <c r="A76" i="224" s="1"/>
  <c r="A77" i="224" s="1"/>
  <c r="A78" i="224" s="1"/>
  <c r="A79" i="224" s="1"/>
  <c r="A80" i="224" s="1"/>
  <c r="A81" i="224" s="1"/>
  <c r="A82" i="224" s="1"/>
  <c r="A83" i="224" s="1"/>
  <c r="A84" i="224" s="1"/>
  <c r="A85" i="224" s="1"/>
  <c r="A86" i="224" s="1"/>
  <c r="A87" i="224" s="1"/>
  <c r="A88" i="224" s="1"/>
  <c r="A89" i="224" s="1"/>
  <c r="A90" i="224" s="1"/>
  <c r="A91" i="224" s="1"/>
  <c r="A92" i="224" s="1"/>
  <c r="A93" i="224" s="1"/>
  <c r="H56" i="224"/>
  <c r="H57" i="224" s="1"/>
  <c r="H58" i="224" s="1"/>
  <c r="H59" i="224" s="1"/>
  <c r="H60" i="224" s="1"/>
  <c r="H61" i="224" s="1"/>
  <c r="H62" i="224" s="1"/>
  <c r="H63" i="224" s="1"/>
  <c r="H64" i="224" s="1"/>
  <c r="H65" i="224" s="1"/>
  <c r="H66" i="224" s="1"/>
  <c r="H67" i="224" s="1"/>
  <c r="H68" i="224" s="1"/>
  <c r="H69" i="224" s="1"/>
  <c r="H70" i="224" s="1"/>
  <c r="H71" i="224" s="1"/>
  <c r="H72" i="224" s="1"/>
  <c r="H73" i="224" s="1"/>
  <c r="H74" i="224" s="1"/>
  <c r="H75" i="224" s="1"/>
  <c r="H76" i="224" s="1"/>
  <c r="H77" i="224" s="1"/>
  <c r="H78" i="224" s="1"/>
  <c r="H79" i="224" s="1"/>
  <c r="H80" i="224" s="1"/>
  <c r="H81" i="224" s="1"/>
  <c r="H82" i="224" s="1"/>
  <c r="H83" i="224" s="1"/>
  <c r="H84" i="224" s="1"/>
  <c r="H85" i="224" s="1"/>
  <c r="H86" i="224" s="1"/>
  <c r="H87" i="224" s="1"/>
  <c r="H88" i="224" s="1"/>
  <c r="H89" i="224" s="1"/>
  <c r="H90" i="224" s="1"/>
  <c r="H91" i="224" s="1"/>
  <c r="H92" i="224" s="1"/>
  <c r="H93" i="224" s="1"/>
  <c r="B50" i="224"/>
  <c r="A12" i="224"/>
  <c r="A13" i="224" s="1"/>
  <c r="A14" i="224" s="1"/>
  <c r="A15" i="224" s="1"/>
  <c r="A16" i="224" s="1"/>
  <c r="A17" i="224" s="1"/>
  <c r="A18" i="224" s="1"/>
  <c r="A19" i="224" s="1"/>
  <c r="A20" i="224" s="1"/>
  <c r="A21" i="224" s="1"/>
  <c r="A22" i="224" s="1"/>
  <c r="A23" i="224" s="1"/>
  <c r="A24" i="224" s="1"/>
  <c r="A25" i="224" s="1"/>
  <c r="A26" i="224" s="1"/>
  <c r="A27" i="224" s="1"/>
  <c r="A28" i="224" s="1"/>
  <c r="A29" i="224" s="1"/>
  <c r="A30" i="224" s="1"/>
  <c r="A31" i="224" s="1"/>
  <c r="A32" i="224" s="1"/>
  <c r="A33" i="224" s="1"/>
  <c r="A34" i="224" s="1"/>
  <c r="A35" i="224" s="1"/>
  <c r="A36" i="224" s="1"/>
  <c r="A37" i="224" s="1"/>
  <c r="A38" i="224" s="1"/>
  <c r="A39" i="224" s="1"/>
  <c r="A40" i="224" s="1"/>
  <c r="A41" i="224" s="1"/>
  <c r="H11" i="224"/>
  <c r="H12" i="224" s="1"/>
  <c r="H13" i="224" s="1"/>
  <c r="H14" i="224" s="1"/>
  <c r="H15" i="224" s="1"/>
  <c r="H16" i="224" s="1"/>
  <c r="H17" i="224" s="1"/>
  <c r="H18" i="224" s="1"/>
  <c r="H19" i="224" s="1"/>
  <c r="H20" i="224" s="1"/>
  <c r="H21" i="224" s="1"/>
  <c r="H22" i="224" s="1"/>
  <c r="H23" i="224" s="1"/>
  <c r="H24" i="224" s="1"/>
  <c r="H25" i="224" s="1"/>
  <c r="H26" i="224" s="1"/>
  <c r="H27" i="224" s="1"/>
  <c r="H28" i="224" s="1"/>
  <c r="H29" i="224" s="1"/>
  <c r="H30" i="224" s="1"/>
  <c r="H31" i="224" s="1"/>
  <c r="H32" i="224" s="1"/>
  <c r="H33" i="224" s="1"/>
  <c r="H34" i="224" s="1"/>
  <c r="H35" i="224" s="1"/>
  <c r="H36" i="224" s="1"/>
  <c r="H37" i="224" s="1"/>
  <c r="H38" i="224" s="1"/>
  <c r="H39" i="224" s="1"/>
  <c r="H40" i="224" s="1"/>
  <c r="H41" i="224" s="1"/>
  <c r="E163" i="224" l="1"/>
  <c r="A45" i="227"/>
  <c r="A46" i="227" s="1"/>
  <c r="I45" i="227"/>
  <c r="I46" i="227" s="1"/>
  <c r="A61" i="229"/>
  <c r="A62" i="229" s="1"/>
  <c r="M26" i="229"/>
  <c r="M30" i="229" s="1"/>
  <c r="F45" i="227" s="1"/>
  <c r="C89" i="232" l="1"/>
  <c r="C83" i="232"/>
  <c r="C82" i="232"/>
  <c r="C14" i="232" s="1"/>
  <c r="C81" i="232"/>
  <c r="C13" i="232" s="1"/>
  <c r="C80" i="232"/>
  <c r="C77" i="232"/>
  <c r="C70" i="232"/>
  <c r="A66" i="232"/>
  <c r="A67" i="232" s="1"/>
  <c r="A68" i="232" s="1"/>
  <c r="A69" i="232" s="1"/>
  <c r="A70" i="232" s="1"/>
  <c r="A71" i="232" s="1"/>
  <c r="A72" i="232" s="1"/>
  <c r="A73" i="232" s="1"/>
  <c r="A74" i="232" s="1"/>
  <c r="A75" i="232" s="1"/>
  <c r="A76" i="232" s="1"/>
  <c r="A77" i="232" s="1"/>
  <c r="A78" i="232" s="1"/>
  <c r="A79" i="232" s="1"/>
  <c r="A80" i="232" s="1"/>
  <c r="A81" i="232" s="1"/>
  <c r="A82" i="232" s="1"/>
  <c r="A83" i="232" s="1"/>
  <c r="A84" i="232" s="1"/>
  <c r="A85" i="232" s="1"/>
  <c r="A86" i="232" s="1"/>
  <c r="A87" i="232" s="1"/>
  <c r="A88" i="232" s="1"/>
  <c r="A89" i="232" s="1"/>
  <c r="F65" i="232"/>
  <c r="F66" i="232" s="1"/>
  <c r="F67" i="232" s="1"/>
  <c r="F68" i="232" s="1"/>
  <c r="F69" i="232" s="1"/>
  <c r="F70" i="232" s="1"/>
  <c r="F71" i="232" s="1"/>
  <c r="F72" i="232" s="1"/>
  <c r="F73" i="232" s="1"/>
  <c r="F74" i="232" s="1"/>
  <c r="F75" i="232" s="1"/>
  <c r="F76" i="232" s="1"/>
  <c r="F77" i="232" s="1"/>
  <c r="F78" i="232" s="1"/>
  <c r="F79" i="232" s="1"/>
  <c r="F80" i="232" s="1"/>
  <c r="F81" i="232" s="1"/>
  <c r="F82" i="232" s="1"/>
  <c r="F83" i="232" s="1"/>
  <c r="F84" i="232" s="1"/>
  <c r="F85" i="232" s="1"/>
  <c r="F86" i="232" s="1"/>
  <c r="F87" i="232" s="1"/>
  <c r="F88" i="232" s="1"/>
  <c r="F89" i="232" s="1"/>
  <c r="B58" i="232"/>
  <c r="C46" i="232"/>
  <c r="C41" i="232"/>
  <c r="C39" i="232"/>
  <c r="C26" i="232"/>
  <c r="C21" i="232"/>
  <c r="C15" i="232"/>
  <c r="A13" i="232"/>
  <c r="A14" i="232" s="1"/>
  <c r="A15" i="232" s="1"/>
  <c r="A16" i="232" s="1"/>
  <c r="A17" i="232" s="1"/>
  <c r="A18" i="232" s="1"/>
  <c r="A19" i="232" s="1"/>
  <c r="A20" i="232" s="1"/>
  <c r="A21" i="232" s="1"/>
  <c r="A22" i="232" s="1"/>
  <c r="A23" i="232" s="1"/>
  <c r="A24" i="232" s="1"/>
  <c r="A25" i="232" s="1"/>
  <c r="A26" i="232" s="1"/>
  <c r="A27" i="232" s="1"/>
  <c r="A28" i="232" s="1"/>
  <c r="A29" i="232" s="1"/>
  <c r="A30" i="232" s="1"/>
  <c r="A31" i="232" s="1"/>
  <c r="A32" i="232" s="1"/>
  <c r="A33" i="232" s="1"/>
  <c r="A34" i="232" s="1"/>
  <c r="A35" i="232" s="1"/>
  <c r="A36" i="232" s="1"/>
  <c r="A37" i="232" s="1"/>
  <c r="A38" i="232" s="1"/>
  <c r="A39" i="232" s="1"/>
  <c r="A40" i="232" s="1"/>
  <c r="A41" i="232" s="1"/>
  <c r="A42" i="232" s="1"/>
  <c r="A43" i="232" s="1"/>
  <c r="A44" i="232" s="1"/>
  <c r="A45" i="232" s="1"/>
  <c r="A46" i="232" s="1"/>
  <c r="A47" i="232" s="1"/>
  <c r="A48" i="232" s="1"/>
  <c r="F12" i="232"/>
  <c r="F13" i="232" s="1"/>
  <c r="F14" i="232" s="1"/>
  <c r="F15" i="232" s="1"/>
  <c r="F16" i="232" s="1"/>
  <c r="F17" i="232" s="1"/>
  <c r="F18" i="232" s="1"/>
  <c r="F19" i="232" s="1"/>
  <c r="F20" i="232" s="1"/>
  <c r="F21" i="232" s="1"/>
  <c r="F22" i="232" s="1"/>
  <c r="F23" i="232" s="1"/>
  <c r="F24" i="232" s="1"/>
  <c r="F25" i="232" s="1"/>
  <c r="F26" i="232" s="1"/>
  <c r="F27" i="232" s="1"/>
  <c r="F28" i="232" s="1"/>
  <c r="F29" i="232" s="1"/>
  <c r="F30" i="232" s="1"/>
  <c r="F31" i="232" s="1"/>
  <c r="F32" i="232" s="1"/>
  <c r="F33" i="232" s="1"/>
  <c r="F34" i="232" s="1"/>
  <c r="F35" i="232" s="1"/>
  <c r="F36" i="232" s="1"/>
  <c r="F37" i="232" s="1"/>
  <c r="F38" i="232" s="1"/>
  <c r="F39" i="232" s="1"/>
  <c r="F40" i="232" s="1"/>
  <c r="F41" i="232" s="1"/>
  <c r="F42" i="232" s="1"/>
  <c r="F43" i="232" s="1"/>
  <c r="F44" i="232" s="1"/>
  <c r="F45" i="232" s="1"/>
  <c r="F46" i="232" s="1"/>
  <c r="F47" i="232" s="1"/>
  <c r="F48" i="232" s="1"/>
  <c r="C12" i="232"/>
  <c r="A12" i="232"/>
  <c r="F11" i="232"/>
  <c r="G149" i="231"/>
  <c r="B149" i="231"/>
  <c r="B148" i="231"/>
  <c r="G147" i="231"/>
  <c r="G146" i="231"/>
  <c r="B146" i="231"/>
  <c r="B145" i="231"/>
  <c r="G137" i="231"/>
  <c r="B137" i="231"/>
  <c r="B134" i="231"/>
  <c r="B133" i="231"/>
  <c r="J129" i="231"/>
  <c r="J130" i="231" s="1"/>
  <c r="J131" i="231" s="1"/>
  <c r="J132" i="231" s="1"/>
  <c r="J133" i="231" s="1"/>
  <c r="J134" i="231" s="1"/>
  <c r="J135" i="231" s="1"/>
  <c r="J136" i="231" s="1"/>
  <c r="J137" i="231" s="1"/>
  <c r="J138" i="231" s="1"/>
  <c r="J139" i="231" s="1"/>
  <c r="J140" i="231" s="1"/>
  <c r="J141" i="231" s="1"/>
  <c r="J142" i="231" s="1"/>
  <c r="J143" i="231" s="1"/>
  <c r="J144" i="231" s="1"/>
  <c r="J145" i="231" s="1"/>
  <c r="J146" i="231" s="1"/>
  <c r="J147" i="231" s="1"/>
  <c r="J148" i="231" s="1"/>
  <c r="J149" i="231" s="1"/>
  <c r="J150" i="231" s="1"/>
  <c r="J151" i="231" s="1"/>
  <c r="J152" i="231" s="1"/>
  <c r="J153" i="231" s="1"/>
  <c r="J154" i="231" s="1"/>
  <c r="J155" i="231" s="1"/>
  <c r="J156" i="231" s="1"/>
  <c r="J157" i="231" s="1"/>
  <c r="J158" i="231" s="1"/>
  <c r="A129" i="231"/>
  <c r="A130" i="231" s="1"/>
  <c r="A131" i="231" s="1"/>
  <c r="A132" i="231" s="1"/>
  <c r="A133" i="231" s="1"/>
  <c r="B122" i="231"/>
  <c r="G100" i="231"/>
  <c r="J83" i="231"/>
  <c r="J84" i="231" s="1"/>
  <c r="J85" i="231" s="1"/>
  <c r="J86" i="231" s="1"/>
  <c r="J87" i="231" s="1"/>
  <c r="J88" i="231" s="1"/>
  <c r="J89" i="231" s="1"/>
  <c r="J90" i="231" s="1"/>
  <c r="J91" i="231" s="1"/>
  <c r="J92" i="231" s="1"/>
  <c r="J93" i="231" s="1"/>
  <c r="J94" i="231" s="1"/>
  <c r="J95" i="231" s="1"/>
  <c r="J96" i="231" s="1"/>
  <c r="J97" i="231" s="1"/>
  <c r="J98" i="231" s="1"/>
  <c r="J99" i="231" s="1"/>
  <c r="J100" i="231" s="1"/>
  <c r="J101" i="231" s="1"/>
  <c r="J102" i="231" s="1"/>
  <c r="J103" i="231" s="1"/>
  <c r="J104" i="231" s="1"/>
  <c r="J105" i="231" s="1"/>
  <c r="J106" i="231" s="1"/>
  <c r="J107" i="231" s="1"/>
  <c r="J108" i="231" s="1"/>
  <c r="J109" i="231" s="1"/>
  <c r="J110" i="231" s="1"/>
  <c r="J111" i="231" s="1"/>
  <c r="J112" i="231" s="1"/>
  <c r="A83" i="231"/>
  <c r="A84" i="231" s="1"/>
  <c r="A85" i="231" s="1"/>
  <c r="A86" i="231" s="1"/>
  <c r="A87" i="231" s="1"/>
  <c r="B76" i="231"/>
  <c r="E62" i="231"/>
  <c r="C61" i="231"/>
  <c r="E49" i="231"/>
  <c r="E48" i="231"/>
  <c r="C48" i="231"/>
  <c r="G36" i="231"/>
  <c r="G39" i="231" s="1"/>
  <c r="G32" i="231"/>
  <c r="E61" i="231" s="1"/>
  <c r="G25" i="231"/>
  <c r="G27" i="231" s="1"/>
  <c r="G17" i="231"/>
  <c r="C47" i="231" s="1"/>
  <c r="A12" i="231"/>
  <c r="A13" i="231" s="1"/>
  <c r="A14" i="231" s="1"/>
  <c r="A15" i="231" s="1"/>
  <c r="A16" i="231" s="1"/>
  <c r="J11" i="231"/>
  <c r="J12" i="231" s="1"/>
  <c r="J13" i="231" s="1"/>
  <c r="J14" i="231" s="1"/>
  <c r="J15" i="231" s="1"/>
  <c r="J16" i="231" s="1"/>
  <c r="J17" i="231" s="1"/>
  <c r="J18" i="231" s="1"/>
  <c r="J19" i="231" s="1"/>
  <c r="J20" i="231" s="1"/>
  <c r="J21" i="231" s="1"/>
  <c r="J22" i="231" s="1"/>
  <c r="J23" i="231" s="1"/>
  <c r="J24" i="231" s="1"/>
  <c r="J25" i="231" s="1"/>
  <c r="J26" i="231" s="1"/>
  <c r="J27" i="231" s="1"/>
  <c r="J28" i="231" s="1"/>
  <c r="J29" i="231" s="1"/>
  <c r="J30" i="231" s="1"/>
  <c r="J31" i="231" s="1"/>
  <c r="J32" i="231" s="1"/>
  <c r="J33" i="231" s="1"/>
  <c r="J34" i="231" s="1"/>
  <c r="J35" i="231" s="1"/>
  <c r="J36" i="231" s="1"/>
  <c r="J37" i="231" s="1"/>
  <c r="J38" i="231" s="1"/>
  <c r="J39" i="231" s="1"/>
  <c r="J40" i="231" s="1"/>
  <c r="J41" i="231" s="1"/>
  <c r="J42" i="231" s="1"/>
  <c r="J43" i="231" s="1"/>
  <c r="J44" i="231" s="1"/>
  <c r="J45" i="231" s="1"/>
  <c r="J46" i="231" s="1"/>
  <c r="J47" i="231" s="1"/>
  <c r="J48" i="231" s="1"/>
  <c r="J49" i="231" s="1"/>
  <c r="J50" i="231" s="1"/>
  <c r="J51" i="231" s="1"/>
  <c r="J52" i="231" s="1"/>
  <c r="J53" i="231" s="1"/>
  <c r="J54" i="231" s="1"/>
  <c r="J55" i="231" s="1"/>
  <c r="J56" i="231" s="1"/>
  <c r="J57" i="231" s="1"/>
  <c r="J58" i="231" s="1"/>
  <c r="J59" i="231" s="1"/>
  <c r="J60" i="231" s="1"/>
  <c r="J61" i="231" s="1"/>
  <c r="J62" i="231" s="1"/>
  <c r="J63" i="231" s="1"/>
  <c r="J64" i="231" s="1"/>
  <c r="J65" i="231" s="1"/>
  <c r="E27" i="230"/>
  <c r="G19" i="230"/>
  <c r="G15" i="230"/>
  <c r="J12" i="230"/>
  <c r="J13" i="230" s="1"/>
  <c r="J14" i="230" s="1"/>
  <c r="J15" i="230" s="1"/>
  <c r="J16" i="230" s="1"/>
  <c r="J17" i="230" s="1"/>
  <c r="J18" i="230" s="1"/>
  <c r="J19" i="230" s="1"/>
  <c r="J20" i="230" s="1"/>
  <c r="J21" i="230" s="1"/>
  <c r="J22" i="230" s="1"/>
  <c r="J23" i="230" s="1"/>
  <c r="J24" i="230" s="1"/>
  <c r="J25" i="230" s="1"/>
  <c r="J26" i="230" s="1"/>
  <c r="J27" i="230" s="1"/>
  <c r="J28" i="230" s="1"/>
  <c r="J29" i="230" s="1"/>
  <c r="A12" i="230"/>
  <c r="A13" i="230" s="1"/>
  <c r="A14" i="230" s="1"/>
  <c r="A15" i="230" s="1"/>
  <c r="A16" i="230" s="1"/>
  <c r="A17" i="230" s="1"/>
  <c r="A18" i="230" s="1"/>
  <c r="A19" i="230" s="1"/>
  <c r="A20" i="230" s="1"/>
  <c r="A21" i="230" s="1"/>
  <c r="A22" i="230" s="1"/>
  <c r="A23" i="230" s="1"/>
  <c r="A24" i="230" s="1"/>
  <c r="A25" i="230" s="1"/>
  <c r="A26" i="230" s="1"/>
  <c r="A27" i="230" s="1"/>
  <c r="A28" i="230" s="1"/>
  <c r="A29" i="230" s="1"/>
  <c r="J11" i="230"/>
  <c r="E48" i="229"/>
  <c r="E44" i="229"/>
  <c r="E37" i="229"/>
  <c r="F28" i="229"/>
  <c r="H28" i="229" s="1"/>
  <c r="L28" i="229" s="1"/>
  <c r="O28" i="229" s="1"/>
  <c r="E26" i="229"/>
  <c r="E30" i="229" s="1"/>
  <c r="D26" i="229"/>
  <c r="D30" i="229" s="1"/>
  <c r="F24" i="229"/>
  <c r="H24" i="229" s="1"/>
  <c r="L24" i="229" s="1"/>
  <c r="O24" i="229" s="1"/>
  <c r="F23" i="229"/>
  <c r="H23" i="229" s="1"/>
  <c r="L23" i="229" s="1"/>
  <c r="O23" i="229" s="1"/>
  <c r="F22" i="229"/>
  <c r="H22" i="229" s="1"/>
  <c r="L22" i="229" s="1"/>
  <c r="O22" i="229" s="1"/>
  <c r="F21" i="229"/>
  <c r="H21" i="229" s="1"/>
  <c r="L21" i="229" s="1"/>
  <c r="O21" i="229" s="1"/>
  <c r="F20" i="229"/>
  <c r="H20" i="229" s="1"/>
  <c r="L20" i="229" s="1"/>
  <c r="O20" i="229" s="1"/>
  <c r="H19" i="229"/>
  <c r="L19" i="229" s="1"/>
  <c r="O19" i="229" s="1"/>
  <c r="F19" i="229"/>
  <c r="F18" i="229"/>
  <c r="H18" i="229" s="1"/>
  <c r="L18" i="229" s="1"/>
  <c r="O18" i="229" s="1"/>
  <c r="F17" i="229"/>
  <c r="H17" i="229" s="1"/>
  <c r="L17" i="229" s="1"/>
  <c r="O17" i="229" s="1"/>
  <c r="F16" i="229"/>
  <c r="H16" i="229" s="1"/>
  <c r="L16" i="229" s="1"/>
  <c r="O16" i="229" s="1"/>
  <c r="F15" i="229"/>
  <c r="H15" i="229" s="1"/>
  <c r="L15" i="229" s="1"/>
  <c r="O15" i="229" s="1"/>
  <c r="J14" i="229"/>
  <c r="G14" i="229"/>
  <c r="G26" i="229" s="1"/>
  <c r="G30" i="229" s="1"/>
  <c r="F14" i="229"/>
  <c r="F13" i="229"/>
  <c r="H13" i="229" s="1"/>
  <c r="L13" i="229" s="1"/>
  <c r="O13" i="229" s="1"/>
  <c r="J12" i="229"/>
  <c r="F12" i="229"/>
  <c r="H12" i="229" s="1"/>
  <c r="L12" i="229" s="1"/>
  <c r="O12" i="229" s="1"/>
  <c r="A12" i="229"/>
  <c r="A13" i="229" s="1"/>
  <c r="A14" i="229" s="1"/>
  <c r="A15" i="229" s="1"/>
  <c r="A16" i="229" s="1"/>
  <c r="Q11" i="229"/>
  <c r="Q12" i="229" s="1"/>
  <c r="Q13" i="229" s="1"/>
  <c r="Q14" i="229" s="1"/>
  <c r="Q15" i="229" s="1"/>
  <c r="Q16" i="229" s="1"/>
  <c r="F11" i="229"/>
  <c r="H11" i="229" s="1"/>
  <c r="F61" i="227"/>
  <c r="F69" i="227" s="1"/>
  <c r="F29" i="227"/>
  <c r="A12" i="227"/>
  <c r="A13" i="227" s="1"/>
  <c r="A14" i="227" s="1"/>
  <c r="A15" i="227" s="1"/>
  <c r="A16" i="227" s="1"/>
  <c r="A17" i="227" s="1"/>
  <c r="A18" i="227" s="1"/>
  <c r="A19" i="227" s="1"/>
  <c r="A20" i="227" s="1"/>
  <c r="A21" i="227" s="1"/>
  <c r="A22" i="227" s="1"/>
  <c r="A23" i="227" s="1"/>
  <c r="A24" i="227" s="1"/>
  <c r="A25" i="227" s="1"/>
  <c r="A26" i="227" s="1"/>
  <c r="A27" i="227" s="1"/>
  <c r="A28" i="227" s="1"/>
  <c r="A29" i="227" s="1"/>
  <c r="A30" i="227" s="1"/>
  <c r="A31" i="227" s="1"/>
  <c r="A32" i="227" s="1"/>
  <c r="A33" i="227" s="1"/>
  <c r="A34" i="227" s="1"/>
  <c r="A35" i="227" s="1"/>
  <c r="A36" i="227" s="1"/>
  <c r="A37" i="227" s="1"/>
  <c r="A38" i="227" s="1"/>
  <c r="A39" i="227" s="1"/>
  <c r="A40" i="227" s="1"/>
  <c r="A41" i="227" s="1"/>
  <c r="A42" i="227" s="1"/>
  <c r="A43" i="227" s="1"/>
  <c r="A44" i="227" s="1"/>
  <c r="A47" i="227" s="1"/>
  <c r="A48" i="227" s="1"/>
  <c r="A49" i="227" s="1"/>
  <c r="A50" i="227" s="1"/>
  <c r="A51" i="227" s="1"/>
  <c r="A52" i="227" s="1"/>
  <c r="A53" i="227" s="1"/>
  <c r="A54" i="227" s="1"/>
  <c r="A55" i="227" s="1"/>
  <c r="A56" i="227" s="1"/>
  <c r="A57" i="227" s="1"/>
  <c r="A58" i="227" s="1"/>
  <c r="A59" i="227" s="1"/>
  <c r="A60" i="227" s="1"/>
  <c r="A61" i="227" s="1"/>
  <c r="A62" i="227" s="1"/>
  <c r="A63" i="227" s="1"/>
  <c r="A64" i="227" s="1"/>
  <c r="A65" i="227" s="1"/>
  <c r="A66" i="227" s="1"/>
  <c r="A67" i="227" s="1"/>
  <c r="A68" i="227" s="1"/>
  <c r="A69" i="227" s="1"/>
  <c r="A70" i="227" s="1"/>
  <c r="A71" i="227" s="1"/>
  <c r="I11" i="227"/>
  <c r="I12" i="227" s="1"/>
  <c r="I13" i="227" s="1"/>
  <c r="I14" i="227" s="1"/>
  <c r="I15" i="227" s="1"/>
  <c r="I16" i="227" s="1"/>
  <c r="I17" i="227" s="1"/>
  <c r="I18" i="227" s="1"/>
  <c r="I19" i="227" s="1"/>
  <c r="I20" i="227" s="1"/>
  <c r="I21" i="227" s="1"/>
  <c r="I22" i="227" s="1"/>
  <c r="I23" i="227" s="1"/>
  <c r="I24" i="227" s="1"/>
  <c r="I25" i="227" s="1"/>
  <c r="I26" i="227" s="1"/>
  <c r="I27" i="227" s="1"/>
  <c r="I28" i="227" s="1"/>
  <c r="I29" i="227" s="1"/>
  <c r="I30" i="227" s="1"/>
  <c r="I31" i="227" s="1"/>
  <c r="I32" i="227" s="1"/>
  <c r="I33" i="227" s="1"/>
  <c r="I34" i="227" s="1"/>
  <c r="I35" i="227" s="1"/>
  <c r="I36" i="227" s="1"/>
  <c r="I37" i="227" s="1"/>
  <c r="I38" i="227" s="1"/>
  <c r="I39" i="227" s="1"/>
  <c r="I40" i="227" s="1"/>
  <c r="I41" i="227" s="1"/>
  <c r="I42" i="227" s="1"/>
  <c r="I43" i="227" s="1"/>
  <c r="I44" i="227" s="1"/>
  <c r="I47" i="227" s="1"/>
  <c r="I48" i="227" s="1"/>
  <c r="I49" i="227" s="1"/>
  <c r="I50" i="227" s="1"/>
  <c r="I51" i="227" s="1"/>
  <c r="I52" i="227" s="1"/>
  <c r="I53" i="227" s="1"/>
  <c r="I54" i="227" s="1"/>
  <c r="I55" i="227" s="1"/>
  <c r="I56" i="227" s="1"/>
  <c r="I57" i="227" s="1"/>
  <c r="I58" i="227" s="1"/>
  <c r="I59" i="227" s="1"/>
  <c r="I60" i="227" s="1"/>
  <c r="I61" i="227" s="1"/>
  <c r="I62" i="227" s="1"/>
  <c r="I63" i="227" s="1"/>
  <c r="I64" i="227" s="1"/>
  <c r="I65" i="227" s="1"/>
  <c r="I66" i="227" s="1"/>
  <c r="I67" i="227" s="1"/>
  <c r="I68" i="227" s="1"/>
  <c r="I69" i="227" s="1"/>
  <c r="I70" i="227" s="1"/>
  <c r="I71" i="227" s="1"/>
  <c r="G12" i="226"/>
  <c r="G13" i="226" s="1"/>
  <c r="G14" i="226" s="1"/>
  <c r="G15" i="226" s="1"/>
  <c r="G16" i="226" s="1"/>
  <c r="G17" i="226" s="1"/>
  <c r="G18" i="226" s="1"/>
  <c r="G19" i="226" s="1"/>
  <c r="G20" i="226" s="1"/>
  <c r="G21" i="226" s="1"/>
  <c r="G22" i="226" s="1"/>
  <c r="G23" i="226" s="1"/>
  <c r="G11" i="226"/>
  <c r="A11" i="226"/>
  <c r="A12" i="226" s="1"/>
  <c r="A13" i="226" s="1"/>
  <c r="A14" i="226" s="1"/>
  <c r="A15" i="226" s="1"/>
  <c r="A16" i="226" s="1"/>
  <c r="A17" i="226" s="1"/>
  <c r="A18" i="226" s="1"/>
  <c r="A19" i="226" s="1"/>
  <c r="A20" i="226" s="1"/>
  <c r="A21" i="226" s="1"/>
  <c r="A22" i="226" s="1"/>
  <c r="A23" i="226" s="1"/>
  <c r="G10" i="226"/>
  <c r="N28" i="225"/>
  <c r="K28" i="225"/>
  <c r="J28" i="225"/>
  <c r="F28" i="225"/>
  <c r="C28" i="225"/>
  <c r="N26" i="225"/>
  <c r="M26" i="225"/>
  <c r="M28" i="225" s="1"/>
  <c r="L26" i="225"/>
  <c r="L28" i="225" s="1"/>
  <c r="K26" i="225"/>
  <c r="J26" i="225"/>
  <c r="I26" i="225"/>
  <c r="I28" i="225" s="1"/>
  <c r="H26" i="225"/>
  <c r="H28" i="225" s="1"/>
  <c r="G26" i="225"/>
  <c r="G28" i="225" s="1"/>
  <c r="F26" i="225"/>
  <c r="E26" i="225"/>
  <c r="E28" i="225" s="1"/>
  <c r="D26" i="225"/>
  <c r="D28" i="225" s="1"/>
  <c r="C26" i="225"/>
  <c r="O25" i="225"/>
  <c r="O23" i="225"/>
  <c r="O22" i="225"/>
  <c r="O20" i="225"/>
  <c r="O19" i="225"/>
  <c r="O17" i="225"/>
  <c r="O16" i="225"/>
  <c r="O13" i="225"/>
  <c r="A13" i="225"/>
  <c r="A14" i="225" s="1"/>
  <c r="A15" i="225" s="1"/>
  <c r="A16" i="225" s="1"/>
  <c r="A17" i="225" s="1"/>
  <c r="A18" i="225" s="1"/>
  <c r="A19" i="225" s="1"/>
  <c r="A20" i="225" s="1"/>
  <c r="A21" i="225" s="1"/>
  <c r="A22" i="225" s="1"/>
  <c r="A23" i="225" s="1"/>
  <c r="A24" i="225" s="1"/>
  <c r="A25" i="225" s="1"/>
  <c r="A26" i="225" s="1"/>
  <c r="A27" i="225" s="1"/>
  <c r="A28" i="225" s="1"/>
  <c r="A29" i="225" s="1"/>
  <c r="A30" i="225" s="1"/>
  <c r="A31" i="225" s="1"/>
  <c r="A32" i="225" s="1"/>
  <c r="R12" i="225"/>
  <c r="R13" i="225" s="1"/>
  <c r="R14" i="225" s="1"/>
  <c r="R15" i="225" s="1"/>
  <c r="R16" i="225" s="1"/>
  <c r="R17" i="225" s="1"/>
  <c r="R18" i="225" s="1"/>
  <c r="R19" i="225" s="1"/>
  <c r="R20" i="225" s="1"/>
  <c r="R21" i="225" s="1"/>
  <c r="R22" i="225" s="1"/>
  <c r="R23" i="225" s="1"/>
  <c r="R24" i="225" s="1"/>
  <c r="R25" i="225" s="1"/>
  <c r="R26" i="225" s="1"/>
  <c r="R27" i="225" s="1"/>
  <c r="R28" i="225" s="1"/>
  <c r="R29" i="225" s="1"/>
  <c r="R30" i="225" s="1"/>
  <c r="R31" i="225" s="1"/>
  <c r="R32" i="225" s="1"/>
  <c r="R33" i="225" s="1"/>
  <c r="R34" i="225" s="1"/>
  <c r="R35" i="225" s="1"/>
  <c r="R36" i="225" s="1"/>
  <c r="R37" i="225" s="1"/>
  <c r="R38" i="225" s="1"/>
  <c r="R39" i="225" s="1"/>
  <c r="R40" i="225" s="1"/>
  <c r="R41" i="225" s="1"/>
  <c r="R42" i="225" s="1"/>
  <c r="R43" i="225" s="1"/>
  <c r="A12" i="225"/>
  <c r="R11" i="225"/>
  <c r="B51" i="223"/>
  <c r="C45" i="223"/>
  <c r="B45" i="223"/>
  <c r="B43" i="223"/>
  <c r="B41" i="223"/>
  <c r="B39" i="223"/>
  <c r="C37" i="223"/>
  <c r="B37" i="223"/>
  <c r="B35" i="223"/>
  <c r="E33" i="223"/>
  <c r="C33" i="223"/>
  <c r="B33" i="223"/>
  <c r="A12" i="223"/>
  <c r="A13" i="223" s="1"/>
  <c r="F11" i="223"/>
  <c r="F12" i="223" s="1"/>
  <c r="F13" i="223" s="1"/>
  <c r="F14" i="223" s="1"/>
  <c r="F15" i="223" s="1"/>
  <c r="F16" i="223" s="1"/>
  <c r="F17" i="223" s="1"/>
  <c r="F18" i="223" s="1"/>
  <c r="F19" i="223" s="1"/>
  <c r="F20" i="223" s="1"/>
  <c r="F21" i="223" s="1"/>
  <c r="F22" i="223" s="1"/>
  <c r="F23" i="223" s="1"/>
  <c r="F24" i="223" s="1"/>
  <c r="F25" i="223" s="1"/>
  <c r="F26" i="223" s="1"/>
  <c r="F32" i="223" s="1"/>
  <c r="F33" i="223" s="1"/>
  <c r="F34" i="223" s="1"/>
  <c r="F35" i="223" s="1"/>
  <c r="F36" i="223" s="1"/>
  <c r="F37" i="223" s="1"/>
  <c r="F38" i="223" s="1"/>
  <c r="F39" i="223" s="1"/>
  <c r="F40" i="223" s="1"/>
  <c r="F41" i="223" s="1"/>
  <c r="F42" i="223" s="1"/>
  <c r="F43" i="223" s="1"/>
  <c r="F44" i="223" s="1"/>
  <c r="F45" i="223" s="1"/>
  <c r="F46" i="223" s="1"/>
  <c r="F47" i="223" s="1"/>
  <c r="F48" i="223" s="1"/>
  <c r="F49" i="223" s="1"/>
  <c r="F50" i="223" s="1"/>
  <c r="F51" i="223" s="1"/>
  <c r="F52" i="223" s="1"/>
  <c r="C16" i="232" l="1"/>
  <c r="J26" i="229"/>
  <c r="J30" i="229" s="1"/>
  <c r="H14" i="229"/>
  <c r="L14" i="229" s="1"/>
  <c r="O14" i="229" s="1"/>
  <c r="E51" i="229"/>
  <c r="C84" i="232"/>
  <c r="I99" i="231"/>
  <c r="A88" i="231"/>
  <c r="A89" i="231" s="1"/>
  <c r="C49" i="231"/>
  <c r="C62" i="231"/>
  <c r="D62" i="231" s="1"/>
  <c r="G62" i="231" s="1"/>
  <c r="A134" i="231"/>
  <c r="A135" i="231" s="1"/>
  <c r="I145" i="231"/>
  <c r="I17" i="231"/>
  <c r="A17" i="231"/>
  <c r="A18" i="231" s="1"/>
  <c r="A19" i="231" s="1"/>
  <c r="A20" i="231" s="1"/>
  <c r="C50" i="231"/>
  <c r="D48" i="231" s="1"/>
  <c r="G48" i="231" s="1"/>
  <c r="E47" i="231"/>
  <c r="E60" i="231"/>
  <c r="C60" i="231"/>
  <c r="L11" i="229"/>
  <c r="O11" i="229" s="1"/>
  <c r="O26" i="229" s="1"/>
  <c r="O30" i="229" s="1"/>
  <c r="A17" i="229"/>
  <c r="Q17" i="229"/>
  <c r="F26" i="229"/>
  <c r="F30" i="229" s="1"/>
  <c r="F59" i="227"/>
  <c r="F71" i="227" s="1"/>
  <c r="F51" i="227" s="1"/>
  <c r="B51" i="225"/>
  <c r="B50" i="225"/>
  <c r="B49" i="225"/>
  <c r="A33" i="225"/>
  <c r="A34" i="225" s="1"/>
  <c r="A35" i="225" s="1"/>
  <c r="A36" i="225" s="1"/>
  <c r="A37" i="225" s="1"/>
  <c r="A38" i="225" s="1"/>
  <c r="A39" i="225" s="1"/>
  <c r="A40" i="225" s="1"/>
  <c r="A41" i="225" s="1"/>
  <c r="A42" i="225" s="1"/>
  <c r="A43" i="225" s="1"/>
  <c r="O28" i="225"/>
  <c r="O26" i="225"/>
  <c r="E35" i="223"/>
  <c r="A14" i="223"/>
  <c r="A15" i="223" s="1"/>
  <c r="L26" i="229" l="1"/>
  <c r="L30" i="229" s="1"/>
  <c r="H26" i="229"/>
  <c r="H30" i="229" s="1"/>
  <c r="C63" i="231"/>
  <c r="D60" i="231"/>
  <c r="A136" i="231"/>
  <c r="I146" i="231"/>
  <c r="D61" i="231"/>
  <c r="G61" i="231" s="1"/>
  <c r="G65" i="231" s="1"/>
  <c r="G133" i="231" s="1"/>
  <c r="D47" i="231"/>
  <c r="D49" i="231"/>
  <c r="G49" i="231" s="1"/>
  <c r="G52" i="231" s="1"/>
  <c r="G87" i="231" s="1"/>
  <c r="I100" i="231"/>
  <c r="A90" i="231"/>
  <c r="A21" i="231"/>
  <c r="A22" i="231" s="1"/>
  <c r="A23" i="231" s="1"/>
  <c r="A24" i="231" s="1"/>
  <c r="A25" i="231" s="1"/>
  <c r="Q18" i="229"/>
  <c r="Q19" i="229" s="1"/>
  <c r="Q20" i="229" s="1"/>
  <c r="Q21" i="229" s="1"/>
  <c r="Q22" i="229" s="1"/>
  <c r="Q23" i="229" s="1"/>
  <c r="Q24" i="229" s="1"/>
  <c r="Q25" i="229" s="1"/>
  <c r="Q26" i="229" s="1"/>
  <c r="Q27" i="229" s="1"/>
  <c r="Q28" i="229" s="1"/>
  <c r="Q29" i="229" s="1"/>
  <c r="Q30" i="229" s="1"/>
  <c r="Q31" i="229" s="1"/>
  <c r="Q32" i="229" s="1"/>
  <c r="Q33" i="229" s="1"/>
  <c r="Q34" i="229" s="1"/>
  <c r="Q35" i="229" s="1"/>
  <c r="Q36" i="229" s="1"/>
  <c r="Q37" i="229" s="1"/>
  <c r="Q38" i="229" s="1"/>
  <c r="Q39" i="229" s="1"/>
  <c r="Q40" i="229" s="1"/>
  <c r="Q41" i="229" s="1"/>
  <c r="A18" i="229"/>
  <c r="A19" i="229" s="1"/>
  <c r="A20" i="229" s="1"/>
  <c r="A21" i="229" s="1"/>
  <c r="A22" i="229" s="1"/>
  <c r="A23" i="229" s="1"/>
  <c r="A24" i="229" s="1"/>
  <c r="A25" i="229" s="1"/>
  <c r="A26" i="229" s="1"/>
  <c r="A27" i="229" s="1"/>
  <c r="A28" i="229" s="1"/>
  <c r="A29" i="229" s="1"/>
  <c r="A30" i="229" s="1"/>
  <c r="A31" i="229" s="1"/>
  <c r="A32" i="229" s="1"/>
  <c r="A33" i="229" s="1"/>
  <c r="A34" i="229" s="1"/>
  <c r="A35" i="229" s="1"/>
  <c r="A36" i="229" s="1"/>
  <c r="A37" i="229" s="1"/>
  <c r="A38" i="229" s="1"/>
  <c r="A39" i="229" s="1"/>
  <c r="A40" i="229" s="1"/>
  <c r="A41" i="229" s="1"/>
  <c r="A16" i="223"/>
  <c r="A17" i="223" s="1"/>
  <c r="A18" i="223" s="1"/>
  <c r="A19" i="223" s="1"/>
  <c r="E37" i="223"/>
  <c r="G99" i="231" l="1"/>
  <c r="D50" i="231"/>
  <c r="G47" i="231"/>
  <c r="G50" i="231" s="1"/>
  <c r="G110" i="231" s="1"/>
  <c r="A91" i="231"/>
  <c r="I101" i="231"/>
  <c r="G139" i="231"/>
  <c r="G148" i="231" s="1"/>
  <c r="G145" i="231"/>
  <c r="A26" i="231"/>
  <c r="A27" i="231" s="1"/>
  <c r="I27" i="231"/>
  <c r="I25" i="231"/>
  <c r="I147" i="231"/>
  <c r="A137" i="231"/>
  <c r="A138" i="231" s="1"/>
  <c r="A139" i="231" s="1"/>
  <c r="G60" i="231"/>
  <c r="G63" i="231" s="1"/>
  <c r="G156" i="231" s="1"/>
  <c r="D63" i="231"/>
  <c r="A42" i="229"/>
  <c r="Q42" i="229"/>
  <c r="E41" i="223"/>
  <c r="A20" i="223"/>
  <c r="A21" i="223" s="1"/>
  <c r="A22" i="223" s="1"/>
  <c r="A23" i="223" s="1"/>
  <c r="I47" i="231" l="1"/>
  <c r="A28" i="231"/>
  <c r="A29" i="231" s="1"/>
  <c r="A30" i="231" s="1"/>
  <c r="I60" i="231"/>
  <c r="G151" i="231"/>
  <c r="G154" i="231" s="1"/>
  <c r="G158" i="231" s="1"/>
  <c r="I148" i="231"/>
  <c r="A140" i="231"/>
  <c r="A141" i="231" s="1"/>
  <c r="A142" i="231" s="1"/>
  <c r="A143" i="231" s="1"/>
  <c r="A144" i="231" s="1"/>
  <c r="A145" i="231" s="1"/>
  <c r="A146" i="231" s="1"/>
  <c r="A147" i="231" s="1"/>
  <c r="A148" i="231" s="1"/>
  <c r="A149" i="231" s="1"/>
  <c r="A150" i="231" s="1"/>
  <c r="A151" i="231" s="1"/>
  <c r="A152" i="231" s="1"/>
  <c r="A153" i="231" s="1"/>
  <c r="A154" i="231" s="1"/>
  <c r="I137" i="231"/>
  <c r="A92" i="231"/>
  <c r="A93" i="231" s="1"/>
  <c r="Q43" i="229"/>
  <c r="A43" i="229"/>
  <c r="E45" i="223"/>
  <c r="A24" i="223"/>
  <c r="A25" i="223" s="1"/>
  <c r="A26" i="223" s="1"/>
  <c r="A32" i="223" s="1"/>
  <c r="A33" i="223" s="1"/>
  <c r="I154" i="231" l="1"/>
  <c r="A155" i="231"/>
  <c r="A156" i="231" s="1"/>
  <c r="A157" i="231" s="1"/>
  <c r="A158" i="231" s="1"/>
  <c r="B161" i="231" s="1"/>
  <c r="I102" i="231"/>
  <c r="A94" i="231"/>
  <c r="A95" i="231" s="1"/>
  <c r="A96" i="231" s="1"/>
  <c r="A97" i="231" s="1"/>
  <c r="A98" i="231" s="1"/>
  <c r="A99" i="231" s="1"/>
  <c r="A100" i="231" s="1"/>
  <c r="A101" i="231" s="1"/>
  <c r="A102" i="231" s="1"/>
  <c r="A103" i="231" s="1"/>
  <c r="A31" i="231"/>
  <c r="I36" i="231"/>
  <c r="A44" i="229"/>
  <c r="A45" i="229" s="1"/>
  <c r="A46" i="229" s="1"/>
  <c r="A47" i="229" s="1"/>
  <c r="Q44" i="229"/>
  <c r="A34" i="223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32" i="231" l="1"/>
  <c r="I32" i="231"/>
  <c r="I149" i="231"/>
  <c r="A104" i="231"/>
  <c r="A105" i="231" s="1"/>
  <c r="I158" i="231"/>
  <c r="A48" i="223"/>
  <c r="A49" i="223" s="1"/>
  <c r="A50" i="223" s="1"/>
  <c r="A51" i="223" s="1"/>
  <c r="A52" i="223" s="1"/>
  <c r="E47" i="223"/>
  <c r="I61" i="231" l="1"/>
  <c r="A33" i="231"/>
  <c r="A34" i="231" s="1"/>
  <c r="A35" i="231" s="1"/>
  <c r="I48" i="231"/>
  <c r="A106" i="231"/>
  <c r="A107" i="231" s="1"/>
  <c r="A108" i="231" s="1"/>
  <c r="I108" i="231"/>
  <c r="Q49" i="229"/>
  <c r="Q50" i="229" s="1"/>
  <c r="Q51" i="229" s="1"/>
  <c r="Q52" i="229" s="1"/>
  <c r="Q53" i="229" s="1"/>
  <c r="Q54" i="229" s="1"/>
  <c r="Q55" i="229" s="1"/>
  <c r="Q56" i="229" s="1"/>
  <c r="Q57" i="229" s="1"/>
  <c r="Q58" i="229" s="1"/>
  <c r="Q59" i="229" s="1"/>
  <c r="Q60" i="229" s="1"/>
  <c r="Q61" i="229" s="1"/>
  <c r="Q62" i="229" s="1"/>
  <c r="A48" i="229"/>
  <c r="A49" i="229" s="1"/>
  <c r="A50" i="229" s="1"/>
  <c r="A51" i="229" s="1"/>
  <c r="A52" i="229" s="1"/>
  <c r="A53" i="229" s="1"/>
  <c r="A54" i="229" s="1"/>
  <c r="A55" i="229" s="1"/>
  <c r="A56" i="229" s="1"/>
  <c r="A57" i="229" s="1"/>
  <c r="A58" i="229" s="1"/>
  <c r="A59" i="229" s="1"/>
  <c r="A60" i="229" s="1"/>
  <c r="E51" i="223"/>
  <c r="A109" i="231" l="1"/>
  <c r="A110" i="231" s="1"/>
  <c r="A111" i="231" s="1"/>
  <c r="A112" i="231" s="1"/>
  <c r="I112" i="231"/>
  <c r="A36" i="231"/>
  <c r="A37" i="231" s="1"/>
  <c r="A38" i="231" s="1"/>
  <c r="A39" i="231" s="1"/>
  <c r="A40" i="231" s="1"/>
  <c r="A41" i="231" s="1"/>
  <c r="A42" i="231" s="1"/>
  <c r="I49" i="231" l="1"/>
  <c r="A43" i="231"/>
  <c r="A44" i="231" s="1"/>
  <c r="A45" i="231" s="1"/>
  <c r="A46" i="231" s="1"/>
  <c r="I39" i="231"/>
  <c r="A47" i="231" l="1"/>
  <c r="I136" i="231"/>
  <c r="A48" i="231" l="1"/>
  <c r="A49" i="231" l="1"/>
  <c r="A50" i="231" l="1"/>
  <c r="I50" i="231"/>
  <c r="I52" i="231"/>
  <c r="A51" i="231" l="1"/>
  <c r="A52" i="231" s="1"/>
  <c r="I110" i="231"/>
  <c r="A53" i="231" l="1"/>
  <c r="A54" i="231" s="1"/>
  <c r="A55" i="231" s="1"/>
  <c r="I87" i="231"/>
  <c r="A56" i="231" l="1"/>
  <c r="A57" i="231" s="1"/>
  <c r="A58" i="231" s="1"/>
  <c r="A59" i="231" s="1"/>
  <c r="A60" i="231" s="1"/>
  <c r="I62" i="231"/>
  <c r="A61" i="231" l="1"/>
  <c r="A62" i="231" l="1"/>
  <c r="A63" i="231" l="1"/>
  <c r="I63" i="231"/>
  <c r="I65" i="231"/>
  <c r="I156" i="231" l="1"/>
  <c r="A64" i="231"/>
  <c r="A65" i="231" s="1"/>
  <c r="I133" i="231" l="1"/>
  <c r="B69" i="231"/>
  <c r="C53" i="192" l="1"/>
  <c r="B52" i="203" l="1"/>
  <c r="B116" i="201"/>
  <c r="F61" i="188" l="1"/>
  <c r="F69" i="188" s="1"/>
  <c r="F30" i="188"/>
  <c r="C29" i="205"/>
  <c r="C30" i="205" s="1"/>
  <c r="C31" i="205" s="1"/>
  <c r="C32" i="205" s="1"/>
  <c r="C33" i="205" s="1"/>
  <c r="C34" i="205" s="1"/>
  <c r="C35" i="205" s="1"/>
  <c r="C36" i="205" s="1"/>
  <c r="C37" i="205" s="1"/>
  <c r="C38" i="205" s="1"/>
  <c r="C39" i="205" s="1"/>
  <c r="C40" i="205" s="1"/>
  <c r="C41" i="205" s="1"/>
  <c r="C42" i="205" s="1"/>
  <c r="C43" i="205" s="1"/>
  <c r="C44" i="205" s="1"/>
  <c r="C45" i="205" s="1"/>
  <c r="C46" i="205" s="1"/>
  <c r="C47" i="205" s="1"/>
  <c r="C48" i="205" s="1"/>
  <c r="C49" i="205" s="1"/>
  <c r="C50" i="205" s="1"/>
  <c r="C51" i="205" s="1"/>
  <c r="C52" i="205" s="1"/>
  <c r="C53" i="205" s="1"/>
  <c r="C54" i="205" s="1"/>
  <c r="C55" i="205" s="1"/>
  <c r="C56" i="205" s="1"/>
  <c r="C57" i="205" s="1"/>
  <c r="C58" i="205" s="1"/>
  <c r="C59" i="205" s="1"/>
  <c r="C60" i="205" s="1"/>
  <c r="C61" i="205" s="1"/>
  <c r="C62" i="205" s="1"/>
  <c r="C63" i="205" s="1"/>
  <c r="C64" i="205" s="1"/>
  <c r="C65" i="205" s="1"/>
  <c r="C28" i="205"/>
  <c r="C27" i="205"/>
  <c r="C26" i="205"/>
  <c r="C25" i="205"/>
  <c r="C24" i="205"/>
  <c r="C23" i="205"/>
  <c r="C22" i="205"/>
  <c r="C21" i="205"/>
  <c r="C20" i="205"/>
  <c r="C19" i="205"/>
  <c r="I11" i="205"/>
  <c r="I12" i="205" s="1"/>
  <c r="I13" i="205" s="1"/>
  <c r="I14" i="205" s="1"/>
  <c r="I15" i="205" s="1"/>
  <c r="I16" i="205" s="1"/>
  <c r="I17" i="205" s="1"/>
  <c r="I18" i="205" s="1"/>
  <c r="I19" i="205" s="1"/>
  <c r="I20" i="205" s="1"/>
  <c r="I21" i="205" s="1"/>
  <c r="I22" i="205" s="1"/>
  <c r="I23" i="205" s="1"/>
  <c r="I24" i="205" s="1"/>
  <c r="I25" i="205" s="1"/>
  <c r="I26" i="205" s="1"/>
  <c r="I27" i="205" s="1"/>
  <c r="I28" i="205" s="1"/>
  <c r="I29" i="205" s="1"/>
  <c r="I30" i="205" s="1"/>
  <c r="I31" i="205" s="1"/>
  <c r="I32" i="205" s="1"/>
  <c r="I33" i="205" s="1"/>
  <c r="I34" i="205" s="1"/>
  <c r="I35" i="205" s="1"/>
  <c r="I36" i="205" s="1"/>
  <c r="I37" i="205" s="1"/>
  <c r="I38" i="205" s="1"/>
  <c r="I39" i="205" s="1"/>
  <c r="I40" i="205" s="1"/>
  <c r="I41" i="205" s="1"/>
  <c r="I42" i="205" s="1"/>
  <c r="I43" i="205" s="1"/>
  <c r="I44" i="205" s="1"/>
  <c r="I45" i="205" s="1"/>
  <c r="I46" i="205" s="1"/>
  <c r="I47" i="205" s="1"/>
  <c r="I48" i="205" s="1"/>
  <c r="I49" i="205" s="1"/>
  <c r="I50" i="205" s="1"/>
  <c r="I51" i="205" s="1"/>
  <c r="I52" i="205" s="1"/>
  <c r="I53" i="205" s="1"/>
  <c r="I54" i="205" s="1"/>
  <c r="I55" i="205" s="1"/>
  <c r="I56" i="205" s="1"/>
  <c r="I57" i="205" s="1"/>
  <c r="I58" i="205" s="1"/>
  <c r="I59" i="205" s="1"/>
  <c r="I60" i="205" s="1"/>
  <c r="I61" i="205" s="1"/>
  <c r="I62" i="205" s="1"/>
  <c r="I63" i="205" s="1"/>
  <c r="I64" i="205" s="1"/>
  <c r="I65" i="205" s="1"/>
  <c r="I66" i="205" s="1"/>
  <c r="I67" i="205" s="1"/>
  <c r="I68" i="205" s="1"/>
  <c r="I69" i="205" s="1"/>
  <c r="I70" i="205" s="1"/>
  <c r="I71" i="205" s="1"/>
  <c r="I72" i="205" s="1"/>
  <c r="I73" i="205" s="1"/>
  <c r="I74" i="205" s="1"/>
  <c r="I75" i="205" s="1"/>
  <c r="I76" i="205" s="1"/>
  <c r="I77" i="205" s="1"/>
  <c r="I78" i="205" s="1"/>
  <c r="I79" i="205" s="1"/>
  <c r="I80" i="205" s="1"/>
  <c r="I81" i="205" s="1"/>
  <c r="I82" i="205" s="1"/>
  <c r="I83" i="205" s="1"/>
  <c r="I84" i="205" s="1"/>
  <c r="I85" i="205" s="1"/>
  <c r="I86" i="205" s="1"/>
  <c r="I87" i="205" s="1"/>
  <c r="I88" i="205" s="1"/>
  <c r="I89" i="205" s="1"/>
  <c r="A11" i="205"/>
  <c r="A12" i="205" s="1"/>
  <c r="A13" i="205" s="1"/>
  <c r="A14" i="205" s="1"/>
  <c r="A15" i="205" s="1"/>
  <c r="A16" i="205" s="1"/>
  <c r="A17" i="205" s="1"/>
  <c r="A18" i="205" s="1"/>
  <c r="A19" i="205" s="1"/>
  <c r="A20" i="205" s="1"/>
  <c r="A21" i="205" s="1"/>
  <c r="A22" i="205" s="1"/>
  <c r="A23" i="205" s="1"/>
  <c r="A24" i="205" s="1"/>
  <c r="A25" i="205" s="1"/>
  <c r="A26" i="205" s="1"/>
  <c r="A27" i="205" s="1"/>
  <c r="A28" i="205" s="1"/>
  <c r="A29" i="205" s="1"/>
  <c r="A30" i="205" s="1"/>
  <c r="A31" i="205" s="1"/>
  <c r="A32" i="205" s="1"/>
  <c r="A33" i="205" s="1"/>
  <c r="A34" i="205" s="1"/>
  <c r="A35" i="205" s="1"/>
  <c r="A36" i="205" s="1"/>
  <c r="A37" i="205" s="1"/>
  <c r="A38" i="205" s="1"/>
  <c r="A39" i="205" s="1"/>
  <c r="A40" i="205" s="1"/>
  <c r="A41" i="205" s="1"/>
  <c r="A42" i="205" s="1"/>
  <c r="A43" i="205" s="1"/>
  <c r="A44" i="205" s="1"/>
  <c r="A45" i="205" s="1"/>
  <c r="A46" i="205" s="1"/>
  <c r="A47" i="205" s="1"/>
  <c r="A48" i="205" s="1"/>
  <c r="A49" i="205" s="1"/>
  <c r="A50" i="205" s="1"/>
  <c r="A51" i="205" s="1"/>
  <c r="A52" i="205" s="1"/>
  <c r="A53" i="205" s="1"/>
  <c r="A54" i="205" s="1"/>
  <c r="A55" i="205" s="1"/>
  <c r="A56" i="205" s="1"/>
  <c r="A57" i="205" s="1"/>
  <c r="A58" i="205" s="1"/>
  <c r="A59" i="205" s="1"/>
  <c r="A60" i="205" s="1"/>
  <c r="A61" i="205" s="1"/>
  <c r="A62" i="205" s="1"/>
  <c r="A63" i="205" s="1"/>
  <c r="A64" i="205" s="1"/>
  <c r="A65" i="205" s="1"/>
  <c r="A66" i="205" s="1"/>
  <c r="A67" i="205" s="1"/>
  <c r="A68" i="205" s="1"/>
  <c r="A69" i="205" s="1"/>
  <c r="A70" i="205" s="1"/>
  <c r="A71" i="205" s="1"/>
  <c r="A72" i="205" s="1"/>
  <c r="A73" i="205" s="1"/>
  <c r="A74" i="205" s="1"/>
  <c r="A75" i="205" s="1"/>
  <c r="A76" i="205" s="1"/>
  <c r="A77" i="205" s="1"/>
  <c r="A78" i="205" s="1"/>
  <c r="A79" i="205" s="1"/>
  <c r="A80" i="205" s="1"/>
  <c r="A81" i="205" s="1"/>
  <c r="A82" i="205" s="1"/>
  <c r="A83" i="205" s="1"/>
  <c r="A84" i="205" s="1"/>
  <c r="A85" i="205" s="1"/>
  <c r="A86" i="205" s="1"/>
  <c r="A87" i="205" s="1"/>
  <c r="A88" i="205" s="1"/>
  <c r="A89" i="205" s="1"/>
  <c r="C90" i="203"/>
  <c r="C40" i="203" s="1"/>
  <c r="C42" i="203" s="1"/>
  <c r="C84" i="203"/>
  <c r="C16" i="203" s="1"/>
  <c r="C83" i="203"/>
  <c r="C15" i="203" s="1"/>
  <c r="C82" i="203"/>
  <c r="C14" i="203" s="1"/>
  <c r="C81" i="203"/>
  <c r="C78" i="203"/>
  <c r="C71" i="203"/>
  <c r="A67" i="203"/>
  <c r="A68" i="203" s="1"/>
  <c r="A69" i="203" s="1"/>
  <c r="A70" i="203" s="1"/>
  <c r="A71" i="203" s="1"/>
  <c r="A72" i="203" s="1"/>
  <c r="A73" i="203" s="1"/>
  <c r="A74" i="203" s="1"/>
  <c r="A75" i="203" s="1"/>
  <c r="A76" i="203" s="1"/>
  <c r="A77" i="203" s="1"/>
  <c r="A78" i="203" s="1"/>
  <c r="A79" i="203" s="1"/>
  <c r="A80" i="203" s="1"/>
  <c r="A81" i="203" s="1"/>
  <c r="A82" i="203" s="1"/>
  <c r="A83" i="203" s="1"/>
  <c r="A84" i="203" s="1"/>
  <c r="A85" i="203" s="1"/>
  <c r="A86" i="203" s="1"/>
  <c r="A87" i="203" s="1"/>
  <c r="A88" i="203" s="1"/>
  <c r="A89" i="203" s="1"/>
  <c r="A90" i="203" s="1"/>
  <c r="F66" i="203"/>
  <c r="F67" i="203" s="1"/>
  <c r="F68" i="203" s="1"/>
  <c r="F69" i="203" s="1"/>
  <c r="F70" i="203" s="1"/>
  <c r="F71" i="203" s="1"/>
  <c r="F72" i="203" s="1"/>
  <c r="F73" i="203" s="1"/>
  <c r="F74" i="203" s="1"/>
  <c r="F75" i="203" s="1"/>
  <c r="F76" i="203" s="1"/>
  <c r="F77" i="203" s="1"/>
  <c r="F78" i="203" s="1"/>
  <c r="F79" i="203" s="1"/>
  <c r="F80" i="203" s="1"/>
  <c r="F81" i="203" s="1"/>
  <c r="F82" i="203" s="1"/>
  <c r="F83" i="203" s="1"/>
  <c r="F84" i="203" s="1"/>
  <c r="F85" i="203" s="1"/>
  <c r="F86" i="203" s="1"/>
  <c r="F87" i="203" s="1"/>
  <c r="F88" i="203" s="1"/>
  <c r="F89" i="203" s="1"/>
  <c r="F90" i="203" s="1"/>
  <c r="B59" i="203"/>
  <c r="C47" i="203"/>
  <c r="C22" i="203"/>
  <c r="A13" i="203"/>
  <c r="A14" i="203" s="1"/>
  <c r="A15" i="203" s="1"/>
  <c r="A16" i="203" s="1"/>
  <c r="A17" i="203" s="1"/>
  <c r="A18" i="203" s="1"/>
  <c r="A19" i="203" s="1"/>
  <c r="A20" i="203" s="1"/>
  <c r="A21" i="203" s="1"/>
  <c r="A22" i="203" s="1"/>
  <c r="A23" i="203" s="1"/>
  <c r="A24" i="203" s="1"/>
  <c r="A25" i="203" s="1"/>
  <c r="A26" i="203" s="1"/>
  <c r="A27" i="203" s="1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A41" i="203" s="1"/>
  <c r="A42" i="203" s="1"/>
  <c r="A43" i="203" s="1"/>
  <c r="A44" i="203" s="1"/>
  <c r="A45" i="203" s="1"/>
  <c r="A46" i="203" s="1"/>
  <c r="A47" i="203" s="1"/>
  <c r="A48" i="203" s="1"/>
  <c r="A49" i="203" s="1"/>
  <c r="F12" i="203"/>
  <c r="F13" i="203" s="1"/>
  <c r="F14" i="203" s="1"/>
  <c r="F15" i="203" s="1"/>
  <c r="F16" i="203" s="1"/>
  <c r="F17" i="203" s="1"/>
  <c r="F18" i="203" s="1"/>
  <c r="F19" i="203" s="1"/>
  <c r="F20" i="203" s="1"/>
  <c r="F21" i="203" s="1"/>
  <c r="F22" i="203" s="1"/>
  <c r="F23" i="203" s="1"/>
  <c r="F24" i="203" s="1"/>
  <c r="F25" i="203" s="1"/>
  <c r="F26" i="203" s="1"/>
  <c r="F27" i="203" s="1"/>
  <c r="F28" i="203" s="1"/>
  <c r="F29" i="203" s="1"/>
  <c r="F30" i="203" s="1"/>
  <c r="F31" i="203" s="1"/>
  <c r="F32" i="203" s="1"/>
  <c r="F33" i="203" s="1"/>
  <c r="F34" i="203" s="1"/>
  <c r="F35" i="203" s="1"/>
  <c r="F36" i="203" s="1"/>
  <c r="F37" i="203" s="1"/>
  <c r="F38" i="203" s="1"/>
  <c r="F39" i="203" s="1"/>
  <c r="F40" i="203" s="1"/>
  <c r="F41" i="203" s="1"/>
  <c r="F42" i="203" s="1"/>
  <c r="F43" i="203" s="1"/>
  <c r="F44" i="203" s="1"/>
  <c r="F45" i="203" s="1"/>
  <c r="F46" i="203" s="1"/>
  <c r="F47" i="203" s="1"/>
  <c r="F48" i="203" s="1"/>
  <c r="F49" i="203" s="1"/>
  <c r="G150" i="201"/>
  <c r="B150" i="201"/>
  <c r="B149" i="201"/>
  <c r="G148" i="201"/>
  <c r="G147" i="201"/>
  <c r="B147" i="201"/>
  <c r="B146" i="201"/>
  <c r="G138" i="201"/>
  <c r="B138" i="201"/>
  <c r="B135" i="201"/>
  <c r="B134" i="201"/>
  <c r="J130" i="201"/>
  <c r="J131" i="201" s="1"/>
  <c r="J132" i="201" s="1"/>
  <c r="J133" i="201" s="1"/>
  <c r="J134" i="201" s="1"/>
  <c r="J135" i="201" s="1"/>
  <c r="J136" i="201" s="1"/>
  <c r="J137" i="201" s="1"/>
  <c r="J138" i="201" s="1"/>
  <c r="J139" i="201" s="1"/>
  <c r="J140" i="201" s="1"/>
  <c r="J141" i="201" s="1"/>
  <c r="J142" i="201" s="1"/>
  <c r="J143" i="201" s="1"/>
  <c r="J144" i="201" s="1"/>
  <c r="J145" i="201" s="1"/>
  <c r="J146" i="201" s="1"/>
  <c r="J147" i="201" s="1"/>
  <c r="J148" i="201" s="1"/>
  <c r="J149" i="201" s="1"/>
  <c r="J150" i="201" s="1"/>
  <c r="J151" i="201" s="1"/>
  <c r="J152" i="201" s="1"/>
  <c r="J153" i="201" s="1"/>
  <c r="J154" i="201" s="1"/>
  <c r="J155" i="201" s="1"/>
  <c r="J156" i="201" s="1"/>
  <c r="J157" i="201" s="1"/>
  <c r="J158" i="201" s="1"/>
  <c r="J159" i="201" s="1"/>
  <c r="A130" i="201"/>
  <c r="A131" i="201" s="1"/>
  <c r="A132" i="201" s="1"/>
  <c r="A133" i="201" s="1"/>
  <c r="A134" i="201" s="1"/>
  <c r="B123" i="201"/>
  <c r="G101" i="201"/>
  <c r="J84" i="201"/>
  <c r="J85" i="201" s="1"/>
  <c r="J86" i="201" s="1"/>
  <c r="J87" i="201" s="1"/>
  <c r="J88" i="201" s="1"/>
  <c r="J89" i="201" s="1"/>
  <c r="J90" i="201" s="1"/>
  <c r="J91" i="201" s="1"/>
  <c r="J92" i="201" s="1"/>
  <c r="J93" i="201" s="1"/>
  <c r="J94" i="201" s="1"/>
  <c r="J95" i="201" s="1"/>
  <c r="J96" i="201" s="1"/>
  <c r="J97" i="201" s="1"/>
  <c r="J98" i="201" s="1"/>
  <c r="J99" i="201" s="1"/>
  <c r="J100" i="201" s="1"/>
  <c r="J101" i="201" s="1"/>
  <c r="J102" i="201" s="1"/>
  <c r="J103" i="201" s="1"/>
  <c r="J104" i="201" s="1"/>
  <c r="J105" i="201" s="1"/>
  <c r="J106" i="201" s="1"/>
  <c r="J107" i="201" s="1"/>
  <c r="J108" i="201" s="1"/>
  <c r="J109" i="201" s="1"/>
  <c r="J110" i="201" s="1"/>
  <c r="J111" i="201" s="1"/>
  <c r="J112" i="201" s="1"/>
  <c r="J113" i="201" s="1"/>
  <c r="A84" i="201"/>
  <c r="A85" i="201" s="1"/>
  <c r="A86" i="201" s="1"/>
  <c r="A87" i="201" s="1"/>
  <c r="A88" i="201" s="1"/>
  <c r="B77" i="201"/>
  <c r="E63" i="201"/>
  <c r="C62" i="201"/>
  <c r="E50" i="201"/>
  <c r="C49" i="201"/>
  <c r="G37" i="201"/>
  <c r="G40" i="201" s="1"/>
  <c r="G33" i="201"/>
  <c r="E49" i="201" s="1"/>
  <c r="G26" i="201"/>
  <c r="G18" i="201"/>
  <c r="C48" i="201" s="1"/>
  <c r="A13" i="201"/>
  <c r="J12" i="201"/>
  <c r="J13" i="201" s="1"/>
  <c r="J14" i="201" s="1"/>
  <c r="J15" i="201" s="1"/>
  <c r="J16" i="201" s="1"/>
  <c r="J17" i="201" s="1"/>
  <c r="J18" i="201" s="1"/>
  <c r="J19" i="201" s="1"/>
  <c r="J20" i="201" s="1"/>
  <c r="J21" i="201" s="1"/>
  <c r="J22" i="201" s="1"/>
  <c r="J23" i="201" s="1"/>
  <c r="J24" i="201" s="1"/>
  <c r="J25" i="201" s="1"/>
  <c r="J26" i="201" s="1"/>
  <c r="J27" i="201" s="1"/>
  <c r="J28" i="201" s="1"/>
  <c r="J29" i="201" s="1"/>
  <c r="J30" i="201" s="1"/>
  <c r="J31" i="201" s="1"/>
  <c r="J32" i="201" s="1"/>
  <c r="J33" i="201" s="1"/>
  <c r="J34" i="201" s="1"/>
  <c r="J35" i="201" s="1"/>
  <c r="J36" i="201" s="1"/>
  <c r="J37" i="201" s="1"/>
  <c r="J38" i="201" s="1"/>
  <c r="J39" i="201" s="1"/>
  <c r="J40" i="201" s="1"/>
  <c r="J41" i="201" s="1"/>
  <c r="J42" i="201" s="1"/>
  <c r="J43" i="201" s="1"/>
  <c r="J44" i="201" s="1"/>
  <c r="J45" i="201" s="1"/>
  <c r="J46" i="201" s="1"/>
  <c r="J47" i="201" s="1"/>
  <c r="J48" i="201" s="1"/>
  <c r="J49" i="201" s="1"/>
  <c r="J50" i="201" s="1"/>
  <c r="J51" i="201" s="1"/>
  <c r="J52" i="201" s="1"/>
  <c r="J53" i="201" s="1"/>
  <c r="J54" i="201" s="1"/>
  <c r="J55" i="201" s="1"/>
  <c r="J56" i="201" s="1"/>
  <c r="J57" i="201" s="1"/>
  <c r="J58" i="201" s="1"/>
  <c r="J59" i="201" s="1"/>
  <c r="J60" i="201" s="1"/>
  <c r="J61" i="201" s="1"/>
  <c r="J62" i="201" s="1"/>
  <c r="J63" i="201" s="1"/>
  <c r="J64" i="201" s="1"/>
  <c r="J65" i="201" s="1"/>
  <c r="J66" i="201" s="1"/>
  <c r="E28" i="199"/>
  <c r="G20" i="199"/>
  <c r="G16" i="199"/>
  <c r="A13" i="199"/>
  <c r="A14" i="199" s="1"/>
  <c r="A15" i="199" s="1"/>
  <c r="A16" i="199" s="1"/>
  <c r="A17" i="199" s="1"/>
  <c r="A18" i="199" s="1"/>
  <c r="A19" i="199" s="1"/>
  <c r="A20" i="199" s="1"/>
  <c r="A21" i="199" s="1"/>
  <c r="A22" i="199" s="1"/>
  <c r="A23" i="199" s="1"/>
  <c r="A24" i="199" s="1"/>
  <c r="A25" i="199" s="1"/>
  <c r="A26" i="199" s="1"/>
  <c r="A27" i="199" s="1"/>
  <c r="A28" i="199" s="1"/>
  <c r="A29" i="199" s="1"/>
  <c r="A30" i="199" s="1"/>
  <c r="J12" i="199"/>
  <c r="J13" i="199" s="1"/>
  <c r="J14" i="199" s="1"/>
  <c r="J15" i="199" s="1"/>
  <c r="J16" i="199" s="1"/>
  <c r="J17" i="199" s="1"/>
  <c r="J18" i="199" s="1"/>
  <c r="J19" i="199" s="1"/>
  <c r="J20" i="199" s="1"/>
  <c r="J21" i="199" s="1"/>
  <c r="J22" i="199" s="1"/>
  <c r="J23" i="199" s="1"/>
  <c r="J24" i="199" s="1"/>
  <c r="J25" i="199" s="1"/>
  <c r="J26" i="199" s="1"/>
  <c r="J27" i="199" s="1"/>
  <c r="J28" i="199" s="1"/>
  <c r="J29" i="199" s="1"/>
  <c r="J30" i="199" s="1"/>
  <c r="E48" i="192"/>
  <c r="E45" i="192"/>
  <c r="E51" i="192" s="1"/>
  <c r="E38" i="192"/>
  <c r="F29" i="192"/>
  <c r="H29" i="192" s="1"/>
  <c r="L29" i="192" s="1"/>
  <c r="E27" i="192"/>
  <c r="E31" i="192" s="1"/>
  <c r="D27" i="192"/>
  <c r="D31" i="192" s="1"/>
  <c r="F25" i="192"/>
  <c r="H25" i="192" s="1"/>
  <c r="L25" i="192" s="1"/>
  <c r="F24" i="192"/>
  <c r="H24" i="192" s="1"/>
  <c r="L24" i="192" s="1"/>
  <c r="F23" i="192"/>
  <c r="H23" i="192" s="1"/>
  <c r="L23" i="192" s="1"/>
  <c r="F22" i="192"/>
  <c r="H22" i="192" s="1"/>
  <c r="L22" i="192" s="1"/>
  <c r="F21" i="192"/>
  <c r="H21" i="192" s="1"/>
  <c r="L21" i="192" s="1"/>
  <c r="F20" i="192"/>
  <c r="H20" i="192" s="1"/>
  <c r="L20" i="192" s="1"/>
  <c r="F19" i="192"/>
  <c r="H19" i="192" s="1"/>
  <c r="L19" i="192" s="1"/>
  <c r="F18" i="192"/>
  <c r="H18" i="192" s="1"/>
  <c r="L18" i="192" s="1"/>
  <c r="F17" i="192"/>
  <c r="H17" i="192" s="1"/>
  <c r="L17" i="192" s="1"/>
  <c r="F16" i="192"/>
  <c r="H16" i="192" s="1"/>
  <c r="L16" i="192" s="1"/>
  <c r="J15" i="192"/>
  <c r="G15" i="192"/>
  <c r="G27" i="192" s="1"/>
  <c r="G31" i="192" s="1"/>
  <c r="F15" i="192"/>
  <c r="F14" i="192"/>
  <c r="H14" i="192" s="1"/>
  <c r="L14" i="192" s="1"/>
  <c r="J13" i="192"/>
  <c r="J27" i="192" s="1"/>
  <c r="J31" i="192" s="1"/>
  <c r="F13" i="192"/>
  <c r="H13" i="192" s="1"/>
  <c r="A13" i="192"/>
  <c r="A14" i="192" s="1"/>
  <c r="A15" i="192" s="1"/>
  <c r="A16" i="192" s="1"/>
  <c r="A17" i="192" s="1"/>
  <c r="N12" i="192"/>
  <c r="N13" i="192" s="1"/>
  <c r="N14" i="192" s="1"/>
  <c r="N15" i="192" s="1"/>
  <c r="N16" i="192" s="1"/>
  <c r="N17" i="192" s="1"/>
  <c r="F12" i="192"/>
  <c r="A13" i="188"/>
  <c r="A14" i="188" s="1"/>
  <c r="A15" i="188" s="1"/>
  <c r="A16" i="188" s="1"/>
  <c r="A17" i="188" s="1"/>
  <c r="A18" i="188" s="1"/>
  <c r="A19" i="188" s="1"/>
  <c r="A20" i="188" s="1"/>
  <c r="A21" i="188" s="1"/>
  <c r="A22" i="188" s="1"/>
  <c r="A23" i="188" s="1"/>
  <c r="A24" i="188" s="1"/>
  <c r="A25" i="188" s="1"/>
  <c r="A26" i="188" s="1"/>
  <c r="A27" i="188" s="1"/>
  <c r="A28" i="188" s="1"/>
  <c r="A29" i="188" s="1"/>
  <c r="A30" i="188" s="1"/>
  <c r="A31" i="188" s="1"/>
  <c r="I12" i="188"/>
  <c r="I13" i="188" s="1"/>
  <c r="I14" i="188" s="1"/>
  <c r="I15" i="188" s="1"/>
  <c r="I16" i="188" s="1"/>
  <c r="I17" i="188" s="1"/>
  <c r="I18" i="188" s="1"/>
  <c r="I19" i="188" s="1"/>
  <c r="I20" i="188" s="1"/>
  <c r="I21" i="188" s="1"/>
  <c r="I22" i="188" s="1"/>
  <c r="I23" i="188" s="1"/>
  <c r="I24" i="188" s="1"/>
  <c r="I25" i="188" s="1"/>
  <c r="I26" i="188" s="1"/>
  <c r="I27" i="188" s="1"/>
  <c r="I28" i="188" s="1"/>
  <c r="L13" i="192" l="1"/>
  <c r="F45" i="188"/>
  <c r="F46" i="188" s="1"/>
  <c r="F48" i="188" s="1"/>
  <c r="F50" i="188" s="1"/>
  <c r="F44" i="227"/>
  <c r="F59" i="188"/>
  <c r="F71" i="188" s="1"/>
  <c r="F51" i="188" s="1"/>
  <c r="G28" i="201"/>
  <c r="F27" i="192"/>
  <c r="F31" i="192" s="1"/>
  <c r="H15" i="192"/>
  <c r="L15" i="192" s="1"/>
  <c r="C85" i="203"/>
  <c r="C13" i="203"/>
  <c r="C17" i="203" s="1"/>
  <c r="I29" i="188"/>
  <c r="I30" i="188" s="1"/>
  <c r="I31" i="188" s="1"/>
  <c r="I32" i="188" s="1"/>
  <c r="I33" i="188" s="1"/>
  <c r="I34" i="188" s="1"/>
  <c r="I35" i="188" s="1"/>
  <c r="I36" i="188" s="1"/>
  <c r="I37" i="188" s="1"/>
  <c r="I38" i="188" s="1"/>
  <c r="I39" i="188" s="1"/>
  <c r="I40" i="188" s="1"/>
  <c r="I41" i="188" s="1"/>
  <c r="I42" i="188" s="1"/>
  <c r="I43" i="188" s="1"/>
  <c r="I44" i="188" s="1"/>
  <c r="A32" i="188"/>
  <c r="A33" i="188" s="1"/>
  <c r="A34" i="188" s="1"/>
  <c r="A35" i="188" s="1"/>
  <c r="A36" i="188" s="1"/>
  <c r="A37" i="188" s="1"/>
  <c r="A38" i="188" s="1"/>
  <c r="A39" i="188" s="1"/>
  <c r="A40" i="188" s="1"/>
  <c r="A41" i="188" s="1"/>
  <c r="A42" i="188" s="1"/>
  <c r="A43" i="188" s="1"/>
  <c r="A44" i="188" s="1"/>
  <c r="I146" i="201"/>
  <c r="A135" i="201"/>
  <c r="A136" i="201" s="1"/>
  <c r="E48" i="201"/>
  <c r="E61" i="201"/>
  <c r="C50" i="201"/>
  <c r="C51" i="201" s="1"/>
  <c r="C63" i="201"/>
  <c r="I100" i="201"/>
  <c r="A89" i="201"/>
  <c r="A90" i="201" s="1"/>
  <c r="A14" i="201"/>
  <c r="A15" i="201" s="1"/>
  <c r="A16" i="201" s="1"/>
  <c r="A17" i="201" s="1"/>
  <c r="A18" i="201" s="1"/>
  <c r="A19" i="201" s="1"/>
  <c r="A20" i="201" s="1"/>
  <c r="A21" i="201" s="1"/>
  <c r="C61" i="201"/>
  <c r="E62" i="201"/>
  <c r="A18" i="192"/>
  <c r="N18" i="192"/>
  <c r="H12" i="192"/>
  <c r="L12" i="192" s="1"/>
  <c r="F46" i="227" l="1"/>
  <c r="F48" i="227" s="1"/>
  <c r="F50" i="227" s="1"/>
  <c r="F52" i="227" s="1"/>
  <c r="I45" i="188"/>
  <c r="I46" i="188" s="1"/>
  <c r="I47" i="188" s="1"/>
  <c r="I48" i="188" s="1"/>
  <c r="I49" i="188" s="1"/>
  <c r="I50" i="188" s="1"/>
  <c r="I51" i="188" s="1"/>
  <c r="I52" i="188" s="1"/>
  <c r="I53" i="188" s="1"/>
  <c r="I54" i="188" s="1"/>
  <c r="I55" i="188" s="1"/>
  <c r="I56" i="188" s="1"/>
  <c r="I57" i="188" s="1"/>
  <c r="I58" i="188" s="1"/>
  <c r="I59" i="188" s="1"/>
  <c r="I60" i="188" s="1"/>
  <c r="I61" i="188" s="1"/>
  <c r="I62" i="188" s="1"/>
  <c r="I63" i="188" s="1"/>
  <c r="I64" i="188" s="1"/>
  <c r="I65" i="188" s="1"/>
  <c r="I66" i="188" s="1"/>
  <c r="I67" i="188" s="1"/>
  <c r="I68" i="188" s="1"/>
  <c r="I69" i="188" s="1"/>
  <c r="I70" i="188" s="1"/>
  <c r="I71" i="188" s="1"/>
  <c r="A45" i="188"/>
  <c r="A46" i="188" s="1"/>
  <c r="A47" i="188" s="1"/>
  <c r="A48" i="188" s="1"/>
  <c r="A49" i="188" s="1"/>
  <c r="A50" i="188" s="1"/>
  <c r="A51" i="188" s="1"/>
  <c r="A52" i="188" s="1"/>
  <c r="A53" i="188" s="1"/>
  <c r="A54" i="188" s="1"/>
  <c r="A55" i="188" s="1"/>
  <c r="A56" i="188" s="1"/>
  <c r="A57" i="188" s="1"/>
  <c r="A58" i="188" s="1"/>
  <c r="A59" i="188" s="1"/>
  <c r="A60" i="188" s="1"/>
  <c r="A61" i="188" s="1"/>
  <c r="A62" i="188" s="1"/>
  <c r="A63" i="188" s="1"/>
  <c r="A64" i="188" s="1"/>
  <c r="A65" i="188" s="1"/>
  <c r="A66" i="188" s="1"/>
  <c r="A67" i="188" s="1"/>
  <c r="A68" i="188" s="1"/>
  <c r="A69" i="188" s="1"/>
  <c r="A70" i="188" s="1"/>
  <c r="A71" i="188" s="1"/>
  <c r="D48" i="201"/>
  <c r="D49" i="201"/>
  <c r="G49" i="201" s="1"/>
  <c r="D62" i="201"/>
  <c r="G62" i="201" s="1"/>
  <c r="F52" i="188"/>
  <c r="G48" i="201"/>
  <c r="A137" i="201"/>
  <c r="I147" i="201"/>
  <c r="A22" i="201"/>
  <c r="A23" i="201" s="1"/>
  <c r="A24" i="201" s="1"/>
  <c r="A25" i="201" s="1"/>
  <c r="A26" i="201" s="1"/>
  <c r="D61" i="201"/>
  <c r="C64" i="201"/>
  <c r="I101" i="201"/>
  <c r="A91" i="201"/>
  <c r="D63" i="201"/>
  <c r="G63" i="201" s="1"/>
  <c r="D50" i="201"/>
  <c r="G50" i="201" s="1"/>
  <c r="I18" i="201"/>
  <c r="A19" i="192"/>
  <c r="A20" i="192" s="1"/>
  <c r="A21" i="192" s="1"/>
  <c r="A22" i="192" s="1"/>
  <c r="A23" i="192" s="1"/>
  <c r="A24" i="192" s="1"/>
  <c r="A25" i="192" s="1"/>
  <c r="N19" i="192"/>
  <c r="N20" i="192" s="1"/>
  <c r="N21" i="192" s="1"/>
  <c r="N22" i="192" s="1"/>
  <c r="N23" i="192" s="1"/>
  <c r="N24" i="192" s="1"/>
  <c r="N25" i="192" s="1"/>
  <c r="N26" i="192" s="1"/>
  <c r="N27" i="192" s="1"/>
  <c r="N28" i="192" s="1"/>
  <c r="N29" i="192" s="1"/>
  <c r="N30" i="192" s="1"/>
  <c r="N31" i="192" s="1"/>
  <c r="N32" i="192" s="1"/>
  <c r="N33" i="192" s="1"/>
  <c r="N34" i="192" s="1"/>
  <c r="N35" i="192" s="1"/>
  <c r="N36" i="192" s="1"/>
  <c r="N37" i="192" s="1"/>
  <c r="N38" i="192" s="1"/>
  <c r="N39" i="192" s="1"/>
  <c r="N40" i="192" s="1"/>
  <c r="N41" i="192" s="1"/>
  <c r="N42" i="192" s="1"/>
  <c r="H27" i="192"/>
  <c r="H31" i="192" s="1"/>
  <c r="G66" i="201" l="1"/>
  <c r="G134" i="201" s="1"/>
  <c r="G53" i="201"/>
  <c r="G88" i="201" s="1"/>
  <c r="G100" i="201" s="1"/>
  <c r="E70" i="224"/>
  <c r="E72" i="224" s="1"/>
  <c r="E16" i="224" s="1"/>
  <c r="E23" i="230"/>
  <c r="E25" i="230" s="1"/>
  <c r="E29" i="230" s="1"/>
  <c r="I26" i="201"/>
  <c r="D51" i="201"/>
  <c r="E71" i="164"/>
  <c r="E26" i="199"/>
  <c r="E30" i="199" s="1"/>
  <c r="I148" i="201"/>
  <c r="A138" i="201"/>
  <c r="A139" i="201" s="1"/>
  <c r="A140" i="201" s="1"/>
  <c r="I28" i="201"/>
  <c r="A27" i="201"/>
  <c r="A28" i="201" s="1"/>
  <c r="A92" i="201"/>
  <c r="I102" i="201"/>
  <c r="G140" i="201"/>
  <c r="G149" i="201" s="1"/>
  <c r="G146" i="201"/>
  <c r="G51" i="201"/>
  <c r="G111" i="201" s="1"/>
  <c r="G61" i="201"/>
  <c r="G64" i="201" s="1"/>
  <c r="G157" i="201" s="1"/>
  <c r="D64" i="201"/>
  <c r="L27" i="192"/>
  <c r="L31" i="192" s="1"/>
  <c r="A26" i="192"/>
  <c r="A27" i="192" s="1"/>
  <c r="A28" i="192" s="1"/>
  <c r="A29" i="192" s="1"/>
  <c r="A30" i="192" s="1"/>
  <c r="A31" i="192" s="1"/>
  <c r="A32" i="192" s="1"/>
  <c r="A33" i="192" s="1"/>
  <c r="A34" i="192" s="1"/>
  <c r="A35" i="192" s="1"/>
  <c r="A36" i="192" s="1"/>
  <c r="A37" i="192" s="1"/>
  <c r="A38" i="192" s="1"/>
  <c r="A39" i="192" s="1"/>
  <c r="A40" i="192" s="1"/>
  <c r="A41" i="192" s="1"/>
  <c r="A42" i="192" s="1"/>
  <c r="E139" i="164" l="1"/>
  <c r="E138" i="224"/>
  <c r="E86" i="224"/>
  <c r="E87" i="224" s="1"/>
  <c r="E91" i="224" s="1"/>
  <c r="E93" i="224" s="1"/>
  <c r="E28" i="224" s="1"/>
  <c r="C31" i="232"/>
  <c r="C32" i="232" s="1"/>
  <c r="C36" i="232" s="1"/>
  <c r="G90" i="231" s="1"/>
  <c r="C33" i="203"/>
  <c r="I138" i="201"/>
  <c r="A93" i="201"/>
  <c r="A94" i="201" s="1"/>
  <c r="I149" i="201"/>
  <c r="A141" i="201"/>
  <c r="A142" i="201" s="1"/>
  <c r="A143" i="201" s="1"/>
  <c r="A144" i="201" s="1"/>
  <c r="A145" i="201" s="1"/>
  <c r="A146" i="201" s="1"/>
  <c r="A147" i="201" s="1"/>
  <c r="A148" i="201" s="1"/>
  <c r="A149" i="201" s="1"/>
  <c r="A150" i="201" s="1"/>
  <c r="A151" i="201" s="1"/>
  <c r="A152" i="201" s="1"/>
  <c r="A153" i="201" s="1"/>
  <c r="A154" i="201" s="1"/>
  <c r="A155" i="201" s="1"/>
  <c r="I48" i="201"/>
  <c r="I61" i="201"/>
  <c r="A29" i="201"/>
  <c r="A30" i="201" s="1"/>
  <c r="A31" i="201" s="1"/>
  <c r="G152" i="201"/>
  <c r="G155" i="201" s="1"/>
  <c r="G159" i="201" s="1"/>
  <c r="N43" i="192"/>
  <c r="A43" i="192"/>
  <c r="A156" i="201" l="1"/>
  <c r="A157" i="201" s="1"/>
  <c r="A158" i="201" s="1"/>
  <c r="A159" i="201" s="1"/>
  <c r="B162" i="201" s="1"/>
  <c r="I155" i="201"/>
  <c r="A32" i="201"/>
  <c r="I37" i="201"/>
  <c r="I103" i="201"/>
  <c r="A95" i="201"/>
  <c r="A96" i="201" s="1"/>
  <c r="A97" i="201" s="1"/>
  <c r="A98" i="201" s="1"/>
  <c r="A99" i="201" s="1"/>
  <c r="A100" i="201" s="1"/>
  <c r="A101" i="201" s="1"/>
  <c r="A102" i="201" s="1"/>
  <c r="A103" i="201" s="1"/>
  <c r="A104" i="201" s="1"/>
  <c r="N44" i="192"/>
  <c r="A44" i="192"/>
  <c r="I150" i="201" l="1"/>
  <c r="A105" i="201"/>
  <c r="A106" i="201" s="1"/>
  <c r="A33" i="201"/>
  <c r="I33" i="201"/>
  <c r="I159" i="201"/>
  <c r="N45" i="192"/>
  <c r="A45" i="192"/>
  <c r="I62" i="201" l="1"/>
  <c r="A34" i="201"/>
  <c r="A35" i="201" s="1"/>
  <c r="A36" i="201" s="1"/>
  <c r="I49" i="201"/>
  <c r="A107" i="201"/>
  <c r="A108" i="201" s="1"/>
  <c r="A109" i="201" s="1"/>
  <c r="I109" i="201"/>
  <c r="A46" i="192"/>
  <c r="N46" i="192"/>
  <c r="A110" i="201" l="1"/>
  <c r="A111" i="201" s="1"/>
  <c r="A112" i="201" s="1"/>
  <c r="A113" i="201" s="1"/>
  <c r="I113" i="201"/>
  <c r="A37" i="201"/>
  <c r="A38" i="201" s="1"/>
  <c r="A39" i="201" s="1"/>
  <c r="A40" i="201" s="1"/>
  <c r="A41" i="201" s="1"/>
  <c r="A42" i="201" s="1"/>
  <c r="A43" i="201" s="1"/>
  <c r="N47" i="192"/>
  <c r="N48" i="192" s="1"/>
  <c r="N49" i="192" s="1"/>
  <c r="N50" i="192" s="1"/>
  <c r="N51" i="192" s="1"/>
  <c r="N52" i="192" s="1"/>
  <c r="N53" i="192" s="1"/>
  <c r="N54" i="192" s="1"/>
  <c r="N55" i="192" s="1"/>
  <c r="N56" i="192" s="1"/>
  <c r="N57" i="192" s="1"/>
  <c r="N58" i="192" s="1"/>
  <c r="N59" i="192" s="1"/>
  <c r="N60" i="192" s="1"/>
  <c r="N61" i="192" s="1"/>
  <c r="A47" i="192"/>
  <c r="A48" i="192" s="1"/>
  <c r="A49" i="192" s="1"/>
  <c r="A50" i="192" s="1"/>
  <c r="A51" i="192" s="1"/>
  <c r="A52" i="192" s="1"/>
  <c r="A53" i="192" s="1"/>
  <c r="A54" i="192" s="1"/>
  <c r="A55" i="192" s="1"/>
  <c r="A56" i="192" s="1"/>
  <c r="A57" i="192" s="1"/>
  <c r="A58" i="192" s="1"/>
  <c r="A59" i="192" s="1"/>
  <c r="A60" i="192" s="1"/>
  <c r="A61" i="192" s="1"/>
  <c r="I50" i="201" l="1"/>
  <c r="A44" i="201"/>
  <c r="A45" i="201" s="1"/>
  <c r="A46" i="201" s="1"/>
  <c r="A47" i="201" s="1"/>
  <c r="I40" i="201"/>
  <c r="I137" i="201" l="1"/>
  <c r="A48" i="201"/>
  <c r="A49" i="201" l="1"/>
  <c r="A50" i="201" l="1"/>
  <c r="A51" i="201" l="1"/>
  <c r="I51" i="201"/>
  <c r="I53" i="201"/>
  <c r="A52" i="201" l="1"/>
  <c r="A53" i="201" s="1"/>
  <c r="I111" i="201"/>
  <c r="A54" i="201" l="1"/>
  <c r="A55" i="201" s="1"/>
  <c r="A56" i="201" s="1"/>
  <c r="I88" i="201"/>
  <c r="I63" i="201" l="1"/>
  <c r="A57" i="201"/>
  <c r="A58" i="201" s="1"/>
  <c r="A59" i="201" s="1"/>
  <c r="A60" i="201" s="1"/>
  <c r="A61" i="201" s="1"/>
  <c r="A62" i="201" l="1"/>
  <c r="A63" i="201" l="1"/>
  <c r="A64" i="201" l="1"/>
  <c r="I64" i="201"/>
  <c r="I66" i="201"/>
  <c r="I157" i="201" l="1"/>
  <c r="A65" i="201"/>
  <c r="A66" i="201" s="1"/>
  <c r="I134" i="201" l="1"/>
  <c r="B70" i="201"/>
  <c r="A12" i="169" l="1"/>
  <c r="A13" i="169" s="1"/>
  <c r="A14" i="169" s="1"/>
  <c r="A15" i="169" s="1"/>
  <c r="A16" i="169" s="1"/>
  <c r="A17" i="169" s="1"/>
  <c r="A18" i="169" s="1"/>
  <c r="A19" i="169" s="1"/>
  <c r="A20" i="169" s="1"/>
  <c r="G11" i="169"/>
  <c r="G12" i="169" s="1"/>
  <c r="G13" i="169" s="1"/>
  <c r="G14" i="169" s="1"/>
  <c r="G15" i="169" s="1"/>
  <c r="G16" i="169" s="1"/>
  <c r="G17" i="169" s="1"/>
  <c r="G18" i="169" s="1"/>
  <c r="G19" i="169" s="1"/>
  <c r="G20" i="169" s="1"/>
  <c r="G21" i="169" s="1"/>
  <c r="G22" i="169" s="1"/>
  <c r="G23" i="169" s="1"/>
  <c r="G24" i="169" s="1"/>
  <c r="O26" i="166"/>
  <c r="O24" i="166"/>
  <c r="N27" i="166"/>
  <c r="M27" i="166"/>
  <c r="K27" i="166"/>
  <c r="I27" i="166"/>
  <c r="H27" i="166"/>
  <c r="O20" i="166"/>
  <c r="G27" i="166"/>
  <c r="F27" i="166"/>
  <c r="E27" i="166"/>
  <c r="D27" i="166"/>
  <c r="C27" i="166"/>
  <c r="O17" i="166"/>
  <c r="A13" i="166"/>
  <c r="A14" i="166" s="1"/>
  <c r="R12" i="166"/>
  <c r="R13" i="166" s="1"/>
  <c r="R14" i="166" s="1"/>
  <c r="R15" i="166" s="1"/>
  <c r="R16" i="166" s="1"/>
  <c r="R17" i="166" s="1"/>
  <c r="R18" i="166" s="1"/>
  <c r="R19" i="166" s="1"/>
  <c r="R20" i="166" s="1"/>
  <c r="R21" i="166" s="1"/>
  <c r="R22" i="166" s="1"/>
  <c r="R23" i="166" s="1"/>
  <c r="R24" i="166" s="1"/>
  <c r="R25" i="166" s="1"/>
  <c r="R26" i="166" s="1"/>
  <c r="R27" i="166" s="1"/>
  <c r="R28" i="166" s="1"/>
  <c r="R29" i="166" s="1"/>
  <c r="R30" i="166" s="1"/>
  <c r="R31" i="166" s="1"/>
  <c r="R32" i="166" s="1"/>
  <c r="R33" i="166" s="1"/>
  <c r="R34" i="166" s="1"/>
  <c r="R35" i="166" s="1"/>
  <c r="R36" i="166" s="1"/>
  <c r="R37" i="166" s="1"/>
  <c r="R38" i="166" s="1"/>
  <c r="R39" i="166" s="1"/>
  <c r="R40" i="166" s="1"/>
  <c r="R41" i="166" s="1"/>
  <c r="R42" i="166" s="1"/>
  <c r="R43" i="166" s="1"/>
  <c r="R44" i="166" s="1"/>
  <c r="A110" i="164"/>
  <c r="A111" i="164" s="1"/>
  <c r="A112" i="164" s="1"/>
  <c r="A113" i="164" s="1"/>
  <c r="A114" i="164" s="1"/>
  <c r="H109" i="164"/>
  <c r="H110" i="164" s="1"/>
  <c r="H111" i="164" s="1"/>
  <c r="H112" i="164" s="1"/>
  <c r="H113" i="164" s="1"/>
  <c r="H114" i="164" s="1"/>
  <c r="H115" i="164" s="1"/>
  <c r="H116" i="164" s="1"/>
  <c r="H117" i="164" s="1"/>
  <c r="H118" i="164" s="1"/>
  <c r="H119" i="164" s="1"/>
  <c r="H120" i="164" s="1"/>
  <c r="H121" i="164" s="1"/>
  <c r="H122" i="164" s="1"/>
  <c r="H123" i="164" s="1"/>
  <c r="H124" i="164" s="1"/>
  <c r="H125" i="164" s="1"/>
  <c r="H126" i="164" s="1"/>
  <c r="H127" i="164" s="1"/>
  <c r="H128" i="164" s="1"/>
  <c r="H129" i="164" s="1"/>
  <c r="H130" i="164" s="1"/>
  <c r="H131" i="164" s="1"/>
  <c r="H132" i="164" s="1"/>
  <c r="H133" i="164" s="1"/>
  <c r="H134" i="164" s="1"/>
  <c r="H135" i="164" s="1"/>
  <c r="H136" i="164" s="1"/>
  <c r="H137" i="164" s="1"/>
  <c r="H138" i="164" s="1"/>
  <c r="H139" i="164" s="1"/>
  <c r="H140" i="164" s="1"/>
  <c r="H141" i="164" s="1"/>
  <c r="H142" i="164" s="1"/>
  <c r="H143" i="164" s="1"/>
  <c r="H144" i="164" s="1"/>
  <c r="H145" i="164" s="1"/>
  <c r="H146" i="164" s="1"/>
  <c r="H147" i="164" s="1"/>
  <c r="H148" i="164" s="1"/>
  <c r="H149" i="164" s="1"/>
  <c r="H150" i="164" s="1"/>
  <c r="H151" i="164" s="1"/>
  <c r="H152" i="164" s="1"/>
  <c r="H153" i="164" s="1"/>
  <c r="H154" i="164" s="1"/>
  <c r="H155" i="164" s="1"/>
  <c r="H156" i="164" s="1"/>
  <c r="H157" i="164" s="1"/>
  <c r="H158" i="164" s="1"/>
  <c r="H159" i="164" s="1"/>
  <c r="H160" i="164" s="1"/>
  <c r="H161" i="164" s="1"/>
  <c r="H162" i="164" s="1"/>
  <c r="H163" i="164" s="1"/>
  <c r="H164" i="164" s="1"/>
  <c r="H165" i="164" s="1"/>
  <c r="H166" i="164" s="1"/>
  <c r="A58" i="164"/>
  <c r="A59" i="164" s="1"/>
  <c r="A60" i="164" s="1"/>
  <c r="H57" i="164"/>
  <c r="H58" i="164" s="1"/>
  <c r="H59" i="164" s="1"/>
  <c r="H60" i="164" s="1"/>
  <c r="H61" i="164" s="1"/>
  <c r="H62" i="164" s="1"/>
  <c r="H63" i="164" s="1"/>
  <c r="H64" i="164" s="1"/>
  <c r="H65" i="164" s="1"/>
  <c r="H66" i="164" s="1"/>
  <c r="H67" i="164" s="1"/>
  <c r="H68" i="164" s="1"/>
  <c r="H69" i="164" s="1"/>
  <c r="H70" i="164" s="1"/>
  <c r="H71" i="164" s="1"/>
  <c r="H72" i="164" s="1"/>
  <c r="H73" i="164" s="1"/>
  <c r="H74" i="164" s="1"/>
  <c r="H75" i="164" s="1"/>
  <c r="H76" i="164" s="1"/>
  <c r="H77" i="164" s="1"/>
  <c r="H78" i="164" s="1"/>
  <c r="H79" i="164" s="1"/>
  <c r="H80" i="164" s="1"/>
  <c r="H81" i="164" s="1"/>
  <c r="H82" i="164" s="1"/>
  <c r="H83" i="164" s="1"/>
  <c r="H84" i="164" s="1"/>
  <c r="H85" i="164" s="1"/>
  <c r="H86" i="164" s="1"/>
  <c r="H87" i="164" s="1"/>
  <c r="H88" i="164" s="1"/>
  <c r="H89" i="164" s="1"/>
  <c r="H90" i="164" s="1"/>
  <c r="H91" i="164" s="1"/>
  <c r="H92" i="164" s="1"/>
  <c r="H93" i="164" s="1"/>
  <c r="H94" i="164" s="1"/>
  <c r="A13" i="164"/>
  <c r="H12" i="164"/>
  <c r="H13" i="164" s="1"/>
  <c r="H14" i="164" s="1"/>
  <c r="H15" i="164" s="1"/>
  <c r="H16" i="164" s="1"/>
  <c r="H17" i="164" s="1"/>
  <c r="H18" i="164" s="1"/>
  <c r="H19" i="164" s="1"/>
  <c r="H20" i="164" s="1"/>
  <c r="H21" i="164" s="1"/>
  <c r="H22" i="164" s="1"/>
  <c r="H23" i="164" s="1"/>
  <c r="H24" i="164" s="1"/>
  <c r="H25" i="164" s="1"/>
  <c r="H26" i="164" s="1"/>
  <c r="H27" i="164" s="1"/>
  <c r="H28" i="164" s="1"/>
  <c r="H29" i="164" s="1"/>
  <c r="H30" i="164" s="1"/>
  <c r="H31" i="164" s="1"/>
  <c r="H32" i="164" s="1"/>
  <c r="H33" i="164" s="1"/>
  <c r="H34" i="164" s="1"/>
  <c r="H35" i="164" s="1"/>
  <c r="H36" i="164" s="1"/>
  <c r="H37" i="164" s="1"/>
  <c r="H38" i="164" s="1"/>
  <c r="H39" i="164" s="1"/>
  <c r="H40" i="164" s="1"/>
  <c r="H41" i="164" s="1"/>
  <c r="H42" i="164" s="1"/>
  <c r="B103" i="164"/>
  <c r="A21" i="169" l="1"/>
  <c r="A22" i="169" s="1"/>
  <c r="J27" i="166"/>
  <c r="O23" i="166"/>
  <c r="L27" i="166"/>
  <c r="O21" i="166"/>
  <c r="O18" i="166"/>
  <c r="A15" i="166"/>
  <c r="A16" i="166" s="1"/>
  <c r="A17" i="166" s="1"/>
  <c r="A61" i="164"/>
  <c r="A62" i="164" s="1"/>
  <c r="A115" i="164"/>
  <c r="A116" i="164" s="1"/>
  <c r="A117" i="164" s="1"/>
  <c r="A118" i="164" s="1"/>
  <c r="A14" i="164"/>
  <c r="A15" i="164" s="1"/>
  <c r="A16" i="164" s="1"/>
  <c r="A17" i="164" s="1"/>
  <c r="A18" i="164" s="1"/>
  <c r="A19" i="164" s="1"/>
  <c r="A20" i="164" s="1"/>
  <c r="A21" i="164" s="1"/>
  <c r="A22" i="164" s="1"/>
  <c r="A23" i="164" s="1"/>
  <c r="A24" i="164" s="1"/>
  <c r="A25" i="164" s="1"/>
  <c r="A26" i="164" s="1"/>
  <c r="A27" i="164" s="1"/>
  <c r="A28" i="164" s="1"/>
  <c r="A29" i="164" s="1"/>
  <c r="A30" i="164" s="1"/>
  <c r="A31" i="164" s="1"/>
  <c r="B51" i="164"/>
  <c r="O27" i="166" l="1"/>
  <c r="A23" i="169"/>
  <c r="A24" i="169" s="1"/>
  <c r="A18" i="166"/>
  <c r="A19" i="166" s="1"/>
  <c r="A20" i="166" s="1"/>
  <c r="A21" i="166" s="1"/>
  <c r="A22" i="166" s="1"/>
  <c r="A23" i="166" s="1"/>
  <c r="A24" i="166" s="1"/>
  <c r="A25" i="166" s="1"/>
  <c r="A26" i="166" s="1"/>
  <c r="A27" i="166" s="1"/>
  <c r="A32" i="164"/>
  <c r="A33" i="164" s="1"/>
  <c r="A34" i="164" s="1"/>
  <c r="A35" i="164" s="1"/>
  <c r="A119" i="164"/>
  <c r="A120" i="164" s="1"/>
  <c r="A121" i="164" s="1"/>
  <c r="A122" i="164" s="1"/>
  <c r="A63" i="164"/>
  <c r="A64" i="164" s="1"/>
  <c r="A28" i="166" l="1"/>
  <c r="A29" i="166" s="1"/>
  <c r="A30" i="166" s="1"/>
  <c r="A31" i="166" s="1"/>
  <c r="A123" i="164"/>
  <c r="A124" i="164" s="1"/>
  <c r="A125" i="164" s="1"/>
  <c r="A126" i="164" s="1"/>
  <c r="A65" i="164"/>
  <c r="A66" i="164" s="1"/>
  <c r="A36" i="164"/>
  <c r="A37" i="164" s="1"/>
  <c r="A38" i="164" s="1"/>
  <c r="A32" i="166" l="1"/>
  <c r="A33" i="166" s="1"/>
  <c r="A67" i="164"/>
  <c r="A68" i="164" s="1"/>
  <c r="A69" i="164" s="1"/>
  <c r="A70" i="164" s="1"/>
  <c r="A71" i="164" s="1"/>
  <c r="A39" i="164"/>
  <c r="A40" i="164" s="1"/>
  <c r="A41" i="164" s="1"/>
  <c r="A42" i="164" s="1"/>
  <c r="A127" i="164"/>
  <c r="A128" i="164" s="1"/>
  <c r="A129" i="164" s="1"/>
  <c r="B52" i="166" l="1"/>
  <c r="B51" i="166"/>
  <c r="B50" i="166"/>
  <c r="A34" i="166"/>
  <c r="A35" i="166" s="1"/>
  <c r="A36" i="166" s="1"/>
  <c r="A37" i="166" s="1"/>
  <c r="A130" i="164"/>
  <c r="A131" i="164" s="1"/>
  <c r="A132" i="164" s="1"/>
  <c r="A133" i="164" s="1"/>
  <c r="A134" i="164" s="1"/>
  <c r="A135" i="164" s="1"/>
  <c r="A136" i="164" s="1"/>
  <c r="A137" i="164" s="1"/>
  <c r="A138" i="164" s="1"/>
  <c r="A139" i="164" s="1"/>
  <c r="A140" i="164" s="1"/>
  <c r="A141" i="164" s="1"/>
  <c r="A142" i="164" s="1"/>
  <c r="A143" i="164" s="1"/>
  <c r="A144" i="164" s="1"/>
  <c r="A145" i="164" s="1"/>
  <c r="A72" i="164"/>
  <c r="A73" i="164" s="1"/>
  <c r="A38" i="166" l="1"/>
  <c r="A39" i="166" s="1"/>
  <c r="A74" i="164"/>
  <c r="A75" i="164" s="1"/>
  <c r="A76" i="164" s="1"/>
  <c r="A146" i="164"/>
  <c r="A147" i="164" s="1"/>
  <c r="A148" i="164" s="1"/>
  <c r="A40" i="166" l="1"/>
  <c r="A41" i="166" s="1"/>
  <c r="A149" i="164"/>
  <c r="A150" i="164" s="1"/>
  <c r="A151" i="164" s="1"/>
  <c r="A152" i="164" s="1"/>
  <c r="A153" i="164" s="1"/>
  <c r="A154" i="164" s="1"/>
  <c r="A77" i="164"/>
  <c r="A78" i="164" s="1"/>
  <c r="A42" i="166" l="1"/>
  <c r="A43" i="166" s="1"/>
  <c r="A155" i="164"/>
  <c r="A156" i="164" s="1"/>
  <c r="A157" i="164" s="1"/>
  <c r="A158" i="164" s="1"/>
  <c r="A79" i="164"/>
  <c r="A80" i="164" s="1"/>
  <c r="A81" i="164" s="1"/>
  <c r="A44" i="166" l="1"/>
  <c r="A82" i="164"/>
  <c r="A83" i="164" s="1"/>
  <c r="A84" i="164" s="1"/>
  <c r="A85" i="164" s="1"/>
  <c r="A159" i="164"/>
  <c r="A160" i="164" s="1"/>
  <c r="A161" i="164" s="1"/>
  <c r="A162" i="164" s="1"/>
  <c r="A163" i="164" l="1"/>
  <c r="A164" i="164" s="1"/>
  <c r="A165" i="164" s="1"/>
  <c r="A166" i="164" s="1"/>
  <c r="A86" i="164"/>
  <c r="A87" i="164" s="1"/>
  <c r="A88" i="164" s="1"/>
  <c r="A89" i="164" l="1"/>
  <c r="A90" i="164" s="1"/>
  <c r="A91" i="164" s="1"/>
  <c r="A92" i="164" s="1"/>
  <c r="A93" i="164" l="1"/>
  <c r="A94" i="164" s="1"/>
  <c r="B52" i="159" l="1"/>
  <c r="C46" i="159"/>
  <c r="B46" i="159"/>
  <c r="B44" i="159"/>
  <c r="B42" i="159"/>
  <c r="B40" i="159"/>
  <c r="B38" i="159"/>
  <c r="B36" i="159"/>
  <c r="E34" i="159"/>
  <c r="C34" i="159"/>
  <c r="E35" i="158" s="1"/>
  <c r="B34" i="159"/>
  <c r="A13" i="159"/>
  <c r="A14" i="159" s="1"/>
  <c r="F12" i="159"/>
  <c r="F13" i="159" s="1"/>
  <c r="F14" i="159" s="1"/>
  <c r="F15" i="159" s="1"/>
  <c r="F16" i="159" s="1"/>
  <c r="F17" i="159" s="1"/>
  <c r="F18" i="159" s="1"/>
  <c r="F19" i="159" s="1"/>
  <c r="F20" i="159" s="1"/>
  <c r="F21" i="159" s="1"/>
  <c r="F22" i="159" s="1"/>
  <c r="F23" i="159" s="1"/>
  <c r="F24" i="159" s="1"/>
  <c r="F25" i="159" s="1"/>
  <c r="F26" i="159" s="1"/>
  <c r="F27" i="159" s="1"/>
  <c r="F33" i="159" s="1"/>
  <c r="F34" i="159" s="1"/>
  <c r="F35" i="159" s="1"/>
  <c r="F36" i="159" s="1"/>
  <c r="F37" i="159" s="1"/>
  <c r="F38" i="159" s="1"/>
  <c r="F39" i="159" s="1"/>
  <c r="F40" i="159" s="1"/>
  <c r="F41" i="159" s="1"/>
  <c r="F42" i="159" s="1"/>
  <c r="F43" i="159" s="1"/>
  <c r="F44" i="159" s="1"/>
  <c r="F45" i="159" s="1"/>
  <c r="F46" i="159" s="1"/>
  <c r="F47" i="159" s="1"/>
  <c r="F48" i="159" s="1"/>
  <c r="F49" i="159" s="1"/>
  <c r="F50" i="159" s="1"/>
  <c r="F51" i="159" s="1"/>
  <c r="F52" i="159" s="1"/>
  <c r="F53" i="159" s="1"/>
  <c r="B53" i="158"/>
  <c r="G51" i="158"/>
  <c r="B47" i="158"/>
  <c r="B45" i="158"/>
  <c r="B43" i="158"/>
  <c r="B41" i="158"/>
  <c r="B39" i="158"/>
  <c r="B37" i="158"/>
  <c r="B35" i="158"/>
  <c r="E31" i="158"/>
  <c r="C31" i="158"/>
  <c r="G25" i="158"/>
  <c r="A15" i="158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14" i="158"/>
  <c r="I13" i="158"/>
  <c r="I14" i="158" s="1"/>
  <c r="I15" i="158" s="1"/>
  <c r="I16" i="158" s="1"/>
  <c r="I17" i="158" s="1"/>
  <c r="I18" i="158" s="1"/>
  <c r="I19" i="158" s="1"/>
  <c r="I20" i="158" s="1"/>
  <c r="I21" i="158" s="1"/>
  <c r="I22" i="158" s="1"/>
  <c r="I23" i="158" s="1"/>
  <c r="I24" i="158" s="1"/>
  <c r="I25" i="158" s="1"/>
  <c r="I26" i="158" s="1"/>
  <c r="I27" i="158" s="1"/>
  <c r="I28" i="158" s="1"/>
  <c r="I34" i="158" s="1"/>
  <c r="I35" i="158" s="1"/>
  <c r="I36" i="158" s="1"/>
  <c r="I37" i="158" s="1"/>
  <c r="I38" i="158" s="1"/>
  <c r="I39" i="158" s="1"/>
  <c r="I40" i="158" s="1"/>
  <c r="I41" i="158" s="1"/>
  <c r="I42" i="158" s="1"/>
  <c r="I43" i="158" s="1"/>
  <c r="I44" i="158" s="1"/>
  <c r="I45" i="158" s="1"/>
  <c r="I46" i="158" s="1"/>
  <c r="I47" i="158" s="1"/>
  <c r="I48" i="158" s="1"/>
  <c r="I49" i="158" s="1"/>
  <c r="I50" i="158" s="1"/>
  <c r="I51" i="158" s="1"/>
  <c r="I52" i="158" s="1"/>
  <c r="I53" i="158" s="1"/>
  <c r="I54" i="158" s="1"/>
  <c r="G12" i="157"/>
  <c r="G13" i="157" s="1"/>
  <c r="G14" i="157" s="1"/>
  <c r="G15" i="157" s="1"/>
  <c r="G16" i="157" s="1"/>
  <c r="G17" i="157" s="1"/>
  <c r="G18" i="157" s="1"/>
  <c r="G19" i="157" s="1"/>
  <c r="G20" i="157" s="1"/>
  <c r="G21" i="157" s="1"/>
  <c r="A12" i="157"/>
  <c r="A13" i="157" s="1"/>
  <c r="A14" i="157" s="1"/>
  <c r="A15" i="157" s="1"/>
  <c r="A16" i="157" s="1"/>
  <c r="A17" i="157" s="1"/>
  <c r="A18" i="157" s="1"/>
  <c r="A19" i="157" s="1"/>
  <c r="A20" i="157" s="1"/>
  <c r="A21" i="157" s="1"/>
  <c r="G47" i="158" l="1"/>
  <c r="E47" i="158"/>
  <c r="G13" i="158"/>
  <c r="E36" i="159"/>
  <c r="A15" i="159"/>
  <c r="A16" i="159" s="1"/>
  <c r="A26" i="158"/>
  <c r="A27" i="158" s="1"/>
  <c r="A28" i="158" s="1"/>
  <c r="A34" i="158" s="1"/>
  <c r="A35" i="158" s="1"/>
  <c r="G35" i="158"/>
  <c r="E38" i="159" l="1"/>
  <c r="A17" i="159"/>
  <c r="A18" i="159" s="1"/>
  <c r="A19" i="159" s="1"/>
  <c r="A20" i="159" s="1"/>
  <c r="A36" i="158"/>
  <c r="A37" i="158" s="1"/>
  <c r="A38" i="158" s="1"/>
  <c r="A39" i="158" s="1"/>
  <c r="A40" i="158" s="1"/>
  <c r="A41" i="158" s="1"/>
  <c r="A42" i="158" s="1"/>
  <c r="A43" i="158" s="1"/>
  <c r="A44" i="158" s="1"/>
  <c r="A45" i="158" s="1"/>
  <c r="A46" i="158" s="1"/>
  <c r="A47" i="158" s="1"/>
  <c r="A48" i="158" s="1"/>
  <c r="A49" i="158" s="1"/>
  <c r="A50" i="158" s="1"/>
  <c r="A51" i="158" s="1"/>
  <c r="A52" i="158" s="1"/>
  <c r="A53" i="158" s="1"/>
  <c r="A54" i="158" s="1"/>
  <c r="A21" i="159" l="1"/>
  <c r="A22" i="159" s="1"/>
  <c r="A23" i="159" s="1"/>
  <c r="A24" i="159" s="1"/>
  <c r="E42" i="159"/>
  <c r="E46" i="159" l="1"/>
  <c r="A25" i="159"/>
  <c r="A26" i="159" s="1"/>
  <c r="A27" i="159" s="1"/>
  <c r="A33" i="159" s="1"/>
  <c r="A34" i="159" s="1"/>
  <c r="A35" i="159" l="1"/>
  <c r="A36" i="159" s="1"/>
  <c r="A37" i="159" s="1"/>
  <c r="A38" i="159" s="1"/>
  <c r="A39" i="159" s="1"/>
  <c r="A40" i="159" s="1"/>
  <c r="A41" i="159" s="1"/>
  <c r="A42" i="159" s="1"/>
  <c r="A43" i="159" s="1"/>
  <c r="A44" i="159" s="1"/>
  <c r="A45" i="159" s="1"/>
  <c r="A46" i="159" s="1"/>
  <c r="A47" i="159" s="1"/>
  <c r="A48" i="159" s="1"/>
  <c r="A49" i="159" l="1"/>
  <c r="A50" i="159" s="1"/>
  <c r="A51" i="159" s="1"/>
  <c r="A52" i="159" s="1"/>
  <c r="A53" i="159" s="1"/>
  <c r="E48" i="159"/>
  <c r="E52" i="159" l="1"/>
  <c r="C27" i="203" l="1"/>
  <c r="C37" i="203" s="1"/>
  <c r="G102" i="201" l="1"/>
  <c r="G94" i="201" l="1"/>
  <c r="G103" i="201" s="1"/>
  <c r="G101" i="231"/>
  <c r="G93" i="231"/>
  <c r="G102" i="231" s="1"/>
  <c r="G106" i="201"/>
  <c r="G109" i="201" s="1"/>
  <c r="E136" i="224" s="1"/>
  <c r="G105" i="231" l="1"/>
  <c r="G108" i="231" s="1"/>
  <c r="G112" i="231" s="1"/>
  <c r="E137" i="164"/>
  <c r="G113" i="201"/>
  <c r="E159" i="224" s="1"/>
  <c r="E161" i="224" s="1"/>
  <c r="E165" i="224" s="1"/>
  <c r="E142" i="224" s="1"/>
  <c r="E144" i="224" s="1"/>
  <c r="E115" i="224" s="1"/>
  <c r="E117" i="224" s="1"/>
  <c r="E121" i="224" s="1"/>
  <c r="E125" i="224" s="1"/>
  <c r="E80" i="224" s="1"/>
  <c r="E20" i="224" s="1"/>
  <c r="E30" i="224" s="1"/>
  <c r="E32" i="224" s="1"/>
  <c r="E34" i="224" s="1"/>
  <c r="E39" i="224" s="1"/>
  <c r="E41" i="224" s="1"/>
  <c r="D12" i="226" l="1"/>
  <c r="C13" i="223"/>
  <c r="C15" i="158" s="1"/>
  <c r="E160" i="164"/>
  <c r="G29" i="166" l="1"/>
  <c r="F29" i="166"/>
  <c r="E29" i="166"/>
  <c r="D29" i="166"/>
  <c r="C29" i="166" l="1"/>
  <c r="I29" i="166" l="1"/>
  <c r="N29" i="166"/>
  <c r="M29" i="166"/>
  <c r="L29" i="166"/>
  <c r="K29" i="166"/>
  <c r="J29" i="166"/>
  <c r="H29" i="166" l="1"/>
  <c r="O14" i="166"/>
  <c r="O29" i="166" l="1"/>
  <c r="E66" i="164" l="1"/>
  <c r="E15" i="164" s="1"/>
  <c r="E78" i="164" l="1"/>
  <c r="E19" i="164" s="1"/>
  <c r="E114" i="164" l="1"/>
  <c r="E152" i="164" l="1"/>
  <c r="E154" i="164" s="1"/>
  <c r="E135" i="164" s="1"/>
  <c r="E164" i="164"/>
  <c r="E73" i="164" l="1"/>
  <c r="E17" i="164" s="1"/>
  <c r="E88" i="164" l="1"/>
  <c r="E68" i="164" l="1"/>
  <c r="E62" i="164"/>
  <c r="E13" i="164" s="1"/>
  <c r="E162" i="164" l="1"/>
  <c r="E166" i="164" s="1"/>
  <c r="E143" i="164" s="1"/>
  <c r="E145" i="164" s="1"/>
  <c r="E116" i="164" s="1"/>
  <c r="E118" i="164" s="1"/>
  <c r="E122" i="164" s="1"/>
  <c r="E126" i="164" s="1"/>
  <c r="E81" i="164" s="1"/>
  <c r="E21" i="164" s="1"/>
  <c r="E92" i="164"/>
  <c r="E94" i="164" s="1"/>
  <c r="E29" i="164" s="1"/>
  <c r="E31" i="164" l="1"/>
  <c r="E33" i="164" s="1"/>
  <c r="E35" i="164" s="1"/>
  <c r="E40" i="164" s="1"/>
  <c r="E42" i="164" s="1"/>
  <c r="C38" i="159"/>
  <c r="E39" i="158" s="1"/>
  <c r="D21" i="226" l="1"/>
  <c r="D23" i="226" s="1"/>
  <c r="C30" i="225" s="1"/>
  <c r="D13" i="169"/>
  <c r="D22" i="169" s="1"/>
  <c r="D24" i="169" s="1"/>
  <c r="G17" i="158"/>
  <c r="J31" i="166" l="1"/>
  <c r="J33" i="166" s="1"/>
  <c r="C35" i="223"/>
  <c r="C37" i="158" s="1"/>
  <c r="G15" i="158"/>
  <c r="C36" i="159"/>
  <c r="G39" i="158"/>
  <c r="E37" i="158" l="1"/>
  <c r="E31" i="166"/>
  <c r="E33" i="166" s="1"/>
  <c r="K31" i="166"/>
  <c r="K33" i="166" s="1"/>
  <c r="M31" i="166"/>
  <c r="M33" i="166" s="1"/>
  <c r="L31" i="166"/>
  <c r="L33" i="166" s="1"/>
  <c r="F31" i="166"/>
  <c r="F33" i="166" s="1"/>
  <c r="F38" i="166" s="1"/>
  <c r="D31" i="166"/>
  <c r="D33" i="166" s="1"/>
  <c r="N31" i="166"/>
  <c r="N33" i="166" s="1"/>
  <c r="I31" i="166"/>
  <c r="I33" i="166" s="1"/>
  <c r="I38" i="166" s="1"/>
  <c r="G31" i="166"/>
  <c r="G33" i="166" s="1"/>
  <c r="H31" i="166"/>
  <c r="H33" i="166" s="1"/>
  <c r="C32" i="225"/>
  <c r="N30" i="225"/>
  <c r="N32" i="225" s="1"/>
  <c r="M30" i="225"/>
  <c r="M32" i="225" s="1"/>
  <c r="J30" i="225"/>
  <c r="J32" i="225" s="1"/>
  <c r="G30" i="225"/>
  <c r="G32" i="225" s="1"/>
  <c r="F30" i="225"/>
  <c r="F32" i="225" s="1"/>
  <c r="E30" i="225"/>
  <c r="E32" i="225" s="1"/>
  <c r="D30" i="225"/>
  <c r="D32" i="225" s="1"/>
  <c r="L30" i="225"/>
  <c r="L32" i="225" s="1"/>
  <c r="H30" i="225"/>
  <c r="H32" i="225" s="1"/>
  <c r="I30" i="225"/>
  <c r="I32" i="225" s="1"/>
  <c r="K30" i="225"/>
  <c r="K32" i="225" s="1"/>
  <c r="C33" i="166"/>
  <c r="M38" i="166" l="1"/>
  <c r="O31" i="166"/>
  <c r="O33" i="166" s="1"/>
  <c r="O30" i="225"/>
  <c r="O32" i="225" s="1"/>
  <c r="G37" i="158"/>
  <c r="N38" i="166"/>
  <c r="L38" i="166"/>
  <c r="K38" i="166"/>
  <c r="J38" i="166"/>
  <c r="G38" i="166"/>
  <c r="H38" i="166"/>
  <c r="H37" i="225"/>
  <c r="G37" i="225"/>
  <c r="F37" i="225"/>
  <c r="K37" i="225"/>
  <c r="I37" i="225"/>
  <c r="J37" i="225"/>
  <c r="L37" i="225"/>
  <c r="N37" i="225"/>
  <c r="M37" i="225"/>
  <c r="C37" i="225"/>
  <c r="C38" i="225" s="1"/>
  <c r="C40" i="225" s="1"/>
  <c r="E37" i="225"/>
  <c r="E38" i="225" s="1"/>
  <c r="E40" i="225" s="1"/>
  <c r="D37" i="225"/>
  <c r="D38" i="225" s="1"/>
  <c r="D40" i="225" s="1"/>
  <c r="E38" i="166"/>
  <c r="E39" i="166" s="1"/>
  <c r="E41" i="166" s="1"/>
  <c r="D38" i="166"/>
  <c r="D39" i="166" s="1"/>
  <c r="D41" i="166" s="1"/>
  <c r="C38" i="166"/>
  <c r="C39" i="166" s="1"/>
  <c r="C41" i="166" s="1"/>
  <c r="C43" i="166" s="1"/>
  <c r="D12" i="166" s="1"/>
  <c r="C42" i="225" l="1"/>
  <c r="D11" i="225" s="1"/>
  <c r="D42" i="225" s="1"/>
  <c r="E11" i="225" s="1"/>
  <c r="E42" i="225" s="1"/>
  <c r="D43" i="166"/>
  <c r="E12" i="166" s="1"/>
  <c r="E43" i="166" s="1"/>
  <c r="F37" i="166" s="1"/>
  <c r="F39" i="166" s="1"/>
  <c r="F41" i="166" s="1"/>
  <c r="G36" i="225" l="1"/>
  <c r="G38" i="225" s="1"/>
  <c r="G40" i="225" s="1"/>
  <c r="F11" i="225"/>
  <c r="H36" i="225"/>
  <c r="H38" i="225" s="1"/>
  <c r="H40" i="225" s="1"/>
  <c r="F36" i="225"/>
  <c r="F38" i="225" s="1"/>
  <c r="F40" i="225" s="1"/>
  <c r="F12" i="166"/>
  <c r="F43" i="166" s="1"/>
  <c r="G12" i="166" s="1"/>
  <c r="G37" i="166"/>
  <c r="G39" i="166" s="1"/>
  <c r="G41" i="166" s="1"/>
  <c r="H37" i="166"/>
  <c r="H39" i="166" s="1"/>
  <c r="H41" i="166" s="1"/>
  <c r="F42" i="225" l="1"/>
  <c r="G11" i="225" s="1"/>
  <c r="G42" i="225" s="1"/>
  <c r="H11" i="225" s="1"/>
  <c r="H42" i="225" s="1"/>
  <c r="G43" i="166"/>
  <c r="H12" i="166" s="1"/>
  <c r="H43" i="166" s="1"/>
  <c r="J36" i="225" l="1"/>
  <c r="J38" i="225" s="1"/>
  <c r="J40" i="225" s="1"/>
  <c r="I11" i="225"/>
  <c r="I36" i="225"/>
  <c r="I38" i="225" s="1"/>
  <c r="I40" i="225" s="1"/>
  <c r="K36" i="225"/>
  <c r="K38" i="225" s="1"/>
  <c r="K40" i="225" s="1"/>
  <c r="I37" i="166"/>
  <c r="I39" i="166" s="1"/>
  <c r="I41" i="166" s="1"/>
  <c r="I12" i="166"/>
  <c r="J37" i="166"/>
  <c r="J39" i="166" s="1"/>
  <c r="J41" i="166" s="1"/>
  <c r="K37" i="166"/>
  <c r="K39" i="166" s="1"/>
  <c r="K41" i="166" s="1"/>
  <c r="I42" i="225" l="1"/>
  <c r="J11" i="225" s="1"/>
  <c r="J42" i="225" s="1"/>
  <c r="K11" i="225" s="1"/>
  <c r="K42" i="225" s="1"/>
  <c r="I43" i="166"/>
  <c r="J12" i="166" s="1"/>
  <c r="J43" i="166" s="1"/>
  <c r="K12" i="166" s="1"/>
  <c r="K43" i="166" s="1"/>
  <c r="M37" i="166" s="1"/>
  <c r="M39" i="166" s="1"/>
  <c r="M41" i="166" s="1"/>
  <c r="N36" i="225" l="1"/>
  <c r="N38" i="225" s="1"/>
  <c r="N40" i="225" s="1"/>
  <c r="L36" i="225"/>
  <c r="L38" i="225" s="1"/>
  <c r="L40" i="225" s="1"/>
  <c r="M36" i="225"/>
  <c r="M38" i="225" s="1"/>
  <c r="M40" i="225" s="1"/>
  <c r="L11" i="225"/>
  <c r="L12" i="166"/>
  <c r="N37" i="166"/>
  <c r="N39" i="166" s="1"/>
  <c r="N41" i="166" s="1"/>
  <c r="L37" i="166"/>
  <c r="L39" i="166" s="1"/>
  <c r="L41" i="166" s="1"/>
  <c r="O41" i="166" s="1"/>
  <c r="O43" i="166" s="1"/>
  <c r="C26" i="159"/>
  <c r="O40" i="225" l="1"/>
  <c r="O42" i="225" s="1"/>
  <c r="C19" i="223" s="1"/>
  <c r="C21" i="158" s="1"/>
  <c r="G21" i="158" s="1"/>
  <c r="L42" i="225"/>
  <c r="M11" i="225" s="1"/>
  <c r="M42" i="225" s="1"/>
  <c r="N11" i="225" s="1"/>
  <c r="N42" i="225" s="1"/>
  <c r="L43" i="166"/>
  <c r="M12" i="166" s="1"/>
  <c r="M43" i="166" s="1"/>
  <c r="N12" i="166" s="1"/>
  <c r="N43" i="166" s="1"/>
  <c r="C42" i="159"/>
  <c r="E43" i="158" s="1"/>
  <c r="C48" i="159"/>
  <c r="C52" i="159" s="1"/>
  <c r="C41" i="223" l="1"/>
  <c r="D18" i="205"/>
  <c r="D13" i="157"/>
  <c r="C51" i="223" l="1"/>
  <c r="C53" i="158" s="1"/>
  <c r="C43" i="158"/>
  <c r="D19" i="205"/>
  <c r="D20" i="205" s="1"/>
  <c r="D21" i="205" s="1"/>
  <c r="D22" i="205" s="1"/>
  <c r="D23" i="205" s="1"/>
  <c r="D24" i="205" s="1"/>
  <c r="D25" i="205" s="1"/>
  <c r="D26" i="205" s="1"/>
  <c r="D27" i="205" s="1"/>
  <c r="D28" i="205" s="1"/>
  <c r="D29" i="205" s="1"/>
  <c r="G18" i="205"/>
  <c r="F18" i="205"/>
  <c r="G53" i="158" l="1"/>
  <c r="G43" i="158"/>
  <c r="D102" i="205"/>
  <c r="H18" i="205"/>
  <c r="F19" i="205" s="1"/>
  <c r="G19" i="205" s="1"/>
  <c r="H19" i="205" s="1"/>
  <c r="F20" i="205" s="1"/>
  <c r="G20" i="205" l="1"/>
  <c r="H20" i="205" s="1"/>
  <c r="F21" i="205" s="1"/>
  <c r="G21" i="205" l="1"/>
  <c r="H21" i="205" s="1"/>
  <c r="F22" i="205" s="1"/>
  <c r="G22" i="205" l="1"/>
  <c r="H22" i="205" l="1"/>
  <c r="F23" i="205" s="1"/>
  <c r="G23" i="205" s="1"/>
  <c r="H23" i="205" s="1"/>
  <c r="F24" i="205" l="1"/>
  <c r="G24" i="205" s="1"/>
  <c r="H24" i="205" s="1"/>
  <c r="F25" i="205" l="1"/>
  <c r="G25" i="205" s="1"/>
  <c r="H25" i="205" s="1"/>
  <c r="F26" i="205" l="1"/>
  <c r="G26" i="205" s="1"/>
  <c r="H26" i="205" s="1"/>
  <c r="F27" i="205" l="1"/>
  <c r="G27" i="205" s="1"/>
  <c r="H27" i="205" l="1"/>
  <c r="F28" i="205" l="1"/>
  <c r="G28" i="205" s="1"/>
  <c r="H28" i="205" l="1"/>
  <c r="F29" i="205" l="1"/>
  <c r="G29" i="205" s="1"/>
  <c r="H29" i="205" s="1"/>
  <c r="F30" i="205" l="1"/>
  <c r="G30" i="205" s="1"/>
  <c r="H30" i="205" s="1"/>
  <c r="F31" i="205" l="1"/>
  <c r="G31" i="205" s="1"/>
  <c r="H31" i="205" s="1"/>
  <c r="F32" i="205" s="1"/>
  <c r="G32" i="205" l="1"/>
  <c r="H32" i="205" s="1"/>
  <c r="F33" i="205" l="1"/>
  <c r="G33" i="205" s="1"/>
  <c r="H33" i="205" s="1"/>
  <c r="F34" i="205" l="1"/>
  <c r="G34" i="205" s="1"/>
  <c r="H34" i="205" s="1"/>
  <c r="F35" i="205" l="1"/>
  <c r="G35" i="205" s="1"/>
  <c r="H35" i="205" s="1"/>
  <c r="F36" i="205" l="1"/>
  <c r="G36" i="205" s="1"/>
  <c r="H36" i="205" l="1"/>
  <c r="F37" i="205" l="1"/>
  <c r="G37" i="205" s="1"/>
  <c r="H37" i="205" s="1"/>
  <c r="F38" i="205" l="1"/>
  <c r="G38" i="205" s="1"/>
  <c r="H38" i="205" s="1"/>
  <c r="F39" i="205" l="1"/>
  <c r="G39" i="205" s="1"/>
  <c r="H39" i="205" s="1"/>
  <c r="F40" i="205" s="1"/>
  <c r="G40" i="205" l="1"/>
  <c r="H40" i="205" s="1"/>
  <c r="F41" i="205" l="1"/>
  <c r="G41" i="205" s="1"/>
  <c r="H41" i="205" s="1"/>
  <c r="F42" i="205" l="1"/>
  <c r="G42" i="205" s="1"/>
  <c r="H42" i="205" s="1"/>
  <c r="F43" i="205" l="1"/>
  <c r="G43" i="205" s="1"/>
  <c r="H43" i="205" s="1"/>
  <c r="F44" i="205" s="1"/>
  <c r="G44" i="205" l="1"/>
  <c r="H44" i="205" s="1"/>
  <c r="F45" i="205" l="1"/>
  <c r="G45" i="205" s="1"/>
  <c r="H45" i="205" s="1"/>
  <c r="F46" i="205" l="1"/>
  <c r="G46" i="205" s="1"/>
  <c r="H46" i="205" s="1"/>
  <c r="F47" i="205" l="1"/>
  <c r="G47" i="205" s="1"/>
  <c r="H47" i="205" s="1"/>
  <c r="F48" i="205" l="1"/>
  <c r="G48" i="205" s="1"/>
  <c r="H48" i="205" s="1"/>
  <c r="F49" i="205" l="1"/>
  <c r="G49" i="205" s="1"/>
  <c r="H49" i="205" s="1"/>
  <c r="F50" i="205" l="1"/>
  <c r="G50" i="205" s="1"/>
  <c r="H50" i="205" s="1"/>
  <c r="F51" i="205" l="1"/>
  <c r="G51" i="205" s="1"/>
  <c r="H51" i="205" s="1"/>
  <c r="F52" i="205" s="1"/>
  <c r="G52" i="205" l="1"/>
  <c r="H52" i="205" s="1"/>
  <c r="F53" i="205" l="1"/>
  <c r="G53" i="205" s="1"/>
  <c r="H53" i="205" s="1"/>
  <c r="F54" i="205" l="1"/>
  <c r="G54" i="205" s="1"/>
  <c r="H54" i="205" s="1"/>
  <c r="F55" i="205" l="1"/>
  <c r="G55" i="205" s="1"/>
  <c r="H55" i="205" s="1"/>
  <c r="F56" i="205" l="1"/>
  <c r="G56" i="205" s="1"/>
  <c r="H56" i="205" s="1"/>
  <c r="F57" i="205" l="1"/>
  <c r="G57" i="205" s="1"/>
  <c r="H57" i="205" s="1"/>
  <c r="F58" i="205" l="1"/>
  <c r="G58" i="205" s="1"/>
  <c r="H58" i="205" s="1"/>
  <c r="F59" i="205" l="1"/>
  <c r="G59" i="205" s="1"/>
  <c r="H59" i="205" s="1"/>
  <c r="F60" i="205" l="1"/>
  <c r="G60" i="205" s="1"/>
  <c r="H60" i="205" l="1"/>
  <c r="F61" i="205" l="1"/>
  <c r="G61" i="205" s="1"/>
  <c r="H61" i="205" s="1"/>
  <c r="F62" i="205" l="1"/>
  <c r="G62" i="205" s="1"/>
  <c r="H62" i="205" s="1"/>
  <c r="F63" i="205" l="1"/>
  <c r="G63" i="205" s="1"/>
  <c r="H63" i="205" s="1"/>
  <c r="F64" i="205" l="1"/>
  <c r="G64" i="205" s="1"/>
  <c r="H64" i="205" l="1"/>
  <c r="F65" i="205" s="1"/>
  <c r="G65" i="205" l="1"/>
  <c r="H65" i="205" s="1"/>
  <c r="F66" i="205" l="1"/>
  <c r="G66" i="205" s="1"/>
  <c r="H66" i="205" s="1"/>
  <c r="F67" i="205" s="1"/>
  <c r="G67" i="205" l="1"/>
  <c r="H67" i="205" s="1"/>
  <c r="F68" i="205" l="1"/>
  <c r="G68" i="205" s="1"/>
  <c r="H68" i="205" s="1"/>
  <c r="F69" i="205" l="1"/>
  <c r="G69" i="205" s="1"/>
  <c r="H69" i="205" s="1"/>
  <c r="F70" i="205" l="1"/>
  <c r="G70" i="205" s="1"/>
  <c r="H70" i="205" l="1"/>
  <c r="F71" i="205" l="1"/>
  <c r="G71" i="205" s="1"/>
  <c r="H71" i="205" s="1"/>
  <c r="F72" i="205" l="1"/>
  <c r="G72" i="205" s="1"/>
  <c r="H72" i="205" s="1"/>
  <c r="F73" i="205" l="1"/>
  <c r="G73" i="205" s="1"/>
  <c r="H73" i="205" s="1"/>
  <c r="F74" i="205" l="1"/>
  <c r="G74" i="205" s="1"/>
  <c r="H74" i="205" s="1"/>
  <c r="F75" i="205" l="1"/>
  <c r="G75" i="205" s="1"/>
  <c r="H75" i="205" l="1"/>
  <c r="F76" i="205" l="1"/>
  <c r="G76" i="205" s="1"/>
  <c r="H76" i="205" s="1"/>
  <c r="F77" i="205" l="1"/>
  <c r="G77" i="205" s="1"/>
  <c r="H77" i="205" s="1"/>
  <c r="F78" i="205" l="1"/>
  <c r="G78" i="205" s="1"/>
  <c r="H78" i="205" l="1"/>
  <c r="F79" i="205" l="1"/>
  <c r="G79" i="205" s="1"/>
  <c r="H79" i="205" s="1"/>
  <c r="F80" i="205" l="1"/>
  <c r="G80" i="205" s="1"/>
  <c r="H80" i="205" s="1"/>
  <c r="F81" i="205" l="1"/>
  <c r="G81" i="205" s="1"/>
  <c r="H81" i="205" s="1"/>
  <c r="F82" i="205" l="1"/>
  <c r="G82" i="205" s="1"/>
  <c r="H82" i="205" s="1"/>
  <c r="F83" i="205" l="1"/>
  <c r="G83" i="205" s="1"/>
  <c r="H83" i="205" l="1"/>
  <c r="F84" i="205" l="1"/>
  <c r="G84" i="205" s="1"/>
  <c r="H84" i="205" s="1"/>
  <c r="F85" i="205" l="1"/>
  <c r="G85" i="205" s="1"/>
  <c r="H85" i="205" s="1"/>
  <c r="F86" i="205" s="1"/>
  <c r="G86" i="205" l="1"/>
  <c r="H86" i="205" s="1"/>
  <c r="F87" i="205" l="1"/>
  <c r="G87" i="205" s="1"/>
  <c r="H87" i="205" s="1"/>
  <c r="F88" i="205" l="1"/>
  <c r="G88" i="205" s="1"/>
  <c r="H88" i="205" s="1"/>
  <c r="F89" i="205" l="1"/>
  <c r="G89" i="205" s="1"/>
  <c r="H89" i="205" l="1"/>
  <c r="F90" i="205" l="1"/>
  <c r="G90" i="205" s="1"/>
  <c r="H90" i="205" l="1"/>
  <c r="F91" i="205" s="1"/>
  <c r="G91" i="205" l="1"/>
  <c r="H91" i="205" s="1"/>
  <c r="F92" i="205" l="1"/>
  <c r="G92" i="205" l="1"/>
  <c r="H92" i="205" s="1"/>
  <c r="F93" i="205" l="1"/>
  <c r="G93" i="205" l="1"/>
  <c r="H93" i="205" s="1"/>
  <c r="F94" i="205" l="1"/>
  <c r="G94" i="205" l="1"/>
  <c r="H94" i="205" s="1"/>
  <c r="F95" i="205" l="1"/>
  <c r="G95" i="205" l="1"/>
  <c r="H95" i="205" s="1"/>
  <c r="F96" i="205" l="1"/>
  <c r="G96" i="205" s="1"/>
  <c r="H96" i="205" l="1"/>
  <c r="F97" i="205" l="1"/>
  <c r="G97" i="205" s="1"/>
  <c r="H97" i="205" s="1"/>
  <c r="F98" i="205" l="1"/>
  <c r="G98" i="205" s="1"/>
  <c r="H98" i="205" s="1"/>
  <c r="F99" i="205" s="1"/>
  <c r="G99" i="205" l="1"/>
  <c r="H99" i="205"/>
  <c r="F100" i="205" l="1"/>
  <c r="G100" i="205" s="1"/>
  <c r="H100" i="205" s="1"/>
  <c r="F101" i="205" l="1"/>
  <c r="G101" i="205" s="1"/>
  <c r="G102" i="205" l="1"/>
  <c r="D15" i="157" s="1"/>
  <c r="D17" i="157" s="1"/>
  <c r="D21" i="157" s="1"/>
  <c r="H101" i="205"/>
</calcChain>
</file>

<file path=xl/sharedStrings.xml><?xml version="1.0" encoding="utf-8"?>
<sst xmlns="http://schemas.openxmlformats.org/spreadsheetml/2006/main" count="2146" uniqueCount="767">
  <si>
    <t>SAN DIEGO GAS &amp; ELECTRIC COMPANY</t>
  </si>
  <si>
    <t>($1,000)</t>
  </si>
  <si>
    <t>Line</t>
  </si>
  <si>
    <t>No.</t>
  </si>
  <si>
    <t>Total</t>
  </si>
  <si>
    <t>Reference</t>
  </si>
  <si>
    <t xml:space="preserve">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</si>
  <si>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</si>
  <si>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</si>
  <si>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</si>
  <si>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</si>
  <si>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</si>
  <si>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</si>
  <si>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</si>
  <si>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</si>
  <si>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</si>
  <si>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</si>
  <si>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</si>
  <si>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</si>
  <si>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</si>
  <si>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CITIZENS SHARE OF THE SUNRISE - BORDER-EAST LINE</t>
  </si>
  <si>
    <t>Transmission Revenues Data to Reflect Changed Rates</t>
  </si>
  <si>
    <t>BORDER -</t>
  </si>
  <si>
    <t>EAST LINE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</si>
  <si>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</si>
  <si>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</si>
  <si>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</si>
  <si>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</si>
  <si>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 xml:space="preserve">   True-Up Adjustment derived in Cycle 8</t>
  </si>
  <si>
    <t>Section 5 - Interest True-Up Adjustment Cost Component</t>
  </si>
  <si>
    <t>B. Citizens Monthly Cost @ Proposed Changed Rates</t>
  </si>
  <si>
    <t>Cost Statement BK2</t>
  </si>
  <si>
    <t>Amounts</t>
  </si>
  <si>
    <t>FERC Method = 1/8 of O&amp;M Expense</t>
  </si>
  <si>
    <t>Return Plus FIT and SIT Rate</t>
  </si>
  <si>
    <t>Return Plus FIT and SIT</t>
  </si>
  <si>
    <t>Transmission Related Municipal Franchise Fees Expenses</t>
  </si>
  <si>
    <t xml:space="preserve">Section 2 - Derivation of Non-Direct Expenses Cost Component </t>
  </si>
  <si>
    <t>A. Non-Direct Annual Carrying Charge Percentages</t>
  </si>
  <si>
    <t>Transmission Operations Expense Carrying Charge Percentage</t>
  </si>
  <si>
    <t>Transmission Maintenance Expense Carrying Charge Percentage</t>
  </si>
  <si>
    <t>Transmission Related A&amp;G Carrying Charge Percentage</t>
  </si>
  <si>
    <t>Transmission Related Payroll Tax Carrying Charge Percentage</t>
  </si>
  <si>
    <t>Transmission Related General &amp; Common Plant Revenues Carrying Charge Percentage</t>
  </si>
  <si>
    <t>Transmission Depreciation</t>
  </si>
  <si>
    <t>Not Applicable to Citizens Service</t>
  </si>
  <si>
    <t>Federal and State Income Tax</t>
  </si>
  <si>
    <t>Rate of Return</t>
  </si>
  <si>
    <t>Transmission Related Working Capital Revenue Carrying Charge Percentage</t>
  </si>
  <si>
    <t xml:space="preserve">     Total</t>
  </si>
  <si>
    <t xml:space="preserve">     Annual Carrying Charge Rate as Applied to Leased Transmission Plant</t>
  </si>
  <si>
    <t>B. Derivation of Non-Direct Expense Cost Component</t>
  </si>
  <si>
    <t xml:space="preserve">Citizens Energy Portion of Sunrise Border-East Line </t>
  </si>
  <si>
    <t>Lease Agreement</t>
  </si>
  <si>
    <t>Annual Carrying Charged Rate</t>
  </si>
  <si>
    <t xml:space="preserve">    Annual Transmission Maintenance and Other Costs Charged to Citizens</t>
  </si>
  <si>
    <t>San Diego Gas &amp; Electric Company</t>
  </si>
  <si>
    <t>Total Transmission Plant</t>
  </si>
  <si>
    <t>A. Transmission Related O&amp;M Expenses</t>
  </si>
  <si>
    <t>Transmission Operation Expenses</t>
  </si>
  <si>
    <t xml:space="preserve">     Transmission Operations Expense Carrying Charge Percentage</t>
  </si>
  <si>
    <t>Transmission Maintenance Expenses</t>
  </si>
  <si>
    <t xml:space="preserve">     Transmission Maintenance Expense Carrying Charge Percentage</t>
  </si>
  <si>
    <t>Total Transmission O&amp;M</t>
  </si>
  <si>
    <t>B. Transmission Related A&amp;G Expenses</t>
  </si>
  <si>
    <t>Total Transmission Related A&amp;G Expenses Including Property Ins.</t>
  </si>
  <si>
    <t xml:space="preserve">     Transmission Related A&amp;G Carrying Charge Percentage</t>
  </si>
  <si>
    <t>C. Transmission Related Payroll</t>
  </si>
  <si>
    <t>Transmission Related Payroll Taxes Expense</t>
  </si>
  <si>
    <t xml:space="preserve">     Transmission Related Payroll Tax Carrying Charge Percentage</t>
  </si>
  <si>
    <t>D. Transmission Related General &amp; Common Plant Revenues</t>
  </si>
  <si>
    <t xml:space="preserve">     Transmission Related General &amp; Common Plant Revenues Carrying Charge Percentage</t>
  </si>
  <si>
    <t>E. Transmission Related Working Capital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</si>
  <si>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</si>
  <si>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</si>
  <si>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</si>
  <si>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</si>
  <si>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</si>
  <si>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</si>
  <si>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</si>
  <si>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D1. General &amp; Common Plant Rate</t>
  </si>
  <si>
    <t xml:space="preserve">Total Electric Common Plant Investment </t>
  </si>
  <si>
    <t>Total Electric General Plant Investment</t>
  </si>
  <si>
    <t xml:space="preserve">     Total Electric General and Common Plant</t>
  </si>
  <si>
    <t>Annual Gen &amp; Common Plant Fixed Charge Rate</t>
  </si>
  <si>
    <t xml:space="preserve">     Electric General and Common Plant Revenue</t>
  </si>
  <si>
    <t>Transmission Wages Allocation Factor for Citizens</t>
  </si>
  <si>
    <t xml:space="preserve">     Transmission Related General &amp; Common Plant Revenue </t>
  </si>
  <si>
    <t xml:space="preserve">     Transmission Related General and Common Plant Revenue Carrying Charge Percentage</t>
  </si>
  <si>
    <t>D2. Derivation of General and Common Plant Annual Revenue</t>
  </si>
  <si>
    <t>Maintenance of General and Common Plant</t>
  </si>
  <si>
    <t>Captured in Transmission Plant A&amp;G allocation</t>
  </si>
  <si>
    <t>Payroll Taxes</t>
  </si>
  <si>
    <t>Captured in Transmission Plant Payroll Taxes</t>
  </si>
  <si>
    <t>A&amp;G</t>
  </si>
  <si>
    <t>General and Common Plant Depreciation Rate</t>
  </si>
  <si>
    <r>
      <t>Federal &amp; State Income Tax</t>
    </r>
    <r>
      <rPr>
        <vertAlign val="superscript"/>
        <sz val="12"/>
        <rFont val="Times New Roman"/>
        <family val="1"/>
      </rPr>
      <t xml:space="preserve"> </t>
    </r>
  </si>
  <si>
    <t xml:space="preserve">Rate of Return Adjustment Factor </t>
  </si>
  <si>
    <t>Working Capital</t>
  </si>
  <si>
    <t>Captured in Transmission Plant allocation</t>
  </si>
  <si>
    <t>General &amp; Common Plant Accumulated Deferred Income Taxes (ADIT) Adjustment</t>
  </si>
  <si>
    <t xml:space="preserve">     Annual General and Common Plant Fixed Charge Rate</t>
  </si>
  <si>
    <t>D3. General &amp; Common Plant Rate</t>
  </si>
  <si>
    <t>Common Depreciation Expense</t>
  </si>
  <si>
    <t>General Depreciation Expense</t>
  </si>
  <si>
    <t>Total Electric General and Common Plant</t>
  </si>
  <si>
    <t xml:space="preserve">     Common and General Plant Depreciation Rate</t>
  </si>
  <si>
    <t>D4. Derivation of General and Common Plant ADIT as a Percent of Transmission Plant</t>
  </si>
  <si>
    <t>General and Common Plant ADIT</t>
  </si>
  <si>
    <t xml:space="preserve">     General &amp; Common Plant ADIT Revenues</t>
  </si>
  <si>
    <t>General &amp; Common Plant Investment</t>
  </si>
  <si>
    <t xml:space="preserve">     Transmission Related General &amp; Common Plant ADIT Revenue Carrying Charge Percentage</t>
  </si>
  <si>
    <t>DERIVATION OF CITIZENS TRUE-UP COST OF SERVICE -  (OVER) / UNDERCOLLECTION</t>
  </si>
  <si>
    <t>Description</t>
  </si>
  <si>
    <t>Beginning Balance (Over)/Undercollection</t>
  </si>
  <si>
    <t>Recorded Revenues (Sections 1, 2 &amp; 3)</t>
  </si>
  <si>
    <r>
      <t xml:space="preserve">Amortization of True-Up Adjustment and Interest True-Up Adjustment: </t>
    </r>
    <r>
      <rPr>
        <b/>
        <vertAlign val="superscript"/>
        <sz val="12"/>
        <color theme="1"/>
        <rFont val="Times New Roman"/>
        <family val="1"/>
      </rPr>
      <t>3</t>
    </r>
  </si>
  <si>
    <t>Amortization of Credit for Cycle 5 and Cycle 6</t>
  </si>
  <si>
    <t>Total Amortization of True-Up Adjustments</t>
  </si>
  <si>
    <t xml:space="preserve">Adjusted Total Recorded Revenues   </t>
  </si>
  <si>
    <t xml:space="preserve">Total True-Up Cost of Service          </t>
  </si>
  <si>
    <t>True-Up Adjustment without Interest - Net Monthly (Over)/Undercollection</t>
  </si>
  <si>
    <t>Interest Expense Calculations:</t>
  </si>
  <si>
    <r>
      <t xml:space="preserve">   Beginning Balance for Interest Expense</t>
    </r>
    <r>
      <rPr>
        <vertAlign val="superscript"/>
        <sz val="12"/>
        <color theme="1"/>
        <rFont val="Times New Roman"/>
        <family val="1"/>
      </rPr>
      <t xml:space="preserve"> </t>
    </r>
    <r>
      <rPr>
        <b/>
        <vertAlign val="superscript"/>
        <sz val="12"/>
        <color theme="1"/>
        <rFont val="Times New Roman"/>
        <family val="1"/>
      </rPr>
      <t>1</t>
    </r>
  </si>
  <si>
    <t>Balance Beginning of Quarter</t>
  </si>
  <si>
    <t xml:space="preserve">   Monthly Activity Included in Interest Calculation Basis</t>
  </si>
  <si>
    <t>See Footnote 2</t>
  </si>
  <si>
    <t xml:space="preserve">   Basis for Interest Expense Calculation</t>
  </si>
  <si>
    <t xml:space="preserve">   Monthly Interest Rate   </t>
  </si>
  <si>
    <t>FERC Interest Rate Website</t>
  </si>
  <si>
    <t xml:space="preserve">   Interest Expense</t>
  </si>
  <si>
    <t>True-Up Adjustment with Interest - Net Monthly (Over)/Undercollection</t>
  </si>
  <si>
    <t>Beginning Balance for Interest Calculation remains constant for 3-Month Quarter as interest is compounded quarterly on these amounts pursuant to FERC Interest Methodology per 18 CFR Section 35.19 (2)(iii)(B).</t>
  </si>
  <si>
    <t>Monthly Activity Calculated as Follows:</t>
  </si>
  <si>
    <t>Columns d, e, and f, etc., repeat the process outlined in (a), (b), and (c ) above.</t>
  </si>
  <si>
    <t>The various True-Up and Interest True-Up Adjustments (Over)/Undercollection are adjustments made to recorded revenues to avoid trueing up the true-up.</t>
  </si>
  <si>
    <t>Derivation of Citizens True-Up Cost of Service</t>
  </si>
  <si>
    <r>
      <t>Reference</t>
    </r>
    <r>
      <rPr>
        <vertAlign val="superscript"/>
        <sz val="12"/>
        <color theme="1"/>
        <rFont val="Times New Roman"/>
        <family val="1"/>
      </rPr>
      <t xml:space="preserve">  </t>
    </r>
    <r>
      <rPr>
        <b/>
        <vertAlign val="superscript"/>
        <sz val="12"/>
        <color theme="1"/>
        <rFont val="Times New Roman"/>
        <family val="1"/>
      </rPr>
      <t>1</t>
    </r>
  </si>
  <si>
    <t>Section 1 - True-Up COS - Direct Maintenance Expense Cost Component</t>
  </si>
  <si>
    <t>Section 2 - True-Up COS - Non-Direct Expense Cost Component</t>
  </si>
  <si>
    <t>Section 3 - True-Up COS - Cost Component Containing Other Specific Expenses:</t>
  </si>
  <si>
    <t xml:space="preserve">   A. ADIT</t>
  </si>
  <si>
    <t xml:space="preserve">   B. Property Taxes </t>
  </si>
  <si>
    <t xml:space="preserve">   C. Non-Deductibility of Depreciation on Equity</t>
  </si>
  <si>
    <t xml:space="preserve">       AFUDC Revenue Component</t>
  </si>
  <si>
    <t xml:space="preserve">   D. Removal Costs </t>
  </si>
  <si>
    <t xml:space="preserve">     Total True-Up Cost of Service</t>
  </si>
  <si>
    <t xml:space="preserve">     Monthly True-Up Cost of Service</t>
  </si>
  <si>
    <t>See Footnote 3</t>
  </si>
  <si>
    <t>FERC Form 1</t>
  </si>
  <si>
    <t>Page; Line; Col.</t>
  </si>
  <si>
    <t>Average Balance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</si>
  <si>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</si>
  <si>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</si>
  <si>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</si>
  <si>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</si>
  <si>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</si>
  <si>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>Month</t>
  </si>
  <si>
    <t>Transmission Related Electric Misc. Intangible Plant Amortization Reserve</t>
  </si>
  <si>
    <t xml:space="preserve">     Total Transmission Related Depreciation Reserve</t>
  </si>
  <si>
    <t>RMS Linking</t>
  </si>
  <si>
    <t>Shall be Zero</t>
  </si>
  <si>
    <t>Statement AH - Workpapers</t>
  </si>
  <si>
    <t>Operation and Maintenance Expenses</t>
  </si>
  <si>
    <t>Derivation of Direct Maintenance Expense:</t>
  </si>
  <si>
    <t>Citizens - Total Direct Maintenance Cost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</si>
  <si>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</si>
  <si>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</si>
  <si>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</si>
  <si>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</si>
  <si>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</si>
  <si>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</si>
  <si>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</si>
  <si>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</si>
  <si>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</si>
  <si>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</si>
  <si>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</si>
  <si>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</si>
  <si>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</si>
  <si>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</si>
  <si>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</si>
  <si>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</si>
  <si>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</si>
  <si>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</si>
  <si>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Damages &amp; Injuries</t>
  </si>
  <si>
    <t xml:space="preserve">   CPUC Intervenor Funding Expense - Transmission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</si>
  <si>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</si>
  <si>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</si>
  <si>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</si>
  <si>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General Advertising Expenses 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</si>
  <si>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</si>
  <si>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</si>
  <si>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</si>
  <si>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</si>
  <si>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</si>
  <si>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</si>
  <si>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</si>
  <si>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</si>
  <si>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</si>
  <si>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</si>
  <si>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</si>
  <si>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</si>
  <si>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</si>
  <si>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</si>
  <si>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</si>
  <si>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</si>
  <si>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</si>
  <si>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</si>
  <si>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</si>
  <si>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vertAlign val="superscript"/>
        <sz val="12"/>
        <rFont val="Times New Roman"/>
        <family val="1"/>
      </rPr>
      <t>1</t>
    </r>
  </si>
  <si>
    <t>FERC</t>
  </si>
  <si>
    <t>(c) = (a) - (b)</t>
  </si>
  <si>
    <t>Excluded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</si>
  <si>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</si>
  <si>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</si>
  <si>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</si>
  <si>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</si>
  <si>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</si>
  <si>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</si>
  <si>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</si>
  <si>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</si>
  <si>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</si>
  <si>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</si>
  <si>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</si>
  <si>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</si>
  <si>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</si>
  <si>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</si>
  <si>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</si>
  <si>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</si>
  <si>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</si>
  <si>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</si>
  <si>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</si>
  <si>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</si>
  <si>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Form 1; Page 323; Line 187</t>
  </si>
  <si>
    <t xml:space="preserve">Franchise Requirements </t>
  </si>
  <si>
    <t>Form 1; Page 323; Line 188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</si>
  <si>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</si>
  <si>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</si>
  <si>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</si>
  <si>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</si>
  <si>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</si>
  <si>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</si>
  <si>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</si>
  <si>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</si>
  <si>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</si>
  <si>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</si>
  <si>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</si>
  <si>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</si>
  <si>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</si>
  <si>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</si>
  <si>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Litigation expenses (ERRA)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</si>
  <si>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</si>
  <si>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</si>
  <si>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</si>
  <si>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</si>
  <si>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</si>
  <si>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</si>
  <si>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</si>
  <si>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</si>
  <si>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</si>
  <si>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Statement AL - Workpapers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</si>
  <si>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</si>
  <si>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</si>
  <si>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</si>
  <si>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</si>
  <si>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</si>
  <si>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</si>
  <si>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</si>
  <si>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</si>
  <si>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</si>
  <si>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</si>
  <si>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</si>
  <si>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</si>
  <si>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</si>
  <si>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</si>
  <si>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</si>
  <si>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</si>
  <si>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SAN DIEGO GAS AND ELECTRIC COMPANY</t>
  </si>
  <si>
    <t>Statement AV - Workpapers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</si>
  <si>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</si>
  <si>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</si>
  <si>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</si>
  <si>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</si>
  <si>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</si>
  <si>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</si>
  <si>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</si>
  <si>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</si>
  <si>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</si>
  <si>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</si>
  <si>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</si>
  <si>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</si>
  <si>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</si>
  <si>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</si>
  <si>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</si>
  <si>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</si>
  <si>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</si>
  <si>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</si>
  <si>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</si>
  <si>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</si>
  <si>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</si>
  <si>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</si>
  <si>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</si>
  <si>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</si>
  <si>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</si>
  <si>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</si>
  <si>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</si>
  <si>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</si>
  <si>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</si>
  <si>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</si>
  <si>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</si>
  <si>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</si>
  <si>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</si>
  <si>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</si>
  <si>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</si>
  <si>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</si>
  <si>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</si>
  <si>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</si>
  <si>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</si>
  <si>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</si>
  <si>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</si>
  <si>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r>
      <t>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</si>
  <si>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SDG&amp;E Return on Equity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</si>
  <si>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</si>
  <si>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</si>
  <si>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</si>
  <si>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</si>
  <si>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</si>
  <si>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</si>
  <si>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</si>
  <si>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</si>
  <si>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</si>
  <si>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</si>
  <si>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</si>
  <si>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</si>
  <si>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</si>
  <si>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</si>
  <si>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Incentive Weighted Cost of Capital:</t>
  </si>
  <si>
    <t>Incentive Cost of Equity Component (Preferred &amp; Common):</t>
  </si>
  <si>
    <t>Amount is based upon December 31 balances.</t>
  </si>
  <si>
    <t>ROE is pursuant to SDG&amp;E's TO4 Formula Offer of Settlement in Docket No. ER13-941-001.</t>
  </si>
  <si>
    <t>Statement AV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</si>
  <si>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</si>
  <si>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</si>
  <si>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</si>
  <si>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</si>
  <si>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</si>
  <si>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</si>
  <si>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</si>
  <si>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</si>
  <si>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</si>
  <si>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</si>
  <si>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</si>
  <si>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</si>
  <si>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</si>
  <si>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</si>
  <si>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</si>
  <si>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</si>
  <si>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</si>
  <si>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</si>
  <si>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</si>
  <si>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</si>
  <si>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</si>
  <si>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</si>
  <si>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</si>
  <si>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</si>
  <si>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</si>
  <si>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</si>
  <si>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</si>
  <si>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Shall be Zero for Incentive ROE Projects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</si>
  <si>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</si>
  <si>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</si>
  <si>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</si>
  <si>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</si>
  <si>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</si>
  <si>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</si>
  <si>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</si>
  <si>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</si>
  <si>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</si>
  <si>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</si>
  <si>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</si>
  <si>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</si>
  <si>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</si>
  <si>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</si>
  <si>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</si>
  <si>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</si>
  <si>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</si>
  <si>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</si>
  <si>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</si>
  <si>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</si>
  <si>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</si>
  <si>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</si>
  <si>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</si>
  <si>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</si>
  <si>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</si>
  <si>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</si>
  <si>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</si>
  <si>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</si>
  <si>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</si>
  <si>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</si>
  <si>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</si>
  <si>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</si>
  <si>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</si>
  <si>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</si>
  <si>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</si>
  <si>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r>
      <t>D. Incentive Transmission Construction Work In Progress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</si>
  <si>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The FERC approved incentives for each project will be tracked and shown separately by repeating the applicable lines. As a result, the data on this page may</t>
  </si>
  <si>
    <t>carryover to the next page.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</si>
  <si>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</si>
  <si>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</si>
  <si>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</si>
  <si>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</si>
  <si>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</si>
  <si>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</si>
  <si>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</si>
  <si>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</si>
  <si>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r>
      <t>B. Incentive Project Net Transmission Plant: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</si>
  <si>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Incentive Transmission Plant</t>
  </si>
  <si>
    <t>Incentive Transmission Plant Depreciation Reserve</t>
  </si>
  <si>
    <t xml:space="preserve">     Total Net Incentive Transmission Plant</t>
  </si>
  <si>
    <t xml:space="preserve">Citizen's Share of the Sunrise - Border East-Line </t>
  </si>
  <si>
    <t>Derivation of Other Adjustments Applicable to Appendix X Cycle 8</t>
  </si>
  <si>
    <t>Total Annual Costs Citizens' Share of the Border East Line - Before Interest</t>
  </si>
  <si>
    <t>Page 2; Line 15;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</si>
  <si>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</si>
  <si>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</si>
  <si>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</si>
  <si>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</si>
  <si>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</si>
  <si>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</si>
  <si>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CITIZENS' SHARE OF THE SUNRISE - BORDER-EAST LINE</t>
  </si>
  <si>
    <t>A</t>
  </si>
  <si>
    <t>B</t>
  </si>
  <si>
    <t>C = A - B</t>
  </si>
  <si>
    <t>Revised - Appendix X Cycle 8</t>
  </si>
  <si>
    <t>Difference</t>
  </si>
  <si>
    <t>Increase</t>
  </si>
  <si>
    <t>A. Citizens' Annual Cost @ Proposed Changed Rates</t>
  </si>
  <si>
    <t>(Decrease)</t>
  </si>
  <si>
    <t>Page 3 and Page 4, Line 1</t>
  </si>
  <si>
    <t>√</t>
  </si>
  <si>
    <t>Page 3 and Page 4, Line 3</t>
  </si>
  <si>
    <t>Page 3 and Page 4, Line 5</t>
  </si>
  <si>
    <t>Page 3 and Page 4, Line 9</t>
  </si>
  <si>
    <t xml:space="preserve">   Cycle 7 Interest True-Up Adjustment</t>
  </si>
  <si>
    <t>Page 3 and Page 4, Line 13</t>
  </si>
  <si>
    <t>Total Citizens' Cycle 8 Annual Costs</t>
  </si>
  <si>
    <t>B. Citizens' Monthly Cost @ Proposed Changed Rates</t>
  </si>
  <si>
    <t>Page 3 and Page 4, Line 18</t>
  </si>
  <si>
    <t>Page 3 and Page 4, Line 20</t>
  </si>
  <si>
    <t>Page 3 and Page 4, Line 22</t>
  </si>
  <si>
    <t>Page 3 and Page 4, Line 26</t>
  </si>
  <si>
    <t>Page 3 and Page 4, Line 30</t>
  </si>
  <si>
    <t>Total Citizens' Cycle 8 Monthly Costs</t>
  </si>
  <si>
    <t>12 Month Rate Effective Period (June 2019 to May 2020)</t>
  </si>
  <si>
    <t>Page 3 and Page 4, Line 34</t>
  </si>
  <si>
    <t>Page 3 and Page 4, Line 36</t>
  </si>
  <si>
    <t>Rate Effective Period June 1, 2019 to May 31, 2020</t>
  </si>
  <si>
    <t>Attachment 2; Sec. 1; Page 1; Line 17</t>
  </si>
  <si>
    <t>Attachment 2; Sec. 3; Page 2; Line 23</t>
  </si>
  <si>
    <t>Attachment 3; Sec. 5; Page Int TU; Col. r; Line 15</t>
  </si>
  <si>
    <t>Sum Lines 1 thru 13</t>
  </si>
  <si>
    <t>Items in bold have changed compared to the original Appendix X Cycle 8 filing per ER19-2017.</t>
  </si>
  <si>
    <t>Jan-18</t>
  </si>
  <si>
    <t>Dec-18</t>
  </si>
  <si>
    <t>Base Period &amp; True-Up Period 12 - Months Ending December 31, 2018</t>
  </si>
  <si>
    <t>AH-1; Line 52</t>
  </si>
  <si>
    <t>AH-2; Line 37; Col. a</t>
  </si>
  <si>
    <t>Negative of AH-2; Line 41; Col. b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</si>
  <si>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</si>
  <si>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</si>
  <si>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</si>
  <si>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</si>
  <si>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51; Col. b</t>
  </si>
  <si>
    <t>Negative of AH-2; Line 52; Col. b</t>
  </si>
  <si>
    <t>Negative of AH-2; Line 53; Col. b</t>
  </si>
  <si>
    <t>Negative of AH-2; Line 54; Col. b</t>
  </si>
  <si>
    <t>Not Applicable to 2018 Base Period</t>
  </si>
  <si>
    <t xml:space="preserve">   Other Cost Adjustments</t>
  </si>
  <si>
    <t>AH-2, Line 37; Col. d</t>
  </si>
  <si>
    <t>AH-3; Line 20; Col. a</t>
  </si>
  <si>
    <t>Negative of AH-3; Line 27; Col. a</t>
  </si>
  <si>
    <t>Negative of AH-3; Line 31; Col. a</t>
  </si>
  <si>
    <t>Negative of AH-3; Line 32; Col. a</t>
  </si>
  <si>
    <t>Negative of AH-3; Line 33; Col. a</t>
  </si>
  <si>
    <t>Negative of AH-3; Line 34; Col. a</t>
  </si>
  <si>
    <t>Negative of AH-3; Line 35; Col. b</t>
  </si>
  <si>
    <t>Negative of AH-3; Sum Lines 26, 28 ,30, 36; Col. a or b</t>
  </si>
  <si>
    <t>Negative of AH-3; Line 38; Col. b</t>
  </si>
  <si>
    <t>Negative of AH-3; Sum Lines 24, 25, 29, 37; Col. b</t>
  </si>
  <si>
    <t xml:space="preserve">   Other Cost Adjustments (included in Appendix X Cycle 10 ER22-139)</t>
  </si>
  <si>
    <t>AH-3, Line 20; Col. d</t>
  </si>
  <si>
    <t>Negative of AH-3; Line 5; Col. c</t>
  </si>
  <si>
    <t>Line 34 + Line 35</t>
  </si>
  <si>
    <t>Statement AI; Line 17</t>
  </si>
  <si>
    <t>Used to allocate property insurance in conformance with TO4 Settlement.</t>
  </si>
  <si>
    <t xml:space="preserve"> 12 Months Ending December 31, 2018</t>
  </si>
  <si>
    <t>(e) = (c) + (d)</t>
  </si>
  <si>
    <t xml:space="preserve">Add / (Deduct) </t>
  </si>
  <si>
    <t>Revised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</si>
  <si>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</si>
  <si>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(g) = (e) + (f)</t>
  </si>
  <si>
    <t xml:space="preserve">FERC Audit </t>
  </si>
  <si>
    <t>A&amp;G Cost Adj</t>
  </si>
  <si>
    <t xml:space="preserve">A&amp;G </t>
  </si>
  <si>
    <t>4, 6</t>
  </si>
  <si>
    <r>
      <t>Employee Pensions &amp; Benefits</t>
    </r>
    <r>
      <rPr>
        <vertAlign val="superscript"/>
        <sz val="12"/>
        <rFont val="Times New Roman"/>
        <family val="1"/>
      </rPr>
      <t xml:space="preserve"> 1</t>
    </r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</si>
  <si>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</si>
  <si>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AH-4; Line 3; Col. c</t>
  </si>
  <si>
    <t>Line 16 + Line 18</t>
  </si>
  <si>
    <t>FERC Acct 926, Employee Pensions &amp; Benefits, includes approximately $0.8M for PBOP of which approximately $0.16M is Transmission related.</t>
  </si>
  <si>
    <t>Represents reclassification of 2018 3P (People, Process, Priorities) project costs from O&amp;M FERC accounts 560, 580 and 588 to A&amp;G FERC 923, in 2020.</t>
  </si>
  <si>
    <t>This adjustment is being corrected here and reflected as an "Other BTRR Adjustment" in TO5 Cycle 4.</t>
  </si>
  <si>
    <t>FERC Audit Adjustment - Compliance Finding #3 - Allocation of overhead costs to CWIP.</t>
  </si>
  <si>
    <t>FERC Audit Adjustment - Compliance Finding #8 - Accounting for outside services employed.</t>
  </si>
  <si>
    <t>FERC Audit Adjustment - Compliance Finding #5 - Accounting for regulatory commission expenses.</t>
  </si>
  <si>
    <t>FERC Audit Adjustment - Compliance Finding #7 - Accounting for donations &amp; lobbying expenses.</t>
  </si>
  <si>
    <t>AL-1; Line 18</t>
  </si>
  <si>
    <t>Line 1 x Line 3</t>
  </si>
  <si>
    <t>AL-2; Line 18</t>
  </si>
  <si>
    <t>Line 3 x Line 7</t>
  </si>
  <si>
    <t>Negative of Statement AH; Line 24</t>
  </si>
  <si>
    <t>Sum Lines 12 thru 14</t>
  </si>
  <si>
    <t>Line 15 x Line 17</t>
  </si>
  <si>
    <t>Negative of Statement AR; Line 11</t>
  </si>
  <si>
    <t>AV-2A; Line 38</t>
  </si>
  <si>
    <t>Page 2; Line 16</t>
  </si>
  <si>
    <t>Page 2; Line 17</t>
  </si>
  <si>
    <t>Page 2; Line 18</t>
  </si>
  <si>
    <t>Page 2; Line 19</t>
  </si>
  <si>
    <t>Sum Lines 2 thru 5</t>
  </si>
  <si>
    <t>Statement AG; Line 1</t>
  </si>
  <si>
    <t>Line 9 + Line 10</t>
  </si>
  <si>
    <t>Statement AF; Line 11</t>
  </si>
  <si>
    <t>Line 14 + Line 15</t>
  </si>
  <si>
    <t>Sum Lines 19 thru 21</t>
  </si>
  <si>
    <t>Sum Lines 6, 11, 16, 22, 24</t>
  </si>
  <si>
    <t>Page 2; Line 25</t>
  </si>
  <si>
    <t>Statement AF; Line 9</t>
  </si>
  <si>
    <t>Line 29 + Line 30</t>
  </si>
  <si>
    <t>Statement AF; Line 13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</si>
  <si>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</si>
  <si>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</si>
  <si>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</si>
  <si>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</si>
  <si>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</si>
  <si>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</si>
  <si>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</si>
  <si>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</si>
  <si>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</si>
  <si>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Derivation of Interest Expense on Other Adjustments Applicable to Appendix X Cycle 8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</si>
  <si>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</si>
  <si>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</si>
  <si>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</si>
  <si>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</si>
  <si>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</si>
  <si>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</si>
  <si>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</si>
  <si>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</si>
  <si>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</si>
  <si>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</si>
  <si>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</si>
  <si>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</si>
  <si>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</si>
  <si>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</si>
  <si>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</si>
  <si>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</si>
  <si>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</si>
  <si>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</si>
  <si>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</si>
  <si>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</si>
  <si>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</si>
  <si>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</si>
  <si>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</si>
  <si>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</si>
  <si>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</si>
  <si>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</si>
  <si>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</si>
  <si>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</si>
  <si>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</si>
  <si>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</si>
  <si>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</si>
  <si>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</si>
  <si>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</si>
  <si>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</si>
  <si>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</si>
  <si>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</si>
  <si>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Line 35 + Line 36</t>
  </si>
  <si>
    <t>Adj</t>
  </si>
  <si>
    <t>Sum Lines 5 thru 18</t>
  </si>
  <si>
    <t xml:space="preserve">   FERC Audit Adjustments</t>
  </si>
  <si>
    <t>Negative of Line 37 x Line 61</t>
  </si>
  <si>
    <t>Line 6 Above</t>
  </si>
  <si>
    <t>Line 32 x Line 34</t>
  </si>
  <si>
    <t>Page 2; Line 6</t>
  </si>
  <si>
    <t>Page 2; Line 10</t>
  </si>
  <si>
    <t>Page 2; Line 22</t>
  </si>
  <si>
    <t>Page 2; Line 38</t>
  </si>
  <si>
    <t>Sum Lines 2 thru 18</t>
  </si>
  <si>
    <t>Line 20 x Franchise Fee Rate</t>
  </si>
  <si>
    <t>Line 20 + Line 22</t>
  </si>
  <si>
    <t>Line 24 Above</t>
  </si>
  <si>
    <t>Line 27 x Line 29</t>
  </si>
  <si>
    <t>Line 4 / Line 1</t>
  </si>
  <si>
    <t>Line 8 / Line 1</t>
  </si>
  <si>
    <t>Line 4 + Line 8</t>
  </si>
  <si>
    <t>Line 15 / Line 1</t>
  </si>
  <si>
    <t>Statement AK; Line 41</t>
  </si>
  <si>
    <t>Line 20 / Line 1</t>
  </si>
  <si>
    <t>Page 3; Line 18</t>
  </si>
  <si>
    <t>Sum Lines 29 thru 31</t>
  </si>
  <si>
    <t>Line 36 / Line 1</t>
  </si>
  <si>
    <t>Line 2 + Line 4</t>
  </si>
  <si>
    <t>Line 37 Below</t>
  </si>
  <si>
    <t>Line 6 x Line 8</t>
  </si>
  <si>
    <t>Line 10 x Line 12</t>
  </si>
  <si>
    <t>Line 14 / Line 16</t>
  </si>
  <si>
    <t>Line 46 Below</t>
  </si>
  <si>
    <t>Line 58 Below</t>
  </si>
  <si>
    <t>Sum Lines 21 thru 35</t>
  </si>
  <si>
    <t>(Line 40 + Line 42) / Line 44</t>
  </si>
  <si>
    <t>AF-3; Line 3; Col. c</t>
  </si>
  <si>
    <t>Line 50 x Line 52</t>
  </si>
  <si>
    <t>Line 54 / Line 56</t>
  </si>
  <si>
    <t>Line 26 + Line 27</t>
  </si>
  <si>
    <t>True-Up Period - January 1, 2018 to December 31, 2018</t>
  </si>
  <si>
    <t>Previous Month Balance, Line 32</t>
  </si>
  <si>
    <t>Cycle 6 = TU-1a; Line 21</t>
  </si>
  <si>
    <t>Cycle 7 = TU-1b; Line 21</t>
  </si>
  <si>
    <t>Negative of TU-1a; Line 17</t>
  </si>
  <si>
    <t>Negative of TU-1a; Line 11</t>
  </si>
  <si>
    <t>Negative of TU-1b; Line 15</t>
  </si>
  <si>
    <t>Negative of TU-1b; Line 11</t>
  </si>
  <si>
    <t>Negative of TU-1b; Line 19</t>
  </si>
  <si>
    <t xml:space="preserve"> Sum Lines 6 thru 15</t>
  </si>
  <si>
    <t>Line 3 + Line 16</t>
  </si>
  <si>
    <t>Line 20 Minus Line 18</t>
  </si>
  <si>
    <t>Line 28 x Line 29</t>
  </si>
  <si>
    <t>Sum Lines 1, 22, 30</t>
  </si>
  <si>
    <t>Attachment 2; Section 1; Page 1; Line 17</t>
  </si>
  <si>
    <t>Attachment 2; Section 3; Page 2; Line 19</t>
  </si>
  <si>
    <t>Sum Lines 1 thru 10</t>
  </si>
  <si>
    <t>Line 12 / 12 months</t>
  </si>
  <si>
    <t>Cycle 6 Rates</t>
  </si>
  <si>
    <t>Cycle 7 Rates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</si>
  <si>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</si>
  <si>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</si>
  <si>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</si>
  <si>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</si>
  <si>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</si>
  <si>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</si>
  <si>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</si>
  <si>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</si>
  <si>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</si>
  <si>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</si>
  <si>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 xml:space="preserve"> i.  Amortization of Cycle 5 True-Up Adjustment</t>
  </si>
  <si>
    <t xml:space="preserve"> ii. Amortization of Cycle 5 Interest True-Up Adjustment</t>
  </si>
  <si>
    <t xml:space="preserve"> v.  Amortization of Cycle 6 True-Up Adjustment</t>
  </si>
  <si>
    <t xml:space="preserve"> vi. Amortization of Cycle 6 Interest True-Up Adjustment</t>
  </si>
  <si>
    <t xml:space="preserve"> vii.  Amortization of Cycle 7 True-Up Adjustment</t>
  </si>
  <si>
    <t xml:space="preserve"> viii. Amortization of Cycle 7 Interest True-Up Adjustment</t>
  </si>
  <si>
    <t>Since the 2018 True-Up Cost of Service is the same as the 2018 Base Period, all True-Up Cost of Service costs come from the Base Period Statement BK2.</t>
  </si>
  <si>
    <t>Sum Lines 1 thru 14</t>
  </si>
  <si>
    <t>Sum Lines 22 thru 34</t>
  </si>
  <si>
    <t>Line 37 x Line 38</t>
  </si>
  <si>
    <t>Line 39 + Line 40</t>
  </si>
  <si>
    <t>Sum Lines 44 thru 47</t>
  </si>
  <si>
    <t>Line 44 Above</t>
  </si>
  <si>
    <t>Sum Lines 50 thru 57</t>
  </si>
  <si>
    <t>Line 48 / Line 58</t>
  </si>
  <si>
    <t>Rev Attachment 2; Section 3; Page 1; Line 21</t>
  </si>
  <si>
    <t>Rev Attachment 2; Section 3; Page 1; Line 28</t>
  </si>
  <si>
    <t>Rev Attachment 2; Section 3; Page 1; Line 33</t>
  </si>
  <si>
    <t>Rev Att. 3; Sec. 4b; TU-2; Line 14</t>
  </si>
  <si>
    <t>Pg9 Rev Statement AD; Line 11</t>
  </si>
  <si>
    <t>Pg12.3 Rev AH-2; (Line 17 + Line 35); Col. g</t>
  </si>
  <si>
    <t>Pg12.3 Rev AH-2; Line 31; Col. g</t>
  </si>
  <si>
    <t>Pg12 Rev Statement AH; Line 41</t>
  </si>
  <si>
    <t>Pg12.3 Rev AH-2; Line 37; Col. f</t>
  </si>
  <si>
    <t>Pg15 Rev Statement AL; Line 5</t>
  </si>
  <si>
    <t>Pg15 Rev Statement AL; Line 9</t>
  </si>
  <si>
    <t>Pg15 Rev Statement AL; Line 19</t>
  </si>
  <si>
    <t>Pg16 Rev Statement AV2; Line 31</t>
  </si>
  <si>
    <t>Pg9 Rev Statement AD; Line 19</t>
  </si>
  <si>
    <t>Pg9 Rev Statement AD; Line 17</t>
  </si>
  <si>
    <t>Pg16 Rev Statement AV2; Line 27</t>
  </si>
  <si>
    <t>Pg16 Rev Statement AV2; Line 29</t>
  </si>
  <si>
    <t>Pg13 Rev Statement AJ; Line 1</t>
  </si>
  <si>
    <t>Pg13 Rev Statement AJ; Line 3</t>
  </si>
  <si>
    <t>Pg5 Rev Attachment 2; Section 2; Page 1; Line 31</t>
  </si>
  <si>
    <t>Pg12.6 Rev AH-3; Line 20; Col. f</t>
  </si>
  <si>
    <t>Pg9 Rev Statement AD; Line 25</t>
  </si>
  <si>
    <t>Pg9 Rev Statement AD; Line 29</t>
  </si>
  <si>
    <t>Pg9 Rev Statement AD; Line 31</t>
  </si>
  <si>
    <t>Pg9 Rev Statement AD; Line 1</t>
  </si>
  <si>
    <t>Pg9 Rev Statement AD; Line 7</t>
  </si>
  <si>
    <t>Pg9 Rev Statement AD; Line 9</t>
  </si>
  <si>
    <t>Pg9 Rev Statement AD; Line 35</t>
  </si>
  <si>
    <t>Pg12 Rev Statement AH; Line 19</t>
  </si>
  <si>
    <t>Pg19 Rev AV-4; Page 1; Line 26</t>
  </si>
  <si>
    <t>Pg11 Rev Statement AF; Line 7</t>
  </si>
  <si>
    <t>Pg9 Rev Statement AD; Line 27</t>
  </si>
  <si>
    <t>Pg10 Rev Statement AE; Line 1</t>
  </si>
  <si>
    <t>Pg10 Rev Statement AE; Line 11</t>
  </si>
  <si>
    <t>Pg10 Rev Statement AE; Line 13</t>
  </si>
  <si>
    <t>Pg10 Rev Statement AE; Line 15</t>
  </si>
  <si>
    <t>Pg5 Rev Attachment 2; Sec. 2; Page 1; Line 31</t>
  </si>
  <si>
    <t>Pg8 Rev Attachment 3; Sec. 4a; Page TU; Col. m; Line 32</t>
  </si>
  <si>
    <t>Other Adjustments due to Appendix X Cycle 8 Cost Adjustments Calculation:</t>
  </si>
  <si>
    <t xml:space="preserve">Section C.6a of the Protocols provides a mechanism for SDG&amp;E to correct errors that affected the Appendix X costs in a previous Informational Filing. In this </t>
  </si>
  <si>
    <t>Items in bold have changed due to various FERC Audit adj. compared to Appendix X Cycle 8 filing per ER19-2017 and cost adj. incl. in Appendix X Cycle 10 per ER22-139.</t>
  </si>
  <si>
    <t>FERC Audit Adj</t>
  </si>
  <si>
    <t>Adj A&amp;G with</t>
  </si>
  <si>
    <t>Page 3 and Page 4, Line 15</t>
  </si>
  <si>
    <t>Page 3 and Page 4, Line 32</t>
  </si>
  <si>
    <t>Appendix X Cycle 13 Annual Informational Filing</t>
  </si>
  <si>
    <t>(i) = (g) - (h)</t>
  </si>
  <si>
    <r>
      <t xml:space="preserve">(h) </t>
    </r>
    <r>
      <rPr>
        <b/>
        <vertAlign val="superscript"/>
        <sz val="12"/>
        <rFont val="Times New Roman"/>
        <family val="1"/>
      </rPr>
      <t>7</t>
    </r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</si>
  <si>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7</t>
    </r>
  </si>
  <si>
    <t>This is to correct the overallocation of duplicate charges credit for company energy use in FERC Account no. 929.</t>
  </si>
  <si>
    <t xml:space="preserve">   FERC Audit Adjustments (incl. in Appendix X Cycle 7; ER24-176)</t>
  </si>
  <si>
    <t>Sum Lines 22 thru 35</t>
  </si>
  <si>
    <t>Line 36 + Line 37</t>
  </si>
  <si>
    <t>Line 38 x Line 39</t>
  </si>
  <si>
    <t>Line 40 + Line 41</t>
  </si>
  <si>
    <t>Sum Lines 45 thru 48</t>
  </si>
  <si>
    <t>Line 45 Above</t>
  </si>
  <si>
    <t>Sum Lines 51 thru 58</t>
  </si>
  <si>
    <t>Line 49 / Line 59</t>
  </si>
  <si>
    <t>Pg9 Rev Statement AH; Line 42</t>
  </si>
  <si>
    <t>Pg9 Rev Statement AH; Line 19</t>
  </si>
  <si>
    <t>Pg10 Rev Statement AL; Line 19</t>
  </si>
  <si>
    <t>Pg10 Rev Statement AL; Line 5</t>
  </si>
  <si>
    <t>Pg10 Rev Statement AL; Line 9</t>
  </si>
  <si>
    <t>Pg7 Rev Attachment 3; Sec. 4a; Page TU; Col. m; Line 32</t>
  </si>
  <si>
    <t>As Filed - Appendix X Cycle 8 ER19-2017, ER22-139 and ER24-176</t>
  </si>
  <si>
    <t>Page 15; Line 93; Col. 5</t>
  </si>
  <si>
    <r>
      <t xml:space="preserve">Appendix X Cycle 13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</si>
  <si>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13 Annual Informational Filing </t>
  </si>
  <si>
    <t>Source: As Filed Appendix X Cycle 8; Rev Summary of Cost Components in FERC Audit Adj; ER24-176</t>
  </si>
  <si>
    <t>Source: As Filed Appendix X Cycle 8; Rev Stmt AH in FERC Audit Adj; ER24-176</t>
  </si>
  <si>
    <t>Source: As Filed Appendix X Cycle 8; Rev Stmt AH-3 in FERC Audit Adj; ER24-176</t>
  </si>
  <si>
    <t>Pg13 Rev AV-4; Page 1; Line 26</t>
  </si>
  <si>
    <t>Source: As Filed Appendix X Cycle 8; Rev Stmt AV in FERC Audit Adj; ER24-176</t>
  </si>
  <si>
    <t>Source: As Filed Appendix X Cycle 8; Rev AV-4 in FERC Audit Adj; ER24-176</t>
  </si>
  <si>
    <t>Estimated FERC Interest rates</t>
  </si>
  <si>
    <t>Source: As Filed Appendix X Cycle 8; Rev Stmt AL in FERC Audit Adj; ER24-176</t>
  </si>
  <si>
    <t>Rev AH-3; Line 20; Col. f</t>
  </si>
  <si>
    <t>Rev AH-3, Line 20; Col. d</t>
  </si>
  <si>
    <t>Negative of Rev AH-3; Line 27; Col. a</t>
  </si>
  <si>
    <t>Negative of Rev AH-3; Line 31; Col. a</t>
  </si>
  <si>
    <t>Negative of Rev AH-3; Line 32; Col. a</t>
  </si>
  <si>
    <t>Negative of Rev AH-3; Line 33; Col. a</t>
  </si>
  <si>
    <t>Negative of Rev AH-3; Line 34; Col. a</t>
  </si>
  <si>
    <t>Negative of Rev AH-3; Line 36; Col. b</t>
  </si>
  <si>
    <t>Negative of Rev AH-3; Sum Lines 26, 28 ,30, 37; Col. a or b</t>
  </si>
  <si>
    <t>Negative of Rev AH-3; Line 39; Col. b</t>
  </si>
  <si>
    <t>Negative of Rev AH-3; Sum Lines 24, 25, 29, 38; Col. b</t>
  </si>
  <si>
    <t>Rev AH-3; Line 20; Col. a</t>
  </si>
  <si>
    <t>Source: As Filed Appendix X Cycle 8; Rev Sec 2-Non-Direct Exp in FERC Audit Adj; ER24-176</t>
  </si>
  <si>
    <t>Source: As Filed Appendix X Cycle 8; Rev Sec 4b-TU COS in FERC Audit Adj; ER24-176</t>
  </si>
  <si>
    <t>Source: As Filed Appendix X Cycle 8; Rev Sec 4aTU in FERC Audit Adj; ER24-176</t>
  </si>
  <si>
    <t>Pg9.2 Negative of Rev AH-3; Line 20; Col. h</t>
  </si>
  <si>
    <t xml:space="preserve">   Other Cost Adjustments (included in Appendix X Cycle 10; ER22-139)</t>
  </si>
  <si>
    <t>(Company Energy Use)" Credit accounted for in FERC account 929. This error understated the Citizens Share of the Sunrise - Border East Line in the previous</t>
  </si>
  <si>
    <t>Appendix X Cycle 13 Informational Filing, SDG&amp;E is correcting Appendix X Cycle 8 for approximately $3K for the over-allocation of "Duplicate Charges</t>
  </si>
  <si>
    <t>Appendix X Cycle 8 filing causing its correction in the Appendix X Cycle 13 Annual Informational Filing.</t>
  </si>
  <si>
    <t>Items in BOLD have changed to correct the over-allocation of "Duplicate Charges (Company Energy Use)" Credit in FERC Account no. 929.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</si>
</sst>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</numFmts>
  <fonts count="17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sz val="12"/>
      <color indexed="8"/>
      <name val="Times New Roman"/>
      <family val="1"/>
    </font>
    <font>
      <b/>
      <u val="singleAccounting"/>
      <sz val="12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b/>
      <vertAlign val="superscript"/>
      <sz val="11"/>
      <name val="Times New Roman"/>
      <family val="1"/>
    </font>
    <font>
      <sz val="12"/>
      <name val="Calibri"/>
      <family val="2"/>
    </font>
    <font>
      <u val="singleAccounting"/>
      <sz val="12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856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43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19" applyNumberFormat="0" applyProtection="0">
      <alignment vertical="center"/>
    </xf>
    <xf numFmtId="4" fontId="38" fillId="56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20" fillId="59" borderId="19" applyNumberFormat="0" applyProtection="0">
      <alignment vertical="center"/>
    </xf>
    <xf numFmtId="4" fontId="38" fillId="6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0" fillId="62" borderId="19" applyNumberFormat="0" applyProtection="0">
      <alignment vertical="center"/>
    </xf>
    <xf numFmtId="4" fontId="38" fillId="63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1" fillId="56" borderId="19" applyNumberFormat="0" applyProtection="0">
      <alignment vertical="center"/>
    </xf>
    <xf numFmtId="4" fontId="36" fillId="65" borderId="20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42" fillId="67" borderId="19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24" fillId="70" borderId="21" applyNumberFormat="0">
      <protection locked="0"/>
    </xf>
    <xf numFmtId="0" fontId="14" fillId="71" borderId="22" applyBorder="0"/>
    <xf numFmtId="4" fontId="38" fillId="69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5" fillId="67" borderId="19" applyNumberFormat="0" applyProtection="0">
      <alignment vertical="center"/>
    </xf>
    <xf numFmtId="4" fontId="46" fillId="67" borderId="19" applyNumberFormat="0" applyProtection="0">
      <alignment vertical="center"/>
    </xf>
    <xf numFmtId="4" fontId="47" fillId="72" borderId="19" applyNumberFormat="0" applyProtection="0">
      <alignment horizontal="left" vertical="center" indent="1"/>
    </xf>
    <xf numFmtId="4" fontId="48" fillId="68" borderId="23" applyNumberFormat="0" applyProtection="0">
      <alignment horizontal="left" vertical="center" indent="1"/>
    </xf>
    <xf numFmtId="0" fontId="24" fillId="73" borderId="24"/>
    <xf numFmtId="4" fontId="49" fillId="69" borderId="18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5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6" applyNumberFormat="0" applyAlignment="0" applyProtection="0"/>
    <xf numFmtId="0" fontId="60" fillId="79" borderId="26" applyNumberFormat="0" applyAlignment="0" applyProtection="0"/>
    <xf numFmtId="0" fontId="61" fillId="9" borderId="12" applyNumberFormat="0" applyAlignment="0" applyProtection="0"/>
    <xf numFmtId="0" fontId="62" fillId="77" borderId="27" applyNumberFormat="0" applyAlignment="0" applyProtection="0"/>
    <xf numFmtId="0" fontId="62" fillId="77" borderId="27" applyNumberFormat="0" applyAlignment="0" applyProtection="0"/>
    <xf numFmtId="0" fontId="63" fillId="10" borderId="15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8" fillId="0" borderId="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0" fillId="0" borderId="1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2" fillId="0" borderId="11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6" applyNumberFormat="0" applyAlignment="0" applyProtection="0"/>
    <xf numFmtId="0" fontId="73" fillId="49" borderId="26" applyNumberFormat="0" applyAlignment="0" applyProtection="0"/>
    <xf numFmtId="0" fontId="74" fillId="8" borderId="12" applyNumberFormat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14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4" fillId="80" borderId="0"/>
    <xf numFmtId="0" fontId="79" fillId="0" borderId="0"/>
    <xf numFmtId="0" fontId="24" fillId="80" borderId="0"/>
    <xf numFmtId="0" fontId="24" fillId="80" borderId="0"/>
    <xf numFmtId="0" fontId="3" fillId="0" borderId="0"/>
    <xf numFmtId="0" fontId="55" fillId="0" borderId="0"/>
    <xf numFmtId="0" fontId="79" fillId="0" borderId="0"/>
    <xf numFmtId="0" fontId="3" fillId="0" borderId="0"/>
    <xf numFmtId="0" fontId="3" fillId="0" borderId="0"/>
    <xf numFmtId="0" fontId="24" fillId="80" borderId="0"/>
    <xf numFmtId="0" fontId="24" fillId="80" borderId="0"/>
    <xf numFmtId="0" fontId="3" fillId="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3" fillId="0" borderId="0"/>
    <xf numFmtId="0" fontId="3" fillId="0" borderId="0"/>
    <xf numFmtId="0" fontId="24" fillId="80" borderId="0"/>
    <xf numFmtId="0" fontId="24" fillId="80" borderId="0"/>
    <xf numFmtId="0" fontId="24" fillId="80" borderId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80" fillId="11" borderId="16" applyNumberFormat="0" applyFont="0" applyAlignment="0" applyProtection="0"/>
    <xf numFmtId="0" fontId="81" fillId="79" borderId="32" applyNumberFormat="0" applyAlignment="0" applyProtection="0"/>
    <xf numFmtId="0" fontId="81" fillId="79" borderId="32" applyNumberFormat="0" applyAlignment="0" applyProtection="0"/>
    <xf numFmtId="0" fontId="82" fillId="9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7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18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3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9" fillId="82" borderId="18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3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5" fillId="54" borderId="32" applyNumberFormat="0" applyProtection="0">
      <alignment vertical="center"/>
    </xf>
    <xf numFmtId="4" fontId="86" fillId="54" borderId="26" applyNumberFormat="0" applyProtection="0">
      <alignment vertical="center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9" fillId="99" borderId="32" applyNumberFormat="0" applyProtection="0">
      <alignment horizontal="left" vertical="center" indent="1"/>
    </xf>
    <xf numFmtId="4" fontId="39" fillId="98" borderId="20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65" borderId="20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9" fillId="98" borderId="2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86" fillId="72" borderId="24" applyNumberFormat="0" applyProtection="0">
      <alignment vertical="center"/>
    </xf>
    <xf numFmtId="4" fontId="44" fillId="69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88" fillId="10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9" fillId="0" borderId="0"/>
    <xf numFmtId="4" fontId="90" fillId="109" borderId="33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3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4" fontId="91" fillId="100" borderId="32" applyNumberFormat="0" applyProtection="0">
      <alignment horizontal="right" vertical="center"/>
    </xf>
    <xf numFmtId="4" fontId="92" fillId="70" borderId="26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5"/>
    <xf numFmtId="49" fontId="95" fillId="110" borderId="0"/>
    <xf numFmtId="0" fontId="93" fillId="67" borderId="35">
      <protection locked="0"/>
    </xf>
    <xf numFmtId="0" fontId="93" fillId="110" borderId="0"/>
    <xf numFmtId="0" fontId="96" fillId="61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97" fillId="0" borderId="17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1" fontId="34" fillId="0" borderId="0"/>
    <xf numFmtId="171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2" applyNumberFormat="0" applyAlignment="0" applyProtection="0"/>
    <xf numFmtId="0" fontId="61" fillId="9" borderId="12" applyNumberFormat="0" applyAlignment="0" applyProtection="0"/>
    <xf numFmtId="0" fontId="101" fillId="10" borderId="15" applyNumberFormat="0" applyAlignment="0" applyProtection="0"/>
    <xf numFmtId="0" fontId="63" fillId="10" borderId="15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9" applyNumberFormat="0" applyFill="0" applyAlignment="0" applyProtection="0"/>
    <xf numFmtId="0" fontId="68" fillId="0" borderId="9" applyNumberFormat="0" applyFill="0" applyAlignment="0" applyProtection="0"/>
    <xf numFmtId="0" fontId="104" fillId="0" borderId="10" applyNumberFormat="0" applyFill="0" applyAlignment="0" applyProtection="0"/>
    <xf numFmtId="0" fontId="70" fillId="0" borderId="10" applyNumberFormat="0" applyFill="0" applyAlignment="0" applyProtection="0"/>
    <xf numFmtId="0" fontId="105" fillId="0" borderId="11" applyNumberFormat="0" applyFill="0" applyAlignment="0" applyProtection="0"/>
    <xf numFmtId="0" fontId="72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2" applyNumberFormat="0" applyAlignment="0" applyProtection="0"/>
    <xf numFmtId="0" fontId="74" fillId="8" borderId="12" applyNumberFormat="0" applyAlignment="0" applyProtection="0"/>
    <xf numFmtId="0" fontId="107" fillId="0" borderId="14" applyNumberFormat="0" applyFill="0" applyAlignment="0" applyProtection="0"/>
    <xf numFmtId="0" fontId="76" fillId="0" borderId="14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4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4" fillId="80" borderId="0"/>
    <xf numFmtId="0" fontId="24" fillId="80" borderId="0"/>
    <xf numFmtId="0" fontId="10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4" fillId="48" borderId="2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110" fillId="9" borderId="13" applyNumberFormat="0" applyAlignment="0" applyProtection="0"/>
    <xf numFmtId="0" fontId="82" fillId="9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4" fillId="70" borderId="21" applyNumberFormat="0">
      <protection locked="0"/>
    </xf>
    <xf numFmtId="0" fontId="24" fillId="70" borderId="21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70" borderId="21" applyNumberFormat="0">
      <protection locked="0"/>
    </xf>
    <xf numFmtId="4" fontId="88" fillId="108" borderId="18" applyNumberFormat="0" applyProtection="0">
      <alignment vertical="center"/>
    </xf>
    <xf numFmtId="4" fontId="86" fillId="72" borderId="24" applyNumberFormat="0" applyProtection="0">
      <alignment vertical="center"/>
    </xf>
    <xf numFmtId="4" fontId="88" fillId="104" borderId="18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4" fillId="73" borderId="24"/>
    <xf numFmtId="4" fontId="92" fillId="70" borderId="26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7" applyNumberFormat="0" applyFill="0" applyAlignment="0" applyProtection="0"/>
    <xf numFmtId="0" fontId="97" fillId="0" borderId="17" applyNumberFormat="0" applyFill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54" borderId="18" applyNumberFormat="0" applyProtection="0">
      <alignment horizontal="left" vertical="top" indent="1"/>
    </xf>
    <xf numFmtId="0" fontId="62" fillId="77" borderId="38" applyNumberFormat="0" applyAlignment="0" applyProtection="0"/>
    <xf numFmtId="0" fontId="62" fillId="77" borderId="38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7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6" fillId="54" borderId="18" applyNumberFormat="0" applyProtection="0">
      <alignment vertical="center"/>
    </xf>
    <xf numFmtId="44" fontId="3" fillId="0" borderId="0" applyFont="0" applyFill="0" applyBorder="0" applyAlignment="0" applyProtection="0"/>
    <xf numFmtId="4" fontId="91" fillId="101" borderId="18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8" applyNumberFormat="0" applyProtection="0">
      <alignment horizontal="left" vertical="top" indent="1"/>
    </xf>
    <xf numFmtId="0" fontId="55" fillId="11" borderId="16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8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8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8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5" fillId="72" borderId="18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2" fillId="77" borderId="5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2" fillId="77" borderId="5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6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6" fontId="3" fillId="0" borderId="0">
      <protection locked="0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53"/>
    <xf numFmtId="0" fontId="3" fillId="69" borderId="75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5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52" fillId="0" borderId="56" applyNumberFormat="0" applyFill="0" applyProtection="0">
      <alignment horizontal="center"/>
    </xf>
    <xf numFmtId="4" fontId="43" fillId="102" borderId="75" applyNumberFormat="0" applyProtection="0">
      <alignment horizontal="left" vertical="center" indent="1"/>
    </xf>
    <xf numFmtId="171" fontId="12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24" fillId="117" borderId="0" applyNumberFormat="0" applyBorder="0" applyAlignment="0" applyProtection="0"/>
    <xf numFmtId="0" fontId="124" fillId="117" borderId="0" applyNumberFormat="0" applyBorder="0" applyAlignment="0" applyProtection="0"/>
    <xf numFmtId="0" fontId="124" fillId="87" borderId="0" applyNumberFormat="0" applyBorder="0" applyAlignment="0" applyProtection="0"/>
    <xf numFmtId="0" fontId="124" fillId="87" borderId="0" applyNumberFormat="0" applyBorder="0" applyAlignment="0" applyProtection="0"/>
    <xf numFmtId="0" fontId="124" fillId="96" borderId="0" applyNumberFormat="0" applyBorder="0" applyAlignment="0" applyProtection="0"/>
    <xf numFmtId="0" fontId="124" fillId="96" borderId="0" applyNumberFormat="0" applyBorder="0" applyAlignment="0" applyProtection="0"/>
    <xf numFmtId="0" fontId="124" fillId="118" borderId="0" applyNumberFormat="0" applyBorder="0" applyAlignment="0" applyProtection="0"/>
    <xf numFmtId="0" fontId="124" fillId="118" borderId="0" applyNumberFormat="0" applyBorder="0" applyAlignment="0" applyProtection="0"/>
    <xf numFmtId="0" fontId="124" fillId="83" borderId="0" applyNumberFormat="0" applyBorder="0" applyAlignment="0" applyProtection="0"/>
    <xf numFmtId="0" fontId="124" fillId="83" borderId="0" applyNumberFormat="0" applyBorder="0" applyAlignment="0" applyProtection="0"/>
    <xf numFmtId="0" fontId="124" fillId="90" borderId="0" applyNumberFormat="0" applyBorder="0" applyAlignment="0" applyProtection="0"/>
    <xf numFmtId="0" fontId="124" fillId="90" borderId="0" applyNumberFormat="0" applyBorder="0" applyAlignment="0" applyProtection="0"/>
    <xf numFmtId="0" fontId="124" fillId="119" borderId="0" applyNumberFormat="0" applyBorder="0" applyAlignment="0" applyProtection="0"/>
    <xf numFmtId="0" fontId="124" fillId="119" borderId="0" applyNumberFormat="0" applyBorder="0" applyAlignment="0" applyProtection="0"/>
    <xf numFmtId="0" fontId="124" fillId="88" borderId="0" applyNumberFormat="0" applyBorder="0" applyAlignment="0" applyProtection="0"/>
    <xf numFmtId="0" fontId="124" fillId="88" borderId="0" applyNumberFormat="0" applyBorder="0" applyAlignment="0" applyProtection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24" fillId="118" borderId="0" applyNumberFormat="0" applyBorder="0" applyAlignment="0" applyProtection="0"/>
    <xf numFmtId="0" fontId="124" fillId="118" borderId="0" applyNumberFormat="0" applyBorder="0" applyAlignment="0" applyProtection="0"/>
    <xf numFmtId="0" fontId="124" fillId="83" borderId="0" applyNumberFormat="0" applyBorder="0" applyAlignment="0" applyProtection="0"/>
    <xf numFmtId="0" fontId="124" fillId="83" borderId="0" applyNumberFormat="0" applyBorder="0" applyAlignment="0" applyProtection="0"/>
    <xf numFmtId="0" fontId="124" fillId="92" borderId="0" applyNumberFormat="0" applyBorder="0" applyAlignment="0" applyProtection="0"/>
    <xf numFmtId="0" fontId="124" fillId="92" borderId="0" applyNumberFormat="0" applyBorder="0" applyAlignment="0" applyProtection="0"/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0" fontId="125" fillId="85" borderId="0" applyNumberFormat="0" applyBorder="0" applyAlignment="0" applyProtection="0"/>
    <xf numFmtId="0" fontId="125" fillId="85" borderId="0" applyNumberFormat="0" applyBorder="0" applyAlignment="0" applyProtection="0"/>
    <xf numFmtId="3" fontId="126" fillId="0" borderId="0" applyFill="0" applyBorder="0" applyProtection="0">
      <alignment horizontal="right"/>
    </xf>
    <xf numFmtId="180" fontId="127" fillId="0" borderId="0" applyNumberFormat="0" applyFill="0" applyBorder="0" applyAlignment="0" applyProtection="0">
      <alignment horizontal="center"/>
      <protection locked="0"/>
    </xf>
    <xf numFmtId="0" fontId="128" fillId="0" borderId="42" applyFill="0" applyProtection="0">
      <alignment horizontal="right"/>
    </xf>
    <xf numFmtId="0" fontId="129" fillId="104" borderId="58" applyNumberFormat="0" applyAlignment="0" applyProtection="0"/>
    <xf numFmtId="0" fontId="129" fillId="104" borderId="58" applyNumberFormat="0" applyAlignment="0" applyProtection="0"/>
    <xf numFmtId="8" fontId="3" fillId="0" borderId="41" applyFont="0" applyFill="0" applyBorder="0" applyProtection="0">
      <alignment horizontal="right"/>
    </xf>
    <xf numFmtId="0" fontId="130" fillId="120" borderId="51" applyNumberFormat="0" applyAlignment="0" applyProtection="0"/>
    <xf numFmtId="0" fontId="130" fillId="120" borderId="51" applyNumberFormat="0" applyAlignment="0" applyProtection="0"/>
    <xf numFmtId="0" fontId="14" fillId="0" borderId="44">
      <alignment horizontal="center"/>
    </xf>
    <xf numFmtId="181" fontId="131" fillId="0" borderId="0" applyFont="0" applyFill="0" applyBorder="0" applyAlignment="0" applyProtection="0">
      <alignment horizontal="right"/>
    </xf>
    <xf numFmtId="0" fontId="43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4" fontId="91" fillId="101" borderId="75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5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31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31" fillId="0" borderId="59" applyNumberFormat="0" applyFont="0" applyFill="0" applyAlignment="0" applyProtection="0"/>
    <xf numFmtId="190" fontId="3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39" fontId="83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Fill="0" applyBorder="0" applyProtection="0">
      <alignment horizontal="left"/>
    </xf>
    <xf numFmtId="37" fontId="24" fillId="0" borderId="0"/>
    <xf numFmtId="0" fontId="136" fillId="113" borderId="0" applyNumberFormat="0" applyBorder="0" applyAlignment="0" applyProtection="0"/>
    <xf numFmtId="0" fontId="136" fillId="113" borderId="0" applyNumberFormat="0" applyBorder="0" applyAlignment="0" applyProtection="0"/>
    <xf numFmtId="38" fontId="24" fillId="4" borderId="0" applyNumberFormat="0" applyBorder="0" applyAlignment="0" applyProtection="0"/>
    <xf numFmtId="192" fontId="131" fillId="0" borderId="0" applyFont="0" applyFill="0" applyBorder="0" applyAlignment="0" applyProtection="0">
      <alignment horizontal="right"/>
    </xf>
    <xf numFmtId="0" fontId="137" fillId="0" borderId="0" applyNumberFormat="0" applyFill="0" applyBorder="0" applyAlignment="0" applyProtection="0"/>
    <xf numFmtId="0" fontId="21" fillId="0" borderId="0" applyFill="0" applyBorder="0" applyProtection="0">
      <alignment horizontal="right"/>
    </xf>
    <xf numFmtId="0" fontId="138" fillId="0" borderId="60" applyNumberFormat="0" applyFill="0" applyAlignment="0" applyProtection="0"/>
    <xf numFmtId="0" fontId="138" fillId="0" borderId="60" applyNumberFormat="0" applyFill="0" applyAlignment="0" applyProtection="0"/>
    <xf numFmtId="0" fontId="139" fillId="0" borderId="61" applyNumberFormat="0" applyFill="0" applyAlignment="0" applyProtection="0"/>
    <xf numFmtId="0" fontId="139" fillId="0" borderId="61" applyNumberFormat="0" applyFill="0" applyAlignment="0" applyProtection="0"/>
    <xf numFmtId="0" fontId="45" fillId="0" borderId="62" applyNumberFormat="0" applyFill="0" applyAlignment="0" applyProtection="0"/>
    <xf numFmtId="0" fontId="45" fillId="0" borderId="6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2" fillId="0" borderId="63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93" fontId="142" fillId="0" borderId="0"/>
    <xf numFmtId="10" fontId="24" fillId="72" borderId="53" applyNumberFormat="0" applyBorder="0" applyAlignment="0" applyProtection="0"/>
    <xf numFmtId="0" fontId="143" fillId="116" borderId="58" applyNumberFormat="0" applyAlignment="0" applyProtection="0"/>
    <xf numFmtId="0" fontId="143" fillId="116" borderId="58" applyNumberFormat="0" applyAlignment="0" applyProtection="0"/>
    <xf numFmtId="10" fontId="24" fillId="72" borderId="0">
      <protection locked="0"/>
    </xf>
    <xf numFmtId="0" fontId="144" fillId="0" borderId="64">
      <alignment horizontal="right"/>
    </xf>
    <xf numFmtId="0" fontId="144" fillId="0" borderId="64">
      <alignment horizontal="left"/>
    </xf>
    <xf numFmtId="0" fontId="145" fillId="0" borderId="65" applyNumberFormat="0" applyFill="0" applyAlignment="0" applyProtection="0"/>
    <xf numFmtId="0" fontId="145" fillId="0" borderId="65" applyNumberFormat="0" applyFill="0" applyAlignment="0" applyProtection="0"/>
    <xf numFmtId="180" fontId="24" fillId="0" borderId="0" applyNumberFormat="0" applyFont="0" applyFill="0" applyBorder="0" applyAlignment="0">
      <protection hidden="1"/>
    </xf>
    <xf numFmtId="194" fontId="132" fillId="0" borderId="43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31" fillId="0" borderId="0" applyFont="0" applyFill="0" applyBorder="0" applyAlignment="0" applyProtection="0">
      <alignment horizontal="right"/>
    </xf>
    <xf numFmtId="0" fontId="146" fillId="82" borderId="0" applyNumberFormat="0" applyBorder="0" applyAlignment="0" applyProtection="0"/>
    <xf numFmtId="0" fontId="146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47" fillId="0" borderId="0"/>
    <xf numFmtId="0" fontId="32" fillId="0" borderId="0"/>
    <xf numFmtId="0" fontId="32" fillId="0" borderId="0"/>
    <xf numFmtId="0" fontId="3" fillId="0" borderId="0"/>
    <xf numFmtId="169" fontId="3" fillId="0" borderId="0">
      <alignment horizontal="left" wrapText="1"/>
    </xf>
    <xf numFmtId="169" fontId="24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32" fillId="0" borderId="0"/>
    <xf numFmtId="169" fontId="24" fillId="0" borderId="0">
      <alignment horizontal="left" wrapText="1"/>
    </xf>
    <xf numFmtId="0" fontId="32" fillId="0" borderId="0"/>
    <xf numFmtId="37" fontId="123" fillId="0" borderId="0"/>
    <xf numFmtId="37" fontId="1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32" fillId="11" borderId="16" applyNumberFormat="0" applyFont="0" applyAlignment="0" applyProtection="0"/>
    <xf numFmtId="0" fontId="43" fillId="108" borderId="66" applyNumberFormat="0" applyFont="0" applyAlignment="0" applyProtection="0"/>
    <xf numFmtId="0" fontId="43" fillId="108" borderId="66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1" fontId="149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2" fillId="0" borderId="0" applyFont="0" applyFill="0" applyBorder="0" applyAlignment="0" applyProtection="0"/>
    <xf numFmtId="189" fontId="153" fillId="0" borderId="73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87" fontId="83" fillId="0" borderId="0" applyFont="0" applyFill="0" applyBorder="0" applyProtection="0">
      <alignment horizontal="right"/>
    </xf>
    <xf numFmtId="0" fontId="3" fillId="0" borderId="0">
      <protection locked="0"/>
    </xf>
    <xf numFmtId="0" fontId="25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4">
      <alignment horizontal="center"/>
    </xf>
    <xf numFmtId="0" fontId="84" fillId="0" borderId="64">
      <alignment horizontal="center"/>
    </xf>
    <xf numFmtId="0" fontId="84" fillId="0" borderId="64">
      <alignment horizontal="center"/>
    </xf>
    <xf numFmtId="0" fontId="84" fillId="0" borderId="64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197" fontId="150" fillId="0" borderId="0"/>
    <xf numFmtId="198" fontId="83" fillId="0" borderId="0" applyFont="0" applyFill="0" applyBorder="0" applyProtection="0">
      <alignment horizontal="right"/>
    </xf>
    <xf numFmtId="199" fontId="83" fillId="0" borderId="0" applyFont="0" applyFill="0" applyBorder="0" applyProtection="0">
      <alignment horizontal="right"/>
    </xf>
    <xf numFmtId="198" fontId="83" fillId="0" borderId="0" applyFont="0" applyFill="0" applyBorder="0" applyProtection="0">
      <alignment horizontal="right"/>
    </xf>
    <xf numFmtId="178" fontId="126" fillId="0" borderId="0" applyFill="0" applyBorder="0" applyProtection="0">
      <alignment horizontal="right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74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3" fillId="121" borderId="67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83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3" fillId="0" borderId="0" applyNumberFormat="0" applyBorder="0" applyAlignment="0"/>
    <xf numFmtId="0" fontId="151" fillId="0" borderId="0" applyNumberFormat="0" applyBorder="0" applyAlignment="0"/>
    <xf numFmtId="0" fontId="152" fillId="0" borderId="0" applyNumberFormat="0" applyBorder="0" applyAlignment="0"/>
    <xf numFmtId="0" fontId="151" fillId="0" borderId="0" applyNumberFormat="0" applyBorder="0" applyAlignment="0"/>
    <xf numFmtId="0" fontId="151" fillId="0" borderId="0" applyNumberFormat="0" applyBorder="0" applyAlignment="0"/>
    <xf numFmtId="0" fontId="153" fillId="0" borderId="0" applyBorder="0" applyProtection="0">
      <alignment vertical="center"/>
    </xf>
    <xf numFmtId="189" fontId="153" fillId="0" borderId="52" applyBorder="0" applyProtection="0">
      <alignment horizontal="right" vertical="center"/>
    </xf>
    <xf numFmtId="0" fontId="154" fillId="124" borderId="0" applyBorder="0" applyProtection="0">
      <alignment horizontal="centerContinuous" vertical="center"/>
    </xf>
    <xf numFmtId="0" fontId="154" fillId="125" borderId="52" applyBorder="0" applyProtection="0">
      <alignment horizontal="centerContinuous" vertical="center"/>
    </xf>
    <xf numFmtId="0" fontId="144" fillId="0" borderId="0">
      <alignment horizontal="left"/>
      <protection locked="0"/>
    </xf>
    <xf numFmtId="0" fontId="155" fillId="0" borderId="0" applyFill="0" applyBorder="0" applyProtection="0">
      <alignment horizontal="left"/>
    </xf>
    <xf numFmtId="0" fontId="135" fillId="0" borderId="45" applyFill="0" applyBorder="0" applyProtection="0">
      <alignment horizontal="left" vertical="top"/>
    </xf>
    <xf numFmtId="42" fontId="24" fillId="126" borderId="0" applyNumberFormat="0" applyFont="0" applyBorder="0" applyAlignment="0" applyProtection="0"/>
    <xf numFmtId="0" fontId="24" fillId="0" borderId="0"/>
    <xf numFmtId="0" fontId="156" fillId="0" borderId="0" applyFill="0" applyBorder="0" applyProtection="0">
      <alignment horizontal="left" vertical="top"/>
    </xf>
    <xf numFmtId="0" fontId="157" fillId="0" borderId="0" applyFill="0" applyBorder="0" applyAlignment="0" applyProtection="0"/>
    <xf numFmtId="0" fontId="39" fillId="0" borderId="68" applyNumberFormat="0" applyFill="0" applyAlignment="0" applyProtection="0"/>
    <xf numFmtId="0" fontId="39" fillId="0" borderId="68" applyNumberFormat="0" applyFill="0" applyAlignment="0" applyProtection="0"/>
    <xf numFmtId="3" fontId="132" fillId="0" borderId="4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1" fontId="83" fillId="0" borderId="0">
      <alignment horizontal="left"/>
      <protection locked="0"/>
    </xf>
    <xf numFmtId="180" fontId="158" fillId="0" borderId="0"/>
    <xf numFmtId="38" fontId="24" fillId="54" borderId="0" applyNumberFormat="0" applyBorder="0" applyAlignment="0" applyProtection="0"/>
    <xf numFmtId="37" fontId="24" fillId="4" borderId="0" applyNumberFormat="0" applyBorder="0" applyAlignment="0" applyProtection="0"/>
    <xf numFmtId="37" fontId="24" fillId="0" borderId="0"/>
    <xf numFmtId="37" fontId="24" fillId="54" borderId="0" applyNumberFormat="0" applyBorder="0" applyAlignment="0" applyProtection="0"/>
    <xf numFmtId="3" fontId="159" fillId="0" borderId="63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44" fillId="0" borderId="64">
      <alignment horizontal="right"/>
    </xf>
    <xf numFmtId="37" fontId="24" fillId="0" borderId="0"/>
    <xf numFmtId="202" fontId="24" fillId="0" borderId="0"/>
    <xf numFmtId="37" fontId="24" fillId="0" borderId="0"/>
    <xf numFmtId="4" fontId="91" fillId="101" borderId="75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23" fillId="0" borderId="0"/>
    <xf numFmtId="0" fontId="160" fillId="0" borderId="0"/>
    <xf numFmtId="0" fontId="18" fillId="0" borderId="0"/>
    <xf numFmtId="37" fontId="1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8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5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6" fontId="3" fillId="0" borderId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44" fillId="0" borderId="37">
      <alignment horizontal="right"/>
    </xf>
    <xf numFmtId="0" fontId="144" fillId="0" borderId="37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4" fillId="0" borderId="37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3" fillId="0" borderId="0"/>
    <xf numFmtId="189" fontId="153" fillId="0" borderId="39" applyBorder="0" applyProtection="0">
      <alignment horizontal="right" vertical="center"/>
    </xf>
    <xf numFmtId="0" fontId="154" fillId="125" borderId="39" applyBorder="0" applyProtection="0">
      <alignment horizontal="centerContinuous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0" fontId="144" fillId="0" borderId="37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4" fillId="0" borderId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81" fillId="79" borderId="71" applyNumberFormat="0" applyAlignment="0" applyProtection="0"/>
    <xf numFmtId="0" fontId="81" fillId="79" borderId="71" applyNumberFormat="0" applyAlignment="0" applyProtection="0"/>
    <xf numFmtId="4" fontId="36" fillId="54" borderId="75" applyNumberFormat="0" applyProtection="0">
      <alignment vertical="center"/>
    </xf>
    <xf numFmtId="4" fontId="43" fillId="54" borderId="71" applyNumberFormat="0" applyProtection="0">
      <alignment vertical="center"/>
    </xf>
    <xf numFmtId="4" fontId="43" fillId="54" borderId="71" applyNumberFormat="0" applyProtection="0">
      <alignment vertical="center"/>
    </xf>
    <xf numFmtId="4" fontId="85" fillId="54" borderId="71" applyNumberFormat="0" applyProtection="0">
      <alignment vertical="center"/>
    </xf>
    <xf numFmtId="4" fontId="37" fillId="54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87" fillId="82" borderId="75" applyNumberFormat="0" applyProtection="0">
      <alignment horizontal="left" vertical="top" indent="1"/>
    </xf>
    <xf numFmtId="4" fontId="43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57" borderId="71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39" fillId="99" borderId="71" applyNumberFormat="0" applyProtection="0">
      <alignment horizontal="left" vertical="center" indent="1"/>
    </xf>
    <xf numFmtId="4" fontId="39" fillId="98" borderId="54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43" fillId="72" borderId="71" applyNumberFormat="0" applyProtection="0">
      <alignment vertical="center"/>
    </xf>
    <xf numFmtId="4" fontId="43" fillId="72" borderId="71" applyNumberFormat="0" applyProtection="0">
      <alignment vertical="center"/>
    </xf>
    <xf numFmtId="4" fontId="88" fillId="108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38" fillId="69" borderId="75" applyNumberFormat="0" applyProtection="0">
      <alignment vertical="center"/>
    </xf>
    <xf numFmtId="4" fontId="85" fillId="72" borderId="71" applyNumberFormat="0" applyProtection="0">
      <alignment vertical="center"/>
    </xf>
    <xf numFmtId="4" fontId="86" fillId="72" borderId="78" applyNumberFormat="0" applyProtection="0">
      <alignment vertical="center"/>
    </xf>
    <xf numFmtId="4" fontId="44" fillId="69" borderId="75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88" fillId="104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0" fontId="88" fillId="10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38" fillId="69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85" fillId="100" borderId="71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36" fillId="66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8" fillId="102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8" fillId="68" borderId="77" applyNumberFormat="0" applyProtection="0">
      <alignment horizontal="left" vertical="center" indent="1"/>
    </xf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4" fontId="91" fillId="100" borderId="71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1" applyNumberFormat="0" applyProtection="0">
      <alignment horizontal="left" vertical="center" indent="1"/>
    </xf>
    <xf numFmtId="4" fontId="43" fillId="56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4" fillId="83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23" fillId="0" borderId="0"/>
    <xf numFmtId="43" fontId="23" fillId="0" borderId="0" applyFont="0" applyFill="0" applyBorder="0" applyAlignment="0" applyProtection="0"/>
    <xf numFmtId="4" fontId="39" fillId="82" borderId="75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43" fillId="88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0" borderId="75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43" fillId="108" borderId="81" applyNumberFormat="0" applyFont="0" applyAlignment="0" applyProtection="0"/>
    <xf numFmtId="4" fontId="43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2" fillId="0" borderId="0"/>
    <xf numFmtId="0" fontId="2" fillId="0" borderId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86" borderId="26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43" fillId="54" borderId="71" applyNumberFormat="0" applyProtection="0">
      <alignment vertical="center"/>
    </xf>
    <xf numFmtId="4" fontId="85" fillId="54" borderId="71" applyNumberFormat="0" applyProtection="0">
      <alignment vertical="center"/>
    </xf>
    <xf numFmtId="4" fontId="43" fillId="88" borderId="75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43" fillId="54" borderId="71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0" fontId="130" fillId="120" borderId="51" applyNumberFormat="0" applyAlignment="0" applyProtection="0"/>
    <xf numFmtId="0" fontId="88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43" fillId="64" borderId="71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0" fontId="24" fillId="107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90" fillId="109" borderId="33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88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88" fillId="10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8" fillId="104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86" fillId="72" borderId="78" applyNumberFormat="0" applyProtection="0">
      <alignment vertical="center"/>
    </xf>
    <xf numFmtId="4" fontId="85" fillId="72" borderId="71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43" fillId="72" borderId="75" applyNumberFormat="0" applyProtection="0">
      <alignment vertical="center"/>
    </xf>
    <xf numFmtId="4" fontId="88" fillId="108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43" fillId="72" borderId="71" applyNumberFormat="0" applyProtection="0">
      <alignment vertical="center"/>
    </xf>
    <xf numFmtId="4" fontId="38" fillId="62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14" fillId="71" borderId="76" applyBorder="0"/>
    <xf numFmtId="4" fontId="38" fillId="69" borderId="75" applyNumberFormat="0" applyProtection="0">
      <alignment vertical="center"/>
    </xf>
    <xf numFmtId="4" fontId="43" fillId="10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73" borderId="78"/>
    <xf numFmtId="4" fontId="43" fillId="96" borderId="75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39" fillId="99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2" borderId="75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87" fillId="82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86" fillId="54" borderId="26" applyNumberFormat="0" applyProtection="0">
      <alignment vertical="center"/>
    </xf>
    <xf numFmtId="4" fontId="85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6" fillId="54" borderId="75" applyNumberFormat="0" applyProtection="0">
      <alignment vertical="center"/>
    </xf>
    <xf numFmtId="4" fontId="43" fillId="0" borderId="75" applyNumberFormat="0" applyProtection="0">
      <alignment horizontal="left" vertical="center" indent="1"/>
    </xf>
    <xf numFmtId="0" fontId="84" fillId="0" borderId="7">
      <alignment horizontal="center"/>
    </xf>
    <xf numFmtId="0" fontId="3" fillId="4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0" fontId="81" fillId="79" borderId="71" applyNumberFormat="0" applyAlignment="0" applyProtection="0"/>
    <xf numFmtId="0" fontId="81" fillId="79" borderId="71" applyNumberForma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73" borderId="78"/>
    <xf numFmtId="4" fontId="38" fillId="64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37" fillId="54" borderId="75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81" fillId="79" borderId="71" applyNumberFormat="0" applyAlignment="0" applyProtection="0"/>
    <xf numFmtId="4" fontId="39" fillId="82" borderId="75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73" fillId="49" borderId="26" applyNumberFormat="0" applyAlignment="0" applyProtection="0"/>
    <xf numFmtId="0" fontId="73" fillId="49" borderId="26" applyNumberFormat="0" applyAlignment="0" applyProtection="0"/>
    <xf numFmtId="4" fontId="24" fillId="85" borderId="26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43" fillId="101" borderId="75" applyNumberFormat="0" applyProtection="0">
      <alignment horizontal="right" vertical="center"/>
    </xf>
    <xf numFmtId="0" fontId="60" fillId="79" borderId="26" applyNumberFormat="0" applyAlignment="0" applyProtection="0"/>
    <xf numFmtId="0" fontId="60" fillId="79" borderId="26" applyNumberFormat="0" applyAlignment="0" applyProtection="0"/>
    <xf numFmtId="0" fontId="3" fillId="68" borderId="75" applyNumberFormat="0" applyProtection="0">
      <alignment horizontal="left" vertical="top" indent="1"/>
    </xf>
    <xf numFmtId="4" fontId="38" fillId="59" borderId="75" applyNumberFormat="0" applyProtection="0">
      <alignment horizontal="right" vertical="center"/>
    </xf>
    <xf numFmtId="0" fontId="24" fillId="48" borderId="26" applyNumberFormat="0" applyFont="0" applyAlignment="0" applyProtection="0"/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6" fillId="54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60" fillId="79" borderId="26" applyNumberFormat="0" applyAlignment="0" applyProtection="0"/>
    <xf numFmtId="4" fontId="39" fillId="82" borderId="75" applyNumberFormat="0" applyProtection="0">
      <alignment vertical="center"/>
    </xf>
    <xf numFmtId="4" fontId="91" fillId="100" borderId="71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4" fontId="43" fillId="0" borderId="71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24" fillId="48" borderId="26" applyNumberFormat="0" applyFont="0" applyAlignment="0" applyProtection="0"/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9" fontId="95" fillId="110" borderId="35"/>
    <xf numFmtId="4" fontId="92" fillId="70" borderId="26" applyNumberFormat="0" applyProtection="0">
      <alignment horizontal="right" vertical="center"/>
    </xf>
    <xf numFmtId="0" fontId="24" fillId="73" borderId="78"/>
    <xf numFmtId="0" fontId="24" fillId="73" borderId="78"/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135" fillId="0" borderId="45" applyFill="0" applyBorder="0" applyProtection="0">
      <alignment horizontal="left" vertical="top"/>
    </xf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4" fillId="71" borderId="76" applyBorder="0"/>
    <xf numFmtId="0" fontId="3" fillId="0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5" fillId="0" borderId="36" applyNumberFormat="0" applyFill="0" applyAlignment="0" applyProtection="0"/>
    <xf numFmtId="4" fontId="91" fillId="101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24" fillId="73" borderId="78"/>
    <xf numFmtId="0" fontId="24" fillId="70" borderId="55" applyNumberFormat="0">
      <protection locked="0"/>
    </xf>
    <xf numFmtId="4" fontId="24" fillId="0" borderId="26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88" fillId="108" borderId="75" applyNumberFormat="0" applyProtection="0">
      <alignment vertical="center"/>
    </xf>
    <xf numFmtId="4" fontId="91" fillId="101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0" fontId="35" fillId="0" borderId="36" applyNumberFormat="0" applyFill="0" applyAlignment="0" applyProtection="0"/>
    <xf numFmtId="4" fontId="24" fillId="89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0" borderId="75" applyNumberFormat="0" applyProtection="0">
      <alignment horizontal="right" vertical="center"/>
    </xf>
    <xf numFmtId="4" fontId="38" fillId="69" borderId="75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4" fontId="38" fillId="58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6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38" fillId="69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0" fontId="73" fillId="49" borderId="26" applyNumberFormat="0" applyAlignment="0" applyProtection="0"/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43" fillId="97" borderId="71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88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0" fontId="24" fillId="73" borderId="78"/>
    <xf numFmtId="0" fontId="24" fillId="101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1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0" fontId="60" fillId="79" borderId="26" applyNumberFormat="0" applyAlignment="0" applyProtection="0"/>
    <xf numFmtId="4" fontId="43" fillId="10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88" borderId="33" applyNumberFormat="0" applyProtection="0">
      <alignment horizontal="right" vertical="center"/>
    </xf>
    <xf numFmtId="4" fontId="43" fillId="54" borderId="71" applyNumberFormat="0" applyProtection="0">
      <alignment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" fillId="0" borderId="0"/>
    <xf numFmtId="0" fontId="3" fillId="0" borderId="0"/>
    <xf numFmtId="0" fontId="135" fillId="0" borderId="86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4" fillId="80" borderId="0"/>
    <xf numFmtId="0" fontId="24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71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24" fillId="73" borderId="78"/>
    <xf numFmtId="43" fontId="3" fillId="0" borderId="0" applyFont="0" applyFill="0" applyBorder="0" applyAlignment="0" applyProtection="0"/>
    <xf numFmtId="0" fontId="3" fillId="0" borderId="0"/>
    <xf numFmtId="0" fontId="3" fillId="106" borderId="71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1" applyNumberFormat="0" applyAlignment="0" applyProtection="0"/>
    <xf numFmtId="0" fontId="62" fillId="77" borderId="51" applyNumberFormat="0" applyAlignment="0" applyProtection="0"/>
    <xf numFmtId="44" fontId="2" fillId="0" borderId="0" applyFont="0" applyFill="0" applyBorder="0" applyAlignment="0" applyProtection="0"/>
    <xf numFmtId="4" fontId="91" fillId="101" borderId="75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5" applyNumberFormat="0" applyProtection="0">
      <alignment horizontal="right" vertical="center"/>
    </xf>
    <xf numFmtId="4" fontId="38" fillId="54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5" applyNumberFormat="0" applyProtection="0">
      <alignment vertical="center"/>
    </xf>
    <xf numFmtId="0" fontId="24" fillId="73" borderId="78"/>
    <xf numFmtId="0" fontId="3" fillId="0" borderId="0"/>
    <xf numFmtId="0" fontId="24" fillId="107" borderId="26" applyNumberFormat="0" applyProtection="0">
      <alignment horizontal="left" vertical="center" indent="1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54" fillId="125" borderId="52" applyBorder="0" applyProtection="0">
      <alignment horizontal="centerContinuous" vertical="center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0" borderId="0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80" borderId="0"/>
    <xf numFmtId="0" fontId="144" fillId="0" borderId="64">
      <alignment horizontal="right"/>
    </xf>
    <xf numFmtId="0" fontId="144" fillId="0" borderId="64">
      <alignment horizontal="left"/>
    </xf>
    <xf numFmtId="0" fontId="84" fillId="0" borderId="64">
      <alignment horizontal="center"/>
    </xf>
    <xf numFmtId="9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6" fillId="72" borderId="78" applyNumberFormat="0" applyProtection="0">
      <alignment vertical="center"/>
    </xf>
    <xf numFmtId="4" fontId="36" fillId="65" borderId="5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53" fillId="0" borderId="73" applyBorder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0" fontId="144" fillId="0" borderId="64">
      <alignment horizontal="right"/>
    </xf>
    <xf numFmtId="0" fontId="3" fillId="0" borderId="0"/>
    <xf numFmtId="4" fontId="48" fillId="68" borderId="77" applyNumberFormat="0" applyProtection="0">
      <alignment horizontal="left" vertical="center" indent="1"/>
    </xf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0" fontId="24" fillId="73" borderId="78"/>
    <xf numFmtId="4" fontId="91" fillId="100" borderId="71" applyNumberFormat="0" applyProtection="0">
      <alignment horizontal="right" vertical="center"/>
    </xf>
    <xf numFmtId="4" fontId="92" fillId="70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0" fontId="73" fillId="49" borderId="26" applyNumberFormat="0" applyAlignment="0" applyProtection="0"/>
    <xf numFmtId="4" fontId="24" fillId="83" borderId="26" applyNumberFormat="0" applyProtection="0">
      <alignment horizontal="left" vertical="center" indent="1"/>
    </xf>
    <xf numFmtId="49" fontId="95" fillId="110" borderId="35"/>
    <xf numFmtId="0" fontId="3" fillId="69" borderId="75" applyNumberFormat="0" applyProtection="0">
      <alignment horizontal="left" vertical="center" indent="1"/>
    </xf>
    <xf numFmtId="0" fontId="93" fillId="67" borderId="35">
      <protection locked="0"/>
    </xf>
    <xf numFmtId="0" fontId="24" fillId="102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4" fontId="38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6" fillId="65" borderId="5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4" fontId="43" fillId="103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38" fillId="63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85" fillId="54" borderId="71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0" fontId="73" fillId="49" borderId="26" applyNumberFormat="0" applyAlignment="0" applyProtection="0"/>
    <xf numFmtId="4" fontId="24" fillId="86" borderId="26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0" fontId="93" fillId="67" borderId="35">
      <protection locked="0"/>
    </xf>
    <xf numFmtId="0" fontId="60" fillId="79" borderId="26" applyNumberFormat="0" applyAlignment="0" applyProtection="0"/>
    <xf numFmtId="0" fontId="24" fillId="48" borderId="26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73" borderId="78"/>
    <xf numFmtId="0" fontId="24" fillId="73" borderId="78"/>
    <xf numFmtId="4" fontId="48" fillId="68" borderId="77" applyNumberFormat="0" applyProtection="0">
      <alignment horizontal="left" vertical="center" indent="1"/>
    </xf>
    <xf numFmtId="4" fontId="86" fillId="67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88" fillId="10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72" borderId="71" applyNumberFormat="0" applyProtection="0">
      <alignment vertical="center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43" fillId="10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5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88" fillId="10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1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24" fillId="86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94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24" fillId="73" borderId="78"/>
    <xf numFmtId="4" fontId="24" fillId="92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9" fontId="95" fillId="110" borderId="35"/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154" fillId="125" borderId="73" applyBorder="0" applyProtection="0">
      <alignment horizontal="centerContinuous" vertical="center"/>
    </xf>
    <xf numFmtId="0" fontId="24" fillId="101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8" fillId="57" borderId="75" applyNumberFormat="0" applyProtection="0">
      <alignment horizontal="right" vertical="center"/>
    </xf>
    <xf numFmtId="4" fontId="36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85" fillId="54" borderId="71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130" fillId="120" borderId="51" applyNumberFormat="0" applyAlignment="0" applyProtection="0"/>
    <xf numFmtId="4" fontId="43" fillId="72" borderId="75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88" fillId="108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5">
      <protection locked="0"/>
    </xf>
    <xf numFmtId="0" fontId="24" fillId="73" borderId="78"/>
    <xf numFmtId="0" fontId="3" fillId="8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88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86" fillId="72" borderId="78" applyNumberFormat="0" applyProtection="0">
      <alignment vertical="center"/>
    </xf>
    <xf numFmtId="4" fontId="85" fillId="72" borderId="71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43" fillId="72" borderId="75" applyNumberFormat="0" applyProtection="0">
      <alignment vertical="center"/>
    </xf>
    <xf numFmtId="4" fontId="88" fillId="108" borderId="75" applyNumberFormat="0" applyProtection="0">
      <alignment vertical="center"/>
    </xf>
    <xf numFmtId="4" fontId="43" fillId="72" borderId="71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87" fillId="82" borderId="75" applyNumberFormat="0" applyProtection="0">
      <alignment horizontal="left" vertical="top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84" borderId="71" applyNumberFormat="0" applyProtection="0">
      <alignment horizontal="left" vertical="center" indent="1"/>
    </xf>
    <xf numFmtId="0" fontId="35" fillId="0" borderId="36" applyNumberFormat="0" applyFill="0" applyAlignment="0" applyProtection="0"/>
    <xf numFmtId="4" fontId="38" fillId="57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90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57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73" fillId="49" borderId="26" applyNumberFormat="0" applyAlignment="0" applyProtection="0"/>
    <xf numFmtId="0" fontId="73" fillId="49" borderId="26" applyNumberFormat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8" fillId="56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62" fillId="77" borderId="51" applyNumberFormat="0" applyAlignment="0" applyProtection="0"/>
    <xf numFmtId="0" fontId="62" fillId="77" borderId="51" applyNumberFormat="0" applyAlignment="0" applyProtection="0"/>
    <xf numFmtId="4" fontId="37" fillId="54" borderId="75" applyNumberFormat="0" applyProtection="0">
      <alignment vertical="center"/>
    </xf>
    <xf numFmtId="0" fontId="60" fillId="79" borderId="26" applyNumberFormat="0" applyAlignment="0" applyProtection="0"/>
    <xf numFmtId="0" fontId="60" fillId="79" borderId="26" applyNumberFormat="0" applyAlignment="0" applyProtection="0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57" borderId="71" applyNumberFormat="0" applyProtection="0">
      <alignment horizontal="right" vertical="center"/>
    </xf>
    <xf numFmtId="0" fontId="24" fillId="48" borderId="26" applyNumberFormat="0" applyFont="0" applyAlignment="0" applyProtection="0"/>
    <xf numFmtId="4" fontId="36" fillId="54" borderId="75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143" fillId="116" borderId="80" applyNumberFormat="0" applyAlignment="0" applyProtection="0"/>
    <xf numFmtId="0" fontId="143" fillId="116" borderId="80" applyNumberFormat="0" applyAlignment="0" applyProtection="0"/>
    <xf numFmtId="4" fontId="24" fillId="83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43" fillId="88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24" fillId="70" borderId="55" applyNumberFormat="0">
      <protection locked="0"/>
    </xf>
    <xf numFmtId="0" fontId="3" fillId="55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38" fillId="69" borderId="75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" fontId="43" fillId="102" borderId="75" applyNumberFormat="0" applyProtection="0">
      <alignment horizontal="left" vertical="center" indent="1"/>
    </xf>
    <xf numFmtId="0" fontId="24" fillId="73" borderId="78"/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43" fillId="72" borderId="71" applyNumberFormat="0" applyProtection="0">
      <alignment vertical="center"/>
    </xf>
    <xf numFmtId="4" fontId="85" fillId="72" borderId="71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4" fillId="73" borderId="78"/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6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8" fontId="3" fillId="0" borderId="69" applyFont="0" applyFill="0" applyBorder="0" applyProtection="0">
      <alignment horizontal="right"/>
    </xf>
    <xf numFmtId="0" fontId="3" fillId="84" borderId="71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9" fillId="82" borderId="75" applyNumberFormat="0" applyProtection="0">
      <alignment vertical="center"/>
    </xf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36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36" fillId="54" borderId="75" applyNumberFormat="0" applyProtection="0">
      <alignment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8"/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4" fontId="43" fillId="63" borderId="71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4" fontId="38" fillId="69" borderId="75" applyNumberFormat="0" applyProtection="0">
      <alignment vertical="center"/>
    </xf>
    <xf numFmtId="0" fontId="24" fillId="102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129" fillId="104" borderId="80" applyNumberFormat="0" applyAlignment="0" applyProtection="0"/>
    <xf numFmtId="4" fontId="43" fillId="101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84" fillId="0" borderId="7">
      <alignment horizontal="center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54" borderId="71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73" borderId="78"/>
    <xf numFmtId="0" fontId="24" fillId="105" borderId="26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3" fillId="7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38" fillId="62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92" fillId="70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0" borderId="71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9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73" borderId="78"/>
    <xf numFmtId="4" fontId="43" fillId="97" borderId="71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73" borderId="78"/>
    <xf numFmtId="4" fontId="43" fillId="96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8"/>
    <xf numFmtId="4" fontId="43" fillId="97" borderId="71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0" fontId="24" fillId="73" borderId="78"/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24" fillId="73" borderId="78"/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48" fillId="68" borderId="7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78"/>
    <xf numFmtId="0" fontId="3" fillId="69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5" fillId="0" borderId="36" applyNumberFormat="0" applyFill="0" applyAlignment="0" applyProtection="0"/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9" fontId="95" fillId="110" borderId="35"/>
    <xf numFmtId="0" fontId="3" fillId="55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0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62" fillId="77" borderId="51" applyNumberFormat="0" applyAlignment="0" applyProtection="0"/>
    <xf numFmtId="0" fontId="62" fillId="77" borderId="51" applyNumberFormat="0" applyAlignment="0" applyProtection="0"/>
    <xf numFmtId="0" fontId="39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39" fillId="98" borderId="54" applyNumberFormat="0" applyProtection="0">
      <alignment horizontal="left" vertical="center" indent="1"/>
    </xf>
    <xf numFmtId="0" fontId="154" fillId="125" borderId="73" applyBorder="0" applyProtection="0">
      <alignment horizontal="centerContinuous" vertical="center"/>
    </xf>
    <xf numFmtId="0" fontId="24" fillId="102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39" fillId="99" borderId="71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94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38" fillId="64" borderId="75" applyNumberFormat="0" applyProtection="0">
      <alignment horizontal="right" vertical="center"/>
    </xf>
    <xf numFmtId="4" fontId="37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8"/>
    <xf numFmtId="0" fontId="24" fillId="107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4" borderId="75" applyNumberFormat="0" applyProtection="0">
      <alignment horizontal="right" vertical="center"/>
    </xf>
    <xf numFmtId="0" fontId="24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3" fillId="0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24" fillId="104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88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4" fontId="43" fillId="93" borderId="71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7" fillId="54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28" fillId="0" borderId="79" applyFill="0" applyProtection="0">
      <alignment horizontal="right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3" fillId="0" borderId="71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0" fontId="43" fillId="68" borderId="75" applyNumberFormat="0" applyProtection="0">
      <alignment horizontal="left" vertical="top" indent="1"/>
    </xf>
    <xf numFmtId="49" fontId="95" fillId="110" borderId="35"/>
    <xf numFmtId="4" fontId="24" fillId="83" borderId="26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0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0" fontId="88" fillId="10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8" fillId="104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24" fillId="73" borderId="78"/>
    <xf numFmtId="0" fontId="24" fillId="70" borderId="55" applyNumberFormat="0">
      <protection locked="0"/>
    </xf>
    <xf numFmtId="4" fontId="24" fillId="102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10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10" fontId="24" fillId="72" borderId="78" applyNumberFormat="0" applyBorder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3">
      <alignment horizontal="right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6" fillId="54" borderId="75" applyNumberFormat="0" applyProtection="0">
      <alignment vertical="center"/>
    </xf>
    <xf numFmtId="0" fontId="73" fillId="49" borderId="26" applyNumberFormat="0" applyAlignment="0" applyProtection="0"/>
    <xf numFmtId="4" fontId="39" fillId="54" borderId="75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4" fontId="43" fillId="72" borderId="71" applyNumberFormat="0" applyProtection="0">
      <alignment vertical="center"/>
    </xf>
    <xf numFmtId="4" fontId="43" fillId="102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66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24" fillId="73" borderId="78"/>
    <xf numFmtId="4" fontId="38" fillId="62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49" fillId="69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3" fillId="56" borderId="71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4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24" fillId="73" borderId="78"/>
    <xf numFmtId="4" fontId="24" fillId="90" borderId="26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9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73" borderId="78"/>
    <xf numFmtId="4" fontId="24" fillId="0" borderId="26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24" fillId="70" borderId="55" applyNumberFormat="0">
      <protection locked="0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189" fontId="153" fillId="0" borderId="52" applyBorder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154" fillId="125" borderId="52" applyBorder="0" applyProtection="0">
      <alignment horizontal="centerContinuous" vertical="center"/>
    </xf>
    <xf numFmtId="0" fontId="135" fillId="0" borderId="45" applyFill="0" applyBorder="0" applyProtection="0">
      <alignment horizontal="left" vertical="top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3" fontId="132" fillId="0" borderId="74"/>
    <xf numFmtId="0" fontId="3" fillId="68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24" fillId="85" borderId="26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81" fillId="79" borderId="71" applyNumberFormat="0" applyAlignment="0" applyProtection="0"/>
    <xf numFmtId="4" fontId="24" fillId="96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5" fillId="0" borderId="36" applyNumberFormat="0" applyFill="0" applyAlignment="0" applyProtection="0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44" fillId="0" borderId="7">
      <alignment horizontal="right"/>
    </xf>
    <xf numFmtId="0" fontId="144" fillId="0" borderId="7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4" fillId="0" borderId="7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43" fillId="95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0" fontId="3" fillId="68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0" fontId="144" fillId="0" borderId="7">
      <alignment horizontal="right"/>
    </xf>
    <xf numFmtId="4" fontId="38" fillId="64" borderId="75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61" borderId="71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101" borderId="75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93" fillId="67" borderId="35">
      <protection locked="0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194" fontId="132" fillId="0" borderId="43">
      <alignment horizontal="right"/>
    </xf>
    <xf numFmtId="0" fontId="43" fillId="68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58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9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9" fontId="95" fillId="110" borderId="35"/>
    <xf numFmtId="0" fontId="3" fillId="68" borderId="75" applyNumberFormat="0" applyProtection="0">
      <alignment horizontal="left" vertical="top" indent="1"/>
    </xf>
    <xf numFmtId="0" fontId="24" fillId="73" borderId="78"/>
    <xf numFmtId="4" fontId="43" fillId="85" borderId="75" applyNumberFormat="0" applyProtection="0">
      <alignment horizontal="right" vertical="center"/>
    </xf>
    <xf numFmtId="4" fontId="38" fillId="69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91" fillId="100" borderId="71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78"/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24" fillId="70" borderId="55" applyNumberFormat="0">
      <protection locked="0"/>
    </xf>
    <xf numFmtId="4" fontId="24" fillId="83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" fillId="0" borderId="0"/>
    <xf numFmtId="4" fontId="43" fillId="72" borderId="71" applyNumberFormat="0" applyProtection="0">
      <alignment vertical="center"/>
    </xf>
    <xf numFmtId="0" fontId="24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81" fillId="79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43" fillId="96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73" fillId="49" borderId="26" applyNumberFormat="0" applyAlignment="0" applyProtection="0"/>
    <xf numFmtId="4" fontId="43" fillId="103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9" fontId="95" fillId="110" borderId="35"/>
    <xf numFmtId="0" fontId="24" fillId="48" borderId="26" applyNumberFormat="0" applyFont="0" applyAlignment="0" applyProtection="0"/>
    <xf numFmtId="4" fontId="43" fillId="54" borderId="71" applyNumberFormat="0" applyProtection="0">
      <alignment vertical="center"/>
    </xf>
    <xf numFmtId="0" fontId="35" fillId="0" borderId="36" applyNumberFormat="0" applyFill="0" applyAlignment="0" applyProtection="0"/>
    <xf numFmtId="4" fontId="43" fillId="72" borderId="75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5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9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43" fillId="6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43" fillId="58" borderId="71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189" fontId="153" fillId="0" borderId="73" applyBorder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43" fillId="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0" fontId="128" fillId="0" borderId="79" applyFill="0" applyProtection="0">
      <alignment horizontal="right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4" fontId="116" fillId="54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24" fillId="48" borderId="26" applyNumberFormat="0" applyFont="0" applyAlignment="0" applyProtection="0"/>
    <xf numFmtId="0" fontId="24" fillId="102" borderId="75" applyNumberFormat="0" applyProtection="0">
      <alignment horizontal="left" vertical="top" indent="1"/>
    </xf>
    <xf numFmtId="4" fontId="36" fillId="66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101" borderId="75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85" fillId="101" borderId="75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29" fillId="104" borderId="80" applyNumberFormat="0" applyAlignment="0" applyProtection="0"/>
    <xf numFmtId="4" fontId="116" fillId="54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10" fontId="24" fillId="72" borderId="78" applyNumberFormat="0" applyBorder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87" fillId="82" borderId="75" applyNumberFormat="0" applyProtection="0">
      <alignment horizontal="left" vertical="top" indent="1"/>
    </xf>
    <xf numFmtId="194" fontId="132" fillId="0" borderId="43">
      <alignment horizontal="right"/>
    </xf>
    <xf numFmtId="4" fontId="24" fillId="83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63" borderId="71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85" fillId="72" borderId="71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73" borderId="78"/>
    <xf numFmtId="0" fontId="24" fillId="48" borderId="26" applyNumberFormat="0" applyFont="0" applyAlignment="0" applyProtection="0"/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55" borderId="75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38" fillId="56" borderId="75" applyNumberFormat="0" applyProtection="0">
      <alignment horizontal="right" vertical="center"/>
    </xf>
    <xf numFmtId="4" fontId="43" fillId="5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89" borderId="26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horizontal="left" vertical="center" indent="1"/>
    </xf>
    <xf numFmtId="0" fontId="73" fillId="49" borderId="26" applyNumberFormat="0" applyAlignment="0" applyProtection="0"/>
    <xf numFmtId="4" fontId="38" fillId="56" borderId="75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0" fontId="93" fillId="67" borderId="35">
      <protection locked="0"/>
    </xf>
    <xf numFmtId="4" fontId="24" fillId="95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88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24" fillId="73" borderId="78"/>
    <xf numFmtId="0" fontId="3" fillId="69" borderId="75" applyNumberFormat="0" applyProtection="0">
      <alignment horizontal="left" vertical="center" indent="1"/>
    </xf>
    <xf numFmtId="4" fontId="43" fillId="54" borderId="71" applyNumberFormat="0" applyProtection="0">
      <alignment vertical="center"/>
    </xf>
    <xf numFmtId="4" fontId="48" fillId="68" borderId="7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6" applyNumberFormat="0" applyProtection="0">
      <alignment vertical="center"/>
    </xf>
    <xf numFmtId="4" fontId="24" fillId="102" borderId="26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0" fontId="24" fillId="70" borderId="55" applyNumberFormat="0">
      <protection locked="0"/>
    </xf>
    <xf numFmtId="4" fontId="88" fillId="108" borderId="75" applyNumberFormat="0" applyProtection="0">
      <alignment vertical="center"/>
    </xf>
    <xf numFmtId="4" fontId="24" fillId="86" borderId="26" applyNumberFormat="0" applyProtection="0">
      <alignment horizontal="right" vertical="center"/>
    </xf>
    <xf numFmtId="0" fontId="135" fillId="0" borderId="45" applyFill="0" applyBorder="0" applyProtection="0">
      <alignment horizontal="left" vertical="top"/>
    </xf>
    <xf numFmtId="4" fontId="43" fillId="58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3" fontId="132" fillId="0" borderId="74"/>
    <xf numFmtId="4" fontId="24" fillId="85" borderId="26" applyNumberFormat="0" applyProtection="0">
      <alignment horizontal="right" vertical="center"/>
    </xf>
    <xf numFmtId="4" fontId="90" fillId="109" borderId="33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43" fillId="87" borderId="75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38" fillId="63" borderId="75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0" fontId="24" fillId="71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43" fillId="90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9" fontId="2" fillId="0" borderId="0" applyFont="0" applyFill="0" applyBorder="0" applyAlignment="0" applyProtection="0"/>
    <xf numFmtId="4" fontId="48" fillId="68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0" fontId="43" fillId="108" borderId="81" applyNumberFormat="0" applyFont="0" applyAlignment="0" applyProtection="0"/>
    <xf numFmtId="0" fontId="3" fillId="66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1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36" fillId="54" borderId="75" applyNumberFormat="0" applyProtection="0">
      <alignment vertical="center"/>
    </xf>
    <xf numFmtId="4" fontId="43" fillId="0" borderId="75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8" borderId="71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9" fillId="99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54" borderId="71" applyNumberFormat="0" applyProtection="0">
      <alignment vertical="center"/>
    </xf>
    <xf numFmtId="0" fontId="60" fillId="79" borderId="26" applyNumberFormat="0" applyAlignment="0" applyProtection="0"/>
    <xf numFmtId="4" fontId="24" fillId="102" borderId="33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24" fillId="73" borderId="78"/>
    <xf numFmtId="4" fontId="24" fillId="82" borderId="26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38" fillId="69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6" fillId="65" borderId="5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54" borderId="71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70" borderId="55" applyNumberFormat="0">
      <protection locked="0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91" fillId="10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154" fillId="125" borderId="52" applyBorder="0" applyProtection="0">
      <alignment horizontal="centerContinuous" vertical="center"/>
    </xf>
    <xf numFmtId="189" fontId="153" fillId="0" borderId="52" applyBorder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43" fillId="91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43" fillId="64" borderId="71" applyNumberFormat="0" applyProtection="0">
      <alignment horizontal="right" vertical="center"/>
    </xf>
    <xf numFmtId="4" fontId="88" fillId="104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0" fontId="60" fillId="79" borderId="26" applyNumberFormat="0" applyAlignment="0" applyProtection="0"/>
    <xf numFmtId="0" fontId="24" fillId="102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128" fillId="0" borderId="79" applyFill="0" applyProtection="0">
      <alignment horizontal="right"/>
    </xf>
    <xf numFmtId="4" fontId="24" fillId="94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48" fillId="68" borderId="77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24" fillId="73" borderId="78"/>
    <xf numFmtId="0" fontId="24" fillId="107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0" fontId="87" fillId="82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24" fillId="85" borderId="26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60" fillId="79" borderId="26" applyNumberFormat="0" applyAlignment="0" applyProtection="0"/>
    <xf numFmtId="0" fontId="3" fillId="55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43" fillId="72" borderId="71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88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38" fillId="69" borderId="75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81" fillId="79" borderId="71" applyNumberFormat="0" applyAlignment="0" applyProtection="0"/>
    <xf numFmtId="4" fontId="43" fillId="54" borderId="71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5" fillId="54" borderId="71" applyNumberFormat="0" applyProtection="0">
      <alignment vertical="center"/>
    </xf>
    <xf numFmtId="4" fontId="37" fillId="54" borderId="75" applyNumberFormat="0" applyProtection="0">
      <alignment vertical="center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8" fillId="56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9" fillId="98" borderId="54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194" fontId="132" fillId="0" borderId="43">
      <alignment horizontal="right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86" fillId="72" borderId="78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88" fillId="104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93" fillId="67" borderId="35">
      <protection locked="0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8" fillId="69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72" borderId="71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9" fillId="8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0" fontId="14" fillId="71" borderId="76" applyBorder="0"/>
    <xf numFmtId="4" fontId="44" fillId="69" borderId="75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4" fontId="38" fillId="60" borderId="75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73" borderId="78"/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54" borderId="75" applyNumberFormat="0" applyProtection="0">
      <alignment vertical="center"/>
    </xf>
    <xf numFmtId="4" fontId="24" fillId="95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36" fillId="65" borderId="54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24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4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38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24" fillId="70" borderId="55" applyNumberFormat="0">
      <protection locked="0"/>
    </xf>
    <xf numFmtId="0" fontId="3" fillId="84" borderId="71" applyNumberFormat="0" applyProtection="0">
      <alignment horizontal="left" vertical="center" indent="1"/>
    </xf>
    <xf numFmtId="0" fontId="129" fillId="104" borderId="80" applyNumberFormat="0" applyAlignment="0" applyProtection="0"/>
    <xf numFmtId="4" fontId="24" fillId="95" borderId="26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43" fillId="72" borderId="71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81" fillId="79" borderId="71" applyNumberFormat="0" applyAlignment="0" applyProtection="0"/>
    <xf numFmtId="4" fontId="24" fillId="88" borderId="33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48" fillId="104" borderId="71" applyNumberFormat="0" applyAlignment="0" applyProtection="0"/>
    <xf numFmtId="4" fontId="43" fillId="0" borderId="71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189" fontId="153" fillId="0" borderId="73" applyBorder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194" fontId="132" fillId="0" borderId="43">
      <alignment horizontal="right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8" fontId="3" fillId="0" borderId="69" applyFont="0" applyFill="0" applyBorder="0" applyProtection="0">
      <alignment horizontal="right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43" fillId="108" borderId="81" applyNumberFormat="0" applyFont="0" applyAlignment="0" applyProtection="0"/>
    <xf numFmtId="4" fontId="43" fillId="72" borderId="75" applyNumberFormat="0" applyProtection="0">
      <alignment horizontal="left" vertical="center" indent="1"/>
    </xf>
    <xf numFmtId="4" fontId="49" fillId="69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14" fillId="71" borderId="76" applyBorder="0"/>
    <xf numFmtId="4" fontId="38" fillId="6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61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58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0" fontId="88" fillId="108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0" fontId="43" fillId="68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0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43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4" fillId="69" borderId="75" applyNumberFormat="0" applyProtection="0">
      <alignment vertical="center"/>
    </xf>
    <xf numFmtId="4" fontId="91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49" fillId="69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0" fontId="52" fillId="0" borderId="56" applyNumberFormat="0" applyFill="0" applyProtection="0">
      <alignment horizontal="center"/>
    </xf>
    <xf numFmtId="4" fontId="24" fillId="90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4" fillId="70" borderId="55" applyNumberFormat="0">
      <protection locked="0"/>
    </xf>
    <xf numFmtId="4" fontId="43" fillId="103" borderId="71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71" fillId="0" borderId="30" applyNumberFormat="0" applyFill="0" applyAlignment="0" applyProtection="0"/>
    <xf numFmtId="4" fontId="43" fillId="54" borderId="71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0" borderId="71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4" fillId="73" borderId="78"/>
    <xf numFmtId="0" fontId="39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86" fillId="67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81" fillId="79" borderId="71" applyNumberFormat="0" applyAlignment="0" applyProtection="0"/>
    <xf numFmtId="4" fontId="39" fillId="82" borderId="75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0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0" fontId="135" fillId="0" borderId="45" applyFill="0" applyBorder="0" applyProtection="0">
      <alignment horizontal="left" vertical="top"/>
    </xf>
    <xf numFmtId="3" fontId="132" fillId="0" borderId="74"/>
    <xf numFmtId="0" fontId="24" fillId="101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43" fillId="116" borderId="80" applyNumberFormat="0" applyAlignment="0" applyProtection="0"/>
    <xf numFmtId="4" fontId="92" fillId="70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0" fontId="93" fillId="67" borderId="35">
      <protection locked="0"/>
    </xf>
    <xf numFmtId="49" fontId="95" fillId="110" borderId="35"/>
    <xf numFmtId="0" fontId="43" fillId="68" borderId="75" applyNumberFormat="0" applyProtection="0">
      <alignment horizontal="left" vertical="top" indent="1"/>
    </xf>
    <xf numFmtId="4" fontId="36" fillId="66" borderId="75" applyNumberFormat="0" applyProtection="0">
      <alignment horizontal="left" vertical="center" indent="1"/>
    </xf>
    <xf numFmtId="4" fontId="38" fillId="61" borderId="75" applyNumberFormat="0" applyProtection="0">
      <alignment horizontal="right" vertical="center"/>
    </xf>
    <xf numFmtId="0" fontId="24" fillId="73" borderId="78"/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73" borderId="78"/>
    <xf numFmtId="4" fontId="116" fillId="54" borderId="75" applyNumberFormat="0" applyProtection="0">
      <alignment vertical="center"/>
    </xf>
    <xf numFmtId="4" fontId="43" fillId="94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60" fillId="79" borderId="26" applyNumberFormat="0" applyAlignment="0" applyProtection="0"/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70" borderId="55" applyNumberFormat="0">
      <protection locked="0"/>
    </xf>
    <xf numFmtId="4" fontId="36" fillId="66" borderId="77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24" fillId="73" borderId="78"/>
    <xf numFmtId="4" fontId="24" fillId="10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71" fillId="0" borderId="30" applyNumberFormat="0" applyFill="0" applyAlignment="0" applyProtection="0"/>
    <xf numFmtId="4" fontId="43" fillId="103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9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8" borderId="54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24" fillId="71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64" borderId="71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" fillId="0" borderId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4" fillId="73" borderId="78"/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43" fillId="72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4" fontId="43" fillId="58" borderId="71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24" fillId="86" borderId="26" applyNumberFormat="0" applyProtection="0">
      <alignment horizontal="right" vertical="center"/>
    </xf>
    <xf numFmtId="0" fontId="24" fillId="48" borderId="26" applyNumberFormat="0" applyFont="0" applyAlignment="0" applyProtection="0"/>
    <xf numFmtId="4" fontId="43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135" fillId="0" borderId="45" applyFill="0" applyBorder="0" applyProtection="0">
      <alignment horizontal="left" vertical="top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43" fillId="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48" borderId="26" applyNumberFormat="0" applyFont="0" applyAlignment="0" applyProtection="0"/>
    <xf numFmtId="4" fontId="24" fillId="5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8" fillId="69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5" fillId="0" borderId="36" applyNumberFormat="0" applyFill="0" applyAlignment="0" applyProtection="0"/>
    <xf numFmtId="0" fontId="24" fillId="10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89" borderId="26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24" fillId="73" borderId="78"/>
    <xf numFmtId="0" fontId="43" fillId="68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38" fillId="54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24" fillId="102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38" fillId="57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92" fillId="70" borderId="26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4" fillId="73" borderId="78"/>
    <xf numFmtId="0" fontId="24" fillId="101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97" borderId="71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24" fillId="73" borderId="78"/>
    <xf numFmtId="4" fontId="24" fillId="101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8" fillId="56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194" fontId="132" fillId="0" borderId="43">
      <alignment horizontal="right"/>
    </xf>
    <xf numFmtId="4" fontId="43" fillId="88" borderId="75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107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71" fillId="0" borderId="30" applyNumberFormat="0" applyFill="0" applyAlignment="0" applyProtection="0"/>
    <xf numFmtId="0" fontId="43" fillId="68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85" fillId="100" borderId="71" applyNumberFormat="0" applyProtection="0">
      <alignment horizontal="right" vertical="center"/>
    </xf>
    <xf numFmtId="0" fontId="24" fillId="70" borderId="55" applyNumberFormat="0">
      <protection locked="0"/>
    </xf>
    <xf numFmtId="0" fontId="24" fillId="101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54" borderId="71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73" fillId="49" borderId="26" applyNumberFormat="0" applyAlignment="0" applyProtection="0"/>
    <xf numFmtId="0" fontId="24" fillId="70" borderId="55" applyNumberFormat="0">
      <protection locked="0"/>
    </xf>
    <xf numFmtId="0" fontId="24" fillId="70" borderId="55" applyNumberFormat="0">
      <protection locked="0"/>
    </xf>
    <xf numFmtId="0" fontId="60" fillId="79" borderId="26" applyNumberFormat="0" applyAlignment="0" applyProtection="0"/>
    <xf numFmtId="0" fontId="24" fillId="104" borderId="26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43" fillId="102" borderId="75" applyNumberFormat="0" applyProtection="0">
      <alignment horizontal="right" vertical="center"/>
    </xf>
    <xf numFmtId="4" fontId="43" fillId="54" borderId="71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4" fontId="39" fillId="82" borderId="75" applyNumberFormat="0" applyProtection="0">
      <alignment vertical="center"/>
    </xf>
    <xf numFmtId="0" fontId="43" fillId="108" borderId="81" applyNumberFormat="0" applyFont="0" applyAlignment="0" applyProtection="0"/>
    <xf numFmtId="0" fontId="88" fillId="102" borderId="75" applyNumberFormat="0" applyProtection="0">
      <alignment horizontal="left" vertical="top" indent="1"/>
    </xf>
    <xf numFmtId="4" fontId="43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4" fontId="44" fillId="69" borderId="75" applyNumberFormat="0" applyProtection="0">
      <alignment vertical="center"/>
    </xf>
    <xf numFmtId="4" fontId="49" fillId="69" borderId="75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38" fillId="59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86" fillId="67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0" fontId="24" fillId="48" borderId="26" applyNumberFormat="0" applyFont="0" applyAlignment="0" applyProtection="0"/>
    <xf numFmtId="4" fontId="43" fillId="88" borderId="75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85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88" borderId="75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56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24" fillId="70" borderId="55" applyNumberFormat="0">
      <protection locked="0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87" fillId="82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43" fillId="72" borderId="71" applyNumberFormat="0" applyProtection="0">
      <alignment vertical="center"/>
    </xf>
    <xf numFmtId="4" fontId="39" fillId="82" borderId="75" applyNumberFormat="0" applyProtection="0">
      <alignment vertical="center"/>
    </xf>
    <xf numFmtId="0" fontId="14" fillId="71" borderId="76" applyBorder="0"/>
    <xf numFmtId="0" fontId="24" fillId="107" borderId="26" applyNumberFormat="0" applyProtection="0">
      <alignment horizontal="left" vertical="center" indent="1"/>
    </xf>
    <xf numFmtId="4" fontId="38" fillId="69" borderId="75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8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24" fillId="107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4" fontId="86" fillId="72" borderId="78" applyNumberFormat="0" applyProtection="0">
      <alignment vertical="center"/>
    </xf>
    <xf numFmtId="4" fontId="36" fillId="66" borderId="75" applyNumberFormat="0" applyProtection="0">
      <alignment horizontal="left" vertical="center" indent="1"/>
    </xf>
    <xf numFmtId="4" fontId="38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69" borderId="75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24" fillId="73" borderId="78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0" fontId="143" fillId="116" borderId="80" applyNumberFormat="0" applyAlignment="0" applyProtection="0"/>
    <xf numFmtId="4" fontId="24" fillId="94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24" fillId="70" borderId="55" applyNumberFormat="0">
      <protection locked="0"/>
    </xf>
    <xf numFmtId="4" fontId="44" fillId="69" borderId="75" applyNumberFormat="0" applyProtection="0">
      <alignment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24" fillId="73" borderId="78"/>
    <xf numFmtId="0" fontId="39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" fillId="0" borderId="0"/>
    <xf numFmtId="0" fontId="39" fillId="0" borderId="72" applyNumberFormat="0" applyFill="0" applyAlignment="0" applyProtection="0"/>
    <xf numFmtId="4" fontId="24" fillId="90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0" fontId="43" fillId="108" borderId="81" applyNumberFormat="0" applyFont="0" applyAlignment="0" applyProtection="0"/>
    <xf numFmtId="0" fontId="24" fillId="48" borderId="26" applyNumberFormat="0" applyFont="0" applyAlignment="0" applyProtection="0"/>
    <xf numFmtId="4" fontId="39" fillId="54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24" fillId="54" borderId="26" applyNumberFormat="0" applyProtection="0">
      <alignment horizontal="left" vertical="center" indent="1"/>
    </xf>
    <xf numFmtId="4" fontId="85" fillId="54" borderId="71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86" fillId="72" borderId="78" applyNumberFormat="0" applyProtection="0">
      <alignment vertical="center"/>
    </xf>
    <xf numFmtId="4" fontId="43" fillId="72" borderId="71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101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60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7" fillId="54" borderId="75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6" fillId="66" borderId="75" applyNumberFormat="0" applyProtection="0">
      <alignment horizontal="left" vertical="center" indent="1"/>
    </xf>
    <xf numFmtId="0" fontId="88" fillId="102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90" fillId="109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93" fillId="67" borderId="35">
      <protection locked="0"/>
    </xf>
    <xf numFmtId="4" fontId="36" fillId="66" borderId="75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4" fontId="38" fillId="58" borderId="75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48" fillId="68" borderId="7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71" fillId="0" borderId="30" applyNumberFormat="0" applyFill="0" applyAlignment="0" applyProtection="0"/>
    <xf numFmtId="0" fontId="73" fillId="49" borderId="26" applyNumberFormat="0" applyAlignment="0" applyProtection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87" borderId="75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5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24" fillId="73" borderId="78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10" fontId="24" fillId="72" borderId="78" applyNumberFormat="0" applyBorder="0" applyAlignment="0" applyProtection="0"/>
    <xf numFmtId="4" fontId="24" fillId="83" borderId="26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43" fillId="72" borderId="75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103" borderId="71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4" fontId="38" fillId="58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4" fillId="85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24" fillId="71" borderId="75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8" borderId="54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97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97" borderId="71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39" fillId="99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4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62" fillId="77" borderId="51" applyNumberFormat="0" applyAlignment="0" applyProtection="0"/>
    <xf numFmtId="4" fontId="24" fillId="95" borderId="26" applyNumberFormat="0" applyProtection="0">
      <alignment horizontal="right" vertical="center"/>
    </xf>
    <xf numFmtId="0" fontId="62" fillId="77" borderId="51" applyNumberFormat="0" applyAlignment="0" applyProtection="0"/>
    <xf numFmtId="0" fontId="3" fillId="84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4" fontId="24" fillId="83" borderId="26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78"/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24" fillId="73" borderId="78"/>
    <xf numFmtId="4" fontId="43" fillId="102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43" fillId="100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43" fillId="100" borderId="71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43" fillId="97" borderId="71" applyNumberFormat="0" applyProtection="0">
      <alignment horizontal="right" vertical="center"/>
    </xf>
    <xf numFmtId="4" fontId="43" fillId="100" borderId="71" applyNumberFormat="0" applyProtection="0">
      <alignment horizontal="left" vertical="center" indent="1"/>
    </xf>
    <xf numFmtId="0" fontId="62" fillId="77" borderId="51" applyNumberFormat="0" applyAlignment="0" applyProtection="0"/>
    <xf numFmtId="0" fontId="62" fillId="77" borderId="51" applyNumberFormat="0" applyAlignment="0" applyProtection="0"/>
    <xf numFmtId="0" fontId="39" fillId="54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73" borderId="78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24" fillId="70" borderId="55" applyNumberFormat="0">
      <protection locked="0"/>
    </xf>
    <xf numFmtId="0" fontId="24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52" fillId="0" borderId="56" applyNumberFormat="0" applyFill="0" applyProtection="0">
      <alignment horizontal="center"/>
    </xf>
    <xf numFmtId="4" fontId="43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" fontId="43" fillId="56" borderId="71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88" fillId="104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38" fillId="69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43" fillId="0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28" fillId="0" borderId="79" applyFill="0" applyProtection="0">
      <alignment horizontal="right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130" fillId="120" borderId="51" applyNumberFormat="0" applyAlignment="0" applyProtection="0"/>
    <xf numFmtId="0" fontId="130" fillId="120" borderId="51" applyNumberFormat="0" applyAlignment="0" applyProtection="0"/>
    <xf numFmtId="0" fontId="24" fillId="73" borderId="78"/>
    <xf numFmtId="0" fontId="43" fillId="68" borderId="75" applyNumberFormat="0" applyProtection="0">
      <alignment horizontal="left" vertical="top" indent="1"/>
    </xf>
    <xf numFmtId="0" fontId="24" fillId="73" borderId="78"/>
    <xf numFmtId="4" fontId="85" fillId="10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85" fillId="72" borderId="71" applyNumberFormat="0" applyProtection="0">
      <alignment vertical="center"/>
    </xf>
    <xf numFmtId="4" fontId="43" fillId="72" borderId="71" applyNumberFormat="0" applyProtection="0">
      <alignment vertical="center"/>
    </xf>
    <xf numFmtId="4" fontId="88" fillId="108" borderId="75" applyNumberFormat="0" applyProtection="0">
      <alignment vertical="center"/>
    </xf>
    <xf numFmtId="4" fontId="43" fillId="72" borderId="71" applyNumberFormat="0" applyProtection="0">
      <alignment vertical="center"/>
    </xf>
    <xf numFmtId="0" fontId="24" fillId="70" borderId="55" applyNumberFormat="0">
      <protection locked="0"/>
    </xf>
    <xf numFmtId="0" fontId="24" fillId="70" borderId="55" applyNumberFormat="0">
      <protection locked="0"/>
    </xf>
    <xf numFmtId="4" fontId="91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4" fontId="24" fillId="85" borderId="26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0" fontId="87" fillId="82" borderId="75" applyNumberFormat="0" applyProtection="0">
      <alignment horizontal="left" vertical="top" indent="1"/>
    </xf>
    <xf numFmtId="4" fontId="43" fillId="54" borderId="71" applyNumberFormat="0" applyProtection="0">
      <alignment horizontal="left" vertical="center" indent="1"/>
    </xf>
    <xf numFmtId="10" fontId="24" fillId="72" borderId="78" applyNumberFormat="0" applyBorder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4" fontId="24" fillId="54" borderId="26" applyNumberFormat="0" applyProtection="0">
      <alignment horizontal="left" vertical="center" indent="1"/>
    </xf>
    <xf numFmtId="0" fontId="144" fillId="0" borderId="64">
      <alignment horizontal="right"/>
    </xf>
    <xf numFmtId="0" fontId="144" fillId="0" borderId="64">
      <alignment horizontal="left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3">
      <alignment horizontal="right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0" fontId="81" fillId="79" borderId="71" applyNumberFormat="0" applyAlignment="0" applyProtection="0"/>
    <xf numFmtId="0" fontId="81" fillId="79" borderId="71" applyNumberForma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2" fillId="0" borderId="0"/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189" fontId="153" fillId="0" borderId="73" applyBorder="0" applyProtection="0">
      <alignment horizontal="right" vertical="center"/>
    </xf>
    <xf numFmtId="0" fontId="84" fillId="0" borderId="64">
      <alignment horizontal="center"/>
    </xf>
    <xf numFmtId="0" fontId="84" fillId="0" borderId="64">
      <alignment horizontal="center"/>
    </xf>
    <xf numFmtId="0" fontId="84" fillId="0" borderId="64">
      <alignment horizont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83" fillId="121" borderId="67" applyNumberFormat="0" applyFont="0" applyAlignment="0" applyProtection="0"/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135" fillId="0" borderId="45" applyFill="0" applyBorder="0" applyProtection="0">
      <alignment horizontal="left" vertical="top"/>
    </xf>
    <xf numFmtId="4" fontId="24" fillId="0" borderId="26" applyNumberFormat="0" applyProtection="0">
      <alignment horizontal="right"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3" fontId="132" fillId="0" borderId="74"/>
    <xf numFmtId="0" fontId="24" fillId="101" borderId="75" applyNumberFormat="0" applyProtection="0">
      <alignment horizontal="left" vertical="top" indent="1"/>
    </xf>
    <xf numFmtId="0" fontId="62" fillId="77" borderId="51" applyNumberFormat="0" applyAlignment="0" applyProtection="0"/>
    <xf numFmtId="0" fontId="24" fillId="101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4" fillId="0" borderId="64">
      <alignment horizontal="right"/>
    </xf>
    <xf numFmtId="4" fontId="91" fillId="101" borderId="75" applyNumberFormat="0" applyProtection="0">
      <alignment horizontal="right" vertical="center"/>
    </xf>
    <xf numFmtId="0" fontId="24" fillId="73" borderId="78"/>
    <xf numFmtId="4" fontId="24" fillId="83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88" fillId="104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73" borderId="78"/>
    <xf numFmtId="4" fontId="91" fillId="101" borderId="75" applyNumberFormat="0" applyProtection="0">
      <alignment horizontal="right" vertical="center"/>
    </xf>
    <xf numFmtId="0" fontId="24" fillId="73" borderId="78"/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4" fontId="24" fillId="94" borderId="26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0" fontId="24" fillId="73" borderId="78"/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43" fillId="100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4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103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97" borderId="71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6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4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28" fillId="0" borderId="79" applyFill="0" applyProtection="0">
      <alignment horizontal="right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129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38" fillId="54" borderId="75" applyNumberFormat="0" applyProtection="0">
      <alignment horizontal="left" vertical="center" indent="1"/>
    </xf>
    <xf numFmtId="0" fontId="129" fillId="104" borderId="80" applyNumberFormat="0" applyAlignment="0" applyProtection="0"/>
    <xf numFmtId="0" fontId="43" fillId="72" borderId="75" applyNumberFormat="0" applyProtection="0">
      <alignment horizontal="left" vertical="top" indent="1"/>
    </xf>
    <xf numFmtId="0" fontId="129" fillId="104" borderId="80" applyNumberForma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10" fontId="24" fillId="72" borderId="78" applyNumberFormat="0" applyBorder="0" applyAlignment="0" applyProtection="0"/>
    <xf numFmtId="4" fontId="39" fillId="8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0" fontId="128" fillId="0" borderId="79" applyFill="0" applyProtection="0">
      <alignment horizontal="right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35" fillId="0" borderId="36" applyNumberFormat="0" applyFill="0" applyAlignment="0" applyProtection="0"/>
    <xf numFmtId="4" fontId="92" fillId="70" borderId="26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6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1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1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1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85" fillId="72" borderId="71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1" applyNumberFormat="0" applyProtection="0">
      <alignment vertical="center"/>
    </xf>
    <xf numFmtId="4" fontId="91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4" fillId="107" borderId="75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66" borderId="75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43" fillId="63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43" fillId="93" borderId="71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43" fillId="91" borderId="71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1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1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43" fillId="57" borderId="71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143" fillId="116" borderId="80" applyNumberFormat="0" applyAlignment="0" applyProtection="0"/>
    <xf numFmtId="0" fontId="143" fillId="116" borderId="80" applyNumberFormat="0" applyAlignment="0" applyProtection="0"/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3">
      <alignment horizontal="right"/>
    </xf>
    <xf numFmtId="4" fontId="24" fillId="54" borderId="26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1" applyNumberFormat="0" applyProtection="0">
      <alignment vertical="center"/>
    </xf>
    <xf numFmtId="4" fontId="24" fillId="82" borderId="26" applyNumberFormat="0" applyProtection="0">
      <alignment vertical="center"/>
    </xf>
    <xf numFmtId="0" fontId="39" fillId="54" borderId="75" applyNumberFormat="0" applyProtection="0">
      <alignment horizontal="left" vertical="top" indent="1"/>
    </xf>
    <xf numFmtId="4" fontId="38" fillId="58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0" fontId="81" fillId="79" borderId="71" applyNumberFormat="0" applyAlignment="0" applyProtection="0"/>
    <xf numFmtId="0" fontId="81" fillId="79" borderId="71" applyNumberFormat="0" applyAlignment="0" applyProtection="0"/>
    <xf numFmtId="4" fontId="39" fillId="54" borderId="75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8" fillId="104" borderId="71" applyNumberFormat="0" applyAlignment="0" applyProtection="0"/>
    <xf numFmtId="0" fontId="148" fillId="104" borderId="71" applyNumberFormat="0" applyAlignment="0" applyProtection="0"/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1"/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93" fillId="67" borderId="35">
      <protection locked="0"/>
    </xf>
    <xf numFmtId="49" fontId="95" fillId="110" borderId="35"/>
    <xf numFmtId="0" fontId="135" fillId="0" borderId="45" applyFill="0" applyBorder="0" applyProtection="0">
      <alignment horizontal="left" vertical="top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3" fontId="132" fillId="0" borderId="74"/>
    <xf numFmtId="4" fontId="43" fillId="87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116" fillId="54" borderId="75" applyNumberFormat="0" applyProtection="0">
      <alignment vertical="center"/>
    </xf>
    <xf numFmtId="4" fontId="91" fillId="101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5" applyNumberFormat="0" applyProtection="0">
      <alignment horizontal="right" vertical="center"/>
    </xf>
    <xf numFmtId="0" fontId="88" fillId="102" borderId="75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88" fillId="108" borderId="75" applyNumberFormat="0" applyProtection="0">
      <alignment horizontal="left" vertical="top" indent="1"/>
    </xf>
    <xf numFmtId="0" fontId="24" fillId="107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9" fillId="69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4" fillId="69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58" borderId="71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7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3" fillId="63" borderId="71" applyNumberFormat="0" applyProtection="0">
      <alignment horizontal="right" vertical="center"/>
    </xf>
    <xf numFmtId="0" fontId="43" fillId="108" borderId="81" applyNumberFormat="0" applyFont="0" applyAlignment="0" applyProtection="0"/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0" fontId="143" fillId="116" borderId="80" applyNumberFormat="0" applyAlignment="0" applyProtection="0"/>
    <xf numFmtId="4" fontId="43" fillId="54" borderId="71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93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129" fillId="104" borderId="80" applyNumberFormat="0" applyAlignment="0" applyProtection="0"/>
    <xf numFmtId="0" fontId="129" fillId="104" borderId="80" applyNumberFormat="0" applyAlignment="0" applyProtection="0"/>
    <xf numFmtId="0" fontId="128" fillId="0" borderId="79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9" fillId="69" borderId="75" applyNumberFormat="0" applyProtection="0">
      <alignment horizontal="right" vertical="center"/>
    </xf>
    <xf numFmtId="4" fontId="48" fillId="68" borderId="77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38" fillId="69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62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59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8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8" fillId="54" borderId="75" applyNumberFormat="0" applyProtection="0">
      <alignment horizontal="left" vertical="center" indent="1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44" fontId="2" fillId="0" borderId="0" applyFont="0" applyFill="0" applyBorder="0" applyAlignment="0" applyProtection="0"/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64" borderId="71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194" fontId="132" fillId="0" borderId="43">
      <alignment horizontal="right"/>
    </xf>
    <xf numFmtId="0" fontId="3" fillId="66" borderId="75" applyNumberFormat="0" applyProtection="0">
      <alignment horizontal="left" vertical="center" indent="1"/>
    </xf>
    <xf numFmtId="0" fontId="143" fillId="116" borderId="80" applyNumberForma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135" fillId="0" borderId="45" applyFill="0" applyBorder="0" applyProtection="0">
      <alignment horizontal="left" vertical="top"/>
    </xf>
    <xf numFmtId="4" fontId="43" fillId="92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194" fontId="132" fillId="0" borderId="43">
      <alignment horizontal="right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0" fontId="39" fillId="54" borderId="75" applyNumberFormat="0" applyProtection="0">
      <alignment horizontal="left" vertical="top" indent="1"/>
    </xf>
    <xf numFmtId="4" fontId="39" fillId="54" borderId="75" applyNumberFormat="0" applyProtection="0">
      <alignment horizontal="left" vertical="center" indent="1"/>
    </xf>
    <xf numFmtId="0" fontId="148" fillId="104" borderId="71" applyNumberFormat="0" applyAlignment="0" applyProtection="0"/>
    <xf numFmtId="0" fontId="148" fillId="104" borderId="71" applyNumberFormat="0" applyAlignment="0" applyProtection="0"/>
    <xf numFmtId="4" fontId="39" fillId="54" borderId="75" applyNumberFormat="0" applyProtection="0">
      <alignment horizontal="left" vertical="center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43" fillId="108" borderId="81" applyNumberFormat="0" applyFont="0" applyAlignment="0" applyProtection="0"/>
    <xf numFmtId="0" fontId="143" fillId="116" borderId="80" applyNumberFormat="0" applyAlignment="0" applyProtection="0"/>
    <xf numFmtId="4" fontId="44" fillId="69" borderId="75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38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8" fillId="6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38" fillId="57" borderId="75" applyNumberFormat="0" applyProtection="0">
      <alignment horizontal="right" vertical="center"/>
    </xf>
    <xf numFmtId="4" fontId="38" fillId="56" borderId="75" applyNumberFormat="0" applyProtection="0">
      <alignment horizontal="right" vertical="center"/>
    </xf>
    <xf numFmtId="4" fontId="37" fillId="54" borderId="75" applyNumberFormat="0" applyProtection="0">
      <alignment vertical="center"/>
    </xf>
    <xf numFmtId="4" fontId="36" fillId="54" borderId="75" applyNumberFormat="0" applyProtection="0">
      <alignment vertical="center"/>
    </xf>
    <xf numFmtId="0" fontId="39" fillId="0" borderId="72" applyNumberFormat="0" applyFill="0" applyAlignment="0" applyProtection="0"/>
    <xf numFmtId="0" fontId="39" fillId="0" borderId="72" applyNumberFormat="0" applyFill="0" applyAlignment="0" applyProtection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39" fillId="82" borderId="75" applyNumberFormat="0" applyProtection="0">
      <alignment vertical="center"/>
    </xf>
    <xf numFmtId="4" fontId="116" fillId="54" borderId="75" applyNumberFormat="0" applyProtection="0">
      <alignment vertical="center"/>
    </xf>
    <xf numFmtId="3" fontId="132" fillId="0" borderId="74"/>
    <xf numFmtId="4" fontId="116" fillId="54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0" fontId="39" fillId="54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35" fillId="0" borderId="45" applyFill="0" applyBorder="0" applyProtection="0">
      <alignment horizontal="left" vertical="top"/>
    </xf>
    <xf numFmtId="0" fontId="39" fillId="0" borderId="72" applyNumberFormat="0" applyFill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91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4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38" fillId="6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43" fillId="95" borderId="75" applyNumberFormat="0" applyProtection="0">
      <alignment horizontal="right" vertical="center"/>
    </xf>
    <xf numFmtId="4" fontId="38" fillId="6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38" fillId="60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5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8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43" fillId="94" borderId="75" applyNumberFormat="0" applyProtection="0">
      <alignment horizontal="right" vertical="center"/>
    </xf>
    <xf numFmtId="0" fontId="129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3" fillId="108" borderId="81" applyNumberFormat="0" applyFont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90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3" fontId="132" fillId="0" borderId="74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4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5" fillId="0" borderId="45" applyFill="0" applyBorder="0" applyProtection="0">
      <alignment horizontal="left" vertical="top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3" fontId="132" fillId="0" borderId="74"/>
    <xf numFmtId="0" fontId="43" fillId="72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5" applyNumberFormat="0" applyProtection="0">
      <alignment horizontal="right" vertical="center"/>
    </xf>
    <xf numFmtId="0" fontId="43" fillId="72" borderId="75" applyNumberFormat="0" applyProtection="0">
      <alignment horizontal="left" vertical="top" indent="1"/>
    </xf>
    <xf numFmtId="0" fontId="43" fillId="72" borderId="75" applyNumberFormat="0" applyProtection="0">
      <alignment horizontal="left" vertical="top" indent="1"/>
    </xf>
    <xf numFmtId="4" fontId="116" fillId="54" borderId="75" applyNumberFormat="0" applyProtection="0">
      <alignment vertical="center"/>
    </xf>
    <xf numFmtId="4" fontId="116" fillId="54" borderId="75" applyNumberFormat="0" applyProtection="0">
      <alignment vertical="center"/>
    </xf>
    <xf numFmtId="4" fontId="39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4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4" fontId="43" fillId="102" borderId="75" applyNumberFormat="0" applyProtection="0">
      <alignment horizontal="left" vertical="center" indent="1"/>
    </xf>
    <xf numFmtId="0" fontId="144" fillId="0" borderId="64">
      <alignment horizontal="right"/>
    </xf>
    <xf numFmtId="0" fontId="144" fillId="0" borderId="64">
      <alignment horizontal="left"/>
    </xf>
    <xf numFmtId="0" fontId="3" fillId="55" borderId="75" applyNumberFormat="0" applyProtection="0">
      <alignment horizontal="left" vertical="center" indent="1"/>
    </xf>
    <xf numFmtId="4" fontId="43" fillId="102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84" fillId="0" borderId="64">
      <alignment horizontal="center"/>
    </xf>
    <xf numFmtId="49" fontId="95" fillId="110" borderId="35"/>
    <xf numFmtId="0" fontId="93" fillId="67" borderId="35">
      <protection locked="0"/>
    </xf>
    <xf numFmtId="0" fontId="3" fillId="55" borderId="75" applyNumberFormat="0" applyProtection="0">
      <alignment horizontal="left" vertical="top" indent="1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5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7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8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89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38" fillId="61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0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2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38" fillId="63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4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5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38" fillId="6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96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4" fontId="43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69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4" fontId="43" fillId="72" borderId="75" applyNumberFormat="0" applyProtection="0">
      <alignment horizontal="left" vertical="center" indent="1"/>
    </xf>
    <xf numFmtId="0" fontId="43" fillId="72" borderId="75" applyNumberFormat="0" applyProtection="0">
      <alignment horizontal="left" vertical="top" indent="1"/>
    </xf>
    <xf numFmtId="4" fontId="43" fillId="72" borderId="75" applyNumberFormat="0" applyProtection="0">
      <alignment horizontal="left" vertical="center" indent="1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43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4" fontId="43" fillId="102" borderId="75" applyNumberFormat="0" applyProtection="0">
      <alignment horizontal="left" vertical="center" indent="1"/>
    </xf>
    <xf numFmtId="0" fontId="39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43" fillId="72" borderId="75" applyNumberFormat="0" applyProtection="0">
      <alignment vertical="center"/>
    </xf>
    <xf numFmtId="0" fontId="62" fillId="77" borderId="51" applyNumberFormat="0" applyAlignment="0" applyProtection="0"/>
    <xf numFmtId="4" fontId="85" fillId="72" borderId="75" applyNumberFormat="0" applyProtection="0">
      <alignment vertical="center"/>
    </xf>
    <xf numFmtId="0" fontId="62" fillId="77" borderId="51" applyNumberFormat="0" applyAlignment="0" applyProtection="0"/>
    <xf numFmtId="4" fontId="85" fillId="72" borderId="75" applyNumberFormat="0" applyProtection="0">
      <alignment vertical="center"/>
    </xf>
    <xf numFmtId="4" fontId="43" fillId="102" borderId="75" applyNumberFormat="0" applyProtection="0">
      <alignment horizontal="left" vertical="center" indent="1"/>
    </xf>
    <xf numFmtId="4" fontId="43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54" borderId="75" applyNumberFormat="0" applyProtection="0">
      <alignment horizontal="left" vertical="center" indent="1"/>
    </xf>
    <xf numFmtId="0" fontId="39" fillId="54" borderId="75" applyNumberFormat="0" applyProtection="0">
      <alignment horizontal="left" vertical="top" indent="1"/>
    </xf>
    <xf numFmtId="4" fontId="85" fillId="101" borderId="75" applyNumberFormat="0" applyProtection="0">
      <alignment horizontal="right" vertical="center"/>
    </xf>
    <xf numFmtId="4" fontId="39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3" fillId="95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5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85" fillId="101" borderId="75" applyNumberFormat="0" applyProtection="0">
      <alignment horizontal="right" vertical="center"/>
    </xf>
    <xf numFmtId="189" fontId="153" fillId="0" borderId="73" applyBorder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144" fillId="0" borderId="64">
      <alignment horizontal="right"/>
    </xf>
    <xf numFmtId="4" fontId="85" fillId="101" borderId="75" applyNumberFormat="0" applyProtection="0">
      <alignment horizontal="right" vertical="center"/>
    </xf>
    <xf numFmtId="4" fontId="85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62" fillId="77" borderId="51" applyNumberFormat="0" applyAlignment="0" applyProtection="0"/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0" fontId="43" fillId="68" borderId="75" applyNumberFormat="0" applyProtection="0">
      <alignment horizontal="left" vertical="top" indent="1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91" fillId="101" borderId="75" applyNumberFormat="0" applyProtection="0">
      <alignment horizontal="right" vertical="center"/>
    </xf>
    <xf numFmtId="4" fontId="36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4" fillId="73" borderId="78"/>
    <xf numFmtId="4" fontId="43" fillId="102" borderId="75" applyNumberFormat="0" applyProtection="0">
      <alignment horizontal="left" vertical="center" indent="1"/>
    </xf>
    <xf numFmtId="0" fontId="143" fillId="116" borderId="80" applyNumberFormat="0" applyAlignment="0" applyProtection="0"/>
    <xf numFmtId="10" fontId="24" fillId="72" borderId="78" applyNumberFormat="0" applyBorder="0" applyAlignment="0" applyProtection="0"/>
    <xf numFmtId="0" fontId="43" fillId="108" borderId="81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38" fillId="66" borderId="75" applyNumberFormat="0" applyProtection="0">
      <alignment horizontal="right" vertical="center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4" fontId="43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5" applyNumberFormat="0" applyProtection="0">
      <alignment vertical="center"/>
    </xf>
    <xf numFmtId="4" fontId="43" fillId="72" borderId="75" applyNumberFormat="0" applyProtection="0">
      <alignment horizontal="left" vertical="center" indent="1"/>
    </xf>
    <xf numFmtId="4" fontId="85" fillId="72" borderId="75" applyNumberFormat="0" applyProtection="0">
      <alignment vertical="center"/>
    </xf>
    <xf numFmtId="4" fontId="85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24" fillId="101" borderId="75" applyNumberFormat="0" applyProtection="0">
      <alignment horizontal="left" vertical="top" indent="1"/>
    </xf>
    <xf numFmtId="0" fontId="87" fillId="82" borderId="75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92" fillId="70" borderId="26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1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32" fillId="0" borderId="87">
      <alignment horizontal="right"/>
    </xf>
    <xf numFmtId="44" fontId="3" fillId="0" borderId="0" applyFont="0" applyFill="0" applyBorder="0" applyAlignment="0" applyProtection="0"/>
    <xf numFmtId="4" fontId="24" fillId="102" borderId="33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8" fillId="108" borderId="75" applyNumberFormat="0" applyProtection="0">
      <alignment vertical="center"/>
    </xf>
    <xf numFmtId="0" fontId="3" fillId="0" borderId="0"/>
    <xf numFmtId="49" fontId="95" fillId="110" borderId="85"/>
    <xf numFmtId="4" fontId="24" fillId="83" borderId="26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5" applyNumberFormat="0" applyProtection="0">
      <alignment horizontal="left" vertical="center" indent="1"/>
    </xf>
    <xf numFmtId="0" fontId="3" fillId="0" borderId="0"/>
    <xf numFmtId="4" fontId="43" fillId="72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5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3" fillId="76" borderId="0" applyNumberFormat="0" applyBorder="0" applyAlignment="0" applyProtection="0"/>
    <xf numFmtId="4" fontId="3" fillId="71" borderId="33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6" fillId="20" borderId="0" applyNumberFormat="0" applyBorder="0" applyAlignment="0" applyProtection="0"/>
    <xf numFmtId="43" fontId="3" fillId="0" borderId="0" applyFont="0" applyFill="0" applyBorder="0" applyAlignment="0" applyProtection="0"/>
    <xf numFmtId="0" fontId="56" fillId="24" borderId="0" applyNumberFormat="0" applyBorder="0" applyAlignment="0" applyProtection="0"/>
    <xf numFmtId="0" fontId="24" fillId="101" borderId="26" applyNumberFormat="0" applyProtection="0">
      <alignment horizontal="left" vertical="center" indent="1"/>
    </xf>
    <xf numFmtId="0" fontId="56" fillId="12" borderId="0" applyNumberFormat="0" applyBorder="0" applyAlignment="0" applyProtection="0"/>
    <xf numFmtId="189" fontId="153" fillId="0" borderId="73" applyBorder="0" applyProtection="0">
      <alignment horizontal="right" vertical="center"/>
    </xf>
    <xf numFmtId="0" fontId="154" fillId="125" borderId="73" applyBorder="0" applyProtection="0">
      <alignment horizontal="centerContinuous" vertical="center"/>
    </xf>
    <xf numFmtId="0" fontId="3" fillId="4" borderId="71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4" fillId="71" borderId="75" applyNumberFormat="0" applyProtection="0">
      <alignment horizontal="left" vertical="top" indent="1"/>
    </xf>
    <xf numFmtId="0" fontId="24" fillId="102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43" fillId="54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4" fillId="83" borderId="26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3" fillId="0" borderId="0" applyFont="0" applyFill="0" applyBorder="0" applyAlignment="0" applyProtection="0"/>
    <xf numFmtId="0" fontId="24" fillId="102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154" fillId="125" borderId="73" applyBorder="0" applyProtection="0">
      <alignment horizontal="centerContinuous" vertical="center"/>
    </xf>
    <xf numFmtId="189" fontId="153" fillId="0" borderId="73" applyBorder="0" applyProtection="0">
      <alignment horizontal="right" vertical="center"/>
    </xf>
    <xf numFmtId="0" fontId="33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1" applyNumberFormat="0" applyProtection="0">
      <alignment horizontal="left" vertical="center" indent="1"/>
    </xf>
    <xf numFmtId="0" fontId="24" fillId="101" borderId="75" applyNumberFormat="0" applyProtection="0">
      <alignment horizontal="left" vertical="top" indent="1"/>
    </xf>
    <xf numFmtId="0" fontId="24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5" fillId="54" borderId="71" applyNumberFormat="0" applyProtection="0">
      <alignment vertical="center"/>
    </xf>
    <xf numFmtId="0" fontId="88" fillId="108" borderId="75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105" borderId="26" applyNumberFormat="0" applyProtection="0">
      <alignment horizontal="left" vertical="center" indent="1"/>
    </xf>
    <xf numFmtId="4" fontId="43" fillId="72" borderId="71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4" fillId="107" borderId="75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0" borderId="0"/>
    <xf numFmtId="4" fontId="24" fillId="83" borderId="2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83" fillId="121" borderId="8" applyNumberFormat="0" applyFont="0" applyAlignment="0" applyProtection="0"/>
    <xf numFmtId="0" fontId="33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4" fillId="104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4" fillId="102" borderId="75" applyNumberFormat="0" applyProtection="0">
      <alignment horizontal="left" vertical="top" indent="1"/>
    </xf>
    <xf numFmtId="4" fontId="85" fillId="72" borderId="71" applyNumberFormat="0" applyProtection="0">
      <alignment vertical="center"/>
    </xf>
    <xf numFmtId="0" fontId="3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4" fillId="107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6" fillId="54" borderId="26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53" fillId="0" borderId="52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3" fillId="0" borderId="0"/>
    <xf numFmtId="4" fontId="86" fillId="67" borderId="26" applyNumberFormat="0" applyProtection="0">
      <alignment horizontal="right" vertical="center"/>
    </xf>
    <xf numFmtId="0" fontId="93" fillId="67" borderId="85">
      <protection locked="0"/>
    </xf>
    <xf numFmtId="4" fontId="24" fillId="102" borderId="26" applyNumberFormat="0" applyProtection="0">
      <alignment horizontal="right" vertical="center"/>
    </xf>
    <xf numFmtId="0" fontId="89" fillId="0" borderId="0"/>
    <xf numFmtId="0" fontId="3" fillId="106" borderId="71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79" borderId="88" applyNumberFormat="0" applyAlignment="0" applyProtection="0"/>
    <xf numFmtId="0" fontId="60" fillId="79" borderId="88" applyNumberFormat="0" applyAlignment="0" applyProtection="0"/>
    <xf numFmtId="0" fontId="73" fillId="49" borderId="88" applyNumberFormat="0" applyAlignment="0" applyProtection="0"/>
    <xf numFmtId="0" fontId="73" fillId="49" borderId="88" applyNumberForma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86" fillId="54" borderId="88" applyNumberFormat="0" applyProtection="0">
      <alignment vertical="center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86" fillId="67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90" fillId="109" borderId="89" applyNumberFormat="0" applyProtection="0">
      <alignment horizontal="left" vertical="center" indent="1"/>
    </xf>
    <xf numFmtId="4" fontId="92" fillId="70" borderId="88" applyNumberFormat="0" applyProtection="0">
      <alignment horizontal="right"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" fillId="84" borderId="32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43" fillId="108" borderId="93" applyNumberFormat="0" applyFont="0" applyAlignment="0" applyProtection="0"/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43" fillId="54" borderId="32" applyNumberFormat="0" applyProtection="0">
      <alignment vertical="center"/>
    </xf>
    <xf numFmtId="4" fontId="85" fillId="54" borderId="32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3" fillId="54" borderId="32" applyNumberFormat="0" applyProtection="0">
      <alignment vertical="center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64" borderId="32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38" fillId="62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14" fillId="71" borderId="22" applyBorder="0"/>
    <xf numFmtId="4" fontId="38" fillId="69" borderId="18" applyNumberFormat="0" applyProtection="0">
      <alignment vertical="center"/>
    </xf>
    <xf numFmtId="4" fontId="43" fillId="100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99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85" fillId="54" borderId="32" applyNumberFormat="0" applyProtection="0">
      <alignment vertical="center"/>
    </xf>
    <xf numFmtId="4" fontId="43" fillId="54" borderId="32" applyNumberFormat="0" applyProtection="0">
      <alignment vertical="center"/>
    </xf>
    <xf numFmtId="4" fontId="36" fillId="54" borderId="18" applyNumberFormat="0" applyProtection="0">
      <alignment vertical="center"/>
    </xf>
    <xf numFmtId="4" fontId="43" fillId="0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1" fillId="79" borderId="32" applyNumberFormat="0" applyAlignment="0" applyProtection="0"/>
    <xf numFmtId="0" fontId="81" fillId="79" borderId="32" applyNumberFormat="0" applyAlignment="0" applyProtection="0"/>
    <xf numFmtId="4" fontId="38" fillId="64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9" fillId="8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91" fillId="100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61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43" fillId="0" borderId="32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9" fontId="95" fillId="110" borderId="85"/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135" fillId="0" borderId="86" applyFill="0" applyBorder="0" applyProtection="0">
      <alignment horizontal="left" vertical="top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14" fillId="71" borderId="22" applyBorder="0"/>
    <xf numFmtId="0" fontId="3" fillId="0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100" borderId="90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88" fillId="108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4" fontId="38" fillId="69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43" fillId="97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10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0" fontId="24" fillId="48" borderId="88" applyNumberFormat="0" applyFont="0" applyAlignment="0" applyProtection="0"/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54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4" fontId="24" fillId="0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0" fontId="129" fillId="104" borderId="92" applyNumberFormat="0" applyAlignment="0" applyProtection="0"/>
    <xf numFmtId="0" fontId="129" fillId="104" borderId="92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4" fontId="48" fillId="68" borderId="23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9" fontId="95" fillId="110" borderId="85"/>
    <xf numFmtId="0" fontId="3" fillId="69" borderId="18" applyNumberFormat="0" applyProtection="0">
      <alignment horizontal="left" vertical="center" indent="1"/>
    </xf>
    <xf numFmtId="0" fontId="93" fillId="67" borderId="85">
      <protection locked="0"/>
    </xf>
    <xf numFmtId="0" fontId="24" fillId="102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38" fillId="63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93" fillId="67" borderId="85">
      <protection locked="0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1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9" fontId="95" fillId="110" borderId="85"/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4" fontId="36" fillId="54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88" fillId="108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93" fillId="67" borderId="85">
      <protection locked="0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5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57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8" fillId="56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3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0" fontId="39" fillId="54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85" fillId="72" borderId="32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36" fillId="54" borderId="18" applyNumberFormat="0" applyProtection="0">
      <alignment vertical="center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0" fontId="24" fillId="102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129" fillId="104" borderId="92" applyNumberFormat="0" applyAlignment="0" applyProtection="0"/>
    <xf numFmtId="4" fontId="43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4" borderId="32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43" fillId="100" borderId="90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9" fontId="95" fillId="110" borderId="85"/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0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9" fillId="99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94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8" fillId="64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0" borderId="90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143" fillId="116" borderId="92" applyNumberFormat="0" applyAlignment="0" applyProtection="0"/>
    <xf numFmtId="4" fontId="43" fillId="93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128" fillId="0" borderId="42" applyFill="0" applyProtection="0">
      <alignment horizontal="right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3" fillId="0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9" fontId="95" fillId="110" borderId="85"/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7">
      <alignment horizontal="right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4" fontId="3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66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4" fillId="69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9" fillId="0" borderId="94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135" fillId="0" borderId="86" applyFill="0" applyBorder="0" applyProtection="0">
      <alignment horizontal="left" vertical="top"/>
    </xf>
    <xf numFmtId="0" fontId="3" fillId="68" borderId="18" applyNumberFormat="0" applyProtection="0">
      <alignment horizontal="left" vertical="top" indent="1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3" fontId="132" fillId="0" borderId="40"/>
    <xf numFmtId="0" fontId="3" fillId="68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81" fillId="79" borderId="32" applyNumberFormat="0" applyAlignment="0" applyProtection="0"/>
    <xf numFmtId="4" fontId="49" fillId="69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95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0" fontId="3" fillId="68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4" fontId="38" fillId="64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61" borderId="32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93" fillId="67" borderId="85">
      <protection locked="0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194" fontId="132" fillId="0" borderId="87">
      <alignment horizontal="right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9" fillId="0" borderId="94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9" fontId="95" fillId="110" borderId="85"/>
    <xf numFmtId="0" fontId="3" fillId="68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38" fillId="69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91" fillId="100" borderId="32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81" fillId="79" borderId="32" applyNumberFormat="0" applyAlignment="0" applyProtection="0"/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94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9" fontId="95" fillId="110" borderId="85"/>
    <xf numFmtId="4" fontId="43" fillId="54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9" fillId="0" borderId="94" applyNumberFormat="0" applyFill="0" applyAlignment="0" applyProtection="0"/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128" fillId="0" borderId="42" applyFill="0" applyProtection="0">
      <alignment horizontal="right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4" fontId="116" fillId="54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24" fillId="102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129" fillId="104" borderId="92" applyNumberFormat="0" applyAlignment="0" applyProtection="0"/>
    <xf numFmtId="4" fontId="116" fillId="54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87" fillId="82" borderId="18" applyNumberFormat="0" applyProtection="0">
      <alignment horizontal="left" vertical="top" indent="1"/>
    </xf>
    <xf numFmtId="194" fontId="132" fillId="0" borderId="87">
      <alignment horizontal="right"/>
    </xf>
    <xf numFmtId="4" fontId="43" fillId="63" borderId="32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85" fillId="72" borderId="32" applyNumberFormat="0" applyProtection="0">
      <alignment vertical="center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55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0" fontId="93" fillId="67" borderId="85">
      <protection locked="0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4" fontId="48" fillId="68" borderId="23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88" fillId="108" borderId="18" applyNumberFormat="0" applyProtection="0">
      <alignment vertical="center"/>
    </xf>
    <xf numFmtId="0" fontId="135" fillId="0" borderId="86" applyFill="0" applyBorder="0" applyProtection="0">
      <alignment horizontal="left" vertical="top"/>
    </xf>
    <xf numFmtId="4" fontId="43" fillId="58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3" fontId="132" fillId="0" borderId="40"/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87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63" borderId="18" applyNumberFormat="0" applyProtection="0">
      <alignment horizontal="right" vertical="center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0" fontId="24" fillId="71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4" fontId="48" fillId="68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43" fillId="108" borderId="93" applyNumberFormat="0" applyFont="0" applyAlignment="0" applyProtection="0"/>
    <xf numFmtId="0" fontId="3" fillId="66" borderId="18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4" fontId="43" fillId="0" borderId="18" applyNumberFormat="0" applyProtection="0">
      <alignment horizontal="left" vertical="center" indent="1"/>
    </xf>
    <xf numFmtId="4" fontId="43" fillId="58" borderId="32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8" borderId="32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43" fillId="91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4" fontId="88" fillId="10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0" fontId="128" fillId="0" borderId="42" applyFill="0" applyProtection="0">
      <alignment horizontal="right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8" fillId="68" borderId="23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0" fontId="87" fillId="82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38" fillId="69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81" fillId="79" borderId="32" applyNumberFormat="0" applyAlignment="0" applyProtection="0"/>
    <xf numFmtId="4" fontId="43" fillId="54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0" borderId="90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194" fontId="132" fillId="0" borderId="87">
      <alignment horizontal="right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93" fillId="67" borderId="85">
      <protection locked="0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14" fillId="71" borderId="22" applyBorder="0"/>
    <xf numFmtId="4" fontId="44" fillId="69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60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129" fillId="104" borderId="92" applyNumberFormat="0" applyAlignment="0" applyProtection="0"/>
    <xf numFmtId="4" fontId="43" fillId="72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9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8" fillId="69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148" fillId="104" borderId="32" applyNumberFormat="0" applyAlignment="0" applyProtection="0"/>
    <xf numFmtId="4" fontId="43" fillId="0" borderId="32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194" fontId="132" fillId="0" borderId="87">
      <alignment horizontal="right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43" fillId="108" borderId="93" applyNumberFormat="0" applyFont="0" applyAlignment="0" applyProtection="0"/>
    <xf numFmtId="4" fontId="43" fillId="72" borderId="18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14" fillId="71" borderId="22" applyBorder="0"/>
    <xf numFmtId="4" fontId="38" fillId="6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38" fillId="61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0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135" fillId="0" borderId="86" applyFill="0" applyBorder="0" applyProtection="0">
      <alignment horizontal="left" vertical="top"/>
    </xf>
    <xf numFmtId="3" fontId="132" fillId="0" borderId="40"/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143" fillId="116" borderId="92" applyNumberFormat="0" applyAlignment="0" applyProtection="0"/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100" borderId="90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93" fillId="67" borderId="85">
      <protection locked="0"/>
    </xf>
    <xf numFmtId="49" fontId="95" fillId="110" borderId="85"/>
    <xf numFmtId="0" fontId="43" fillId="68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1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43" fillId="94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9" fillId="99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0" borderId="90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57" borderId="32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5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135" fillId="0" borderId="86" applyFill="0" applyBorder="0" applyProtection="0">
      <alignment horizontal="left" vertical="top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90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194" fontId="132" fillId="0" borderId="87">
      <alignment horizontal="right"/>
    </xf>
    <xf numFmtId="4" fontId="43" fillId="88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85" fillId="100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103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43" fillId="108" borderId="93" applyNumberFormat="0" applyFont="0" applyAlignment="0" applyProtection="0"/>
    <xf numFmtId="0" fontId="88" fillId="102" borderId="18" applyNumberFormat="0" applyProtection="0">
      <alignment horizontal="left" vertical="top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87" fillId="82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4" fontId="39" fillId="82" borderId="18" applyNumberFormat="0" applyProtection="0">
      <alignment vertical="center"/>
    </xf>
    <xf numFmtId="0" fontId="14" fillId="71" borderId="22" applyBorder="0"/>
    <xf numFmtId="4" fontId="38" fillId="69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8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0" fontId="143" fillId="116" borderId="92" applyNumberFormat="0" applyAlignment="0" applyProtection="0"/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9" fillId="0" borderId="94" applyNumberFormat="0" applyFill="0" applyAlignment="0" applyProtection="0"/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43" fillId="108" borderId="93" applyNumberFormat="0" applyFont="0" applyAlignment="0" applyProtection="0"/>
    <xf numFmtId="4" fontId="39" fillId="54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54" borderId="32" applyNumberFormat="0" applyProtection="0">
      <alignment vertical="center"/>
    </xf>
    <xf numFmtId="4" fontId="43" fillId="57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88" fillId="102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93" fillId="67" borderId="85">
      <protection locked="0"/>
    </xf>
    <xf numFmtId="4" fontId="36" fillId="66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8" fillId="58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4" fontId="48" fillId="68" borderId="23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97" borderId="32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128" fillId="0" borderId="42" applyFill="0" applyProtection="0">
      <alignment horizontal="right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43" fillId="68" borderId="18" applyNumberFormat="0" applyProtection="0">
      <alignment horizontal="left" vertical="top" indent="1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85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7">
      <alignment horizontal="right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0" fontId="81" fillId="79" borderId="32" applyNumberFormat="0" applyAlignment="0" applyProtection="0"/>
    <xf numFmtId="0" fontId="81" fillId="79" borderId="32" applyNumberFormat="0" applyAlignment="0" applyProtection="0"/>
    <xf numFmtId="0" fontId="3" fillId="69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35" fillId="0" borderId="86" applyFill="0" applyBorder="0" applyProtection="0">
      <alignment horizontal="left" vertical="top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3" fontId="132" fillId="0" borderId="40"/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88" fillId="104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4" fontId="38" fillId="61" borderId="18" applyNumberFormat="0" applyProtection="0">
      <alignment horizontal="right" vertical="center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97" borderId="32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128" fillId="0" borderId="42" applyFill="0" applyProtection="0">
      <alignment horizontal="right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129" fillId="104" borderId="92" applyNumberFormat="0" applyAlignment="0" applyProtection="0"/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38" fillId="54" borderId="18" applyNumberFormat="0" applyProtection="0">
      <alignment horizontal="left" vertical="center" indent="1"/>
    </xf>
    <xf numFmtId="0" fontId="129" fillId="104" borderId="92" applyNumberFormat="0" applyAlignment="0" applyProtection="0"/>
    <xf numFmtId="0" fontId="43" fillId="72" borderId="18" applyNumberFormat="0" applyProtection="0">
      <alignment horizontal="left" vertical="top" indent="1"/>
    </xf>
    <xf numFmtId="0" fontId="129" fillId="104" borderId="92" applyNumberFormat="0" applyAlignment="0" applyProtection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128" fillId="0" borderId="42" applyFill="0" applyProtection="0">
      <alignment horizontal="right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43" fillId="68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43" fillId="116" borderId="92" applyNumberFormat="0" applyAlignment="0" applyProtection="0"/>
    <xf numFmtId="0" fontId="143" fillId="116" borderId="92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7">
      <alignment horizontal="right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81" fillId="79" borderId="32" applyNumberFormat="0" applyAlignment="0" applyProtection="0"/>
    <xf numFmtId="0" fontId="81" fillId="79" borderId="32" applyNumberFormat="0" applyAlignment="0" applyProtection="0"/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93" fillId="67" borderId="85">
      <protection locked="0"/>
    </xf>
    <xf numFmtId="49" fontId="95" fillId="110" borderId="85"/>
    <xf numFmtId="0" fontId="135" fillId="0" borderId="86" applyFill="0" applyBorder="0" applyProtection="0">
      <alignment horizontal="left" vertical="top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3" fontId="132" fillId="0" borderId="40"/>
    <xf numFmtId="4" fontId="43" fillId="87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88" fillId="102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43" fillId="108" borderId="93" applyNumberFormat="0" applyFont="0" applyAlignment="0" applyProtection="0"/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0" fontId="143" fillId="116" borderId="92" applyNumberFormat="0" applyAlignment="0" applyProtection="0"/>
    <xf numFmtId="4" fontId="43" fillId="54" borderId="32" applyNumberFormat="0" applyProtection="0">
      <alignment horizontal="left" vertical="center" indent="1"/>
    </xf>
    <xf numFmtId="4" fontId="43" fillId="93" borderId="32" applyNumberFormat="0" applyProtection="0">
      <alignment horizontal="right" vertical="center"/>
    </xf>
    <xf numFmtId="0" fontId="129" fillId="104" borderId="92" applyNumberFormat="0" applyAlignment="0" applyProtection="0"/>
    <xf numFmtId="0" fontId="129" fillId="104" borderId="92" applyNumberFormat="0" applyAlignment="0" applyProtection="0"/>
    <xf numFmtId="0" fontId="128" fillId="0" borderId="42" applyFill="0" applyProtection="0">
      <alignment horizontal="right"/>
    </xf>
    <xf numFmtId="4" fontId="43" fillId="64" borderId="32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194" fontId="132" fillId="0" borderId="87">
      <alignment horizontal="right"/>
    </xf>
    <xf numFmtId="0" fontId="3" fillId="66" borderId="18" applyNumberFormat="0" applyProtection="0">
      <alignment horizontal="left" vertical="center" indent="1"/>
    </xf>
    <xf numFmtId="0" fontId="143" fillId="116" borderId="92" applyNumberFormat="0" applyAlignment="0" applyProtection="0"/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135" fillId="0" borderId="86" applyFill="0" applyBorder="0" applyProtection="0">
      <alignment horizontal="left" vertical="top"/>
    </xf>
    <xf numFmtId="4" fontId="43" fillId="92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194" fontId="132" fillId="0" borderId="87">
      <alignment horizontal="right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43" fillId="108" borderId="93" applyNumberFormat="0" applyFont="0" applyAlignment="0" applyProtection="0"/>
    <xf numFmtId="0" fontId="143" fillId="116" borderId="92" applyNumberFormat="0" applyAlignment="0" applyProtection="0"/>
    <xf numFmtId="4" fontId="44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135" fillId="0" borderId="86" applyFill="0" applyBorder="0" applyProtection="0">
      <alignment horizontal="left" vertical="top"/>
    </xf>
    <xf numFmtId="0" fontId="39" fillId="0" borderId="94" applyNumberFormat="0" applyFill="0" applyAlignment="0" applyProtection="0"/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129" fillId="104" borderId="92" applyNumberFormat="0" applyAlignment="0" applyProtection="0"/>
    <xf numFmtId="0" fontId="3" fillId="66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43" fillId="108" borderId="93" applyNumberFormat="0" applyFont="0" applyAlignment="0" applyProtection="0"/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3" fontId="132" fillId="0" borderId="40"/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35" fillId="0" borderId="86" applyFill="0" applyBorder="0" applyProtection="0">
      <alignment horizontal="left" vertical="top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3" fontId="132" fillId="0" borderId="40"/>
    <xf numFmtId="0" fontId="43" fillId="72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9" fontId="95" fillId="110" borderId="85"/>
    <xf numFmtId="0" fontId="93" fillId="67" borderId="85">
      <protection locked="0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9" fillId="0" borderId="94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143" fillId="116" borderId="92" applyNumberFormat="0" applyAlignment="0" applyProtection="0"/>
    <xf numFmtId="0" fontId="43" fillId="108" borderId="93" applyNumberFormat="0" applyFont="0" applyAlignment="0" applyProtection="0"/>
    <xf numFmtId="0" fontId="3" fillId="69" borderId="18" applyNumberFormat="0" applyProtection="0">
      <alignment horizontal="left" vertical="top" indent="1"/>
    </xf>
    <xf numFmtId="4" fontId="38" fillId="66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4" fillId="92" borderId="88" applyNumberFormat="0" applyProtection="0">
      <alignment horizontal="right" vertical="center"/>
    </xf>
    <xf numFmtId="4" fontId="24" fillId="98" borderId="89" applyNumberFormat="0" applyProtection="0">
      <alignment horizontal="left" vertical="center" indent="1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0" fontId="24" fillId="107" borderId="88" applyNumberFormat="0" applyProtection="0">
      <alignment horizontal="left" vertical="center" indent="1"/>
    </xf>
    <xf numFmtId="4" fontId="24" fillId="0" borderId="88" applyNumberFormat="0" applyProtection="0">
      <alignment horizontal="right" vertical="center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2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82" borderId="88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4" fontId="92" fillId="70" borderId="88" applyNumberFormat="0" applyProtection="0">
      <alignment horizontal="right" vertical="center"/>
    </xf>
    <xf numFmtId="4" fontId="90" fillId="109" borderId="89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86" fillId="67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4" fontId="24" fillId="0" borderId="88" applyNumberFormat="0" applyProtection="0">
      <alignment horizontal="right" vertical="center"/>
    </xf>
    <xf numFmtId="0" fontId="33" fillId="78" borderId="0" applyNumberFormat="0" applyBorder="0" applyAlignment="0" applyProtection="0"/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60" fillId="79" borderId="88" applyNumberFormat="0" applyAlignment="0" applyProtection="0"/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4" fillId="104" borderId="88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0" fontId="67" fillId="0" borderId="28" applyNumberFormat="0" applyFill="0" applyAlignment="0" applyProtection="0"/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0" fontId="69" fillId="0" borderId="29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8" applyNumberFormat="0" applyAlignment="0" applyProtection="0"/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0" fontId="75" fillId="0" borderId="31" applyNumberFormat="0" applyFill="0" applyAlignment="0" applyProtection="0"/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0" fontId="3" fillId="0" borderId="0"/>
    <xf numFmtId="4" fontId="24" fillId="98" borderId="89" applyNumberFormat="0" applyProtection="0">
      <alignment horizontal="left" vertical="center" indent="1"/>
    </xf>
    <xf numFmtId="4" fontId="24" fillId="96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0" fontId="24" fillId="48" borderId="88" applyNumberFormat="0" applyFont="0" applyAlignment="0" applyProtection="0"/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0" fontId="84" fillId="0" borderId="64">
      <alignment horizont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86" fillId="54" borderId="88" applyNumberFormat="0" applyProtection="0">
      <alignment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86" fillId="54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73" fillId="49" borderId="88" applyNumberFormat="0" applyAlignment="0" applyProtection="0"/>
    <xf numFmtId="0" fontId="73" fillId="49" borderId="88" applyNumberFormat="0" applyAlignment="0" applyProtection="0"/>
    <xf numFmtId="0" fontId="60" fillId="79" borderId="88" applyNumberFormat="0" applyAlignment="0" applyProtection="0"/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86" fillId="67" borderId="88" applyNumberFormat="0" applyProtection="0">
      <alignment horizontal="right" vertical="center"/>
    </xf>
    <xf numFmtId="4" fontId="90" fillId="109" borderId="89" applyNumberFormat="0" applyProtection="0">
      <alignment horizontal="left" vertical="center" indent="1"/>
    </xf>
    <xf numFmtId="4" fontId="92" fillId="70" borderId="88" applyNumberFormat="0" applyProtection="0">
      <alignment horizontal="right" vertical="center"/>
    </xf>
    <xf numFmtId="0" fontId="35" fillId="0" borderId="91" applyNumberFormat="0" applyFill="0" applyAlignment="0" applyProtection="0"/>
    <xf numFmtId="0" fontId="98" fillId="0" borderId="0" applyNumberFormat="0" applyFill="0" applyBorder="0" applyAlignment="0" applyProtection="0"/>
    <xf numFmtId="0" fontId="24" fillId="104" borderId="88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4" fillId="0" borderId="88" applyNumberFormat="0" applyProtection="0">
      <alignment horizontal="right" vertical="center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4" fillId="102" borderId="89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3" fillId="71" borderId="8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8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0" fontId="2" fillId="0" borderId="0"/>
    <xf numFmtId="0" fontId="2" fillId="0" borderId="0"/>
    <xf numFmtId="4" fontId="24" fillId="98" borderId="8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8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0" fontId="2" fillId="0" borderId="0"/>
    <xf numFmtId="4" fontId="24" fillId="96" borderId="88" applyNumberFormat="0" applyProtection="0">
      <alignment horizontal="right" vertical="center"/>
    </xf>
    <xf numFmtId="0" fontId="2" fillId="0" borderId="0"/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54" borderId="88" applyNumberFormat="0" applyProtection="0">
      <alignment horizontal="left" vertical="center" indent="1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24" fillId="48" borderId="88" applyNumberFormat="0" applyFont="0" applyAlignment="0" applyProtection="0"/>
    <xf numFmtId="0" fontId="60" fillId="79" borderId="88" applyNumberFormat="0" applyAlignment="0" applyProtection="0"/>
    <xf numFmtId="194" fontId="132" fillId="0" borderId="4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48" borderId="88" applyNumberFormat="0" applyFont="0" applyAlignment="0" applyProtection="0"/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82" borderId="88" applyNumberFormat="0" applyProtection="0">
      <alignment vertical="center"/>
    </xf>
    <xf numFmtId="4" fontId="24" fillId="54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5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6" borderId="88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8" borderId="89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89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0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2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4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5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6" borderId="88" applyNumberFormat="0" applyProtection="0">
      <alignment horizontal="right" vertical="center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98" borderId="89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2" borderId="88" applyNumberFormat="0" applyProtection="0">
      <alignment horizontal="right" vertical="center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4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4" fontId="24" fillId="0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0" fontId="84" fillId="0" borderId="64">
      <alignment horizontal="center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0" fontId="135" fillId="0" borderId="2" applyFill="0" applyBorder="0" applyProtection="0">
      <alignment horizontal="left" vertical="top"/>
    </xf>
    <xf numFmtId="8" fontId="3" fillId="0" borderId="95" applyFont="0" applyFill="0" applyBorder="0" applyProtection="0">
      <alignment horizontal="right"/>
    </xf>
    <xf numFmtId="0" fontId="144" fillId="0" borderId="64">
      <alignment horizontal="right"/>
    </xf>
    <xf numFmtId="0" fontId="144" fillId="0" borderId="64">
      <alignment horizontal="left"/>
    </xf>
    <xf numFmtId="0" fontId="84" fillId="0" borderId="64">
      <alignment horizontal="center"/>
    </xf>
    <xf numFmtId="0" fontId="144" fillId="0" borderId="64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6" fillId="54" borderId="88" applyNumberFormat="0" applyProtection="0">
      <alignment vertical="center"/>
    </xf>
    <xf numFmtId="4" fontId="24" fillId="83" borderId="88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3" fillId="71" borderId="89" applyNumberFormat="0" applyProtection="0">
      <alignment horizontal="left" vertical="center" indent="1"/>
    </xf>
    <xf numFmtId="4" fontId="24" fillId="101" borderId="89" applyNumberFormat="0" applyProtection="0">
      <alignment horizontal="left" vertical="center" indent="1"/>
    </xf>
    <xf numFmtId="4" fontId="24" fillId="102" borderId="89" applyNumberFormat="0" applyProtection="0">
      <alignment horizontal="left" vertical="center" indent="1"/>
    </xf>
    <xf numFmtId="4" fontId="86" fillId="67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92" fillId="70" borderId="88" applyNumberFormat="0" applyProtection="0">
      <alignment horizontal="right" vertical="center"/>
    </xf>
    <xf numFmtId="4" fontId="24" fillId="83" borderId="88" applyNumberFormat="0" applyProtection="0">
      <alignment horizontal="left" vertical="center" indent="1"/>
    </xf>
    <xf numFmtId="4" fontId="24" fillId="102" borderId="88" applyNumberFormat="0" applyProtection="0">
      <alignment horizontal="right" vertical="center"/>
    </xf>
    <xf numFmtId="0" fontId="24" fillId="104" borderId="88" applyNumberFormat="0" applyProtection="0">
      <alignment horizontal="left" vertical="center" indent="1"/>
    </xf>
    <xf numFmtId="0" fontId="24" fillId="105" borderId="88" applyNumberFormat="0" applyProtection="0">
      <alignment horizontal="left" vertical="center" indent="1"/>
    </xf>
    <xf numFmtId="0" fontId="24" fillId="107" borderId="88" applyNumberFormat="0" applyProtection="0">
      <alignment horizontal="left" vertical="center" indent="1"/>
    </xf>
    <xf numFmtId="0" fontId="24" fillId="101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4" fontId="24" fillId="83" borderId="88" applyNumberFormat="0" applyProtection="0">
      <alignment horizontal="left" vertical="center" indent="1"/>
    </xf>
    <xf numFmtId="0" fontId="24" fillId="70" borderId="101" applyNumberFormat="0">
      <protection locked="0"/>
    </xf>
    <xf numFmtId="4" fontId="36" fillId="65" borderId="100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1" fillId="79" borderId="102" applyNumberFormat="0" applyAlignment="0" applyProtection="0"/>
    <xf numFmtId="4" fontId="43" fillId="54" borderId="102" applyNumberFormat="0" applyProtection="0">
      <alignment vertical="center"/>
    </xf>
    <xf numFmtId="4" fontId="43" fillId="54" borderId="102" applyNumberFormat="0" applyProtection="0">
      <alignment vertical="center"/>
    </xf>
    <xf numFmtId="4" fontId="43" fillId="54" borderId="102" applyNumberFormat="0" applyProtection="0">
      <alignment vertical="center"/>
    </xf>
    <xf numFmtId="4" fontId="85" fillId="54" borderId="102" applyNumberFormat="0" applyProtection="0">
      <alignment vertical="center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4" fontId="43" fillId="5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43" fillId="57" borderId="102" applyNumberFormat="0" applyProtection="0">
      <alignment horizontal="right" vertical="center"/>
    </xf>
    <xf numFmtId="4" fontId="43" fillId="57" borderId="102" applyNumberFormat="0" applyProtection="0">
      <alignment horizontal="right" vertical="center"/>
    </xf>
    <xf numFmtId="4" fontId="43" fillId="57" borderId="102" applyNumberFormat="0" applyProtection="0">
      <alignment horizontal="right" vertical="center"/>
    </xf>
    <xf numFmtId="4" fontId="43" fillId="58" borderId="102" applyNumberFormat="0" applyProtection="0">
      <alignment horizontal="right" vertical="center"/>
    </xf>
    <xf numFmtId="4" fontId="43" fillId="58" borderId="102" applyNumberFormat="0" applyProtection="0">
      <alignment horizontal="right" vertical="center"/>
    </xf>
    <xf numFmtId="4" fontId="43" fillId="58" borderId="102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43" fillId="56" borderId="102" applyNumberFormat="0" applyProtection="0">
      <alignment horizontal="right" vertical="center"/>
    </xf>
    <xf numFmtId="4" fontId="43" fillId="56" borderId="102" applyNumberFormat="0" applyProtection="0">
      <alignment horizontal="right" vertical="center"/>
    </xf>
    <xf numFmtId="4" fontId="43" fillId="56" borderId="102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24" fillId="88" borderId="103" applyNumberFormat="0" applyProtection="0">
      <alignment horizontal="right" vertical="center"/>
    </xf>
    <xf numFmtId="4" fontId="43" fillId="61" borderId="102" applyNumberFormat="0" applyProtection="0">
      <alignment horizontal="right" vertical="center"/>
    </xf>
    <xf numFmtId="4" fontId="43" fillId="61" borderId="102" applyNumberFormat="0" applyProtection="0">
      <alignment horizontal="right" vertical="center"/>
    </xf>
    <xf numFmtId="4" fontId="43" fillId="61" borderId="102" applyNumberFormat="0" applyProtection="0">
      <alignment horizontal="right" vertical="center"/>
    </xf>
    <xf numFmtId="4" fontId="43" fillId="91" borderId="102" applyNumberFormat="0" applyProtection="0">
      <alignment horizontal="right" vertical="center"/>
    </xf>
    <xf numFmtId="4" fontId="43" fillId="91" borderId="102" applyNumberFormat="0" applyProtection="0">
      <alignment horizontal="right" vertical="center"/>
    </xf>
    <xf numFmtId="4" fontId="43" fillId="91" borderId="102" applyNumberFormat="0" applyProtection="0">
      <alignment horizontal="right" vertical="center"/>
    </xf>
    <xf numFmtId="4" fontId="43" fillId="93" borderId="102" applyNumberFormat="0" applyProtection="0">
      <alignment horizontal="right" vertical="center"/>
    </xf>
    <xf numFmtId="4" fontId="43" fillId="93" borderId="102" applyNumberFormat="0" applyProtection="0">
      <alignment horizontal="right" vertical="center"/>
    </xf>
    <xf numFmtId="4" fontId="43" fillId="93" borderId="102" applyNumberFormat="0" applyProtection="0">
      <alignment horizontal="right" vertical="center"/>
    </xf>
    <xf numFmtId="4" fontId="43" fillId="64" borderId="102" applyNumberFormat="0" applyProtection="0">
      <alignment horizontal="right" vertical="center"/>
    </xf>
    <xf numFmtId="4" fontId="43" fillId="64" borderId="102" applyNumberFormat="0" applyProtection="0">
      <alignment horizontal="right" vertical="center"/>
    </xf>
    <xf numFmtId="4" fontId="43" fillId="64" borderId="102" applyNumberFormat="0" applyProtection="0">
      <alignment horizontal="right" vertical="center"/>
    </xf>
    <xf numFmtId="4" fontId="43" fillId="63" borderId="102" applyNumberFormat="0" applyProtection="0">
      <alignment horizontal="right" vertical="center"/>
    </xf>
    <xf numFmtId="4" fontId="43" fillId="63" borderId="102" applyNumberFormat="0" applyProtection="0">
      <alignment horizontal="right" vertical="center"/>
    </xf>
    <xf numFmtId="4" fontId="43" fillId="63" borderId="102" applyNumberFormat="0" applyProtection="0">
      <alignment horizontal="right" vertical="center"/>
    </xf>
    <xf numFmtId="4" fontId="43" fillId="97" borderId="102" applyNumberFormat="0" applyProtection="0">
      <alignment horizontal="right" vertical="center"/>
    </xf>
    <xf numFmtId="4" fontId="43" fillId="97" borderId="102" applyNumberFormat="0" applyProtection="0">
      <alignment horizontal="right" vertical="center"/>
    </xf>
    <xf numFmtId="4" fontId="43" fillId="97" borderId="102" applyNumberFormat="0" applyProtection="0">
      <alignment horizontal="right" vertical="center"/>
    </xf>
    <xf numFmtId="4" fontId="39" fillId="99" borderId="102" applyNumberFormat="0" applyProtection="0">
      <alignment horizontal="left" vertical="center" indent="1"/>
    </xf>
    <xf numFmtId="4" fontId="39" fillId="98" borderId="100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36" fillId="65" borderId="100" applyNumberFormat="0" applyProtection="0">
      <alignment horizontal="left" vertical="center" indent="1"/>
    </xf>
    <xf numFmtId="4" fontId="24" fillId="98" borderId="103" applyNumberFormat="0" applyProtection="0">
      <alignment horizontal="left" vertical="center" indent="1"/>
    </xf>
    <xf numFmtId="4" fontId="43" fillId="100" borderId="104" applyNumberFormat="0" applyProtection="0">
      <alignment horizontal="left" vertical="center" indent="1"/>
    </xf>
    <xf numFmtId="4" fontId="43" fillId="100" borderId="104" applyNumberFormat="0" applyProtection="0">
      <alignment horizontal="left" vertical="center" indent="1"/>
    </xf>
    <xf numFmtId="4" fontId="43" fillId="100" borderId="104" applyNumberFormat="0" applyProtection="0">
      <alignment horizontal="left" vertical="center" indent="1"/>
    </xf>
    <xf numFmtId="4" fontId="3" fillId="71" borderId="103" applyNumberFormat="0" applyProtection="0">
      <alignment horizontal="left" vertical="center" indent="1"/>
    </xf>
    <xf numFmtId="4" fontId="3" fillId="71" borderId="103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43" fillId="100" borderId="102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1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43" fillId="103" borderId="102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4" fontId="24" fillId="102" borderId="103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24" fillId="70" borderId="101" applyNumberFormat="0">
      <protection locked="0"/>
    </xf>
    <xf numFmtId="0" fontId="24" fillId="70" borderId="101" applyNumberFormat="0">
      <protection locked="0"/>
    </xf>
    <xf numFmtId="0" fontId="24" fillId="70" borderId="101" applyNumberFormat="0">
      <protection locked="0"/>
    </xf>
    <xf numFmtId="0" fontId="24" fillId="70" borderId="101" applyNumberFormat="0">
      <protection locked="0"/>
    </xf>
    <xf numFmtId="4" fontId="43" fillId="72" borderId="102" applyNumberFormat="0" applyProtection="0">
      <alignment vertical="center"/>
    </xf>
    <xf numFmtId="4" fontId="43" fillId="72" borderId="102" applyNumberFormat="0" applyProtection="0">
      <alignment vertical="center"/>
    </xf>
    <xf numFmtId="4" fontId="43" fillId="72" borderId="102" applyNumberFormat="0" applyProtection="0">
      <alignment vertical="center"/>
    </xf>
    <xf numFmtId="4" fontId="85" fillId="72" borderId="102" applyNumberFormat="0" applyProtection="0">
      <alignment vertical="center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72" borderId="102" applyNumberFormat="0" applyProtection="0">
      <alignment horizontal="left" vertical="center" indent="1"/>
    </xf>
    <xf numFmtId="4" fontId="43" fillId="0" borderId="102" applyNumberFormat="0" applyProtection="0">
      <alignment horizontal="right" vertical="center"/>
    </xf>
    <xf numFmtId="4" fontId="43" fillId="0" borderId="102" applyNumberFormat="0" applyProtection="0">
      <alignment horizontal="right" vertical="center"/>
    </xf>
    <xf numFmtId="4" fontId="43" fillId="0" borderId="102" applyNumberFormat="0" applyProtection="0">
      <alignment horizontal="right" vertical="center"/>
    </xf>
    <xf numFmtId="4" fontId="85" fillId="100" borderId="102" applyNumberFormat="0" applyProtection="0">
      <alignment horizontal="right" vertical="center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91" fillId="100" borderId="102" applyNumberFormat="0" applyProtection="0">
      <alignment horizontal="right" vertical="center"/>
    </xf>
    <xf numFmtId="0" fontId="35" fillId="0" borderId="105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5" fillId="0" borderId="106" applyNumberFormat="0" applyFill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4" fillId="0" borderId="0"/>
    <xf numFmtId="44" fontId="3" fillId="0" borderId="0" applyFont="0" applyFill="0" applyBorder="0" applyAlignment="0" applyProtection="0"/>
    <xf numFmtId="0" fontId="75" fillId="0" borderId="122" applyNumberFormat="0" applyFill="0" applyAlignment="0" applyProtection="0"/>
    <xf numFmtId="0" fontId="81" fillId="79" borderId="123" applyNumberFormat="0" applyAlignment="0" applyProtection="0"/>
    <xf numFmtId="4" fontId="36" fillId="54" borderId="124" applyNumberFormat="0" applyProtection="0">
      <alignment vertical="center"/>
    </xf>
    <xf numFmtId="4" fontId="36" fillId="54" borderId="124" applyNumberFormat="0" applyProtection="0">
      <alignment vertical="center"/>
    </xf>
    <xf numFmtId="4" fontId="43" fillId="54" borderId="123" applyNumberFormat="0" applyProtection="0">
      <alignment vertical="center"/>
    </xf>
    <xf numFmtId="4" fontId="43" fillId="54" borderId="123" applyNumberFormat="0" applyProtection="0">
      <alignment vertical="center"/>
    </xf>
    <xf numFmtId="4" fontId="39" fillId="82" borderId="124" applyNumberFormat="0" applyProtection="0">
      <alignment vertical="center"/>
    </xf>
    <xf numFmtId="4" fontId="43" fillId="54" borderId="123" applyNumberFormat="0" applyProtection="0">
      <alignment vertical="center"/>
    </xf>
    <xf numFmtId="4" fontId="37" fillId="54" borderId="124" applyNumberFormat="0" applyProtection="0">
      <alignment vertical="center"/>
    </xf>
    <xf numFmtId="4" fontId="85" fillId="54" borderId="123" applyNumberFormat="0" applyProtection="0">
      <alignment vertical="center"/>
    </xf>
    <xf numFmtId="4" fontId="116" fillId="54" borderId="124" applyNumberFormat="0" applyProtection="0">
      <alignment vertical="center"/>
    </xf>
    <xf numFmtId="4" fontId="37" fillId="54" borderId="124" applyNumberFormat="0" applyProtection="0">
      <alignment vertical="center"/>
    </xf>
    <xf numFmtId="4" fontId="38" fillId="54" borderId="124" applyNumberFormat="0" applyProtection="0">
      <alignment horizontal="left" vertical="center" indent="1"/>
    </xf>
    <xf numFmtId="4" fontId="38" fillId="54" borderId="124" applyNumberFormat="0" applyProtection="0">
      <alignment horizontal="left" vertical="center" indent="1"/>
    </xf>
    <xf numFmtId="4" fontId="43" fillId="54" borderId="123" applyNumberFormat="0" applyProtection="0">
      <alignment horizontal="left" vertical="center" indent="1"/>
    </xf>
    <xf numFmtId="4" fontId="43" fillId="54" borderId="123" applyNumberFormat="0" applyProtection="0">
      <alignment horizontal="left" vertical="center" indent="1"/>
    </xf>
    <xf numFmtId="4" fontId="39" fillId="54" borderId="124" applyNumberFormat="0" applyProtection="0">
      <alignment horizontal="left" vertical="center" indent="1"/>
    </xf>
    <xf numFmtId="4" fontId="43" fillId="54" borderId="123" applyNumberFormat="0" applyProtection="0">
      <alignment horizontal="left" vertical="center" indent="1"/>
    </xf>
    <xf numFmtId="0" fontId="39" fillId="54" borderId="124" applyNumberFormat="0" applyProtection="0">
      <alignment horizontal="left" vertical="top" indent="1"/>
    </xf>
    <xf numFmtId="4" fontId="43" fillId="54" borderId="123" applyNumberFormat="0" applyProtection="0">
      <alignment horizontal="left" vertical="center" indent="1"/>
    </xf>
    <xf numFmtId="4" fontId="43" fillId="54" borderId="123" applyNumberFormat="0" applyProtection="0">
      <alignment horizontal="left" vertical="center" indent="1"/>
    </xf>
    <xf numFmtId="0" fontId="39" fillId="54" borderId="124" applyNumberFormat="0" applyProtection="0">
      <alignment horizontal="left" vertical="top" indent="1"/>
    </xf>
    <xf numFmtId="4" fontId="43" fillId="5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4" fontId="38" fillId="56" borderId="124" applyNumberFormat="0" applyProtection="0">
      <alignment horizontal="right" vertical="center"/>
    </xf>
    <xf numFmtId="4" fontId="43" fillId="57" borderId="123" applyNumberFormat="0" applyProtection="0">
      <alignment horizontal="right" vertical="center"/>
    </xf>
    <xf numFmtId="4" fontId="43" fillId="57" borderId="123" applyNumberFormat="0" applyProtection="0">
      <alignment horizontal="right" vertical="center"/>
    </xf>
    <xf numFmtId="4" fontId="43" fillId="85" borderId="124" applyNumberFormat="0" applyProtection="0">
      <alignment horizontal="right" vertical="center"/>
    </xf>
    <xf numFmtId="4" fontId="43" fillId="85" borderId="124" applyNumberFormat="0" applyProtection="0">
      <alignment horizontal="right" vertical="center"/>
    </xf>
    <xf numFmtId="4" fontId="43" fillId="57" borderId="123" applyNumberFormat="0" applyProtection="0">
      <alignment horizontal="right" vertical="center"/>
    </xf>
    <xf numFmtId="4" fontId="38" fillId="56" borderId="124" applyNumberFormat="0" applyProtection="0">
      <alignment horizontal="right" vertical="center"/>
    </xf>
    <xf numFmtId="4" fontId="38" fillId="57" borderId="124" applyNumberFormat="0" applyProtection="0">
      <alignment horizontal="right" vertical="center"/>
    </xf>
    <xf numFmtId="4" fontId="43" fillId="58" borderId="123" applyNumberFormat="0" applyProtection="0">
      <alignment horizontal="right" vertical="center"/>
    </xf>
    <xf numFmtId="4" fontId="43" fillId="58" borderId="123" applyNumberFormat="0" applyProtection="0">
      <alignment horizontal="right" vertical="center"/>
    </xf>
    <xf numFmtId="4" fontId="43" fillId="87" borderId="124" applyNumberFormat="0" applyProtection="0">
      <alignment horizontal="right" vertical="center"/>
    </xf>
    <xf numFmtId="4" fontId="43" fillId="87" borderId="124" applyNumberFormat="0" applyProtection="0">
      <alignment horizontal="right" vertical="center"/>
    </xf>
    <xf numFmtId="4" fontId="43" fillId="58" borderId="123" applyNumberFormat="0" applyProtection="0">
      <alignment horizontal="right" vertical="center"/>
    </xf>
    <xf numFmtId="4" fontId="38" fillId="57" borderId="124" applyNumberFormat="0" applyProtection="0">
      <alignment horizontal="right" vertical="center"/>
    </xf>
    <xf numFmtId="4" fontId="38" fillId="58" borderId="124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43" fillId="56" borderId="123" applyNumberFormat="0" applyProtection="0">
      <alignment horizontal="right" vertical="center"/>
    </xf>
    <xf numFmtId="4" fontId="43" fillId="56" borderId="123" applyNumberFormat="0" applyProtection="0">
      <alignment horizontal="right" vertical="center"/>
    </xf>
    <xf numFmtId="4" fontId="43" fillId="88" borderId="124" applyNumberFormat="0" applyProtection="0">
      <alignment horizontal="right" vertical="center"/>
    </xf>
    <xf numFmtId="4" fontId="43" fillId="88" borderId="124" applyNumberFormat="0" applyProtection="0">
      <alignment horizontal="right" vertical="center"/>
    </xf>
    <xf numFmtId="4" fontId="43" fillId="56" borderId="123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24" fillId="88" borderId="125" applyNumberFormat="0" applyProtection="0">
      <alignment horizontal="right" vertical="center"/>
    </xf>
    <xf numFmtId="4" fontId="38" fillId="58" borderId="124" applyNumberFormat="0" applyProtection="0">
      <alignment horizontal="right" vertical="center"/>
    </xf>
    <xf numFmtId="4" fontId="38" fillId="60" borderId="124" applyNumberFormat="0" applyProtection="0">
      <alignment horizontal="right" vertical="center"/>
    </xf>
    <xf numFmtId="4" fontId="43" fillId="61" borderId="123" applyNumberFormat="0" applyProtection="0">
      <alignment horizontal="right" vertical="center"/>
    </xf>
    <xf numFmtId="4" fontId="43" fillId="61" borderId="123" applyNumberFormat="0" applyProtection="0">
      <alignment horizontal="right" vertical="center"/>
    </xf>
    <xf numFmtId="4" fontId="43" fillId="89" borderId="124" applyNumberFormat="0" applyProtection="0">
      <alignment horizontal="right" vertical="center"/>
    </xf>
    <xf numFmtId="4" fontId="43" fillId="89" borderId="124" applyNumberFormat="0" applyProtection="0">
      <alignment horizontal="right" vertical="center"/>
    </xf>
    <xf numFmtId="4" fontId="43" fillId="61" borderId="123" applyNumberFormat="0" applyProtection="0">
      <alignment horizontal="right" vertical="center"/>
    </xf>
    <xf numFmtId="4" fontId="38" fillId="60" borderId="124" applyNumberFormat="0" applyProtection="0">
      <alignment horizontal="right" vertical="center"/>
    </xf>
    <xf numFmtId="4" fontId="38" fillId="61" borderId="124" applyNumberFormat="0" applyProtection="0">
      <alignment horizontal="right" vertical="center"/>
    </xf>
    <xf numFmtId="4" fontId="43" fillId="91" borderId="123" applyNumberFormat="0" applyProtection="0">
      <alignment horizontal="right" vertical="center"/>
    </xf>
    <xf numFmtId="4" fontId="43" fillId="91" borderId="123" applyNumberFormat="0" applyProtection="0">
      <alignment horizontal="right" vertical="center"/>
    </xf>
    <xf numFmtId="4" fontId="43" fillId="90" borderId="124" applyNumberFormat="0" applyProtection="0">
      <alignment horizontal="right" vertical="center"/>
    </xf>
    <xf numFmtId="4" fontId="43" fillId="90" borderId="124" applyNumberFormat="0" applyProtection="0">
      <alignment horizontal="right" vertical="center"/>
    </xf>
    <xf numFmtId="4" fontId="43" fillId="91" borderId="123" applyNumberFormat="0" applyProtection="0">
      <alignment horizontal="right" vertical="center"/>
    </xf>
    <xf numFmtId="4" fontId="38" fillId="61" borderId="124" applyNumberFormat="0" applyProtection="0">
      <alignment horizontal="right" vertical="center"/>
    </xf>
    <xf numFmtId="4" fontId="38" fillId="59" borderId="124" applyNumberFormat="0" applyProtection="0">
      <alignment horizontal="right" vertical="center"/>
    </xf>
    <xf numFmtId="4" fontId="43" fillId="93" borderId="123" applyNumberFormat="0" applyProtection="0">
      <alignment horizontal="right" vertical="center"/>
    </xf>
    <xf numFmtId="4" fontId="43" fillId="93" borderId="123" applyNumberFormat="0" applyProtection="0">
      <alignment horizontal="right" vertical="center"/>
    </xf>
    <xf numFmtId="4" fontId="43" fillId="92" borderId="124" applyNumberFormat="0" applyProtection="0">
      <alignment horizontal="right" vertical="center"/>
    </xf>
    <xf numFmtId="4" fontId="43" fillId="92" borderId="124" applyNumberFormat="0" applyProtection="0">
      <alignment horizontal="right" vertical="center"/>
    </xf>
    <xf numFmtId="4" fontId="43" fillId="93" borderId="123" applyNumberFormat="0" applyProtection="0">
      <alignment horizontal="right" vertical="center"/>
    </xf>
    <xf numFmtId="4" fontId="38" fillId="59" borderId="124" applyNumberFormat="0" applyProtection="0">
      <alignment horizontal="right" vertical="center"/>
    </xf>
    <xf numFmtId="4" fontId="38" fillId="63" borderId="124" applyNumberFormat="0" applyProtection="0">
      <alignment horizontal="right" vertical="center"/>
    </xf>
    <xf numFmtId="4" fontId="43" fillId="64" borderId="123" applyNumberFormat="0" applyProtection="0">
      <alignment horizontal="right" vertical="center"/>
    </xf>
    <xf numFmtId="4" fontId="43" fillId="64" borderId="123" applyNumberFormat="0" applyProtection="0">
      <alignment horizontal="right" vertical="center"/>
    </xf>
    <xf numFmtId="4" fontId="43" fillId="94" borderId="124" applyNumberFormat="0" applyProtection="0">
      <alignment horizontal="right" vertical="center"/>
    </xf>
    <xf numFmtId="4" fontId="43" fillId="94" borderId="124" applyNumberFormat="0" applyProtection="0">
      <alignment horizontal="right" vertical="center"/>
    </xf>
    <xf numFmtId="4" fontId="43" fillId="64" borderId="123" applyNumberFormat="0" applyProtection="0">
      <alignment horizontal="right" vertical="center"/>
    </xf>
    <xf numFmtId="4" fontId="38" fillId="63" borderId="124" applyNumberFormat="0" applyProtection="0">
      <alignment horizontal="right" vertical="center"/>
    </xf>
    <xf numFmtId="4" fontId="38" fillId="64" borderId="124" applyNumberFormat="0" applyProtection="0">
      <alignment horizontal="right" vertical="center"/>
    </xf>
    <xf numFmtId="4" fontId="43" fillId="63" borderId="123" applyNumberFormat="0" applyProtection="0">
      <alignment horizontal="right" vertical="center"/>
    </xf>
    <xf numFmtId="4" fontId="43" fillId="63" borderId="123" applyNumberFormat="0" applyProtection="0">
      <alignment horizontal="right" vertical="center"/>
    </xf>
    <xf numFmtId="4" fontId="43" fillId="95" borderId="124" applyNumberFormat="0" applyProtection="0">
      <alignment horizontal="right" vertical="center"/>
    </xf>
    <xf numFmtId="4" fontId="43" fillId="95" borderId="124" applyNumberFormat="0" applyProtection="0">
      <alignment horizontal="right" vertical="center"/>
    </xf>
    <xf numFmtId="4" fontId="43" fillId="63" borderId="123" applyNumberFormat="0" applyProtection="0">
      <alignment horizontal="right" vertical="center"/>
    </xf>
    <xf numFmtId="4" fontId="38" fillId="64" borderId="124" applyNumberFormat="0" applyProtection="0">
      <alignment horizontal="right" vertical="center"/>
    </xf>
    <xf numFmtId="4" fontId="38" fillId="62" borderId="124" applyNumberFormat="0" applyProtection="0">
      <alignment horizontal="right" vertical="center"/>
    </xf>
    <xf numFmtId="4" fontId="43" fillId="97" borderId="123" applyNumberFormat="0" applyProtection="0">
      <alignment horizontal="right" vertical="center"/>
    </xf>
    <xf numFmtId="4" fontId="43" fillId="97" borderId="123" applyNumberFormat="0" applyProtection="0">
      <alignment horizontal="right" vertical="center"/>
    </xf>
    <xf numFmtId="4" fontId="43" fillId="96" borderId="124" applyNumberFormat="0" applyProtection="0">
      <alignment horizontal="right" vertical="center"/>
    </xf>
    <xf numFmtId="4" fontId="43" fillId="96" borderId="124" applyNumberFormat="0" applyProtection="0">
      <alignment horizontal="right" vertical="center"/>
    </xf>
    <xf numFmtId="4" fontId="43" fillId="97" borderId="123" applyNumberFormat="0" applyProtection="0">
      <alignment horizontal="right" vertical="center"/>
    </xf>
    <xf numFmtId="4" fontId="38" fillId="62" borderId="124" applyNumberFormat="0" applyProtection="0">
      <alignment horizontal="right" vertical="center"/>
    </xf>
    <xf numFmtId="4" fontId="36" fillId="65" borderId="126" applyNumberFormat="0" applyProtection="0">
      <alignment horizontal="left" vertical="center" indent="1"/>
    </xf>
    <xf numFmtId="4" fontId="39" fillId="99" borderId="123" applyNumberFormat="0" applyProtection="0">
      <alignment horizontal="left" vertical="center" indent="1"/>
    </xf>
    <xf numFmtId="4" fontId="39" fillId="98" borderId="126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36" fillId="65" borderId="126" applyNumberFormat="0" applyProtection="0">
      <alignment horizontal="left" vertical="center" indent="1"/>
    </xf>
    <xf numFmtId="4" fontId="24" fillId="98" borderId="125" applyNumberFormat="0" applyProtection="0">
      <alignment horizontal="left" vertical="center" indent="1"/>
    </xf>
    <xf numFmtId="4" fontId="3" fillId="71" borderId="125" applyNumberFormat="0" applyProtection="0">
      <alignment horizontal="left" vertical="center" indent="1"/>
    </xf>
    <xf numFmtId="4" fontId="3" fillId="71" borderId="125" applyNumberFormat="0" applyProtection="0">
      <alignment horizontal="left" vertical="center" indent="1"/>
    </xf>
    <xf numFmtId="4" fontId="38" fillId="66" borderId="124" applyNumberFormat="0" applyProtection="0">
      <alignment horizontal="right" vertical="center"/>
    </xf>
    <xf numFmtId="0" fontId="3" fillId="84" borderId="123" applyNumberFormat="0" applyProtection="0">
      <alignment horizontal="left" vertical="center" indent="1"/>
    </xf>
    <xf numFmtId="4" fontId="43" fillId="102" borderId="124" applyNumberFormat="0" applyProtection="0">
      <alignment horizontal="right" vertical="center"/>
    </xf>
    <xf numFmtId="4" fontId="43" fillId="102" borderId="124" applyNumberFormat="0" applyProtection="0">
      <alignment horizontal="right" vertical="center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4" fontId="38" fillId="66" borderId="124" applyNumberFormat="0" applyProtection="0">
      <alignment horizontal="right" vertical="center"/>
    </xf>
    <xf numFmtId="4" fontId="24" fillId="101" borderId="125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43" fillId="100" borderId="123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1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43" fillId="103" borderId="123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4" fontId="24" fillId="102" borderId="125" applyNumberFormat="0" applyProtection="0">
      <alignment horizontal="left" vertical="center" indent="1"/>
    </xf>
    <xf numFmtId="0" fontId="3" fillId="55" borderId="124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55" borderId="124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55" borderId="124" applyNumberFormat="0" applyProtection="0">
      <alignment horizontal="left" vertical="top" indent="1"/>
    </xf>
    <xf numFmtId="0" fontId="3" fillId="103" borderId="123" applyNumberFormat="0" applyProtection="0">
      <alignment horizontal="left" vertical="center" indent="1"/>
    </xf>
    <xf numFmtId="0" fontId="3" fillId="55" borderId="124" applyNumberFormat="0" applyProtection="0">
      <alignment horizontal="left" vertical="top" indent="1"/>
    </xf>
    <xf numFmtId="0" fontId="3" fillId="103" borderId="123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3" fillId="103" borderId="123" applyNumberFormat="0" applyProtection="0">
      <alignment horizontal="left" vertical="center" indent="1"/>
    </xf>
    <xf numFmtId="0" fontId="24" fillId="71" borderId="124" applyNumberFormat="0" applyProtection="0">
      <alignment horizontal="left" vertical="top" indent="1"/>
    </xf>
    <xf numFmtId="0" fontId="24" fillId="71" borderId="124" applyNumberFormat="0" applyProtection="0">
      <alignment horizontal="left" vertical="top" indent="1"/>
    </xf>
    <xf numFmtId="0" fontId="24" fillId="71" borderId="124" applyNumberFormat="0" applyProtection="0">
      <alignment horizontal="left" vertical="top" indent="1"/>
    </xf>
    <xf numFmtId="0" fontId="24" fillId="71" borderId="124" applyNumberFormat="0" applyProtection="0">
      <alignment horizontal="left" vertical="top" indent="1"/>
    </xf>
    <xf numFmtId="0" fontId="3" fillId="68" borderId="124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68" borderId="124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68" borderId="124" applyNumberFormat="0" applyProtection="0">
      <alignment horizontal="left" vertical="top" indent="1"/>
    </xf>
    <xf numFmtId="0" fontId="3" fillId="106" borderId="123" applyNumberFormat="0" applyProtection="0">
      <alignment horizontal="left" vertical="center" indent="1"/>
    </xf>
    <xf numFmtId="0" fontId="3" fillId="68" borderId="124" applyNumberFormat="0" applyProtection="0">
      <alignment horizontal="left" vertical="top" indent="1"/>
    </xf>
    <xf numFmtId="0" fontId="3" fillId="106" borderId="123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3" fillId="106" borderId="123" applyNumberFormat="0" applyProtection="0">
      <alignment horizontal="left" vertical="center" indent="1"/>
    </xf>
    <xf numFmtId="0" fontId="24" fillId="102" borderId="124" applyNumberFormat="0" applyProtection="0">
      <alignment horizontal="left" vertical="top" indent="1"/>
    </xf>
    <xf numFmtId="0" fontId="24" fillId="102" borderId="124" applyNumberFormat="0" applyProtection="0">
      <alignment horizontal="left" vertical="top" indent="1"/>
    </xf>
    <xf numFmtId="0" fontId="24" fillId="102" borderId="124" applyNumberFormat="0" applyProtection="0">
      <alignment horizontal="left" vertical="top" indent="1"/>
    </xf>
    <xf numFmtId="0" fontId="24" fillId="102" borderId="124" applyNumberFormat="0" applyProtection="0">
      <alignment horizontal="left" vertical="top" indent="1"/>
    </xf>
    <xf numFmtId="0" fontId="3" fillId="66" borderId="124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66" borderId="124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66" borderId="124" applyNumberFormat="0" applyProtection="0">
      <alignment horizontal="left" vertical="top" indent="1"/>
    </xf>
    <xf numFmtId="0" fontId="3" fillId="4" borderId="123" applyNumberFormat="0" applyProtection="0">
      <alignment horizontal="left" vertical="center" indent="1"/>
    </xf>
    <xf numFmtId="0" fontId="3" fillId="66" borderId="124" applyNumberFormat="0" applyProtection="0">
      <alignment horizontal="left" vertical="top" indent="1"/>
    </xf>
    <xf numFmtId="0" fontId="3" fillId="4" borderId="123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3" fillId="4" borderId="123" applyNumberFormat="0" applyProtection="0">
      <alignment horizontal="left" vertical="center" indent="1"/>
    </xf>
    <xf numFmtId="0" fontId="24" fillId="107" borderId="124" applyNumberFormat="0" applyProtection="0">
      <alignment horizontal="left" vertical="top" indent="1"/>
    </xf>
    <xf numFmtId="0" fontId="24" fillId="107" borderId="124" applyNumberFormat="0" applyProtection="0">
      <alignment horizontal="left" vertical="top" indent="1"/>
    </xf>
    <xf numFmtId="0" fontId="24" fillId="107" borderId="124" applyNumberFormat="0" applyProtection="0">
      <alignment horizontal="left" vertical="top" indent="1"/>
    </xf>
    <xf numFmtId="0" fontId="24" fillId="107" borderId="124" applyNumberFormat="0" applyProtection="0">
      <alignment horizontal="left" vertical="top" indent="1"/>
    </xf>
    <xf numFmtId="0" fontId="3" fillId="69" borderId="124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69" borderId="124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69" borderId="124" applyNumberFormat="0" applyProtection="0">
      <alignment horizontal="left" vertical="top" indent="1"/>
    </xf>
    <xf numFmtId="0" fontId="3" fillId="84" borderId="123" applyNumberFormat="0" applyProtection="0">
      <alignment horizontal="left" vertical="center" indent="1"/>
    </xf>
    <xf numFmtId="0" fontId="3" fillId="69" borderId="124" applyNumberFormat="0" applyProtection="0">
      <alignment horizontal="left" vertical="top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24" fillId="101" borderId="124" applyNumberFormat="0" applyProtection="0">
      <alignment horizontal="left" vertical="top" indent="1"/>
    </xf>
    <xf numFmtId="0" fontId="24" fillId="101" borderId="124" applyNumberFormat="0" applyProtection="0">
      <alignment horizontal="left" vertical="top" indent="1"/>
    </xf>
    <xf numFmtId="0" fontId="24" fillId="101" borderId="124" applyNumberFormat="0" applyProtection="0">
      <alignment horizontal="left" vertical="top" indent="1"/>
    </xf>
    <xf numFmtId="0" fontId="24" fillId="101" borderId="124" applyNumberFormat="0" applyProtection="0">
      <alignment horizontal="left" vertical="top" indent="1"/>
    </xf>
    <xf numFmtId="0" fontId="24" fillId="70" borderId="127" applyNumberFormat="0">
      <protection locked="0"/>
    </xf>
    <xf numFmtId="0" fontId="24" fillId="70" borderId="127" applyNumberFormat="0">
      <protection locked="0"/>
    </xf>
    <xf numFmtId="0" fontId="24" fillId="70" borderId="127" applyNumberFormat="0">
      <protection locked="0"/>
    </xf>
    <xf numFmtId="0" fontId="24" fillId="70" borderId="127" applyNumberFormat="0">
      <protection locked="0"/>
    </xf>
    <xf numFmtId="0" fontId="24" fillId="70" borderId="127" applyNumberFormat="0">
      <protection locked="0"/>
    </xf>
    <xf numFmtId="0" fontId="14" fillId="71" borderId="128" applyBorder="0"/>
    <xf numFmtId="4" fontId="38" fillId="69" borderId="124" applyNumberFormat="0" applyProtection="0">
      <alignment vertical="center"/>
    </xf>
    <xf numFmtId="4" fontId="43" fillId="72" borderId="123" applyNumberFormat="0" applyProtection="0">
      <alignment vertical="center"/>
    </xf>
    <xf numFmtId="4" fontId="43" fillId="72" borderId="123" applyNumberFormat="0" applyProtection="0">
      <alignment vertical="center"/>
    </xf>
    <xf numFmtId="4" fontId="43" fillId="72" borderId="124" applyNumberFormat="0" applyProtection="0">
      <alignment vertical="center"/>
    </xf>
    <xf numFmtId="4" fontId="43" fillId="72" borderId="124" applyNumberFormat="0" applyProtection="0">
      <alignment vertical="center"/>
    </xf>
    <xf numFmtId="4" fontId="43" fillId="72" borderId="123" applyNumberFormat="0" applyProtection="0">
      <alignment vertical="center"/>
    </xf>
    <xf numFmtId="4" fontId="38" fillId="69" borderId="124" applyNumberFormat="0" applyProtection="0">
      <alignment vertical="center"/>
    </xf>
    <xf numFmtId="4" fontId="44" fillId="69" borderId="124" applyNumberFormat="0" applyProtection="0">
      <alignment vertical="center"/>
    </xf>
    <xf numFmtId="4" fontId="85" fillId="72" borderId="123" applyNumberFormat="0" applyProtection="0">
      <alignment vertical="center"/>
    </xf>
    <xf numFmtId="4" fontId="85" fillId="72" borderId="124" applyNumberFormat="0" applyProtection="0">
      <alignment vertical="center"/>
    </xf>
    <xf numFmtId="4" fontId="44" fillId="69" borderId="124" applyNumberFormat="0" applyProtection="0">
      <alignment vertical="center"/>
    </xf>
    <xf numFmtId="4" fontId="36" fillId="66" borderId="129" applyNumberFormat="0" applyProtection="0">
      <alignment horizontal="left" vertical="center" indent="1"/>
    </xf>
    <xf numFmtId="4" fontId="43" fillId="72" borderId="123" applyNumberFormat="0" applyProtection="0">
      <alignment horizontal="left" vertical="center" indent="1"/>
    </xf>
    <xf numFmtId="4" fontId="43" fillId="72" borderId="123" applyNumberFormat="0" applyProtection="0">
      <alignment horizontal="left" vertical="center" indent="1"/>
    </xf>
    <xf numFmtId="4" fontId="43" fillId="72" borderId="124" applyNumberFormat="0" applyProtection="0">
      <alignment horizontal="left" vertical="center" indent="1"/>
    </xf>
    <xf numFmtId="4" fontId="43" fillId="72" borderId="124" applyNumberFormat="0" applyProtection="0">
      <alignment horizontal="left" vertical="center" indent="1"/>
    </xf>
    <xf numFmtId="4" fontId="43" fillId="72" borderId="123" applyNumberFormat="0" applyProtection="0">
      <alignment horizontal="left" vertical="center" indent="1"/>
    </xf>
    <xf numFmtId="4" fontId="36" fillId="66" borderId="129" applyNumberFormat="0" applyProtection="0">
      <alignment horizontal="left" vertical="center" indent="1"/>
    </xf>
    <xf numFmtId="0" fontId="43" fillId="72" borderId="124" applyNumberFormat="0" applyProtection="0">
      <alignment horizontal="left" vertical="top" indent="1"/>
    </xf>
    <xf numFmtId="4" fontId="43" fillId="72" borderId="123" applyNumberFormat="0" applyProtection="0">
      <alignment horizontal="left" vertical="center" indent="1"/>
    </xf>
    <xf numFmtId="4" fontId="43" fillId="72" borderId="123" applyNumberFormat="0" applyProtection="0">
      <alignment horizontal="left" vertical="center" indent="1"/>
    </xf>
    <xf numFmtId="0" fontId="43" fillId="72" borderId="124" applyNumberFormat="0" applyProtection="0">
      <alignment horizontal="left" vertical="top" indent="1"/>
    </xf>
    <xf numFmtId="0" fontId="43" fillId="72" borderId="124" applyNumberFormat="0" applyProtection="0">
      <alignment horizontal="left" vertical="top" indent="1"/>
    </xf>
    <xf numFmtId="4" fontId="43" fillId="72" borderId="123" applyNumberFormat="0" applyProtection="0">
      <alignment horizontal="left" vertical="center" indent="1"/>
    </xf>
    <xf numFmtId="4" fontId="38" fillId="69" borderId="124" applyNumberFormat="0" applyProtection="0">
      <alignment horizontal="right" vertical="center"/>
    </xf>
    <xf numFmtId="4" fontId="38" fillId="69" borderId="124" applyNumberFormat="0" applyProtection="0">
      <alignment horizontal="right" vertical="center"/>
    </xf>
    <xf numFmtId="4" fontId="43" fillId="0" borderId="123" applyNumberFormat="0" applyProtection="0">
      <alignment horizontal="right" vertical="center"/>
    </xf>
    <xf numFmtId="4" fontId="43" fillId="0" borderId="123" applyNumberFormat="0" applyProtection="0">
      <alignment horizontal="right" vertical="center"/>
    </xf>
    <xf numFmtId="4" fontId="43" fillId="0" borderId="124" applyNumberFormat="0" applyProtection="0">
      <alignment horizontal="right" vertical="center"/>
    </xf>
    <xf numFmtId="4" fontId="43" fillId="0" borderId="124" applyNumberFormat="0" applyProtection="0">
      <alignment horizontal="right" vertical="center"/>
    </xf>
    <xf numFmtId="4" fontId="43" fillId="0" borderId="123" applyNumberFormat="0" applyProtection="0">
      <alignment horizontal="right" vertical="center"/>
    </xf>
    <xf numFmtId="4" fontId="44" fillId="69" borderId="124" applyNumberFormat="0" applyProtection="0">
      <alignment horizontal="right" vertical="center"/>
    </xf>
    <xf numFmtId="4" fontId="85" fillId="100" borderId="123" applyNumberFormat="0" applyProtection="0">
      <alignment horizontal="right" vertical="center"/>
    </xf>
    <xf numFmtId="4" fontId="85" fillId="101" borderId="124" applyNumberFormat="0" applyProtection="0">
      <alignment horizontal="right" vertical="center"/>
    </xf>
    <xf numFmtId="4" fontId="44" fillId="69" borderId="124" applyNumberFormat="0" applyProtection="0">
      <alignment horizontal="right" vertical="center"/>
    </xf>
    <xf numFmtId="4" fontId="36" fillId="66" borderId="124" applyNumberFormat="0" applyProtection="0">
      <alignment horizontal="left" vertical="center" indent="1"/>
    </xf>
    <xf numFmtId="4" fontId="36" fillId="66" borderId="124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4" fontId="43" fillId="0" borderId="124" applyNumberFormat="0" applyProtection="0">
      <alignment horizontal="left" vertical="center" indent="1"/>
    </xf>
    <xf numFmtId="4" fontId="43" fillId="0" borderId="124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0" fontId="3" fillId="0" borderId="123" applyNumberFormat="0" applyProtection="0">
      <alignment horizontal="left" vertical="center" indent="1"/>
    </xf>
    <xf numFmtId="0" fontId="43" fillId="68" borderId="124" applyNumberFormat="0" applyProtection="0">
      <alignment horizontal="left" vertical="top" indent="1"/>
    </xf>
    <xf numFmtId="0" fontId="3" fillId="84" borderId="123" applyNumberFormat="0" applyProtection="0">
      <alignment horizontal="left" vertical="center" indent="1"/>
    </xf>
    <xf numFmtId="0" fontId="43" fillId="68" borderId="124" applyNumberFormat="0" applyProtection="0">
      <alignment horizontal="left" vertical="top" indent="1"/>
    </xf>
    <xf numFmtId="0" fontId="43" fillId="68" borderId="124" applyNumberFormat="0" applyProtection="0">
      <alignment horizontal="left" vertical="top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0" fontId="3" fillId="84" borderId="123" applyNumberFormat="0" applyProtection="0">
      <alignment horizontal="left" vertical="center" indent="1"/>
    </xf>
    <xf numFmtId="4" fontId="48" fillId="68" borderId="129" applyNumberFormat="0" applyProtection="0">
      <alignment horizontal="left" vertical="center" indent="1"/>
    </xf>
    <xf numFmtId="4" fontId="48" fillId="68" borderId="129" applyNumberFormat="0" applyProtection="0">
      <alignment horizontal="left" vertical="center" indent="1"/>
    </xf>
    <xf numFmtId="4" fontId="49" fillId="69" borderId="124" applyNumberFormat="0" applyProtection="0">
      <alignment horizontal="right" vertical="center"/>
    </xf>
    <xf numFmtId="4" fontId="91" fillId="100" borderId="123" applyNumberFormat="0" applyProtection="0">
      <alignment horizontal="right" vertical="center"/>
    </xf>
    <xf numFmtId="4" fontId="91" fillId="101" borderId="124" applyNumberFormat="0" applyProtection="0">
      <alignment horizontal="right" vertical="center"/>
    </xf>
    <xf numFmtId="4" fontId="49" fillId="69" borderId="124" applyNumberFormat="0" applyProtection="0">
      <alignment horizontal="right" vertical="center"/>
    </xf>
    <xf numFmtId="0" fontId="35" fillId="0" borderId="130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64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99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0" fontId="27" fillId="0" borderId="0" xfId="0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165" fontId="5" fillId="0" borderId="47" xfId="22" applyNumberFormat="1" applyFont="1" applyBorder="1"/>
    <xf numFmtId="0" fontId="4" fillId="0" borderId="0" xfId="2012" applyFont="1" applyAlignment="1">
      <alignment horizontal="center"/>
    </xf>
    <xf numFmtId="0" fontId="5" fillId="0" borderId="0" xfId="2012" applyFont="1" applyAlignment="1">
      <alignment horizontal="center"/>
    </xf>
    <xf numFmtId="0" fontId="5" fillId="0" borderId="0" xfId="2012" applyFont="1"/>
    <xf numFmtId="0" fontId="5" fillId="0" borderId="0" xfId="2012" applyFont="1" applyAlignment="1">
      <alignment horizontal="left"/>
    </xf>
    <xf numFmtId="0" fontId="12" fillId="0" borderId="0" xfId="2012" applyFont="1"/>
    <xf numFmtId="0" fontId="4" fillId="0" borderId="0" xfId="2012" applyFont="1"/>
    <xf numFmtId="177" fontId="4" fillId="0" borderId="0" xfId="2012" applyNumberFormat="1" applyFont="1" applyAlignment="1">
      <alignment horizontal="right"/>
    </xf>
    <xf numFmtId="0" fontId="26" fillId="0" borderId="0" xfId="2012" applyFont="1" applyProtection="1">
      <protection locked="0"/>
    </xf>
    <xf numFmtId="177" fontId="4" fillId="0" borderId="0" xfId="2012" quotePrefix="1" applyNumberFormat="1" applyFont="1" applyAlignment="1">
      <alignment horizontal="right"/>
    </xf>
    <xf numFmtId="176" fontId="4" fillId="0" borderId="0" xfId="2012" applyNumberFormat="1" applyFont="1" applyAlignment="1">
      <alignment horizontal="left"/>
    </xf>
    <xf numFmtId="0" fontId="12" fillId="0" borderId="0" xfId="2012" applyFont="1" applyAlignment="1">
      <alignment horizontal="center"/>
    </xf>
    <xf numFmtId="164" fontId="4" fillId="0" borderId="0" xfId="21" applyNumberFormat="1" applyFont="1" applyFill="1" applyBorder="1" applyProtection="1">
      <protection locked="0"/>
    </xf>
    <xf numFmtId="5" fontId="16" fillId="0" borderId="0" xfId="2012" applyNumberFormat="1" applyFont="1" applyAlignment="1" applyProtection="1">
      <alignment horizontal="right"/>
      <protection locked="0"/>
    </xf>
    <xf numFmtId="0" fontId="4" fillId="0" borderId="0" xfId="2012" applyFont="1" applyAlignment="1">
      <alignment vertical="center"/>
    </xf>
    <xf numFmtId="164" fontId="5" fillId="0" borderId="0" xfId="21" applyNumberFormat="1" applyFont="1" applyBorder="1" applyAlignment="1">
      <alignment horizontal="right"/>
    </xf>
    <xf numFmtId="5" fontId="26" fillId="0" borderId="0" xfId="2012" applyNumberFormat="1" applyFont="1" applyAlignment="1" applyProtection="1">
      <alignment horizontal="right"/>
      <protection locked="0"/>
    </xf>
    <xf numFmtId="5" fontId="117" fillId="0" borderId="0" xfId="2012" applyNumberFormat="1" applyFont="1" applyAlignment="1" applyProtection="1">
      <alignment horizontal="right"/>
      <protection locked="0"/>
    </xf>
    <xf numFmtId="10" fontId="5" fillId="0" borderId="0" xfId="61" applyNumberFormat="1" applyFont="1" applyBorder="1"/>
    <xf numFmtId="10" fontId="5" fillId="0" borderId="0" xfId="1043" applyNumberFormat="1" applyFont="1" applyAlignment="1" applyProtection="1">
      <alignment horizontal="right"/>
    </xf>
    <xf numFmtId="164" fontId="5" fillId="0" borderId="0" xfId="2012" applyNumberFormat="1" applyFont="1" applyAlignment="1" applyProtection="1">
      <alignment horizontal="right"/>
      <protection locked="0"/>
    </xf>
    <xf numFmtId="165" fontId="118" fillId="0" borderId="0" xfId="22" applyNumberFormat="1" applyFont="1" applyBorder="1"/>
    <xf numFmtId="165" fontId="5" fillId="0" borderId="0" xfId="2012" applyNumberFormat="1" applyFont="1"/>
    <xf numFmtId="10" fontId="12" fillId="0" borderId="0" xfId="61" applyNumberFormat="1" applyFont="1" applyBorder="1" applyProtection="1"/>
    <xf numFmtId="10" fontId="4" fillId="0" borderId="0" xfId="61" applyNumberFormat="1" applyFont="1" applyBorder="1" applyProtection="1"/>
    <xf numFmtId="0" fontId="12" fillId="0" borderId="0" xfId="2012" applyFont="1" applyAlignment="1">
      <alignment horizontal="left"/>
    </xf>
    <xf numFmtId="10" fontId="5" fillId="0" borderId="0" xfId="2012" applyNumberFormat="1" applyFont="1" applyAlignment="1">
      <alignment horizontal="center"/>
    </xf>
    <xf numFmtId="0" fontId="16" fillId="0" borderId="0" xfId="2012" applyFont="1" applyProtection="1">
      <protection locked="0"/>
    </xf>
    <xf numFmtId="10" fontId="5" fillId="0" borderId="0" xfId="2012" applyNumberFormat="1" applyFont="1"/>
    <xf numFmtId="5" fontId="16" fillId="0" borderId="0" xfId="2012" applyNumberFormat="1" applyFont="1" applyAlignment="1" applyProtection="1">
      <alignment horizontal="center"/>
      <protection locked="0"/>
    </xf>
    <xf numFmtId="5" fontId="5" fillId="0" borderId="0" xfId="2012" applyNumberFormat="1" applyFont="1" applyAlignment="1">
      <alignment horizontal="center"/>
    </xf>
    <xf numFmtId="0" fontId="4" fillId="0" borderId="0" xfId="2012" applyFont="1" applyAlignment="1">
      <alignment horizontal="right"/>
    </xf>
    <xf numFmtId="10" fontId="12" fillId="0" borderId="0" xfId="61" applyNumberFormat="1" applyFont="1" applyAlignment="1">
      <alignment horizontal="right"/>
    </xf>
    <xf numFmtId="37" fontId="5" fillId="0" borderId="0" xfId="61" applyNumberFormat="1" applyFont="1" applyAlignment="1">
      <alignment horizontal="right"/>
    </xf>
    <xf numFmtId="10" fontId="5" fillId="0" borderId="0" xfId="61" applyNumberFormat="1" applyFont="1"/>
    <xf numFmtId="0" fontId="10" fillId="0" borderId="0" xfId="2012" applyFont="1" applyAlignment="1">
      <alignment horizontal="center"/>
    </xf>
    <xf numFmtId="1" fontId="5" fillId="0" borderId="0" xfId="2012" applyNumberFormat="1" applyFont="1" applyAlignment="1">
      <alignment horizontal="center"/>
    </xf>
    <xf numFmtId="177" fontId="5" fillId="0" borderId="0" xfId="2012" quotePrefix="1" applyNumberFormat="1" applyFont="1" applyAlignment="1">
      <alignment horizontal="right"/>
    </xf>
    <xf numFmtId="177" fontId="4" fillId="0" borderId="0" xfId="2012" applyNumberFormat="1" applyFont="1" applyAlignment="1" applyProtection="1">
      <alignment horizontal="right"/>
      <protection locked="0"/>
    </xf>
    <xf numFmtId="164" fontId="4" fillId="0" borderId="0" xfId="21" applyNumberFormat="1" applyFont="1" applyFill="1" applyBorder="1" applyAlignment="1">
      <alignment horizontal="right"/>
    </xf>
    <xf numFmtId="0" fontId="4" fillId="0" borderId="0" xfId="1965" applyFont="1"/>
    <xf numFmtId="0" fontId="29" fillId="0" borderId="0" xfId="1604" applyFont="1"/>
    <xf numFmtId="0" fontId="29" fillId="0" borderId="0" xfId="1604" applyFont="1" applyAlignment="1">
      <alignment horizontal="center"/>
    </xf>
    <xf numFmtId="0" fontId="27" fillId="0" borderId="0" xfId="1604" applyFont="1" applyAlignment="1">
      <alignment horizontal="center"/>
    </xf>
    <xf numFmtId="0" fontId="27" fillId="0" borderId="0" xfId="1604" applyFont="1"/>
    <xf numFmtId="165" fontId="29" fillId="0" borderId="0" xfId="45" applyNumberFormat="1" applyFont="1"/>
    <xf numFmtId="10" fontId="29" fillId="0" borderId="0" xfId="64" applyNumberFormat="1" applyFont="1" applyBorder="1"/>
    <xf numFmtId="43" fontId="29" fillId="0" borderId="0" xfId="1604" applyNumberFormat="1" applyFont="1"/>
    <xf numFmtId="164" fontId="4" fillId="0" borderId="0" xfId="21" applyNumberFormat="1" applyFont="1" applyFill="1" applyBorder="1" applyAlignment="1" applyProtection="1">
      <alignment horizontal="right"/>
      <protection locked="0"/>
    </xf>
    <xf numFmtId="0" fontId="4" fillId="0" borderId="0" xfId="1604" applyFont="1" applyAlignment="1">
      <alignment horizontal="center"/>
    </xf>
    <xf numFmtId="0" fontId="5" fillId="0" borderId="3" xfId="4" applyFont="1" applyBorder="1"/>
    <xf numFmtId="0" fontId="5" fillId="0" borderId="3" xfId="4" applyFont="1" applyBorder="1" applyAlignment="1">
      <alignment horizontal="center"/>
    </xf>
    <xf numFmtId="44" fontId="5" fillId="0" borderId="0" xfId="4" applyNumberFormat="1" applyFont="1"/>
    <xf numFmtId="0" fontId="5" fillId="0" borderId="0" xfId="4" applyFont="1" applyAlignment="1">
      <alignment horizontal="left"/>
    </xf>
    <xf numFmtId="0" fontId="27" fillId="0" borderId="0" xfId="57" applyFont="1"/>
    <xf numFmtId="0" fontId="27" fillId="0" borderId="0" xfId="57" applyFont="1" applyAlignment="1">
      <alignment horizontal="center"/>
    </xf>
    <xf numFmtId="0" fontId="119" fillId="0" borderId="0" xfId="57" applyFont="1" applyAlignment="1">
      <alignment horizontal="center"/>
    </xf>
    <xf numFmtId="0" fontId="120" fillId="0" borderId="0" xfId="57" applyFont="1" applyAlignment="1">
      <alignment horizontal="center"/>
    </xf>
    <xf numFmtId="0" fontId="29" fillId="0" borderId="0" xfId="57" applyFont="1" applyAlignment="1">
      <alignment horizontal="center"/>
    </xf>
    <xf numFmtId="0" fontId="29" fillId="0" borderId="0" xfId="57" applyFont="1"/>
    <xf numFmtId="164" fontId="5" fillId="0" borderId="0" xfId="21" applyNumberFormat="1" applyFont="1" applyFill="1" applyBorder="1" applyAlignment="1" applyProtection="1">
      <alignment horizontal="right"/>
      <protection locked="0"/>
    </xf>
    <xf numFmtId="164" fontId="27" fillId="0" borderId="0" xfId="57" applyNumberFormat="1" applyFont="1"/>
    <xf numFmtId="164" fontId="29" fillId="0" borderId="0" xfId="57" applyNumberFormat="1" applyFont="1"/>
    <xf numFmtId="10" fontId="5" fillId="0" borderId="0" xfId="1043" applyNumberFormat="1" applyFont="1" applyBorder="1" applyAlignment="1">
      <alignment horizontal="right"/>
    </xf>
    <xf numFmtId="0" fontId="4" fillId="0" borderId="0" xfId="1604" applyFont="1"/>
    <xf numFmtId="17" fontId="119" fillId="0" borderId="0" xfId="1604" applyNumberFormat="1" applyFont="1" applyAlignment="1">
      <alignment horizontal="center"/>
    </xf>
    <xf numFmtId="0" fontId="5" fillId="0" borderId="87" xfId="4" applyFont="1" applyBorder="1" applyAlignment="1">
      <alignment horizontal="center"/>
    </xf>
    <xf numFmtId="0" fontId="5" fillId="0" borderId="82" xfId="4" applyFont="1" applyBorder="1" applyAlignment="1">
      <alignment horizontal="center"/>
    </xf>
    <xf numFmtId="0" fontId="5" fillId="0" borderId="0" xfId="4" applyFont="1"/>
    <xf numFmtId="0" fontId="4" fillId="0" borderId="0" xfId="4" applyFont="1"/>
    <xf numFmtId="164" fontId="5" fillId="0" borderId="0" xfId="21" quotePrefix="1" applyNumberFormat="1" applyFont="1" applyFill="1" applyBorder="1" applyAlignment="1">
      <alignment horizontal="right"/>
    </xf>
    <xf numFmtId="168" fontId="5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5" fillId="0" borderId="0" xfId="4" applyFont="1" applyAlignment="1" applyProtection="1">
      <alignment horizontal="center"/>
      <protection locked="0"/>
    </xf>
    <xf numFmtId="165" fontId="5" fillId="0" borderId="0" xfId="2408" applyNumberFormat="1" applyFont="1" applyFill="1" applyAlignment="1" applyProtection="1">
      <alignment horizontal="center"/>
    </xf>
    <xf numFmtId="165" fontId="5" fillId="0" borderId="0" xfId="2408" applyNumberFormat="1" applyFont="1" applyFill="1" applyAlignment="1" applyProtection="1">
      <alignment horizontal="right"/>
    </xf>
    <xf numFmtId="165" fontId="5" fillId="0" borderId="0" xfId="2408" applyNumberFormat="1" applyFont="1" applyFill="1" applyBorder="1" applyAlignment="1" applyProtection="1">
      <alignment horizontal="center"/>
    </xf>
    <xf numFmtId="164" fontId="5" fillId="0" borderId="0" xfId="21" applyNumberFormat="1" applyFont="1" applyFill="1" applyBorder="1" applyAlignment="1" applyProtection="1">
      <alignment horizontal="right"/>
    </xf>
    <xf numFmtId="0" fontId="5" fillId="0" borderId="0" xfId="4" applyFont="1" applyAlignment="1">
      <alignment horizontal="center"/>
    </xf>
    <xf numFmtId="0" fontId="29" fillId="0" borderId="0" xfId="0" applyFont="1"/>
    <xf numFmtId="0" fontId="5" fillId="0" borderId="99" xfId="4" applyFont="1" applyBorder="1" applyAlignment="1">
      <alignment horizontal="center"/>
    </xf>
    <xf numFmtId="0" fontId="5" fillId="0" borderId="3" xfId="4" applyFont="1" applyBorder="1" applyAlignment="1">
      <alignment horizontal="left"/>
    </xf>
    <xf numFmtId="0" fontId="4" fillId="0" borderId="3" xfId="4" applyFont="1" applyBorder="1" applyAlignment="1">
      <alignment horizontal="left"/>
    </xf>
    <xf numFmtId="0" fontId="4" fillId="0" borderId="3" xfId="4" applyFont="1" applyBorder="1"/>
    <xf numFmtId="0" fontId="5" fillId="0" borderId="96" xfId="4" applyFont="1" applyBorder="1" applyAlignment="1">
      <alignment horizontal="center"/>
    </xf>
    <xf numFmtId="41" fontId="4" fillId="0" borderId="0" xfId="21" applyNumberFormat="1" applyFont="1" applyFill="1" applyBorder="1" applyAlignment="1">
      <alignment horizontal="center"/>
    </xf>
    <xf numFmtId="0" fontId="5" fillId="0" borderId="97" xfId="4" applyFont="1" applyBorder="1"/>
    <xf numFmtId="10" fontId="5" fillId="0" borderId="0" xfId="61" applyNumberFormat="1" applyFont="1" applyBorder="1" applyAlignment="1">
      <alignment horizontal="center"/>
    </xf>
    <xf numFmtId="165" fontId="27" fillId="0" borderId="0" xfId="1" applyNumberFormat="1" applyFont="1"/>
    <xf numFmtId="164" fontId="27" fillId="0" borderId="0" xfId="0" applyNumberFormat="1" applyFont="1"/>
    <xf numFmtId="0" fontId="27" fillId="0" borderId="0" xfId="0" applyFont="1" applyAlignment="1">
      <alignment horizontal="center" vertical="center"/>
    </xf>
    <xf numFmtId="6" fontId="5" fillId="0" borderId="0" xfId="4" applyNumberFormat="1" applyFont="1"/>
    <xf numFmtId="0" fontId="4" fillId="0" borderId="0" xfId="37925" applyFont="1"/>
    <xf numFmtId="10" fontId="5" fillId="0" borderId="0" xfId="3853" applyNumberFormat="1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4" fontId="5" fillId="0" borderId="3" xfId="2" applyNumberFormat="1" applyFont="1" applyFill="1" applyBorder="1" applyAlignment="1">
      <alignment vertical="center"/>
    </xf>
    <xf numFmtId="164" fontId="4" fillId="0" borderId="0" xfId="4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87" xfId="2" applyNumberFormat="1" applyFont="1" applyFill="1" applyBorder="1" applyAlignment="1">
      <alignment vertical="center"/>
    </xf>
    <xf numFmtId="165" fontId="4" fillId="0" borderId="87" xfId="1" applyNumberFormat="1" applyFont="1" applyFill="1" applyBorder="1" applyAlignment="1">
      <alignment vertical="center"/>
    </xf>
    <xf numFmtId="165" fontId="4" fillId="0" borderId="0" xfId="2408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0" xfId="2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46" xfId="2" applyNumberFormat="1" applyFont="1" applyFill="1" applyBorder="1" applyAlignment="1">
      <alignment vertical="center"/>
    </xf>
    <xf numFmtId="164" fontId="5" fillId="0" borderId="87" xfId="2" applyNumberFormat="1" applyFont="1" applyFill="1" applyBorder="1" applyAlignment="1">
      <alignment vertical="center"/>
    </xf>
    <xf numFmtId="37" fontId="4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110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111" xfId="0" applyNumberFormat="1" applyFont="1" applyBorder="1" applyAlignment="1">
      <alignment horizontal="center" vertical="center"/>
    </xf>
    <xf numFmtId="37" fontId="5" fillId="0" borderId="47" xfId="12" applyNumberFormat="1" applyFont="1" applyBorder="1" applyAlignment="1">
      <alignment horizontal="center" vertical="center"/>
    </xf>
    <xf numFmtId="37" fontId="5" fillId="0" borderId="108" xfId="0" applyNumberFormat="1" applyFont="1" applyBorder="1" applyAlignment="1">
      <alignment horizontal="center" vertical="center"/>
    </xf>
    <xf numFmtId="37" fontId="4" fillId="0" borderId="110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4" fillId="0" borderId="6" xfId="12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68" fontId="4" fillId="0" borderId="11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37" fontId="4" fillId="0" borderId="87" xfId="0" applyNumberFormat="1" applyFont="1" applyBorder="1" applyAlignment="1">
      <alignment vertical="center"/>
    </xf>
    <xf numFmtId="37" fontId="4" fillId="0" borderId="6" xfId="0" applyNumberFormat="1" applyFont="1" applyBorder="1" applyAlignment="1">
      <alignment vertical="center"/>
    </xf>
    <xf numFmtId="164" fontId="5" fillId="0" borderId="46" xfId="2" applyNumberFormat="1" applyFont="1" applyBorder="1" applyAlignment="1">
      <alignment vertical="center"/>
    </xf>
    <xf numFmtId="37" fontId="4" fillId="0" borderId="6" xfId="0" applyNumberFormat="1" applyFont="1" applyBorder="1" applyAlignment="1">
      <alignment horizontal="center" vertical="center"/>
    </xf>
    <xf numFmtId="37" fontId="4" fillId="0" borderId="111" xfId="0" applyNumberFormat="1" applyFont="1" applyBorder="1" applyAlignment="1">
      <alignment vertical="center"/>
    </xf>
    <xf numFmtId="37" fontId="4" fillId="0" borderId="47" xfId="1" applyNumberFormat="1" applyFont="1" applyBorder="1" applyAlignment="1">
      <alignment vertical="center"/>
    </xf>
    <xf numFmtId="0" fontId="5" fillId="0" borderId="98" xfId="0" applyFont="1" applyBorder="1" applyAlignment="1">
      <alignment horizontal="center" vertical="center"/>
    </xf>
    <xf numFmtId="37" fontId="4" fillId="0" borderId="108" xfId="0" applyNumberFormat="1" applyFont="1" applyBorder="1" applyAlignment="1">
      <alignment vertical="center"/>
    </xf>
    <xf numFmtId="37" fontId="4" fillId="0" borderId="5" xfId="0" applyNumberFormat="1" applyFont="1" applyBorder="1" applyAlignment="1">
      <alignment vertical="center"/>
    </xf>
    <xf numFmtId="37" fontId="12" fillId="0" borderId="5" xfId="0" applyNumberFormat="1" applyFont="1" applyBorder="1" applyAlignment="1">
      <alignment horizontal="left" vertical="center"/>
    </xf>
    <xf numFmtId="37" fontId="7" fillId="0" borderId="0" xfId="0" applyNumberFormat="1" applyFont="1" applyAlignment="1">
      <alignment horizontal="right" vertical="center"/>
    </xf>
    <xf numFmtId="37" fontId="7" fillId="0" borderId="6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4" fillId="0" borderId="48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5" fillId="0" borderId="0" xfId="56" applyNumberFormat="1" applyFont="1" applyAlignment="1" applyProtection="1">
      <alignment horizontal="center" vertical="center"/>
      <protection locked="0"/>
    </xf>
    <xf numFmtId="37" fontId="5" fillId="0" borderId="0" xfId="56" applyNumberFormat="1" applyFont="1" applyAlignment="1">
      <alignment vertical="center"/>
    </xf>
    <xf numFmtId="5" fontId="4" fillId="0" borderId="0" xfId="4" applyNumberFormat="1" applyFont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1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164" fontId="4" fillId="0" borderId="0" xfId="21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4" fontId="4" fillId="3" borderId="0" xfId="21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>
      <alignment horizontal="center" vertical="center"/>
    </xf>
    <xf numFmtId="5" fontId="4" fillId="0" borderId="0" xfId="4" applyNumberFormat="1" applyFont="1" applyAlignment="1" applyProtection="1">
      <alignment horizontal="center" vertical="center"/>
      <protection locked="0"/>
    </xf>
    <xf numFmtId="10" fontId="4" fillId="0" borderId="0" xfId="4" applyNumberFormat="1" applyFont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Border="1" applyAlignment="1" applyProtection="1">
      <alignment horizontal="right" vertical="center"/>
      <protection locked="0"/>
    </xf>
    <xf numFmtId="165" fontId="4" fillId="0" borderId="0" xfId="2408" applyNumberFormat="1" applyFont="1" applyBorder="1" applyAlignment="1" applyProtection="1">
      <alignment vertical="center"/>
      <protection locked="0"/>
    </xf>
    <xf numFmtId="165" fontId="4" fillId="0" borderId="0" xfId="2408" applyNumberFormat="1" applyFont="1" applyAlignment="1" applyProtection="1">
      <alignment vertical="center"/>
      <protection locked="0"/>
    </xf>
    <xf numFmtId="0" fontId="9" fillId="0" borderId="0" xfId="4" applyFont="1" applyAlignment="1">
      <alignment vertical="center"/>
    </xf>
    <xf numFmtId="164" fontId="4" fillId="2" borderId="0" xfId="21" applyNumberFormat="1" applyFont="1" applyFill="1" applyAlignment="1" applyProtection="1">
      <alignment vertical="center"/>
      <protection locked="0"/>
    </xf>
    <xf numFmtId="164" fontId="4" fillId="0" borderId="0" xfId="21" applyNumberFormat="1" applyFont="1" applyFill="1" applyBorder="1" applyAlignment="1" applyProtection="1">
      <alignment vertical="center"/>
      <protection locked="0"/>
    </xf>
    <xf numFmtId="165" fontId="4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0" borderId="0" xfId="2408" applyNumberFormat="1" applyFont="1" applyFill="1" applyBorder="1" applyAlignment="1" applyProtection="1">
      <alignment vertical="center"/>
      <protection locked="0"/>
    </xf>
    <xf numFmtId="10" fontId="4" fillId="0" borderId="0" xfId="3853" applyNumberFormat="1" applyFont="1" applyBorder="1" applyAlignment="1">
      <alignment vertical="center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2606" applyFont="1" applyAlignment="1">
      <alignment vertical="center"/>
    </xf>
    <xf numFmtId="0" fontId="10" fillId="0" borderId="0" xfId="4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6107" applyFont="1"/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165" fontId="4" fillId="0" borderId="0" xfId="1" applyNumberFormat="1" applyFont="1" applyBorder="1" applyAlignment="1" applyProtection="1">
      <alignment vertical="center"/>
      <protection locked="0"/>
    </xf>
    <xf numFmtId="5" fontId="8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/>
    </xf>
    <xf numFmtId="165" fontId="4" fillId="111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2083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62" fillId="0" borderId="0" xfId="0" applyFont="1" applyAlignment="1">
      <alignment horizontal="center" vertical="center" wrapText="1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4" fillId="0" borderId="0" xfId="3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10" fontId="4" fillId="0" borderId="0" xfId="3" quotePrefix="1" applyNumberFormat="1" applyFont="1" applyBorder="1" applyAlignment="1">
      <alignment horizontal="right"/>
    </xf>
    <xf numFmtId="0" fontId="29" fillId="0" borderId="3" xfId="1604" applyFont="1" applyBorder="1" applyAlignment="1">
      <alignment horizontal="center"/>
    </xf>
    <xf numFmtId="0" fontId="29" fillId="0" borderId="3" xfId="1604" applyFont="1" applyBorder="1"/>
    <xf numFmtId="0" fontId="29" fillId="0" borderId="112" xfId="1604" applyFont="1" applyBorder="1"/>
    <xf numFmtId="0" fontId="29" fillId="0" borderId="109" xfId="1604" applyFont="1" applyBorder="1"/>
    <xf numFmtId="0" fontId="119" fillId="0" borderId="0" xfId="1604" applyFont="1" applyAlignment="1">
      <alignment horizontal="center"/>
    </xf>
    <xf numFmtId="0" fontId="27" fillId="0" borderId="0" xfId="1609" applyFont="1"/>
    <xf numFmtId="0" fontId="122" fillId="0" borderId="0" xfId="1604" applyFont="1"/>
    <xf numFmtId="0" fontId="29" fillId="0" borderId="2" xfId="1604" applyFont="1" applyBorder="1" applyAlignment="1">
      <alignment horizontal="center"/>
    </xf>
    <xf numFmtId="17" fontId="29" fillId="0" borderId="96" xfId="1604" applyNumberFormat="1" applyFont="1" applyBorder="1" applyAlignment="1">
      <alignment horizontal="center"/>
    </xf>
    <xf numFmtId="17" fontId="29" fillId="0" borderId="99" xfId="1604" applyNumberFormat="1" applyFont="1" applyBorder="1" applyAlignment="1">
      <alignment horizontal="center"/>
    </xf>
    <xf numFmtId="17" fontId="119" fillId="0" borderId="2" xfId="1604" applyNumberFormat="1" applyFont="1" applyBorder="1" applyAlignment="1">
      <alignment horizontal="center"/>
    </xf>
    <xf numFmtId="17" fontId="119" fillId="0" borderId="3" xfId="1604" applyNumberFormat="1" applyFont="1" applyBorder="1" applyAlignment="1">
      <alignment horizontal="center"/>
    </xf>
    <xf numFmtId="0" fontId="29" fillId="0" borderId="2" xfId="1604" applyFont="1" applyBorder="1"/>
    <xf numFmtId="164" fontId="4" fillId="0" borderId="3" xfId="21" applyNumberFormat="1" applyFont="1" applyFill="1" applyBorder="1" applyAlignment="1" applyProtection="1">
      <alignment horizontal="right"/>
      <protection locked="0"/>
    </xf>
    <xf numFmtId="164" fontId="4" fillId="0" borderId="2" xfId="21" applyNumberFormat="1" applyFont="1" applyFill="1" applyBorder="1" applyAlignment="1" applyProtection="1">
      <alignment horizontal="right"/>
      <protection locked="0"/>
    </xf>
    <xf numFmtId="10" fontId="27" fillId="3" borderId="96" xfId="64" applyNumberFormat="1" applyFont="1" applyFill="1" applyBorder="1"/>
    <xf numFmtId="10" fontId="27" fillId="3" borderId="99" xfId="64" applyNumberFormat="1" applyFont="1" applyFill="1" applyBorder="1"/>
    <xf numFmtId="0" fontId="29" fillId="0" borderId="97" xfId="1604" applyFont="1" applyBorder="1"/>
    <xf numFmtId="10" fontId="27" fillId="3" borderId="99" xfId="1604" applyNumberFormat="1" applyFont="1" applyFill="1" applyBorder="1"/>
    <xf numFmtId="0" fontId="29" fillId="0" borderId="87" xfId="1604" applyFont="1" applyBorder="1" applyAlignment="1">
      <alignment horizontal="center"/>
    </xf>
    <xf numFmtId="0" fontId="119" fillId="0" borderId="87" xfId="1604" applyFont="1" applyBorder="1" applyAlignment="1">
      <alignment horizontal="center"/>
    </xf>
    <xf numFmtId="164" fontId="29" fillId="0" borderId="87" xfId="1604" applyNumberFormat="1" applyFont="1" applyBorder="1"/>
    <xf numFmtId="0" fontId="29" fillId="0" borderId="47" xfId="1604" applyFont="1" applyBorder="1"/>
    <xf numFmtId="0" fontId="29" fillId="0" borderId="84" xfId="1604" applyFont="1" applyBorder="1"/>
    <xf numFmtId="165" fontId="4" fillId="0" borderId="0" xfId="1" applyNumberFormat="1" applyFont="1" applyFill="1" applyBorder="1" applyAlignment="1" applyProtection="1">
      <alignment horizontal="right"/>
      <protection locked="0"/>
    </xf>
    <xf numFmtId="175" fontId="5" fillId="0" borderId="46" xfId="48" applyNumberFormat="1" applyFont="1" applyBorder="1" applyAlignment="1">
      <alignment horizontal="right"/>
    </xf>
    <xf numFmtId="165" fontId="4" fillId="0" borderId="96" xfId="1" applyNumberFormat="1" applyFont="1" applyFill="1" applyBorder="1" applyAlignment="1" applyProtection="1">
      <alignment horizontal="right"/>
      <protection locked="0"/>
    </xf>
    <xf numFmtId="165" fontId="4" fillId="0" borderId="99" xfId="1" applyNumberFormat="1" applyFont="1" applyFill="1" applyBorder="1" applyAlignment="1" applyProtection="1">
      <alignment horizontal="right"/>
      <protection locked="0"/>
    </xf>
    <xf numFmtId="165" fontId="4" fillId="0" borderId="99" xfId="1" applyNumberFormat="1" applyFont="1" applyFill="1" applyBorder="1" applyAlignment="1">
      <alignment vertical="center"/>
    </xf>
    <xf numFmtId="10" fontId="4" fillId="0" borderId="0" xfId="2012" applyNumberFormat="1" applyFont="1" applyAlignment="1">
      <alignment horizontal="right"/>
    </xf>
    <xf numFmtId="10" fontId="4" fillId="0" borderId="0" xfId="61" applyNumberFormat="1" applyFont="1" applyFill="1" applyAlignment="1">
      <alignment horizontal="right"/>
    </xf>
    <xf numFmtId="177" fontId="4" fillId="0" borderId="0" xfId="2012" applyNumberFormat="1" applyFont="1"/>
    <xf numFmtId="164" fontId="4" fillId="0" borderId="0" xfId="21" applyNumberFormat="1" applyFont="1" applyFill="1" applyBorder="1" applyAlignment="1" applyProtection="1">
      <alignment horizontal="right"/>
    </xf>
    <xf numFmtId="164" fontId="5" fillId="0" borderId="118" xfId="21" applyNumberFormat="1" applyFont="1" applyFill="1" applyBorder="1" applyAlignment="1" applyProtection="1">
      <alignment horizontal="right"/>
      <protection locked="0"/>
    </xf>
    <xf numFmtId="164" fontId="5" fillId="0" borderId="119" xfId="21" applyNumberFormat="1" applyFont="1" applyFill="1" applyBorder="1" applyAlignment="1" applyProtection="1">
      <alignment horizontal="right"/>
      <protection locked="0"/>
    </xf>
    <xf numFmtId="164" fontId="5" fillId="0" borderId="46" xfId="21" applyNumberFormat="1" applyFont="1" applyFill="1" applyBorder="1" applyAlignment="1" applyProtection="1">
      <alignment horizontal="right"/>
      <protection locked="0"/>
    </xf>
    <xf numFmtId="10" fontId="12" fillId="0" borderId="0" xfId="201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5" fontId="5" fillId="0" borderId="0" xfId="61" applyNumberFormat="1" applyFont="1" applyBorder="1" applyAlignment="1">
      <alignment horizontal="right"/>
    </xf>
    <xf numFmtId="0" fontId="4" fillId="0" borderId="41" xfId="2012" applyFont="1" applyBorder="1" applyAlignment="1">
      <alignment horizontal="center"/>
    </xf>
    <xf numFmtId="164" fontId="5" fillId="0" borderId="0" xfId="21" applyNumberFormat="1" applyFont="1" applyFill="1" applyBorder="1" applyAlignment="1" applyProtection="1">
      <alignment horizontal="center"/>
    </xf>
    <xf numFmtId="6" fontId="4" fillId="0" borderId="0" xfId="4" applyNumberFormat="1" applyFont="1"/>
    <xf numFmtId="49" fontId="5" fillId="0" borderId="0" xfId="4" applyNumberFormat="1" applyFont="1" applyAlignment="1">
      <alignment horizontal="center" vertical="center"/>
    </xf>
    <xf numFmtId="0" fontId="4" fillId="0" borderId="0" xfId="1965" applyFont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0" xfId="2012" applyFont="1" applyAlignment="1">
      <alignment horizontal="center" vertical="center"/>
    </xf>
    <xf numFmtId="0" fontId="4" fillId="0" borderId="0" xfId="1965" applyFont="1" applyAlignment="1">
      <alignment vertical="center"/>
    </xf>
    <xf numFmtId="0" fontId="4" fillId="0" borderId="0" xfId="2012" applyFont="1" applyAlignment="1">
      <alignment horizontal="center" vertical="center"/>
    </xf>
    <xf numFmtId="0" fontId="5" fillId="0" borderId="0" xfId="2012" applyFont="1" applyAlignment="1">
      <alignment horizontal="left" vertical="center"/>
    </xf>
    <xf numFmtId="0" fontId="5" fillId="0" borderId="0" xfId="2012" applyFont="1" applyAlignment="1">
      <alignment vertical="center"/>
    </xf>
    <xf numFmtId="0" fontId="5" fillId="0" borderId="0" xfId="2012" applyFont="1" applyAlignment="1" applyProtection="1">
      <alignment vertical="center"/>
      <protection locked="0"/>
    </xf>
    <xf numFmtId="0" fontId="5" fillId="0" borderId="0" xfId="1965" applyFont="1" applyAlignment="1">
      <alignment vertical="center"/>
    </xf>
    <xf numFmtId="0" fontId="29" fillId="0" borderId="6" xfId="1604" applyFont="1" applyBorder="1" applyAlignment="1">
      <alignment horizontal="center" vertical="center"/>
    </xf>
    <xf numFmtId="0" fontId="27" fillId="0" borderId="6" xfId="1604" applyFont="1" applyBorder="1" applyAlignment="1">
      <alignment horizontal="center" vertical="center"/>
    </xf>
    <xf numFmtId="0" fontId="29" fillId="0" borderId="0" xfId="1604" applyFont="1" applyAlignment="1">
      <alignment horizontal="center" vertical="center"/>
    </xf>
    <xf numFmtId="0" fontId="30" fillId="0" borderId="0" xfId="1604" applyFont="1" applyAlignment="1">
      <alignment horizontal="center" vertical="center"/>
    </xf>
    <xf numFmtId="5" fontId="29" fillId="0" borderId="0" xfId="1604" applyNumberFormat="1" applyFont="1" applyAlignment="1">
      <alignment horizontal="center" vertical="center"/>
    </xf>
    <xf numFmtId="0" fontId="29" fillId="0" borderId="5" xfId="1604" applyFont="1" applyBorder="1" applyAlignment="1">
      <alignment horizontal="center" vertical="center"/>
    </xf>
    <xf numFmtId="0" fontId="27" fillId="0" borderId="5" xfId="1604" applyFont="1" applyBorder="1" applyAlignment="1">
      <alignment horizontal="center" vertical="center"/>
    </xf>
    <xf numFmtId="0" fontId="27" fillId="0" borderId="0" xfId="57" applyFont="1" applyAlignment="1">
      <alignment horizontal="center" vertical="center"/>
    </xf>
    <xf numFmtId="0" fontId="30" fillId="0" borderId="0" xfId="57" applyFont="1" applyAlignment="1">
      <alignment horizontal="center" vertical="center"/>
    </xf>
    <xf numFmtId="0" fontId="29" fillId="0" borderId="0" xfId="57" applyFont="1" applyAlignment="1">
      <alignment horizontal="center" vertical="center"/>
    </xf>
    <xf numFmtId="0" fontId="10" fillId="0" borderId="0" xfId="37925" applyFont="1" applyAlignment="1">
      <alignment horizontal="center" vertical="center"/>
    </xf>
    <xf numFmtId="0" fontId="4" fillId="0" borderId="0" xfId="37925" applyFont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3" applyNumberFormat="1" applyFont="1" applyBorder="1" applyAlignment="1">
      <alignment horizontal="right"/>
    </xf>
    <xf numFmtId="0" fontId="4" fillId="0" borderId="0" xfId="2012" applyFont="1" applyAlignment="1">
      <alignment horizontal="left"/>
    </xf>
    <xf numFmtId="0" fontId="9" fillId="0" borderId="0" xfId="2012" applyFont="1"/>
    <xf numFmtId="10" fontId="27" fillId="0" borderId="0" xfId="3" applyNumberFormat="1" applyFont="1"/>
    <xf numFmtId="164" fontId="4" fillId="0" borderId="0" xfId="2" applyNumberFormat="1" applyFont="1" applyBorder="1" applyAlignment="1">
      <alignment horizontal="right"/>
    </xf>
    <xf numFmtId="165" fontId="4" fillId="0" borderId="82" xfId="1" applyNumberFormat="1" applyFont="1" applyFill="1" applyBorder="1" applyAlignment="1">
      <alignment vertical="center"/>
    </xf>
    <xf numFmtId="10" fontId="4" fillId="2" borderId="0" xfId="2012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horizontal="right" vertical="center"/>
    </xf>
    <xf numFmtId="10" fontId="4" fillId="2" borderId="0" xfId="61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vertical="center"/>
    </xf>
    <xf numFmtId="10" fontId="4" fillId="3" borderId="0" xfId="61" applyNumberFormat="1" applyFont="1" applyFill="1" applyAlignment="1">
      <alignment horizontal="right" vertical="center"/>
    </xf>
    <xf numFmtId="10" fontId="4" fillId="3" borderId="0" xfId="2012" applyNumberFormat="1" applyFont="1" applyFill="1" applyAlignment="1">
      <alignment horizontal="right" vertical="center"/>
    </xf>
    <xf numFmtId="0" fontId="26" fillId="0" borderId="0" xfId="2012" applyFont="1" applyAlignment="1" applyProtection="1">
      <alignment vertical="center"/>
      <protection locked="0"/>
    </xf>
    <xf numFmtId="10" fontId="4" fillId="0" borderId="0" xfId="2012" applyNumberFormat="1" applyFont="1" applyAlignment="1">
      <alignment horizontal="right" vertical="center"/>
    </xf>
    <xf numFmtId="177" fontId="4" fillId="0" borderId="0" xfId="2012" quotePrefix="1" applyNumberFormat="1" applyFont="1" applyAlignment="1">
      <alignment horizontal="right" vertical="center"/>
    </xf>
    <xf numFmtId="166" fontId="4" fillId="3" borderId="0" xfId="2012" applyNumberFormat="1" applyFont="1" applyFill="1" applyAlignment="1">
      <alignment horizontal="right" vertical="center"/>
    </xf>
    <xf numFmtId="0" fontId="12" fillId="0" borderId="0" xfId="2012" applyFont="1" applyAlignment="1">
      <alignment vertical="center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0" fontId="12" fillId="0" borderId="0" xfId="2012" applyFont="1" applyAlignment="1">
      <alignment horizontal="center" vertical="center"/>
    </xf>
    <xf numFmtId="10" fontId="4" fillId="0" borderId="0" xfId="1043" applyNumberFormat="1" applyFont="1" applyBorder="1" applyAlignment="1">
      <alignment horizontal="right" vertical="center"/>
    </xf>
    <xf numFmtId="5" fontId="16" fillId="0" borderId="0" xfId="2012" applyNumberFormat="1" applyFont="1" applyAlignment="1" applyProtection="1">
      <alignment horizontal="right" vertical="center"/>
      <protection locked="0"/>
    </xf>
    <xf numFmtId="164" fontId="5" fillId="0" borderId="0" xfId="21" applyNumberFormat="1" applyFont="1" applyBorder="1" applyAlignment="1">
      <alignment horizontal="right" vertical="center"/>
    </xf>
    <xf numFmtId="164" fontId="4" fillId="0" borderId="0" xfId="2012" applyNumberFormat="1" applyFont="1" applyAlignment="1" applyProtection="1">
      <alignment horizontal="right" vertical="center"/>
      <protection locked="0"/>
    </xf>
    <xf numFmtId="5" fontId="26" fillId="0" borderId="0" xfId="2012" applyNumberFormat="1" applyFont="1" applyAlignment="1" applyProtection="1">
      <alignment horizontal="right" vertical="center"/>
      <protection locked="0"/>
    </xf>
    <xf numFmtId="5" fontId="117" fillId="0" borderId="0" xfId="2012" applyNumberFormat="1" applyFont="1" applyAlignment="1" applyProtection="1">
      <alignment horizontal="right" vertical="center"/>
      <protection locked="0"/>
    </xf>
    <xf numFmtId="10" fontId="5" fillId="0" borderId="0" xfId="61" applyNumberFormat="1" applyFont="1" applyBorder="1" applyAlignment="1">
      <alignment vertical="center"/>
    </xf>
    <xf numFmtId="10" fontId="4" fillId="2" borderId="0" xfId="1043" applyNumberFormat="1" applyFont="1" applyFill="1" applyBorder="1" applyAlignment="1">
      <alignment horizontal="right" vertical="center"/>
    </xf>
    <xf numFmtId="10" fontId="5" fillId="0" borderId="0" xfId="1043" applyNumberFormat="1" applyFont="1" applyAlignment="1" applyProtection="1">
      <alignment horizontal="right" vertical="center"/>
    </xf>
    <xf numFmtId="164" fontId="4" fillId="2" borderId="0" xfId="2012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2" applyNumberFormat="1" applyFont="1" applyAlignment="1" applyProtection="1">
      <alignment horizontal="right" vertical="center"/>
      <protection locked="0"/>
    </xf>
    <xf numFmtId="166" fontId="4" fillId="2" borderId="0" xfId="61" applyNumberFormat="1" applyFont="1" applyFill="1" applyBorder="1" applyAlignment="1">
      <alignment horizontal="right" vertical="center"/>
    </xf>
    <xf numFmtId="164" fontId="4" fillId="0" borderId="49" xfId="2012" applyNumberFormat="1" applyFont="1" applyBorder="1" applyAlignment="1" applyProtection="1">
      <alignment horizontal="right" vertical="center"/>
      <protection locked="0"/>
    </xf>
    <xf numFmtId="164" fontId="4" fillId="2" borderId="0" xfId="21" applyNumberFormat="1" applyFont="1" applyFill="1" applyAlignment="1">
      <alignment horizontal="center" vertical="center"/>
    </xf>
    <xf numFmtId="165" fontId="4" fillId="2" borderId="49" xfId="1" applyNumberFormat="1" applyFont="1" applyFill="1" applyBorder="1" applyAlignment="1">
      <alignment horizontal="center" vertical="center"/>
    </xf>
    <xf numFmtId="165" fontId="118" fillId="0" borderId="0" xfId="22" applyNumberFormat="1" applyFont="1" applyBorder="1" applyAlignment="1">
      <alignment vertical="center"/>
    </xf>
    <xf numFmtId="164" fontId="4" fillId="0" borderId="0" xfId="48" applyNumberFormat="1" applyFont="1" applyAlignment="1">
      <alignment vertical="center"/>
    </xf>
    <xf numFmtId="165" fontId="5" fillId="0" borderId="0" xfId="2012" applyNumberFormat="1" applyFont="1" applyAlignment="1">
      <alignment vertical="center"/>
    </xf>
    <xf numFmtId="10" fontId="4" fillId="0" borderId="49" xfId="2012" applyNumberFormat="1" applyFont="1" applyBorder="1" applyAlignment="1">
      <alignment horizontal="right" vertical="center"/>
    </xf>
    <xf numFmtId="10" fontId="12" fillId="0" borderId="0" xfId="61" applyNumberFormat="1" applyFont="1" applyBorder="1" applyAlignment="1" applyProtection="1">
      <alignment vertical="center"/>
    </xf>
    <xf numFmtId="164" fontId="4" fillId="0" borderId="0" xfId="48" applyNumberFormat="1" applyFont="1" applyBorder="1" applyAlignment="1">
      <alignment horizontal="right" vertical="center"/>
    </xf>
    <xf numFmtId="10" fontId="4" fillId="2" borderId="49" xfId="2012" applyNumberFormat="1" applyFont="1" applyFill="1" applyBorder="1" applyAlignment="1">
      <alignment horizontal="right" vertical="center"/>
    </xf>
    <xf numFmtId="42" fontId="4" fillId="0" borderId="0" xfId="2012" applyNumberFormat="1" applyFont="1" applyAlignment="1">
      <alignment horizontal="right" vertical="center"/>
    </xf>
    <xf numFmtId="164" fontId="4" fillId="2" borderId="0" xfId="2" applyNumberFormat="1" applyFont="1" applyFill="1" applyAlignment="1">
      <alignment vertical="center"/>
    </xf>
    <xf numFmtId="10" fontId="4" fillId="3" borderId="0" xfId="2012" applyNumberFormat="1" applyFont="1" applyFill="1" applyAlignment="1">
      <alignment vertical="center"/>
    </xf>
    <xf numFmtId="10" fontId="4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center" vertical="center"/>
    </xf>
    <xf numFmtId="10" fontId="5" fillId="0" borderId="0" xfId="2012" applyNumberFormat="1" applyFont="1" applyAlignment="1">
      <alignment vertical="center"/>
    </xf>
    <xf numFmtId="164" fontId="4" fillId="2" borderId="0" xfId="21" applyNumberFormat="1" applyFont="1" applyFill="1" applyBorder="1" applyAlignment="1">
      <alignment vertical="center"/>
    </xf>
    <xf numFmtId="5" fontId="16" fillId="0" borderId="0" xfId="2012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Fill="1" applyBorder="1" applyAlignment="1">
      <alignment vertical="center"/>
    </xf>
    <xf numFmtId="5" fontId="5" fillId="0" borderId="0" xfId="2012" applyNumberFormat="1" applyFont="1" applyAlignment="1">
      <alignment horizontal="center" vertical="center"/>
    </xf>
    <xf numFmtId="164" fontId="4" fillId="3" borderId="0" xfId="21" applyNumberFormat="1" applyFont="1" applyFill="1" applyBorder="1" applyAlignment="1">
      <alignment vertical="center"/>
    </xf>
    <xf numFmtId="0" fontId="4" fillId="0" borderId="0" xfId="2012" applyFont="1" applyAlignment="1">
      <alignment horizontal="right" vertical="center"/>
    </xf>
    <xf numFmtId="166" fontId="4" fillId="2" borderId="49" xfId="2012" applyNumberFormat="1" applyFont="1" applyFill="1" applyBorder="1" applyAlignment="1">
      <alignment horizontal="right" vertical="center"/>
    </xf>
    <xf numFmtId="10" fontId="12" fillId="0" borderId="0" xfId="61" applyNumberFormat="1" applyFont="1" applyAlignment="1">
      <alignment horizontal="right" vertical="center"/>
    </xf>
    <xf numFmtId="164" fontId="4" fillId="0" borderId="0" xfId="21" applyNumberFormat="1" applyFont="1" applyFill="1" applyBorder="1" applyAlignment="1">
      <alignment horizontal="right" vertical="center"/>
    </xf>
    <xf numFmtId="37" fontId="5" fillId="0" borderId="0" xfId="61" applyNumberFormat="1" applyFont="1" applyAlignment="1">
      <alignment horizontal="right" vertical="center"/>
    </xf>
    <xf numFmtId="164" fontId="4" fillId="0" borderId="0" xfId="2012" applyNumberFormat="1" applyFont="1" applyAlignment="1">
      <alignment horizontal="right" vertical="center"/>
    </xf>
    <xf numFmtId="175" fontId="4" fillId="0" borderId="2" xfId="21" applyNumberFormat="1" applyFont="1" applyFill="1" applyBorder="1" applyAlignment="1" applyProtection="1">
      <alignment horizontal="right" vertical="center"/>
      <protection locked="0"/>
    </xf>
    <xf numFmtId="164" fontId="4" fillId="0" borderId="0" xfId="21" applyNumberFormat="1" applyFont="1" applyFill="1" applyBorder="1" applyAlignment="1" applyProtection="1">
      <alignment horizontal="right" vertical="center"/>
      <protection locked="0"/>
    </xf>
    <xf numFmtId="164" fontId="4" fillId="0" borderId="3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1" applyNumberFormat="1" applyFont="1" applyFill="1" applyBorder="1" applyAlignment="1" applyProtection="1">
      <alignment horizontal="right" vertical="center"/>
      <protection locked="0"/>
    </xf>
    <xf numFmtId="0" fontId="29" fillId="0" borderId="87" xfId="1604" applyFont="1" applyBorder="1" applyAlignment="1">
      <alignment horizontal="center" vertical="center"/>
    </xf>
    <xf numFmtId="0" fontId="29" fillId="0" borderId="2" xfId="1604" applyFont="1" applyBorder="1" applyAlignment="1">
      <alignment vertical="center"/>
    </xf>
    <xf numFmtId="0" fontId="29" fillId="0" borderId="0" xfId="1604" applyFont="1" applyAlignment="1">
      <alignment vertical="center"/>
    </xf>
    <xf numFmtId="0" fontId="29" fillId="0" borderId="3" xfId="1604" applyFont="1" applyBorder="1" applyAlignment="1">
      <alignment vertical="center"/>
    </xf>
    <xf numFmtId="0" fontId="29" fillId="0" borderId="87" xfId="1604" applyFont="1" applyBorder="1" applyAlignment="1">
      <alignment vertical="center"/>
    </xf>
    <xf numFmtId="164" fontId="4" fillId="2" borderId="2" xfId="21" applyNumberFormat="1" applyFont="1" applyFill="1" applyBorder="1" applyAlignment="1" applyProtection="1">
      <alignment horizontal="right" vertical="center"/>
      <protection locked="0"/>
    </xf>
    <xf numFmtId="165" fontId="4" fillId="2" borderId="3" xfId="1" applyNumberFormat="1" applyFont="1" applyFill="1" applyBorder="1" applyAlignment="1" applyProtection="1">
      <alignment horizontal="right" vertical="center"/>
      <protection locked="0"/>
    </xf>
    <xf numFmtId="165" fontId="4" fillId="2" borderId="2" xfId="2035" applyNumberFormat="1" applyFont="1" applyFill="1" applyBorder="1" applyAlignment="1" applyProtection="1">
      <alignment horizontal="right" vertical="center"/>
      <protection locked="0"/>
    </xf>
    <xf numFmtId="165" fontId="4" fillId="2" borderId="0" xfId="2035" applyNumberFormat="1" applyFont="1" applyFill="1" applyBorder="1" applyAlignment="1" applyProtection="1">
      <alignment horizontal="right" vertical="center"/>
      <protection locked="0"/>
    </xf>
    <xf numFmtId="165" fontId="4" fillId="2" borderId="3" xfId="2035" applyNumberFormat="1" applyFont="1" applyFill="1" applyBorder="1" applyAlignment="1" applyProtection="1">
      <alignment horizontal="right" vertical="center"/>
      <protection locked="0"/>
    </xf>
    <xf numFmtId="164" fontId="4" fillId="0" borderId="87" xfId="21" applyNumberFormat="1" applyFont="1" applyFill="1" applyBorder="1" applyAlignment="1" applyProtection="1">
      <alignment horizontal="right" vertical="center"/>
      <protection locked="0"/>
    </xf>
    <xf numFmtId="165" fontId="29" fillId="0" borderId="2" xfId="45" applyNumberFormat="1" applyFont="1" applyFill="1" applyBorder="1" applyAlignment="1">
      <alignment vertical="center"/>
    </xf>
    <xf numFmtId="165" fontId="29" fillId="0" borderId="0" xfId="45" applyNumberFormat="1" applyFont="1" applyFill="1" applyBorder="1" applyAlignment="1">
      <alignment vertical="center"/>
    </xf>
    <xf numFmtId="165" fontId="29" fillId="0" borderId="3" xfId="45" applyNumberFormat="1" applyFont="1" applyFill="1" applyBorder="1" applyAlignment="1">
      <alignment vertical="center"/>
    </xf>
    <xf numFmtId="1" fontId="29" fillId="0" borderId="3" xfId="1604" applyNumberFormat="1" applyFont="1" applyBorder="1" applyAlignment="1">
      <alignment vertical="center"/>
    </xf>
    <xf numFmtId="164" fontId="29" fillId="0" borderId="87" xfId="45" applyNumberFormat="1" applyFont="1" applyBorder="1" applyAlignment="1">
      <alignment vertical="center"/>
    </xf>
    <xf numFmtId="165" fontId="4" fillId="0" borderId="0" xfId="2035" applyNumberFormat="1" applyFont="1" applyFill="1" applyBorder="1" applyAlignment="1" applyProtection="1">
      <alignment horizontal="right" vertical="center"/>
      <protection locked="0"/>
    </xf>
    <xf numFmtId="165" fontId="4" fillId="0" borderId="3" xfId="2035" applyNumberFormat="1" applyFont="1" applyFill="1" applyBorder="1" applyAlignment="1" applyProtection="1">
      <alignment horizontal="right" vertical="center"/>
      <protection locked="0"/>
    </xf>
    <xf numFmtId="165" fontId="4" fillId="0" borderId="87" xfId="1" applyNumberFormat="1" applyFont="1" applyFill="1" applyBorder="1" applyAlignment="1" applyProtection="1">
      <alignment horizontal="right" vertical="center"/>
      <protection locked="0"/>
    </xf>
    <xf numFmtId="165" fontId="4" fillId="2" borderId="2" xfId="1" applyNumberFormat="1" applyFont="1" applyFill="1" applyBorder="1" applyAlignment="1" applyProtection="1">
      <alignment horizontal="right" vertical="center"/>
      <protection locked="0"/>
    </xf>
    <xf numFmtId="165" fontId="27" fillId="2" borderId="0" xfId="45" applyNumberFormat="1" applyFont="1" applyFill="1" applyBorder="1" applyAlignment="1">
      <alignment vertical="center"/>
    </xf>
    <xf numFmtId="165" fontId="27" fillId="2" borderId="3" xfId="45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 applyProtection="1">
      <alignment horizontal="right" vertical="center"/>
      <protection locked="0"/>
    </xf>
    <xf numFmtId="1" fontId="4" fillId="2" borderId="0" xfId="21" applyNumberFormat="1" applyFont="1" applyFill="1" applyBorder="1" applyAlignment="1" applyProtection="1">
      <alignment horizontal="right" vertical="center"/>
      <protection locked="0"/>
    </xf>
    <xf numFmtId="1" fontId="4" fillId="2" borderId="3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076" applyNumberFormat="1" applyFont="1" applyFill="1" applyBorder="1" applyAlignment="1" applyProtection="1">
      <alignment horizontal="right" vertical="center"/>
      <protection locked="0"/>
    </xf>
    <xf numFmtId="1" fontId="29" fillId="0" borderId="0" xfId="45" applyNumberFormat="1" applyFont="1" applyFill="1" applyBorder="1" applyAlignment="1">
      <alignment vertical="center"/>
    </xf>
    <xf numFmtId="1" fontId="29" fillId="0" borderId="3" xfId="45" applyNumberFormat="1" applyFont="1" applyFill="1" applyBorder="1" applyAlignment="1">
      <alignment vertical="center"/>
    </xf>
    <xf numFmtId="164" fontId="4" fillId="0" borderId="0" xfId="2076" applyNumberFormat="1" applyFont="1" applyFill="1" applyBorder="1" applyAlignment="1" applyProtection="1">
      <alignment horizontal="right" vertical="center"/>
      <protection locked="0"/>
    </xf>
    <xf numFmtId="164" fontId="4" fillId="0" borderId="3" xfId="2076" applyNumberFormat="1" applyFont="1" applyFill="1" applyBorder="1" applyAlignment="1" applyProtection="1">
      <alignment horizontal="right" vertical="center"/>
      <protection locked="0"/>
    </xf>
    <xf numFmtId="165" fontId="27" fillId="2" borderId="2" xfId="1" applyNumberFormat="1" applyFont="1" applyFill="1" applyBorder="1" applyAlignment="1">
      <alignment vertical="center"/>
    </xf>
    <xf numFmtId="165" fontId="29" fillId="0" borderId="96" xfId="45" applyNumberFormat="1" applyFont="1" applyFill="1" applyBorder="1" applyAlignment="1">
      <alignment vertical="center"/>
    </xf>
    <xf numFmtId="165" fontId="29" fillId="0" borderId="99" xfId="45" applyNumberFormat="1" applyFont="1" applyFill="1" applyBorder="1" applyAlignment="1">
      <alignment vertical="center"/>
    </xf>
    <xf numFmtId="164" fontId="5" fillId="0" borderId="0" xfId="21" applyNumberFormat="1" applyFont="1" applyFill="1" applyBorder="1" applyAlignment="1" applyProtection="1">
      <alignment horizontal="right" vertical="center"/>
      <protection locked="0"/>
    </xf>
    <xf numFmtId="164" fontId="4" fillId="0" borderId="120" xfId="21" applyNumberFormat="1" applyFont="1" applyFill="1" applyBorder="1" applyAlignment="1" applyProtection="1">
      <alignment horizontal="right" vertical="center"/>
      <protection locked="0"/>
    </xf>
    <xf numFmtId="164" fontId="4" fillId="0" borderId="121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" applyNumberFormat="1" applyFont="1" applyFill="1" applyBorder="1" applyAlignment="1" applyProtection="1">
      <alignment horizontal="right" vertical="center"/>
      <protection locked="0"/>
    </xf>
    <xf numFmtId="164" fontId="4" fillId="0" borderId="0" xfId="2" applyNumberFormat="1" applyFont="1" applyFill="1" applyBorder="1" applyAlignment="1" applyProtection="1">
      <alignment horizontal="right" vertical="center"/>
      <protection locked="0"/>
    </xf>
    <xf numFmtId="164" fontId="4" fillId="0" borderId="3" xfId="2" applyNumberFormat="1" applyFont="1" applyFill="1" applyBorder="1" applyAlignment="1" applyProtection="1">
      <alignment horizontal="right" vertical="center"/>
      <protection locked="0"/>
    </xf>
    <xf numFmtId="164" fontId="4" fillId="0" borderId="87" xfId="2" applyNumberFormat="1" applyFont="1" applyFill="1" applyBorder="1" applyAlignment="1" applyProtection="1">
      <alignment horizontal="right" vertical="center"/>
      <protection locked="0"/>
    </xf>
    <xf numFmtId="0" fontId="27" fillId="0" borderId="2" xfId="1604" applyFont="1" applyBorder="1" applyAlignment="1">
      <alignment vertical="center"/>
    </xf>
    <xf numFmtId="0" fontId="27" fillId="0" borderId="0" xfId="1604" applyFont="1" applyAlignment="1">
      <alignment vertical="center"/>
    </xf>
    <xf numFmtId="0" fontId="27" fillId="0" borderId="3" xfId="1604" applyFont="1" applyBorder="1" applyAlignment="1">
      <alignment vertical="center"/>
    </xf>
    <xf numFmtId="164" fontId="29" fillId="0" borderId="87" xfId="1604" applyNumberFormat="1" applyFont="1" applyBorder="1" applyAlignment="1">
      <alignment vertical="center"/>
    </xf>
    <xf numFmtId="165" fontId="29" fillId="0" borderId="117" xfId="45" applyNumberFormat="1" applyFont="1" applyFill="1" applyBorder="1" applyAlignment="1">
      <alignment vertical="center"/>
    </xf>
    <xf numFmtId="43" fontId="29" fillId="0" borderId="117" xfId="45" applyFont="1" applyFill="1" applyBorder="1" applyAlignment="1">
      <alignment vertical="center"/>
    </xf>
    <xf numFmtId="164" fontId="5" fillId="0" borderId="118" xfId="21" applyNumberFormat="1" applyFont="1" applyFill="1" applyBorder="1" applyAlignment="1" applyProtection="1">
      <alignment horizontal="right" vertical="center"/>
      <protection locked="0"/>
    </xf>
    <xf numFmtId="164" fontId="5" fillId="0" borderId="119" xfId="21" applyNumberFormat="1" applyFont="1" applyFill="1" applyBorder="1" applyAlignment="1" applyProtection="1">
      <alignment horizontal="right" vertical="center"/>
      <protection locked="0"/>
    </xf>
    <xf numFmtId="164" fontId="5" fillId="0" borderId="46" xfId="21" applyNumberFormat="1" applyFont="1" applyFill="1" applyBorder="1" applyAlignment="1" applyProtection="1">
      <alignment horizontal="right" vertical="center"/>
      <protection locked="0"/>
    </xf>
    <xf numFmtId="164" fontId="4" fillId="2" borderId="0" xfId="21" applyNumberFormat="1" applyFont="1" applyFill="1" applyBorder="1" applyAlignment="1" applyProtection="1">
      <alignment horizontal="right" vertical="center"/>
      <protection locked="0"/>
    </xf>
    <xf numFmtId="164" fontId="27" fillId="0" borderId="0" xfId="57" applyNumberFormat="1" applyFont="1" applyAlignment="1">
      <alignment vertical="center"/>
    </xf>
    <xf numFmtId="164" fontId="29" fillId="0" borderId="0" xfId="57" applyNumberFormat="1" applyFont="1" applyAlignment="1">
      <alignment vertical="center"/>
    </xf>
    <xf numFmtId="165" fontId="27" fillId="0" borderId="0" xfId="1" applyNumberFormat="1" applyFont="1" applyFill="1" applyBorder="1" applyAlignment="1">
      <alignment vertical="center"/>
    </xf>
    <xf numFmtId="165" fontId="27" fillId="0" borderId="0" xfId="1" applyNumberFormat="1" applyFont="1" applyBorder="1" applyAlignment="1">
      <alignment vertical="center"/>
    </xf>
    <xf numFmtId="165" fontId="5" fillId="0" borderId="0" xfId="2408" applyNumberFormat="1" applyFont="1" applyFill="1" applyAlignment="1" applyProtection="1">
      <alignment horizontal="center" vertical="center"/>
    </xf>
    <xf numFmtId="164" fontId="4" fillId="2" borderId="0" xfId="21" applyNumberFormat="1" applyFont="1" applyFill="1" applyBorder="1" applyAlignment="1" applyProtection="1">
      <alignment horizontal="center" vertical="center"/>
    </xf>
    <xf numFmtId="43" fontId="4" fillId="111" borderId="0" xfId="2408" applyFont="1" applyFill="1" applyBorder="1" applyAlignment="1" applyProtection="1">
      <alignment horizontal="center" vertical="center"/>
    </xf>
    <xf numFmtId="164" fontId="5" fillId="0" borderId="0" xfId="21" quotePrefix="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</xf>
    <xf numFmtId="43" fontId="4" fillId="2" borderId="0" xfId="2408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right" vertical="center"/>
    </xf>
    <xf numFmtId="165" fontId="5" fillId="0" borderId="0" xfId="2408" applyNumberFormat="1" applyFont="1" applyFill="1" applyBorder="1" applyAlignment="1" applyProtection="1">
      <alignment horizontal="center" vertical="center"/>
    </xf>
    <xf numFmtId="164" fontId="5" fillId="0" borderId="0" xfId="21" applyNumberFormat="1" applyFont="1" applyFill="1" applyBorder="1" applyAlignment="1" applyProtection="1">
      <alignment horizontal="right" vertical="center"/>
    </xf>
    <xf numFmtId="165" fontId="4" fillId="2" borderId="0" xfId="2408" applyNumberFormat="1" applyFont="1" applyFill="1" applyBorder="1" applyAlignment="1" applyProtection="1">
      <alignment horizontal="right" vertical="center"/>
    </xf>
    <xf numFmtId="164" fontId="4" fillId="111" borderId="0" xfId="21" applyNumberFormat="1" applyFont="1" applyFill="1" applyBorder="1" applyAlignment="1" applyProtection="1">
      <alignment horizontal="right" vertical="center"/>
    </xf>
    <xf numFmtId="164" fontId="4" fillId="2" borderId="0" xfId="21" applyNumberFormat="1" applyFont="1" applyFill="1" applyAlignment="1" applyProtection="1">
      <alignment horizontal="right" vertical="center"/>
    </xf>
    <xf numFmtId="165" fontId="4" fillId="2" borderId="0" xfId="2408" applyNumberFormat="1" applyFont="1" applyFill="1" applyAlignment="1" applyProtection="1">
      <alignment horizontal="right" vertical="center"/>
    </xf>
    <xf numFmtId="168" fontId="5" fillId="0" borderId="0" xfId="4" applyNumberFormat="1" applyFont="1" applyAlignment="1">
      <alignment horizontal="center" vertical="center"/>
    </xf>
    <xf numFmtId="164" fontId="4" fillId="0" borderId="0" xfId="21" applyNumberFormat="1" applyFont="1" applyFill="1" applyAlignment="1" applyProtection="1">
      <alignment horizontal="right" vertical="center"/>
    </xf>
    <xf numFmtId="165" fontId="4" fillId="0" borderId="0" xfId="2408" applyNumberFormat="1" applyFont="1" applyFill="1" applyAlignment="1" applyProtection="1">
      <alignment horizontal="right" vertical="center"/>
    </xf>
    <xf numFmtId="44" fontId="27" fillId="0" borderId="0" xfId="0" applyNumberFormat="1" applyFont="1"/>
    <xf numFmtId="41" fontId="4" fillId="0" borderId="0" xfId="21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165" fontId="27" fillId="0" borderId="0" xfId="0" applyNumberFormat="1" applyFont="1"/>
    <xf numFmtId="9" fontId="27" fillId="0" borderId="0" xfId="3" applyFont="1"/>
    <xf numFmtId="165" fontId="4" fillId="0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0" xfId="0" applyNumberFormat="1" applyFont="1" applyAlignment="1">
      <alignment vertical="center"/>
    </xf>
    <xf numFmtId="168" fontId="4" fillId="0" borderId="5" xfId="4" applyNumberFormat="1" applyFont="1" applyBorder="1" applyAlignment="1">
      <alignment horizontal="center" wrapText="1"/>
    </xf>
    <xf numFmtId="37" fontId="4" fillId="0" borderId="5" xfId="4" applyNumberFormat="1" applyFont="1" applyBorder="1" applyAlignment="1">
      <alignment horizontal="center"/>
    </xf>
    <xf numFmtId="37" fontId="4" fillId="0" borderId="5" xfId="4" applyNumberFormat="1" applyFont="1" applyBorder="1" applyAlignment="1">
      <alignment horizontal="center" vertical="top"/>
    </xf>
    <xf numFmtId="165" fontId="4" fillId="0" borderId="0" xfId="1" applyNumberFormat="1" applyFont="1" applyFill="1" applyBorder="1"/>
    <xf numFmtId="164" fontId="4" fillId="0" borderId="0" xfId="2" applyNumberFormat="1" applyFont="1" applyFill="1" applyBorder="1"/>
    <xf numFmtId="37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Alignment="1">
      <alignment vertical="top"/>
    </xf>
    <xf numFmtId="37" fontId="4" fillId="0" borderId="0" xfId="0" applyNumberFormat="1" applyFont="1" applyAlignment="1">
      <alignment wrapText="1"/>
    </xf>
    <xf numFmtId="165" fontId="4" fillId="0" borderId="0" xfId="1" applyNumberFormat="1" applyFont="1" applyFill="1" applyBorder="1" applyAlignment="1">
      <alignment vertical="top"/>
    </xf>
    <xf numFmtId="37" fontId="165" fillId="0" borderId="0" xfId="0" applyNumberFormat="1" applyFont="1"/>
    <xf numFmtId="165" fontId="165" fillId="0" borderId="0" xfId="1" applyNumberFormat="1" applyFont="1" applyFill="1" applyBorder="1" applyAlignment="1">
      <alignment vertical="top"/>
    </xf>
    <xf numFmtId="43" fontId="166" fillId="0" borderId="0" xfId="1" applyFont="1" applyFill="1" applyBorder="1" applyAlignment="1">
      <alignment horizontal="right"/>
    </xf>
    <xf numFmtId="0" fontId="7" fillId="0" borderId="0" xfId="0" applyFont="1"/>
    <xf numFmtId="165" fontId="27" fillId="2" borderId="0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 applyProtection="1">
      <alignment horizontal="right" vertical="center"/>
      <protection locked="0"/>
    </xf>
    <xf numFmtId="1" fontId="29" fillId="0" borderId="0" xfId="1604" applyNumberFormat="1" applyFont="1" applyAlignment="1">
      <alignment vertical="center"/>
    </xf>
    <xf numFmtId="43" fontId="27" fillId="0" borderId="87" xfId="1" applyFont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27" fillId="0" borderId="82" xfId="1" applyNumberFormat="1" applyFont="1" applyBorder="1" applyAlignment="1">
      <alignment vertical="center"/>
    </xf>
    <xf numFmtId="165" fontId="27" fillId="2" borderId="96" xfId="45" applyNumberFormat="1" applyFont="1" applyFill="1" applyBorder="1" applyAlignment="1">
      <alignment vertical="center"/>
    </xf>
    <xf numFmtId="167" fontId="4" fillId="0" borderId="82" xfId="1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0" xfId="4" quotePrefix="1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0" borderId="133" xfId="4" applyFont="1" applyBorder="1" applyAlignment="1">
      <alignment horizontal="center"/>
    </xf>
    <xf numFmtId="0" fontId="5" fillId="0" borderId="131" xfId="4" applyFont="1" applyBorder="1"/>
    <xf numFmtId="175" fontId="5" fillId="0" borderId="87" xfId="4" applyNumberFormat="1" applyFont="1" applyBorder="1" applyAlignment="1">
      <alignment vertical="center"/>
    </xf>
    <xf numFmtId="0" fontId="5" fillId="0" borderId="112" xfId="4" applyFont="1" applyBorder="1"/>
    <xf numFmtId="0" fontId="5" fillId="0" borderId="134" xfId="4" applyFont="1" applyBorder="1"/>
    <xf numFmtId="175" fontId="4" fillId="0" borderId="87" xfId="4" applyNumberFormat="1" applyFont="1" applyBorder="1"/>
    <xf numFmtId="175" fontId="5" fillId="0" borderId="87" xfId="22" applyNumberFormat="1" applyFont="1" applyBorder="1"/>
    <xf numFmtId="10" fontId="4" fillId="2" borderId="137" xfId="2012" applyNumberFormat="1" applyFont="1" applyFill="1" applyBorder="1" applyAlignment="1">
      <alignment horizontal="right" vertical="center"/>
    </xf>
    <xf numFmtId="177" fontId="4" fillId="0" borderId="1" xfId="2012" applyNumberFormat="1" applyFont="1" applyBorder="1" applyAlignment="1" applyProtection="1">
      <alignment horizontal="right" vertical="center"/>
      <protection locked="0"/>
    </xf>
    <xf numFmtId="10" fontId="4" fillId="0" borderId="137" xfId="3" quotePrefix="1" applyNumberFormat="1" applyFont="1" applyBorder="1" applyAlignment="1">
      <alignment horizontal="right" vertical="center"/>
    </xf>
    <xf numFmtId="177" fontId="5" fillId="0" borderId="1" xfId="2012" quotePrefix="1" applyNumberFormat="1" applyFont="1" applyBorder="1" applyAlignment="1">
      <alignment horizontal="right" vertical="center"/>
    </xf>
    <xf numFmtId="10" fontId="4" fillId="0" borderId="136" xfId="2012" quotePrefix="1" applyNumberFormat="1" applyFont="1" applyBorder="1" applyAlignment="1">
      <alignment horizontal="right" vertical="center"/>
    </xf>
    <xf numFmtId="10" fontId="12" fillId="0" borderId="1" xfId="2012" applyNumberFormat="1" applyFont="1" applyBorder="1" applyAlignment="1">
      <alignment horizontal="right" vertical="center"/>
    </xf>
    <xf numFmtId="164" fontId="4" fillId="2" borderId="137" xfId="2012" applyNumberFormat="1" applyFont="1" applyFill="1" applyBorder="1" applyAlignment="1" applyProtection="1">
      <alignment horizontal="right" vertical="center"/>
      <protection locked="0"/>
    </xf>
    <xf numFmtId="0" fontId="5" fillId="0" borderId="138" xfId="2012" applyFont="1" applyBorder="1" applyAlignment="1">
      <alignment horizontal="center"/>
    </xf>
    <xf numFmtId="0" fontId="5" fillId="0" borderId="139" xfId="2012" applyFont="1" applyBorder="1" applyAlignment="1">
      <alignment vertical="center"/>
    </xf>
    <xf numFmtId="10" fontId="4" fillId="0" borderId="136" xfId="1043" applyNumberFormat="1" applyFont="1" applyBorder="1" applyAlignment="1">
      <alignment horizontal="right" vertical="center"/>
    </xf>
    <xf numFmtId="0" fontId="5" fillId="0" borderId="139" xfId="2012" applyFont="1" applyBorder="1" applyAlignment="1">
      <alignment horizontal="center" vertical="center"/>
    </xf>
    <xf numFmtId="10" fontId="4" fillId="0" borderId="136" xfId="2012" applyNumberFormat="1" applyFont="1" applyBorder="1" applyAlignment="1">
      <alignment horizontal="right" vertical="center"/>
    </xf>
    <xf numFmtId="5" fontId="4" fillId="0" borderId="139" xfId="2012" applyNumberFormat="1" applyFont="1" applyBorder="1" applyAlignment="1">
      <alignment horizontal="center" vertical="center"/>
    </xf>
    <xf numFmtId="10" fontId="4" fillId="0" borderId="136" xfId="1043" applyNumberFormat="1" applyFont="1" applyFill="1" applyBorder="1" applyAlignment="1" applyProtection="1">
      <alignment horizontal="right" vertical="center"/>
    </xf>
    <xf numFmtId="165" fontId="5" fillId="0" borderId="139" xfId="61" applyNumberFormat="1" applyFont="1" applyBorder="1" applyAlignment="1">
      <alignment horizontal="right" vertical="center"/>
    </xf>
    <xf numFmtId="165" fontId="4" fillId="0" borderId="137" xfId="1" applyNumberFormat="1" applyFont="1" applyFill="1" applyBorder="1" applyAlignment="1">
      <alignment vertical="center"/>
    </xf>
    <xf numFmtId="0" fontId="29" fillId="0" borderId="137" xfId="1604" applyFont="1" applyBorder="1" applyAlignment="1">
      <alignment horizontal="center"/>
    </xf>
    <xf numFmtId="17" fontId="29" fillId="0" borderId="137" xfId="1604" applyNumberFormat="1" applyFont="1" applyBorder="1" applyAlignment="1">
      <alignment horizontal="center"/>
    </xf>
    <xf numFmtId="0" fontId="29" fillId="0" borderId="82" xfId="1604" applyFont="1" applyBorder="1" applyAlignment="1">
      <alignment horizontal="center"/>
    </xf>
    <xf numFmtId="164" fontId="4" fillId="0" borderId="83" xfId="21" applyNumberFormat="1" applyFont="1" applyFill="1" applyBorder="1" applyAlignment="1" applyProtection="1">
      <alignment horizontal="right" vertical="center"/>
      <protection locked="0"/>
    </xf>
    <xf numFmtId="164" fontId="4" fillId="0" borderId="78" xfId="21" applyNumberFormat="1" applyFont="1" applyFill="1" applyBorder="1" applyAlignment="1" applyProtection="1">
      <alignment horizontal="right" vertical="center"/>
      <protection locked="0"/>
    </xf>
    <xf numFmtId="43" fontId="29" fillId="0" borderId="139" xfId="45" applyFont="1" applyFill="1" applyBorder="1" applyAlignment="1">
      <alignment vertical="center"/>
    </xf>
    <xf numFmtId="165" fontId="29" fillId="0" borderId="139" xfId="45" applyNumberFormat="1" applyFont="1" applyFill="1" applyBorder="1" applyAlignment="1">
      <alignment vertical="center"/>
    </xf>
    <xf numFmtId="165" fontId="29" fillId="0" borderId="131" xfId="45" applyNumberFormat="1" applyFont="1" applyFill="1" applyBorder="1" applyAlignment="1">
      <alignment vertical="center"/>
    </xf>
    <xf numFmtId="0" fontId="29" fillId="0" borderId="131" xfId="1604" applyFont="1" applyBorder="1" applyAlignment="1">
      <alignment vertical="center"/>
    </xf>
    <xf numFmtId="164" fontId="29" fillId="0" borderId="107" xfId="1604" applyNumberFormat="1" applyFont="1" applyBorder="1" applyAlignment="1">
      <alignment vertical="center"/>
    </xf>
    <xf numFmtId="164" fontId="5" fillId="0" borderId="136" xfId="21" applyNumberFormat="1" applyFont="1" applyFill="1" applyBorder="1" applyAlignment="1" applyProtection="1">
      <alignment horizontal="right" vertical="center"/>
      <protection locked="0"/>
    </xf>
    <xf numFmtId="0" fontId="29" fillId="0" borderId="140" xfId="1604" applyFont="1" applyBorder="1"/>
    <xf numFmtId="0" fontId="29" fillId="0" borderId="135" xfId="1604" applyFont="1" applyBorder="1"/>
    <xf numFmtId="0" fontId="29" fillId="0" borderId="134" xfId="1604" applyFont="1" applyBorder="1"/>
    <xf numFmtId="164" fontId="29" fillId="0" borderId="141" xfId="1604" applyNumberFormat="1" applyFont="1" applyBorder="1"/>
    <xf numFmtId="0" fontId="29" fillId="0" borderId="142" xfId="1604" applyFont="1" applyBorder="1"/>
    <xf numFmtId="165" fontId="4" fillId="0" borderId="137" xfId="1" applyNumberFormat="1" applyFont="1" applyFill="1" applyBorder="1" applyAlignment="1" applyProtection="1">
      <alignment horizontal="right"/>
      <protection locked="0"/>
    </xf>
    <xf numFmtId="164" fontId="4" fillId="0" borderId="117" xfId="21" applyNumberFormat="1" applyFont="1" applyFill="1" applyBorder="1" applyAlignment="1" applyProtection="1">
      <alignment horizontal="right"/>
      <protection locked="0"/>
    </xf>
    <xf numFmtId="164" fontId="4" fillId="0" borderId="1" xfId="21" applyNumberFormat="1" applyFont="1" applyFill="1" applyBorder="1" applyAlignment="1" applyProtection="1">
      <alignment horizontal="right"/>
      <protection locked="0"/>
    </xf>
    <xf numFmtId="164" fontId="4" fillId="0" borderId="131" xfId="21" applyNumberFormat="1" applyFont="1" applyFill="1" applyBorder="1" applyAlignment="1" applyProtection="1">
      <alignment horizontal="right"/>
      <protection locked="0"/>
    </xf>
    <xf numFmtId="10" fontId="27" fillId="3" borderId="137" xfId="1604" applyNumberFormat="1" applyFont="1" applyFill="1" applyBorder="1"/>
    <xf numFmtId="10" fontId="27" fillId="3" borderId="137" xfId="64" applyNumberFormat="1" applyFont="1" applyFill="1" applyBorder="1"/>
    <xf numFmtId="44" fontId="4" fillId="0" borderId="83" xfId="21" applyFont="1" applyFill="1" applyBorder="1" applyAlignment="1" applyProtection="1">
      <alignment horizontal="right"/>
      <protection locked="0"/>
    </xf>
    <xf numFmtId="44" fontId="4" fillId="0" borderId="120" xfId="21" applyFont="1" applyFill="1" applyBorder="1" applyAlignment="1" applyProtection="1">
      <alignment horizontal="right"/>
      <protection locked="0"/>
    </xf>
    <xf numFmtId="44" fontId="4" fillId="0" borderId="121" xfId="21" applyFont="1" applyFill="1" applyBorder="1" applyAlignment="1" applyProtection="1">
      <alignment horizontal="right"/>
      <protection locked="0"/>
    </xf>
    <xf numFmtId="164" fontId="4" fillId="0" borderId="82" xfId="21" applyNumberFormat="1" applyFont="1" applyFill="1" applyBorder="1" applyAlignment="1" applyProtection="1">
      <alignment horizontal="right"/>
      <protection locked="0"/>
    </xf>
    <xf numFmtId="164" fontId="5" fillId="0" borderId="136" xfId="21" applyNumberFormat="1" applyFont="1" applyFill="1" applyBorder="1" applyAlignment="1" applyProtection="1">
      <alignment horizontal="right"/>
      <protection locked="0"/>
    </xf>
    <xf numFmtId="0" fontId="29" fillId="0" borderId="64" xfId="1604" applyFont="1" applyBorder="1"/>
    <xf numFmtId="165" fontId="27" fillId="0" borderId="137" xfId="1" applyNumberFormat="1" applyFont="1" applyFill="1" applyBorder="1" applyAlignment="1">
      <alignment vertical="center"/>
    </xf>
    <xf numFmtId="0" fontId="5" fillId="0" borderId="142" xfId="4" applyFont="1" applyBorder="1" applyAlignment="1">
      <alignment horizontal="center"/>
    </xf>
    <xf numFmtId="0" fontId="5" fillId="0" borderId="137" xfId="4" applyFont="1" applyBorder="1" applyAlignment="1">
      <alignment horizontal="center"/>
    </xf>
    <xf numFmtId="0" fontId="27" fillId="0" borderId="137" xfId="57" applyFont="1" applyBorder="1" applyAlignment="1">
      <alignment horizontal="center"/>
    </xf>
    <xf numFmtId="165" fontId="4" fillId="0" borderId="137" xfId="1" applyNumberFormat="1" applyFont="1" applyFill="1" applyBorder="1" applyAlignment="1" applyProtection="1">
      <alignment horizontal="right" vertical="center"/>
      <protection locked="0"/>
    </xf>
    <xf numFmtId="164" fontId="4" fillId="0" borderId="136" xfId="21" applyNumberFormat="1" applyFont="1" applyFill="1" applyBorder="1" applyAlignment="1" applyProtection="1">
      <alignment horizontal="right" vertical="center"/>
      <protection locked="0"/>
    </xf>
    <xf numFmtId="0" fontId="4" fillId="0" borderId="137" xfId="0" applyFont="1" applyBorder="1" applyAlignment="1">
      <alignment horizontal="center" vertical="center"/>
    </xf>
    <xf numFmtId="15" fontId="4" fillId="0" borderId="137" xfId="4" applyNumberFormat="1" applyFont="1" applyBorder="1" applyAlignment="1">
      <alignment horizontal="center" vertical="center"/>
    </xf>
    <xf numFmtId="0" fontId="4" fillId="0" borderId="137" xfId="4" applyFont="1" applyBorder="1" applyAlignment="1">
      <alignment horizontal="center" vertical="center"/>
    </xf>
    <xf numFmtId="0" fontId="5" fillId="0" borderId="137" xfId="4" applyFont="1" applyBorder="1" applyAlignment="1">
      <alignment horizontal="center" vertical="center"/>
    </xf>
    <xf numFmtId="165" fontId="4" fillId="0" borderId="82" xfId="1" applyNumberFormat="1" applyFont="1" applyBorder="1" applyAlignment="1">
      <alignment vertical="center"/>
    </xf>
    <xf numFmtId="10" fontId="4" fillId="2" borderId="137" xfId="4" applyNumberFormat="1" applyFont="1" applyFill="1" applyBorder="1" applyAlignment="1" applyProtection="1">
      <alignment horizontal="right" vertical="center"/>
      <protection locked="0"/>
    </xf>
    <xf numFmtId="164" fontId="4" fillId="0" borderId="136" xfId="21" applyNumberFormat="1" applyFont="1" applyBorder="1" applyAlignment="1" applyProtection="1">
      <alignment horizontal="right" vertical="center"/>
      <protection locked="0"/>
    </xf>
    <xf numFmtId="15" fontId="4" fillId="0" borderId="137" xfId="0" applyNumberFormat="1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165" fontId="4" fillId="3" borderId="137" xfId="1" applyNumberFormat="1" applyFont="1" applyFill="1" applyBorder="1" applyAlignment="1" applyProtection="1">
      <alignment vertical="center"/>
      <protection locked="0"/>
    </xf>
    <xf numFmtId="10" fontId="4" fillId="2" borderId="137" xfId="0" applyNumberFormat="1" applyFont="1" applyFill="1" applyBorder="1" applyAlignment="1">
      <alignment horizontal="right" vertical="center"/>
    </xf>
    <xf numFmtId="165" fontId="4" fillId="2" borderId="137" xfId="1" applyNumberFormat="1" applyFont="1" applyFill="1" applyBorder="1" applyAlignment="1" applyProtection="1">
      <alignment horizontal="right" vertical="center"/>
    </xf>
    <xf numFmtId="165" fontId="4" fillId="2" borderId="137" xfId="1" applyNumberFormat="1" applyFont="1" applyFill="1" applyBorder="1" applyAlignment="1">
      <alignment vertical="center"/>
    </xf>
    <xf numFmtId="10" fontId="4" fillId="0" borderId="136" xfId="2" applyNumberFormat="1" applyFont="1" applyBorder="1" applyAlignment="1">
      <alignment horizontal="right" vertical="center"/>
    </xf>
    <xf numFmtId="165" fontId="4" fillId="0" borderId="137" xfId="1" applyNumberFormat="1" applyFont="1" applyFill="1" applyBorder="1"/>
    <xf numFmtId="37" fontId="5" fillId="0" borderId="133" xfId="0" applyNumberFormat="1" applyFont="1" applyBorder="1" applyAlignment="1">
      <alignment horizontal="center" vertical="center"/>
    </xf>
    <xf numFmtId="37" fontId="5" fillId="0" borderId="141" xfId="0" quotePrefix="1" applyNumberFormat="1" applyFont="1" applyBorder="1" applyAlignment="1">
      <alignment horizontal="center" vertical="center"/>
    </xf>
    <xf numFmtId="37" fontId="5" fillId="0" borderId="142" xfId="0" quotePrefix="1" applyNumberFormat="1" applyFont="1" applyBorder="1" applyAlignment="1">
      <alignment horizontal="center" vertical="center"/>
    </xf>
    <xf numFmtId="164" fontId="5" fillId="0" borderId="119" xfId="2" applyNumberFormat="1" applyFont="1" applyFill="1" applyBorder="1" applyAlignment="1">
      <alignment vertical="center"/>
    </xf>
    <xf numFmtId="165" fontId="4" fillId="0" borderId="137" xfId="1" applyNumberFormat="1" applyFont="1" applyFill="1" applyBorder="1" applyAlignment="1"/>
    <xf numFmtId="165" fontId="4" fillId="0" borderId="137" xfId="1" applyNumberFormat="1" applyFont="1" applyFill="1" applyBorder="1" applyAlignment="1">
      <alignment vertical="top"/>
    </xf>
    <xf numFmtId="164" fontId="4" fillId="3" borderId="137" xfId="21" applyNumberFormat="1" applyFont="1" applyFill="1" applyBorder="1" applyAlignment="1" applyProtection="1">
      <alignment horizontal="center" vertical="center"/>
      <protection locked="0"/>
    </xf>
    <xf numFmtId="165" fontId="4" fillId="2" borderId="137" xfId="1" applyNumberFormat="1" applyFont="1" applyFill="1" applyBorder="1" applyAlignment="1" applyProtection="1">
      <alignment vertical="center"/>
      <protection locked="0"/>
    </xf>
    <xf numFmtId="10" fontId="4" fillId="3" borderId="137" xfId="3853" applyNumberFormat="1" applyFont="1" applyFill="1" applyBorder="1" applyAlignment="1">
      <alignment vertical="center"/>
    </xf>
    <xf numFmtId="0" fontId="4" fillId="0" borderId="137" xfId="0" applyFont="1" applyBorder="1" applyAlignment="1">
      <alignment horizontal="center" vertical="center" wrapText="1"/>
    </xf>
    <xf numFmtId="10" fontId="4" fillId="0" borderId="136" xfId="3" applyNumberFormat="1" applyFont="1" applyBorder="1" applyAlignment="1">
      <alignment horizontal="right" vertical="center"/>
    </xf>
    <xf numFmtId="164" fontId="4" fillId="3" borderId="137" xfId="2" applyNumberFormat="1" applyFont="1" applyFill="1" applyBorder="1" applyAlignment="1" applyProtection="1">
      <alignment vertical="center"/>
      <protection locked="0"/>
    </xf>
    <xf numFmtId="10" fontId="4" fillId="3" borderId="136" xfId="3" applyNumberFormat="1" applyFont="1" applyFill="1" applyBorder="1" applyAlignment="1">
      <alignment vertical="center"/>
    </xf>
    <xf numFmtId="10" fontId="4" fillId="0" borderId="137" xfId="3" applyNumberFormat="1" applyFont="1" applyFill="1" applyBorder="1" applyAlignment="1">
      <alignment horizontal="right" vertical="center"/>
    </xf>
    <xf numFmtId="10" fontId="4" fillId="0" borderId="137" xfId="3" applyNumberFormat="1" applyFont="1" applyBorder="1" applyAlignment="1">
      <alignment horizontal="right" vertical="center"/>
    </xf>
    <xf numFmtId="10" fontId="4" fillId="0" borderId="136" xfId="3" applyNumberFormat="1" applyFont="1" applyFill="1" applyBorder="1" applyAlignment="1">
      <alignment horizontal="right" vertical="center"/>
    </xf>
    <xf numFmtId="9" fontId="4" fillId="3" borderId="137" xfId="3" applyFont="1" applyFill="1" applyBorder="1" applyAlignment="1">
      <alignment horizontal="right" vertical="center"/>
    </xf>
    <xf numFmtId="0" fontId="4" fillId="3" borderId="137" xfId="3" applyNumberFormat="1" applyFont="1" applyFill="1" applyBorder="1" applyAlignment="1">
      <alignment horizontal="right" vertical="center"/>
    </xf>
    <xf numFmtId="166" fontId="4" fillId="0" borderId="137" xfId="3" applyNumberFormat="1" applyFont="1" applyBorder="1" applyAlignment="1">
      <alignment horizontal="right" vertical="center"/>
    </xf>
    <xf numFmtId="166" fontId="4" fillId="2" borderId="137" xfId="3" applyNumberFormat="1" applyFont="1" applyFill="1" applyBorder="1" applyAlignment="1">
      <alignment horizontal="right" vertical="center"/>
    </xf>
    <xf numFmtId="166" fontId="4" fillId="0" borderId="136" xfId="3" applyNumberFormat="1" applyFont="1" applyBorder="1" applyAlignment="1">
      <alignment horizontal="right" vertical="center"/>
    </xf>
    <xf numFmtId="9" fontId="4" fillId="2" borderId="137" xfId="3" applyFont="1" applyFill="1" applyBorder="1" applyAlignment="1">
      <alignment horizontal="right" vertical="center"/>
    </xf>
    <xf numFmtId="10" fontId="4" fillId="2" borderId="137" xfId="3" applyNumberFormat="1" applyFont="1" applyFill="1" applyBorder="1" applyAlignment="1">
      <alignment horizontal="right" vertical="center"/>
    </xf>
    <xf numFmtId="166" fontId="4" fillId="2" borderId="137" xfId="0" applyNumberFormat="1" applyFont="1" applyFill="1" applyBorder="1" applyAlignment="1">
      <alignment horizontal="right" vertical="center"/>
    </xf>
    <xf numFmtId="166" fontId="4" fillId="0" borderId="136" xfId="0" applyNumberFormat="1" applyFont="1" applyBorder="1" applyAlignment="1">
      <alignment horizontal="right" vertical="center"/>
    </xf>
    <xf numFmtId="5" fontId="4" fillId="0" borderId="137" xfId="4" applyNumberFormat="1" applyFont="1" applyBorder="1" applyAlignment="1">
      <alignment horizontal="center"/>
    </xf>
    <xf numFmtId="0" fontId="4" fillId="0" borderId="137" xfId="4" applyFont="1" applyBorder="1" applyAlignment="1">
      <alignment horizontal="center"/>
    </xf>
    <xf numFmtId="165" fontId="4" fillId="2" borderId="137" xfId="2408" applyNumberFormat="1" applyFont="1" applyFill="1" applyBorder="1" applyAlignment="1" applyProtection="1">
      <alignment horizontal="right" vertical="center"/>
      <protection locked="0"/>
    </xf>
    <xf numFmtId="165" fontId="5" fillId="111" borderId="137" xfId="2408" applyNumberFormat="1" applyFont="1" applyFill="1" applyBorder="1" applyAlignment="1" applyProtection="1">
      <alignment horizontal="center" vertical="center"/>
    </xf>
    <xf numFmtId="164" fontId="4" fillId="0" borderId="136" xfId="21" applyNumberFormat="1" applyFont="1" applyFill="1" applyBorder="1" applyAlignment="1" applyProtection="1">
      <alignment horizontal="right" vertical="center"/>
    </xf>
    <xf numFmtId="165" fontId="4" fillId="2" borderId="137" xfId="2408" applyNumberFormat="1" applyFont="1" applyFill="1" applyBorder="1" applyAlignment="1" applyProtection="1">
      <alignment horizontal="right" vertical="center"/>
    </xf>
    <xf numFmtId="164" fontId="4" fillId="111" borderId="136" xfId="21" applyNumberFormat="1" applyFont="1" applyFill="1" applyBorder="1" applyAlignment="1" applyProtection="1">
      <alignment horizontal="right" vertical="center"/>
    </xf>
    <xf numFmtId="165" fontId="4" fillId="0" borderId="137" xfId="2408" applyNumberFormat="1" applyFont="1" applyFill="1" applyBorder="1" applyAlignment="1" applyProtection="1">
      <alignment horizontal="right" vertical="center"/>
    </xf>
    <xf numFmtId="0" fontId="2" fillId="0" borderId="0" xfId="57"/>
    <xf numFmtId="0" fontId="168" fillId="0" borderId="0" xfId="57" applyFont="1" applyAlignment="1">
      <alignment horizontal="centerContinuous" vertical="center"/>
    </xf>
    <xf numFmtId="0" fontId="168" fillId="0" borderId="0" xfId="57" applyFont="1" applyAlignment="1">
      <alignment horizontal="centerContinuous" vertical="justify"/>
    </xf>
    <xf numFmtId="0" fontId="29" fillId="0" borderId="0" xfId="57" applyFont="1" applyAlignment="1">
      <alignment horizontal="centerContinuous" vertical="justify"/>
    </xf>
    <xf numFmtId="0" fontId="168" fillId="0" borderId="0" xfId="57" applyFont="1" applyAlignment="1">
      <alignment horizontal="centerContinuous"/>
    </xf>
    <xf numFmtId="0" fontId="13" fillId="0" borderId="0" xfId="0" applyFont="1"/>
    <xf numFmtId="0" fontId="119" fillId="0" borderId="0" xfId="57" quotePrefix="1" applyFont="1" applyAlignment="1">
      <alignment horizontal="center"/>
    </xf>
    <xf numFmtId="0" fontId="119" fillId="0" borderId="0" xfId="57" applyFont="1"/>
    <xf numFmtId="0" fontId="4" fillId="0" borderId="137" xfId="0" applyFont="1" applyBorder="1" applyAlignment="1">
      <alignment horizontal="center"/>
    </xf>
    <xf numFmtId="0" fontId="27" fillId="0" borderId="0" xfId="57" applyFont="1" applyAlignment="1">
      <alignment wrapText="1"/>
    </xf>
    <xf numFmtId="0" fontId="7" fillId="0" borderId="0" xfId="57" applyFont="1" applyAlignment="1">
      <alignment horizontal="center"/>
    </xf>
    <xf numFmtId="164" fontId="27" fillId="0" borderId="0" xfId="9" applyNumberFormat="1" applyFont="1"/>
    <xf numFmtId="165" fontId="27" fillId="0" borderId="0" xfId="1497" applyNumberFormat="1" applyFont="1"/>
    <xf numFmtId="165" fontId="27" fillId="0" borderId="0" xfId="1497" applyNumberFormat="1" applyFont="1" applyBorder="1"/>
    <xf numFmtId="0" fontId="29" fillId="0" borderId="0" xfId="57" applyFont="1" applyAlignment="1">
      <alignment horizontal="left"/>
    </xf>
    <xf numFmtId="165" fontId="27" fillId="0" borderId="137" xfId="1" applyNumberFormat="1" applyFont="1" applyBorder="1"/>
    <xf numFmtId="175" fontId="29" fillId="0" borderId="136" xfId="2" applyNumberFormat="1" applyFont="1" applyBorder="1"/>
    <xf numFmtId="0" fontId="27" fillId="0" borderId="0" xfId="57" applyFont="1" applyAlignment="1">
      <alignment horizontal="left"/>
    </xf>
    <xf numFmtId="43" fontId="27" fillId="0" borderId="0" xfId="57" applyNumberFormat="1" applyFont="1"/>
    <xf numFmtId="0" fontId="170" fillId="0" borderId="0" xfId="57" applyFont="1" applyAlignment="1">
      <alignment horizontal="center"/>
    </xf>
    <xf numFmtId="0" fontId="4" fillId="0" borderId="0" xfId="57" applyFont="1"/>
    <xf numFmtId="0" fontId="4" fillId="0" borderId="0" xfId="6107" applyFont="1" applyAlignment="1">
      <alignment horizontal="center" vertical="center"/>
    </xf>
    <xf numFmtId="0" fontId="171" fillId="0" borderId="7" xfId="0" applyFont="1" applyBorder="1" applyAlignment="1">
      <alignment horizontal="center"/>
    </xf>
    <xf numFmtId="0" fontId="0" fillId="0" borderId="7" xfId="0" applyBorder="1"/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2" fillId="0" borderId="0" xfId="0" applyFont="1" applyAlignment="1">
      <alignment horizontal="center"/>
    </xf>
    <xf numFmtId="0" fontId="5" fillId="0" borderId="86" xfId="4" applyFont="1" applyBorder="1" applyAlignment="1">
      <alignment horizontal="center"/>
    </xf>
    <xf numFmtId="0" fontId="5" fillId="0" borderId="137" xfId="4" quotePrefix="1" applyFont="1" applyBorder="1" applyAlignment="1">
      <alignment horizontal="center"/>
    </xf>
    <xf numFmtId="10" fontId="5" fillId="0" borderId="86" xfId="61" applyNumberFormat="1" applyFont="1" applyBorder="1" applyAlignment="1">
      <alignment horizontal="center"/>
    </xf>
    <xf numFmtId="10" fontId="5" fillId="0" borderId="0" xfId="61" applyNumberFormat="1" applyFont="1" applyFill="1" applyBorder="1" applyAlignment="1">
      <alignment horizontal="center"/>
    </xf>
    <xf numFmtId="164" fontId="4" fillId="0" borderId="0" xfId="48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73" fillId="0" borderId="0" xfId="0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 vertical="center"/>
    </xf>
    <xf numFmtId="41" fontId="5" fillId="0" borderId="0" xfId="21" applyNumberFormat="1" applyFont="1" applyBorder="1" applyAlignment="1">
      <alignment horizontal="left"/>
    </xf>
    <xf numFmtId="41" fontId="5" fillId="0" borderId="0" xfId="2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 vertical="center"/>
    </xf>
    <xf numFmtId="164" fontId="4" fillId="0" borderId="0" xfId="1040" applyNumberFormat="1" applyFont="1" applyFill="1" applyBorder="1" applyAlignment="1">
      <alignment vertical="center"/>
    </xf>
    <xf numFmtId="165" fontId="4" fillId="0" borderId="137" xfId="1" applyNumberFormat="1" applyFont="1" applyFill="1" applyBorder="1" applyAlignment="1">
      <alignment horizontal="right" vertical="center"/>
    </xf>
    <xf numFmtId="175" fontId="5" fillId="0" borderId="86" xfId="4" applyNumberFormat="1" applyFont="1" applyBorder="1" applyAlignment="1">
      <alignment vertical="center"/>
    </xf>
    <xf numFmtId="175" fontId="5" fillId="0" borderId="0" xfId="4" applyNumberFormat="1" applyFont="1" applyAlignment="1">
      <alignment vertical="center"/>
    </xf>
    <xf numFmtId="164" fontId="5" fillId="0" borderId="118" xfId="48" applyNumberFormat="1" applyFont="1" applyBorder="1" applyAlignment="1">
      <alignment horizontal="right" vertical="center"/>
    </xf>
    <xf numFmtId="164" fontId="4" fillId="0" borderId="136" xfId="48" applyNumberFormat="1" applyFont="1" applyBorder="1" applyAlignment="1">
      <alignment horizontal="right" vertical="center"/>
    </xf>
    <xf numFmtId="164" fontId="5" fillId="0" borderId="136" xfId="48" applyNumberFormat="1" applyFont="1" applyBorder="1" applyAlignment="1">
      <alignment horizontal="right" vertical="center"/>
    </xf>
    <xf numFmtId="0" fontId="5" fillId="0" borderId="7" xfId="4" applyFont="1" applyBorder="1"/>
    <xf numFmtId="44" fontId="5" fillId="0" borderId="7" xfId="4" applyNumberFormat="1" applyFont="1" applyBorder="1"/>
    <xf numFmtId="0" fontId="5" fillId="0" borderId="132" xfId="4" applyFont="1" applyBorder="1" applyAlignment="1">
      <alignment horizontal="center"/>
    </xf>
    <xf numFmtId="175" fontId="4" fillId="0" borderId="86" xfId="48" applyNumberFormat="1" applyFont="1" applyFill="1" applyBorder="1" applyAlignment="1">
      <alignment horizontal="right"/>
    </xf>
    <xf numFmtId="175" fontId="4" fillId="0" borderId="0" xfId="48" applyNumberFormat="1" applyFont="1" applyFill="1" applyBorder="1" applyAlignment="1">
      <alignment horizontal="right"/>
    </xf>
    <xf numFmtId="175" fontId="4" fillId="0" borderId="86" xfId="4" applyNumberFormat="1" applyFont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86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43" fontId="4" fillId="0" borderId="0" xfId="4" applyNumberFormat="1" applyFont="1" applyAlignment="1">
      <alignment horizontal="center"/>
    </xf>
    <xf numFmtId="167" fontId="4" fillId="0" borderId="86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41" fontId="5" fillId="0" borderId="0" xfId="21" applyNumberFormat="1" applyFont="1" applyBorder="1" applyAlignment="1">
      <alignment horizontal="center"/>
    </xf>
    <xf numFmtId="175" fontId="4" fillId="0" borderId="86" xfId="4" applyNumberFormat="1" applyFont="1" applyBorder="1"/>
    <xf numFmtId="175" fontId="4" fillId="0" borderId="0" xfId="4" applyNumberFormat="1" applyFont="1"/>
    <xf numFmtId="41" fontId="5" fillId="0" borderId="0" xfId="21" applyNumberFormat="1" applyFont="1" applyFill="1" applyBorder="1" applyAlignment="1">
      <alignment horizontal="center"/>
    </xf>
    <xf numFmtId="167" fontId="4" fillId="0" borderId="96" xfId="1" applyNumberFormat="1" applyFont="1" applyFill="1" applyBorder="1"/>
    <xf numFmtId="167" fontId="4" fillId="0" borderId="0" xfId="1" applyNumberFormat="1" applyFont="1" applyFill="1" applyBorder="1"/>
    <xf numFmtId="167" fontId="4" fillId="0" borderId="137" xfId="1" applyNumberFormat="1" applyFont="1" applyFill="1" applyBorder="1"/>
    <xf numFmtId="167" fontId="4" fillId="0" borderId="137" xfId="1" applyNumberFormat="1" applyFont="1" applyFill="1" applyBorder="1" applyAlignment="1">
      <alignment horizontal="right"/>
    </xf>
    <xf numFmtId="175" fontId="5" fillId="0" borderId="86" xfId="4" applyNumberFormat="1" applyFont="1" applyBorder="1"/>
    <xf numFmtId="175" fontId="5" fillId="0" borderId="0" xfId="4" applyNumberFormat="1" applyFont="1"/>
    <xf numFmtId="175" fontId="5" fillId="0" borderId="118" xfId="48" applyNumberFormat="1" applyFont="1" applyBorder="1" applyAlignment="1">
      <alignment horizontal="right"/>
    </xf>
    <xf numFmtId="175" fontId="4" fillId="0" borderId="136" xfId="48" applyNumberFormat="1" applyFont="1" applyBorder="1" applyAlignment="1">
      <alignment horizontal="right"/>
    </xf>
    <xf numFmtId="175" fontId="5" fillId="0" borderId="136" xfId="48" applyNumberFormat="1" applyFont="1" applyBorder="1" applyAlignment="1">
      <alignment horizontal="right"/>
    </xf>
    <xf numFmtId="175" fontId="27" fillId="0" borderId="0" xfId="0" applyNumberFormat="1" applyFont="1"/>
    <xf numFmtId="175" fontId="5" fillId="0" borderId="86" xfId="22" applyNumberFormat="1" applyFont="1" applyBorder="1"/>
    <xf numFmtId="175" fontId="5" fillId="0" borderId="0" xfId="22" applyNumberFormat="1" applyFont="1" applyFill="1" applyBorder="1"/>
    <xf numFmtId="41" fontId="5" fillId="0" borderId="0" xfId="21" applyNumberFormat="1" applyFont="1" applyFill="1" applyBorder="1"/>
    <xf numFmtId="165" fontId="4" fillId="0" borderId="0" xfId="2030" applyNumberFormat="1" applyFont="1" applyFill="1" applyBorder="1"/>
    <xf numFmtId="165" fontId="4" fillId="0" borderId="137" xfId="2030" applyNumberFormat="1" applyFont="1" applyFill="1" applyBorder="1"/>
    <xf numFmtId="165" fontId="5" fillId="0" borderId="0" xfId="22" applyNumberFormat="1" applyFont="1" applyFill="1" applyBorder="1"/>
    <xf numFmtId="164" fontId="5" fillId="0" borderId="118" xfId="48" applyNumberFormat="1" applyFont="1" applyBorder="1" applyAlignment="1">
      <alignment horizontal="right"/>
    </xf>
    <xf numFmtId="164" fontId="4" fillId="0" borderId="136" xfId="48" applyNumberFormat="1" applyFont="1" applyBorder="1" applyAlignment="1">
      <alignment horizontal="right"/>
    </xf>
    <xf numFmtId="164" fontId="5" fillId="0" borderId="136" xfId="0" applyNumberFormat="1" applyFont="1" applyBorder="1" applyAlignment="1">
      <alignment horizontal="center"/>
    </xf>
    <xf numFmtId="165" fontId="5" fillId="0" borderId="97" xfId="22" applyNumberFormat="1" applyFont="1" applyBorder="1"/>
    <xf numFmtId="165" fontId="5" fillId="0" borderId="7" xfId="22" applyNumberFormat="1" applyFont="1" applyFill="1" applyBorder="1"/>
    <xf numFmtId="0" fontId="5" fillId="0" borderId="7" xfId="4" applyFont="1" applyBorder="1" applyAlignment="1">
      <alignment horizontal="center"/>
    </xf>
    <xf numFmtId="0" fontId="5" fillId="0" borderId="141" xfId="4" applyFont="1" applyBorder="1" applyAlignment="1">
      <alignment horizontal="center"/>
    </xf>
    <xf numFmtId="10" fontId="5" fillId="0" borderId="87" xfId="61" applyNumberFormat="1" applyFont="1" applyBorder="1" applyAlignment="1">
      <alignment horizontal="center"/>
    </xf>
    <xf numFmtId="164" fontId="5" fillId="0" borderId="46" xfId="48" applyNumberFormat="1" applyFont="1" applyBorder="1" applyAlignment="1">
      <alignment horizontal="right" vertical="center"/>
    </xf>
    <xf numFmtId="0" fontId="5" fillId="0" borderId="47" xfId="4" applyFont="1" applyBorder="1"/>
    <xf numFmtId="175" fontId="4" fillId="0" borderId="87" xfId="48" applyNumberFormat="1" applyFont="1" applyFill="1" applyBorder="1" applyAlignment="1">
      <alignment horizontal="right"/>
    </xf>
    <xf numFmtId="175" fontId="4" fillId="0" borderId="87" xfId="4" applyNumberFormat="1" applyFont="1" applyBorder="1" applyAlignment="1">
      <alignment horizontal="right"/>
    </xf>
    <xf numFmtId="167" fontId="5" fillId="0" borderId="87" xfId="1" applyNumberFormat="1" applyFont="1" applyFill="1" applyBorder="1" applyAlignment="1">
      <alignment horizontal="right"/>
    </xf>
    <xf numFmtId="167" fontId="4" fillId="0" borderId="87" xfId="1" applyNumberFormat="1" applyFont="1" applyFill="1" applyBorder="1" applyAlignment="1">
      <alignment horizontal="right"/>
    </xf>
    <xf numFmtId="175" fontId="5" fillId="0" borderId="87" xfId="4" applyNumberFormat="1" applyFont="1" applyBorder="1"/>
    <xf numFmtId="164" fontId="5" fillId="0" borderId="46" xfId="48" applyNumberFormat="1" applyFont="1" applyBorder="1" applyAlignment="1">
      <alignment horizontal="right"/>
    </xf>
    <xf numFmtId="165" fontId="5" fillId="0" borderId="97" xfId="22" applyNumberFormat="1" applyFont="1" applyFill="1" applyBorder="1"/>
    <xf numFmtId="164" fontId="5" fillId="0" borderId="136" xfId="21" applyNumberFormat="1" applyFont="1" applyBorder="1" applyAlignment="1" applyProtection="1">
      <alignment horizontal="right" vertical="center"/>
      <protection locked="0"/>
    </xf>
    <xf numFmtId="37" fontId="5" fillId="0" borderId="0" xfId="0" applyNumberFormat="1" applyFont="1" applyAlignment="1">
      <alignment horizontal="right" vertical="center"/>
    </xf>
    <xf numFmtId="164" fontId="4" fillId="0" borderId="139" xfId="2" applyNumberFormat="1" applyFont="1" applyBorder="1" applyAlignment="1">
      <alignment vertical="center"/>
    </xf>
    <xf numFmtId="165" fontId="5" fillId="3" borderId="137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39" xfId="2" applyNumberFormat="1" applyFont="1" applyBorder="1" applyAlignment="1">
      <alignment horizontal="right" vertical="center"/>
    </xf>
    <xf numFmtId="164" fontId="5" fillId="0" borderId="136" xfId="2" applyNumberFormat="1" applyFont="1" applyFill="1" applyBorder="1" applyAlignment="1">
      <alignment horizontal="right" vertical="center"/>
    </xf>
    <xf numFmtId="164" fontId="4" fillId="0" borderId="143" xfId="2" applyNumberFormat="1" applyFont="1" applyBorder="1" applyAlignment="1">
      <alignment horizontal="right" vertical="center"/>
    </xf>
    <xf numFmtId="164" fontId="4" fillId="0" borderId="143" xfId="2" applyNumberFormat="1" applyFont="1" applyBorder="1" applyAlignment="1">
      <alignment vertical="center"/>
    </xf>
    <xf numFmtId="0" fontId="5" fillId="0" borderId="132" xfId="0" quotePrefix="1" applyFont="1" applyBorder="1" applyAlignment="1">
      <alignment horizontal="center"/>
    </xf>
    <xf numFmtId="0" fontId="5" fillId="0" borderId="141" xfId="0" quotePrefix="1" applyFont="1" applyBorder="1" applyAlignment="1">
      <alignment horizontal="center"/>
    </xf>
    <xf numFmtId="164" fontId="4" fillId="0" borderId="4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5" fontId="4" fillId="0" borderId="96" xfId="1" applyNumberFormat="1" applyFont="1" applyFill="1" applyBorder="1" applyAlignment="1">
      <alignment vertical="center"/>
    </xf>
    <xf numFmtId="0" fontId="173" fillId="0" borderId="118" xfId="0" applyFont="1" applyBorder="1" applyAlignment="1">
      <alignment horizontal="center"/>
    </xf>
    <xf numFmtId="164" fontId="5" fillId="0" borderId="136" xfId="2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73" fillId="0" borderId="5" xfId="0" applyFont="1" applyBorder="1" applyAlignment="1">
      <alignment horizontal="center"/>
    </xf>
    <xf numFmtId="37" fontId="4" fillId="0" borderId="7" xfId="0" applyNumberFormat="1" applyFont="1" applyBorder="1" applyAlignment="1">
      <alignment vertical="center"/>
    </xf>
    <xf numFmtId="37" fontId="5" fillId="0" borderId="132" xfId="0" applyNumberFormat="1" applyFont="1" applyBorder="1" applyAlignment="1">
      <alignment vertical="center"/>
    </xf>
    <xf numFmtId="37" fontId="5" fillId="0" borderId="132" xfId="0" quotePrefix="1" applyNumberFormat="1" applyFont="1" applyBorder="1" applyAlignment="1">
      <alignment horizontal="center" vertical="center"/>
    </xf>
    <xf numFmtId="0" fontId="5" fillId="0" borderId="134" xfId="0" quotePrefix="1" applyFont="1" applyBorder="1" applyAlignment="1">
      <alignment horizontal="center"/>
    </xf>
    <xf numFmtId="37" fontId="5" fillId="0" borderId="4" xfId="1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37" fontId="5" fillId="0" borderId="7" xfId="0" applyNumberFormat="1" applyFont="1" applyBorder="1" applyAlignment="1">
      <alignment horizontal="center" vertical="center"/>
    </xf>
    <xf numFmtId="0" fontId="5" fillId="0" borderId="99" xfId="0" applyFont="1" applyBorder="1" applyAlignment="1">
      <alignment horizontal="center"/>
    </xf>
    <xf numFmtId="0" fontId="5" fillId="0" borderId="112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7" fontId="7" fillId="0" borderId="4" xfId="12" applyNumberFormat="1" applyFont="1" applyBorder="1" applyAlignment="1">
      <alignment horizontal="left" vertical="center"/>
    </xf>
    <xf numFmtId="37" fontId="4" fillId="0" borderId="4" xfId="12" applyNumberFormat="1" applyFont="1" applyBorder="1" applyAlignment="1">
      <alignment horizontal="center" vertical="center"/>
    </xf>
    <xf numFmtId="37" fontId="4" fillId="0" borderId="134" xfId="12" applyNumberFormat="1" applyFont="1" applyBorder="1" applyAlignment="1">
      <alignment horizontal="center" vertical="center"/>
    </xf>
    <xf numFmtId="37" fontId="4" fillId="0" borderId="141" xfId="12" applyNumberFormat="1" applyFont="1" applyBorder="1" applyAlignment="1">
      <alignment horizontal="center" vertical="center"/>
    </xf>
    <xf numFmtId="37" fontId="4" fillId="0" borderId="0" xfId="12" applyNumberFormat="1" applyFont="1" applyAlignment="1">
      <alignment horizontal="center" vertical="center"/>
    </xf>
    <xf numFmtId="164" fontId="4" fillId="0" borderId="3" xfId="2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" fontId="174" fillId="0" borderId="3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/>
    <xf numFmtId="165" fontId="174" fillId="0" borderId="3" xfId="1" applyNumberFormat="1" applyFont="1" applyFill="1" applyBorder="1" applyAlignment="1">
      <alignment horizontal="left" vertical="top"/>
    </xf>
    <xf numFmtId="0" fontId="7" fillId="0" borderId="0" xfId="0" applyFont="1" applyAlignment="1">
      <alignment horizontal="right"/>
    </xf>
    <xf numFmtId="165" fontId="5" fillId="0" borderId="0" xfId="0" applyNumberFormat="1" applyFont="1"/>
    <xf numFmtId="165" fontId="4" fillId="0" borderId="4" xfId="1" applyNumberFormat="1" applyFont="1" applyFill="1" applyBorder="1" applyAlignment="1">
      <alignment horizontal="right" vertical="center"/>
    </xf>
    <xf numFmtId="37" fontId="4" fillId="0" borderId="4" xfId="0" applyNumberFormat="1" applyFont="1" applyBorder="1" applyAlignment="1">
      <alignment vertical="center"/>
    </xf>
    <xf numFmtId="37" fontId="4" fillId="0" borderId="3" xfId="0" applyNumberFormat="1" applyFont="1" applyBorder="1" applyAlignment="1">
      <alignment vertical="center"/>
    </xf>
    <xf numFmtId="164" fontId="5" fillId="0" borderId="4" xfId="2" applyNumberFormat="1" applyFont="1" applyBorder="1" applyAlignment="1">
      <alignment vertical="center"/>
    </xf>
    <xf numFmtId="164" fontId="5" fillId="0" borderId="113" xfId="2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37" fontId="4" fillId="0" borderId="140" xfId="0" applyNumberFormat="1" applyFont="1" applyBorder="1" applyAlignment="1">
      <alignment vertical="center"/>
    </xf>
    <xf numFmtId="37" fontId="4" fillId="0" borderId="132" xfId="0" applyNumberFormat="1" applyFont="1" applyBorder="1" applyAlignment="1">
      <alignment vertical="center"/>
    </xf>
    <xf numFmtId="37" fontId="4" fillId="0" borderId="132" xfId="1" applyNumberFormat="1" applyFont="1" applyBorder="1" applyAlignment="1">
      <alignment vertical="center"/>
    </xf>
    <xf numFmtId="37" fontId="4" fillId="0" borderId="132" xfId="1" applyNumberFormat="1" applyFont="1" applyFill="1" applyBorder="1" applyAlignment="1">
      <alignment vertical="center"/>
    </xf>
    <xf numFmtId="37" fontId="4" fillId="0" borderId="142" xfId="0" applyNumberFormat="1" applyFont="1" applyBorder="1" applyAlignment="1">
      <alignment vertical="center"/>
    </xf>
    <xf numFmtId="43" fontId="165" fillId="0" borderId="0" xfId="1" applyFont="1" applyFill="1" applyBorder="1"/>
    <xf numFmtId="165" fontId="165" fillId="0" borderId="0" xfId="1" applyNumberFormat="1" applyFont="1" applyFill="1" applyBorder="1"/>
    <xf numFmtId="37" fontId="4" fillId="0" borderId="5" xfId="55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vertical="center" wrapText="1"/>
    </xf>
    <xf numFmtId="43" fontId="7" fillId="0" borderId="0" xfId="1" applyFont="1" applyFill="1" applyBorder="1" applyAlignment="1">
      <alignment horizontal="right" vertical="center"/>
    </xf>
    <xf numFmtId="0" fontId="174" fillId="0" borderId="5" xfId="0" applyFont="1" applyBorder="1" applyAlignment="1">
      <alignment horizontal="center" vertical="center"/>
    </xf>
    <xf numFmtId="0" fontId="174" fillId="0" borderId="5" xfId="0" applyFont="1" applyBorder="1" applyAlignment="1">
      <alignment horizontal="center"/>
    </xf>
    <xf numFmtId="37" fontId="4" fillId="0" borderId="7" xfId="0" applyNumberFormat="1" applyFont="1" applyBorder="1" applyAlignment="1">
      <alignment horizontal="left" vertical="center"/>
    </xf>
    <xf numFmtId="164" fontId="5" fillId="0" borderId="118" xfId="2" applyNumberFormat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164" fontId="5" fillId="2" borderId="0" xfId="21" applyNumberFormat="1" applyFont="1" applyFill="1" applyAlignment="1" applyProtection="1">
      <alignment vertical="center"/>
      <protection locked="0"/>
    </xf>
    <xf numFmtId="165" fontId="5" fillId="2" borderId="0" xfId="2408" applyNumberFormat="1" applyFont="1" applyFill="1" applyBorder="1" applyAlignment="1" applyProtection="1">
      <alignment horizontal="right" vertical="center"/>
      <protection locked="0"/>
    </xf>
    <xf numFmtId="164" fontId="5" fillId="0" borderId="0" xfId="21" applyNumberFormat="1" applyFont="1" applyAlignment="1">
      <alignment horizontal="right" vertical="center"/>
    </xf>
    <xf numFmtId="164" fontId="4" fillId="0" borderId="144" xfId="2" applyNumberFormat="1" applyFont="1" applyBorder="1" applyAlignment="1" applyProtection="1">
      <alignment vertical="center"/>
      <protection locked="0"/>
    </xf>
    <xf numFmtId="164" fontId="4" fillId="0" borderId="143" xfId="2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4" fillId="0" borderId="143" xfId="0" applyNumberFormat="1" applyFont="1" applyBorder="1" applyAlignment="1">
      <alignment vertical="center"/>
    </xf>
    <xf numFmtId="164" fontId="5" fillId="2" borderId="0" xfId="2" applyNumberFormat="1" applyFont="1" applyFill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0" fontId="5" fillId="0" borderId="0" xfId="4" applyFont="1" applyAlignment="1">
      <alignment horizontal="right"/>
    </xf>
    <xf numFmtId="164" fontId="4" fillId="0" borderId="144" xfId="21" applyNumberFormat="1" applyFont="1" applyFill="1" applyBorder="1" applyAlignment="1" applyProtection="1">
      <alignment horizontal="right" vertical="center"/>
    </xf>
    <xf numFmtId="164" fontId="4" fillId="0" borderId="144" xfId="21" applyNumberFormat="1" applyFont="1" applyFill="1" applyBorder="1" applyAlignment="1" applyProtection="1">
      <alignment horizontal="center" vertical="center"/>
    </xf>
    <xf numFmtId="165" fontId="5" fillId="2" borderId="137" xfId="2408" applyNumberFormat="1" applyFont="1" applyFill="1" applyBorder="1" applyAlignment="1" applyProtection="1">
      <alignment horizontal="right" vertical="center"/>
      <protection locked="0"/>
    </xf>
    <xf numFmtId="164" fontId="5" fillId="0" borderId="144" xfId="21" applyNumberFormat="1" applyFont="1" applyFill="1" applyBorder="1" applyAlignment="1" applyProtection="1">
      <alignment horizontal="right" vertical="center"/>
    </xf>
    <xf numFmtId="164" fontId="5" fillId="0" borderId="136" xfId="21" applyNumberFormat="1" applyFont="1" applyFill="1" applyBorder="1" applyAlignment="1" applyProtection="1">
      <alignment horizontal="right" vertical="center"/>
    </xf>
    <xf numFmtId="164" fontId="4" fillId="0" borderId="143" xfId="21" applyNumberFormat="1" applyFont="1" applyFill="1" applyBorder="1" applyAlignment="1" applyProtection="1">
      <alignment horizontal="right" vertical="center"/>
    </xf>
    <xf numFmtId="0" fontId="12" fillId="0" borderId="0" xfId="0" quotePrefix="1" applyFont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1" fontId="4" fillId="0" borderId="0" xfId="4" applyNumberFormat="1" applyFont="1" applyAlignment="1">
      <alignment horizontal="center" vertical="center"/>
    </xf>
    <xf numFmtId="10" fontId="4" fillId="3" borderId="0" xfId="3" applyNumberFormat="1" applyFont="1" applyFill="1" applyBorder="1"/>
    <xf numFmtId="165" fontId="27" fillId="0" borderId="0" xfId="1" applyNumberFormat="1" applyFont="1" applyAlignment="1">
      <alignment vertical="center"/>
    </xf>
    <xf numFmtId="10" fontId="27" fillId="0" borderId="0" xfId="3" applyNumberFormat="1" applyFont="1" applyAlignment="1">
      <alignment vertical="center"/>
    </xf>
    <xf numFmtId="201" fontId="27" fillId="0" borderId="0" xfId="3" applyNumberFormat="1" applyFont="1" applyAlignment="1">
      <alignment vertical="center"/>
    </xf>
    <xf numFmtId="0" fontId="4" fillId="0" borderId="137" xfId="4" applyFont="1" applyBorder="1" applyAlignment="1">
      <alignment horizontal="left" vertical="center"/>
    </xf>
    <xf numFmtId="1" fontId="4" fillId="0" borderId="137" xfId="4" applyNumberFormat="1" applyFont="1" applyBorder="1" applyAlignment="1">
      <alignment horizontal="center" vertical="center"/>
    </xf>
    <xf numFmtId="10" fontId="4" fillId="3" borderId="137" xfId="3" applyNumberFormat="1" applyFont="1" applyFill="1" applyBorder="1"/>
    <xf numFmtId="10" fontId="27" fillId="3" borderId="0" xfId="3" applyNumberFormat="1" applyFont="1" applyFill="1" applyBorder="1"/>
    <xf numFmtId="203" fontId="27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204" fontId="27" fillId="0" borderId="0" xfId="0" applyNumberFormat="1" applyFont="1" applyAlignment="1">
      <alignment vertical="center"/>
    </xf>
    <xf numFmtId="204" fontId="4" fillId="0" borderId="0" xfId="0" applyNumberFormat="1" applyFont="1" applyAlignment="1">
      <alignment vertical="center"/>
    </xf>
    <xf numFmtId="0" fontId="10" fillId="0" borderId="0" xfId="3840" quotePrefix="1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165" fontId="4" fillId="3" borderId="0" xfId="1" applyNumberFormat="1" applyFont="1" applyFill="1" applyBorder="1" applyAlignment="1">
      <alignment vertical="center"/>
    </xf>
    <xf numFmtId="165" fontId="5" fillId="3" borderId="0" xfId="1" applyNumberFormat="1" applyFont="1" applyFill="1" applyBorder="1" applyAlignment="1">
      <alignment vertical="center"/>
    </xf>
    <xf numFmtId="165" fontId="5" fillId="111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137" xfId="1" applyNumberFormat="1" applyFont="1" applyFill="1" applyBorder="1" applyAlignment="1" applyProtection="1">
      <alignment horizontal="right" vertical="center"/>
    </xf>
    <xf numFmtId="164" fontId="5" fillId="0" borderId="143" xfId="2" applyNumberFormat="1" applyFont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2" borderId="137" xfId="1" applyNumberFormat="1" applyFont="1" applyFill="1" applyBorder="1" applyAlignment="1">
      <alignment vertical="center"/>
    </xf>
    <xf numFmtId="164" fontId="5" fillId="0" borderId="143" xfId="2" applyNumberFormat="1" applyFont="1" applyBorder="1" applyAlignment="1">
      <alignment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0" borderId="136" xfId="2" applyNumberFormat="1" applyFont="1" applyBorder="1" applyAlignment="1">
      <alignment horizontal="right" vertical="center"/>
    </xf>
    <xf numFmtId="165" fontId="5" fillId="0" borderId="137" xfId="1" applyNumberFormat="1" applyFont="1" applyFill="1" applyBorder="1" applyAlignment="1" applyProtection="1">
      <alignment vertical="center"/>
      <protection locked="0"/>
    </xf>
    <xf numFmtId="164" fontId="5" fillId="2" borderId="0" xfId="21" applyNumberFormat="1" applyFont="1" applyFill="1" applyAlignment="1" applyProtection="1">
      <alignment horizontal="right" vertical="center"/>
    </xf>
    <xf numFmtId="165" fontId="5" fillId="2" borderId="0" xfId="2408" applyNumberFormat="1" applyFont="1" applyFill="1" applyAlignment="1" applyProtection="1">
      <alignment horizontal="right" vertical="center"/>
    </xf>
    <xf numFmtId="165" fontId="5" fillId="2" borderId="137" xfId="2408" applyNumberFormat="1" applyFont="1" applyFill="1" applyBorder="1" applyAlignment="1" applyProtection="1">
      <alignment horizontal="right" vertical="center"/>
    </xf>
    <xf numFmtId="164" fontId="5" fillId="0" borderId="0" xfId="21" applyNumberFormat="1" applyFont="1" applyFill="1" applyAlignment="1" applyProtection="1">
      <alignment horizontal="right" vertical="center"/>
    </xf>
    <xf numFmtId="165" fontId="5" fillId="0" borderId="137" xfId="2408" applyNumberFormat="1" applyFont="1" applyFill="1" applyBorder="1" applyAlignment="1" applyProtection="1">
      <alignment horizontal="right" vertical="center"/>
    </xf>
    <xf numFmtId="164" fontId="5" fillId="0" borderId="143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  <protection locked="0"/>
    </xf>
    <xf numFmtId="10" fontId="5" fillId="0" borderId="136" xfId="2012" quotePrefix="1" applyNumberFormat="1" applyFont="1" applyBorder="1" applyAlignment="1">
      <alignment horizontal="right" vertical="center"/>
    </xf>
    <xf numFmtId="10" fontId="5" fillId="0" borderId="0" xfId="2012" applyNumberFormat="1" applyFont="1" applyAlignment="1">
      <alignment horizontal="right" vertical="center"/>
    </xf>
    <xf numFmtId="164" fontId="5" fillId="0" borderId="136" xfId="2" applyNumberFormat="1" applyFont="1" applyBorder="1" applyAlignment="1">
      <alignment horizontal="right" vertical="center"/>
    </xf>
    <xf numFmtId="164" fontId="5" fillId="2" borderId="137" xfId="2012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0" xfId="2012" applyNumberFormat="1" applyFont="1" applyBorder="1" applyAlignment="1" applyProtection="1">
      <alignment horizontal="right" vertical="center"/>
      <protection locked="0"/>
    </xf>
    <xf numFmtId="164" fontId="5" fillId="0" borderId="49" xfId="2012" applyNumberFormat="1" applyFont="1" applyBorder="1" applyAlignment="1" applyProtection="1">
      <alignment horizontal="right" vertical="center"/>
      <protection locked="0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64" fontId="5" fillId="2" borderId="0" xfId="21" applyNumberFormat="1" applyFont="1" applyFill="1" applyAlignment="1">
      <alignment horizontal="center" vertical="center"/>
    </xf>
    <xf numFmtId="165" fontId="5" fillId="2" borderId="49" xfId="1" applyNumberFormat="1" applyFont="1" applyFill="1" applyBorder="1" applyAlignment="1">
      <alignment horizontal="center" vertical="center"/>
    </xf>
    <xf numFmtId="164" fontId="5" fillId="0" borderId="0" xfId="48" applyNumberFormat="1" applyFont="1" applyAlignment="1">
      <alignment vertical="center"/>
    </xf>
    <xf numFmtId="164" fontId="5" fillId="2" borderId="0" xfId="2" applyNumberFormat="1" applyFont="1" applyFill="1" applyAlignment="1">
      <alignment vertical="center"/>
    </xf>
    <xf numFmtId="164" fontId="5" fillId="2" borderId="0" xfId="21" applyNumberFormat="1" applyFont="1" applyFill="1" applyBorder="1" applyAlignment="1">
      <alignment vertical="center"/>
    </xf>
    <xf numFmtId="164" fontId="5" fillId="0" borderId="0" xfId="2012" applyNumberFormat="1" applyFont="1" applyAlignment="1">
      <alignment horizontal="right" vertical="center"/>
    </xf>
    <xf numFmtId="10" fontId="5" fillId="2" borderId="0" xfId="2012" applyNumberFormat="1" applyFont="1" applyFill="1" applyAlignment="1">
      <alignment horizontal="right" vertical="center"/>
    </xf>
    <xf numFmtId="10" fontId="5" fillId="0" borderId="0" xfId="1043" applyNumberFormat="1" applyFont="1" applyBorder="1" applyAlignment="1">
      <alignment horizontal="right" vertical="center"/>
    </xf>
    <xf numFmtId="10" fontId="5" fillId="0" borderId="49" xfId="2012" applyNumberFormat="1" applyFont="1" applyBorder="1" applyAlignment="1">
      <alignment horizontal="right" vertical="center"/>
    </xf>
    <xf numFmtId="164" fontId="5" fillId="0" borderId="0" xfId="48" applyNumberFormat="1" applyFont="1" applyBorder="1" applyAlignment="1">
      <alignment horizontal="right" vertical="center"/>
    </xf>
    <xf numFmtId="42" fontId="5" fillId="0" borderId="0" xfId="2012" applyNumberFormat="1" applyFont="1" applyAlignment="1">
      <alignment horizontal="right" vertical="center"/>
    </xf>
    <xf numFmtId="10" fontId="5" fillId="0" borderId="136" xfId="2012" applyNumberFormat="1" applyFont="1" applyBorder="1" applyAlignment="1">
      <alignment horizontal="right" vertical="center"/>
    </xf>
    <xf numFmtId="10" fontId="5" fillId="0" borderId="136" xfId="1043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2" xfId="1" applyNumberFormat="1" applyFont="1" applyFill="1" applyBorder="1" applyAlignment="1" applyProtection="1">
      <alignment horizontal="right" vertical="center"/>
      <protection locked="0"/>
    </xf>
    <xf numFmtId="165" fontId="5" fillId="2" borderId="145" xfId="1" applyNumberFormat="1" applyFont="1" applyFill="1" applyBorder="1" applyAlignment="1" applyProtection="1">
      <alignment horizontal="right" vertical="center"/>
      <protection locked="0"/>
    </xf>
    <xf numFmtId="165" fontId="5" fillId="0" borderId="87" xfId="1" applyNumberFormat="1" applyFont="1" applyFill="1" applyBorder="1" applyAlignment="1" applyProtection="1">
      <alignment horizontal="right" vertical="center"/>
      <protection locked="0"/>
    </xf>
    <xf numFmtId="164" fontId="5" fillId="0" borderId="2" xfId="21" applyNumberFormat="1" applyFont="1" applyFill="1" applyBorder="1" applyAlignment="1" applyProtection="1">
      <alignment horizontal="right"/>
      <protection locked="0"/>
    </xf>
    <xf numFmtId="164" fontId="5" fillId="0" borderId="3" xfId="21" applyNumberFormat="1" applyFont="1" applyFill="1" applyBorder="1" applyAlignment="1" applyProtection="1">
      <alignment horizontal="right"/>
      <protection locked="0"/>
    </xf>
    <xf numFmtId="165" fontId="5" fillId="0" borderId="96" xfId="1" applyNumberFormat="1" applyFont="1" applyFill="1" applyBorder="1" applyAlignment="1" applyProtection="1">
      <alignment horizontal="right"/>
      <protection locked="0"/>
    </xf>
    <xf numFmtId="165" fontId="5" fillId="0" borderId="137" xfId="1" applyNumberFormat="1" applyFont="1" applyFill="1" applyBorder="1" applyAlignment="1" applyProtection="1">
      <alignment horizontal="right"/>
      <protection locked="0"/>
    </xf>
    <xf numFmtId="165" fontId="5" fillId="0" borderId="99" xfId="1" applyNumberFormat="1" applyFont="1" applyFill="1" applyBorder="1" applyAlignment="1" applyProtection="1">
      <alignment horizontal="right"/>
      <protection locked="0"/>
    </xf>
    <xf numFmtId="165" fontId="5" fillId="0" borderId="0" xfId="1" applyNumberFormat="1" applyFont="1" applyFill="1" applyBorder="1" applyAlignment="1" applyProtection="1">
      <alignment horizontal="right"/>
      <protection locked="0"/>
    </xf>
    <xf numFmtId="164" fontId="5" fillId="0" borderId="117" xfId="21" applyNumberFormat="1" applyFont="1" applyFill="1" applyBorder="1" applyAlignment="1" applyProtection="1">
      <alignment horizontal="right"/>
      <protection locked="0"/>
    </xf>
    <xf numFmtId="164" fontId="5" fillId="0" borderId="1" xfId="21" applyNumberFormat="1" applyFont="1" applyFill="1" applyBorder="1" applyAlignment="1" applyProtection="1">
      <alignment horizontal="right"/>
      <protection locked="0"/>
    </xf>
    <xf numFmtId="164" fontId="5" fillId="0" borderId="131" xfId="21" applyNumberFormat="1" applyFont="1" applyFill="1" applyBorder="1" applyAlignment="1" applyProtection="1">
      <alignment horizontal="right"/>
      <protection locked="0"/>
    </xf>
    <xf numFmtId="0" fontId="29" fillId="0" borderId="132" xfId="1604" applyFont="1" applyBorder="1"/>
    <xf numFmtId="164" fontId="29" fillId="0" borderId="0" xfId="45" applyNumberFormat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164" fontId="29" fillId="0" borderId="0" xfId="1604" applyNumberFormat="1" applyFont="1" applyAlignment="1">
      <alignment vertical="center"/>
    </xf>
    <xf numFmtId="0" fontId="29" fillId="0" borderId="7" xfId="1604" applyFont="1" applyBorder="1"/>
    <xf numFmtId="165" fontId="5" fillId="0" borderId="87" xfId="1" applyNumberFormat="1" applyFont="1" applyFill="1" applyBorder="1" applyAlignment="1">
      <alignment vertical="center"/>
    </xf>
    <xf numFmtId="165" fontId="4" fillId="0" borderId="145" xfId="1" applyNumberFormat="1" applyFont="1" applyFill="1" applyBorder="1" applyAlignment="1">
      <alignment vertical="center"/>
    </xf>
    <xf numFmtId="10" fontId="5" fillId="2" borderId="137" xfId="4" applyNumberFormat="1" applyFont="1" applyFill="1" applyBorder="1" applyAlignment="1" applyProtection="1">
      <alignment horizontal="right" vertical="center"/>
      <protection locked="0"/>
    </xf>
    <xf numFmtId="164" fontId="5" fillId="2" borderId="0" xfId="2012" applyNumberFormat="1" applyFont="1" applyFill="1" applyAlignment="1" applyProtection="1">
      <alignment horizontal="right" vertical="center"/>
      <protection locked="0"/>
    </xf>
    <xf numFmtId="164" fontId="5" fillId="0" borderId="3" xfId="21" applyNumberFormat="1" applyFont="1" applyFill="1" applyBorder="1" applyAlignment="1" applyProtection="1">
      <alignment horizontal="right" vertical="center"/>
      <protection locked="0"/>
    </xf>
    <xf numFmtId="164" fontId="5" fillId="0" borderId="2" xfId="2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Fill="1" applyBorder="1" applyAlignment="1">
      <alignment horizontal="right"/>
    </xf>
    <xf numFmtId="10" fontId="5" fillId="0" borderId="0" xfId="2" applyNumberFormat="1" applyFont="1" applyBorder="1" applyAlignment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</xf>
    <xf numFmtId="164" fontId="4" fillId="0" borderId="86" xfId="48" applyNumberFormat="1" applyFont="1" applyFill="1" applyBorder="1" applyAlignment="1">
      <alignment horizontal="right" vertical="center"/>
    </xf>
    <xf numFmtId="164" fontId="4" fillId="0" borderId="86" xfId="4" applyNumberFormat="1" applyFont="1" applyBorder="1" applyAlignment="1">
      <alignment horizontal="right" vertical="center"/>
    </xf>
    <xf numFmtId="165" fontId="5" fillId="0" borderId="86" xfId="1" applyNumberFormat="1" applyFont="1" applyFill="1" applyBorder="1" applyAlignment="1">
      <alignment horizontal="right" vertical="center"/>
    </xf>
    <xf numFmtId="165" fontId="4" fillId="0" borderId="86" xfId="1" applyNumberFormat="1" applyFont="1" applyFill="1" applyBorder="1" applyAlignment="1">
      <alignment horizontal="right" vertical="center"/>
    </xf>
    <xf numFmtId="164" fontId="4" fillId="0" borderId="86" xfId="4" applyNumberFormat="1" applyFont="1" applyBorder="1" applyAlignment="1">
      <alignment vertical="center"/>
    </xf>
    <xf numFmtId="164" fontId="4" fillId="0" borderId="86" xfId="1040" applyNumberFormat="1" applyFont="1" applyFill="1" applyBorder="1" applyAlignment="1">
      <alignment vertical="center"/>
    </xf>
    <xf numFmtId="164" fontId="4" fillId="0" borderId="87" xfId="48" applyNumberFormat="1" applyFont="1" applyFill="1" applyBorder="1" applyAlignment="1">
      <alignment horizontal="right" vertical="center"/>
    </xf>
    <xf numFmtId="164" fontId="4" fillId="0" borderId="87" xfId="4" applyNumberFormat="1" applyFont="1" applyBorder="1" applyAlignment="1">
      <alignment horizontal="right" vertical="center"/>
    </xf>
    <xf numFmtId="165" fontId="5" fillId="0" borderId="87" xfId="1" applyNumberFormat="1" applyFont="1" applyFill="1" applyBorder="1" applyAlignment="1">
      <alignment horizontal="right" vertical="center"/>
    </xf>
    <xf numFmtId="165" fontId="4" fillId="0" borderId="87" xfId="1" applyNumberFormat="1" applyFont="1" applyFill="1" applyBorder="1" applyAlignment="1">
      <alignment horizontal="right" vertical="center"/>
    </xf>
    <xf numFmtId="164" fontId="4" fillId="0" borderId="87" xfId="4" applyNumberFormat="1" applyFont="1" applyBorder="1" applyAlignment="1">
      <alignment vertical="center"/>
    </xf>
    <xf numFmtId="164" fontId="4" fillId="0" borderId="87" xfId="1040" applyNumberFormat="1" applyFont="1" applyFill="1" applyBorder="1" applyAlignment="1">
      <alignment vertical="center"/>
    </xf>
    <xf numFmtId="165" fontId="4" fillId="0" borderId="82" xfId="2030" applyNumberFormat="1" applyFont="1" applyFill="1" applyBorder="1"/>
    <xf numFmtId="165" fontId="4" fillId="0" borderId="96" xfId="2030" applyNumberFormat="1" applyFont="1" applyFill="1" applyBorder="1"/>
    <xf numFmtId="0" fontId="175" fillId="0" borderId="0" xfId="0" applyFont="1" applyAlignment="1">
      <alignment horizontal="center"/>
    </xf>
    <xf numFmtId="168" fontId="5" fillId="0" borderId="110" xfId="0" applyNumberFormat="1" applyFont="1" applyBorder="1" applyAlignment="1">
      <alignment horizontal="center" vertical="center"/>
    </xf>
    <xf numFmtId="0" fontId="175" fillId="0" borderId="118" xfId="0" applyFont="1" applyBorder="1" applyAlignment="1">
      <alignment horizontal="center"/>
    </xf>
    <xf numFmtId="166" fontId="5" fillId="0" borderId="0" xfId="3" applyNumberFormat="1" applyFont="1" applyAlignment="1">
      <alignment horizontal="right" vertical="center"/>
    </xf>
    <xf numFmtId="203" fontId="27" fillId="0" borderId="0" xfId="2" applyNumberFormat="1" applyFont="1" applyBorder="1" applyAlignment="1">
      <alignment vertical="center"/>
    </xf>
    <xf numFmtId="168" fontId="4" fillId="0" borderId="0" xfId="4" applyNumberFormat="1" applyFont="1" applyAlignment="1">
      <alignment horizontal="center" vertical="center"/>
    </xf>
    <xf numFmtId="0" fontId="5" fillId="0" borderId="8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165" fontId="5" fillId="0" borderId="3" xfId="1" applyNumberFormat="1" applyFont="1" applyFill="1" applyBorder="1" applyAlignment="1">
      <alignment vertical="center"/>
    </xf>
    <xf numFmtId="165" fontId="4" fillId="0" borderId="146" xfId="1" applyNumberFormat="1" applyFont="1" applyFill="1" applyBorder="1" applyAlignment="1">
      <alignment vertical="center"/>
    </xf>
    <xf numFmtId="0" fontId="173" fillId="0" borderId="147" xfId="0" applyFont="1" applyBorder="1" applyAlignment="1">
      <alignment horizontal="center"/>
    </xf>
    <xf numFmtId="165" fontId="4" fillId="0" borderId="0" xfId="1" applyNumberFormat="1" applyFont="1" applyFill="1" applyBorder="1" applyAlignment="1"/>
    <xf numFmtId="37" fontId="5" fillId="0" borderId="5" xfId="4" applyNumberFormat="1" applyFont="1" applyBorder="1" applyAlignment="1">
      <alignment horizontal="center"/>
    </xf>
    <xf numFmtId="164" fontId="5" fillId="2" borderId="137" xfId="21" applyNumberFormat="1" applyFont="1" applyFill="1" applyBorder="1" applyAlignment="1" applyProtection="1">
      <alignment vertical="center"/>
      <protection locked="0"/>
    </xf>
    <xf numFmtId="164" fontId="4" fillId="2" borderId="137" xfId="21" applyNumberFormat="1" applyFont="1" applyFill="1" applyBorder="1" applyAlignment="1">
      <alignment horizontal="right" vertical="center"/>
    </xf>
    <xf numFmtId="164" fontId="4" fillId="2" borderId="137" xfId="21" applyNumberFormat="1" applyFont="1" applyFill="1" applyBorder="1" applyAlignment="1" applyProtection="1">
      <alignment vertical="center"/>
      <protection locked="0"/>
    </xf>
    <xf numFmtId="165" fontId="176" fillId="0" borderId="0" xfId="22" applyNumberFormat="1" applyFont="1" applyBorder="1" applyAlignment="1">
      <alignment vertical="center"/>
    </xf>
    <xf numFmtId="165" fontId="4" fillId="0" borderId="0" xfId="2012" applyNumberFormat="1" applyFont="1" applyAlignment="1">
      <alignment vertical="center"/>
    </xf>
    <xf numFmtId="10" fontId="9" fillId="0" borderId="0" xfId="61" applyNumberFormat="1" applyFont="1" applyBorder="1" applyAlignment="1" applyProtection="1">
      <alignment vertical="center"/>
    </xf>
    <xf numFmtId="165" fontId="4" fillId="2" borderId="145" xfId="1" applyNumberFormat="1" applyFont="1" applyFill="1" applyBorder="1" applyAlignment="1" applyProtection="1">
      <alignment horizontal="right" vertical="center"/>
      <protection locked="0"/>
    </xf>
    <xf numFmtId="164" fontId="4" fillId="0" borderId="118" xfId="21" applyNumberFormat="1" applyFont="1" applyFill="1" applyBorder="1" applyAlignment="1" applyProtection="1">
      <alignment horizontal="right"/>
      <protection locked="0"/>
    </xf>
    <xf numFmtId="164" fontId="4" fillId="0" borderId="136" xfId="21" applyNumberFormat="1" applyFont="1" applyFill="1" applyBorder="1" applyAlignment="1" applyProtection="1">
      <alignment horizontal="right"/>
      <protection locked="0"/>
    </xf>
    <xf numFmtId="164" fontId="4" fillId="0" borderId="119" xfId="21" applyNumberFormat="1" applyFont="1" applyFill="1" applyBorder="1" applyAlignment="1" applyProtection="1">
      <alignment horizontal="right"/>
      <protection locked="0"/>
    </xf>
    <xf numFmtId="0" fontId="173" fillId="0" borderId="148" xfId="0" applyFont="1" applyBorder="1" applyAlignment="1">
      <alignment horizontal="center"/>
    </xf>
    <xf numFmtId="0" fontId="4" fillId="0" borderId="0" xfId="55" applyFont="1" applyAlignment="1">
      <alignment horizontal="left" vertical="center"/>
    </xf>
    <xf numFmtId="1" fontId="4" fillId="0" borderId="0" xfId="55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0" fontId="8" fillId="127" borderId="0" xfId="3" applyNumberFormat="1" applyFont="1" applyFill="1" applyBorder="1"/>
    <xf numFmtId="0" fontId="4" fillId="0" borderId="137" xfId="55" applyFont="1" applyBorder="1" applyAlignment="1">
      <alignment horizontal="left" vertical="center"/>
    </xf>
    <xf numFmtId="1" fontId="4" fillId="0" borderId="137" xfId="55" applyNumberFormat="1" applyFont="1" applyBorder="1" applyAlignment="1">
      <alignment horizontal="center" vertical="center"/>
    </xf>
    <xf numFmtId="0" fontId="27" fillId="0" borderId="137" xfId="0" applyFont="1" applyBorder="1" applyAlignment="1">
      <alignment vertical="center"/>
    </xf>
    <xf numFmtId="10" fontId="8" fillId="127" borderId="137" xfId="3" applyNumberFormat="1" applyFont="1" applyFill="1" applyBorder="1"/>
    <xf numFmtId="44" fontId="27" fillId="0" borderId="0" xfId="2" applyFont="1" applyFill="1" applyAlignment="1">
      <alignment horizontal="right" vertical="center"/>
    </xf>
    <xf numFmtId="43" fontId="27" fillId="0" borderId="0" xfId="1" applyFont="1" applyFill="1" applyAlignment="1">
      <alignment horizontal="right" vertical="center"/>
    </xf>
    <xf numFmtId="43" fontId="27" fillId="0" borderId="137" xfId="1" applyFont="1" applyFill="1" applyBorder="1" applyAlignment="1">
      <alignment horizontal="right" vertical="center"/>
    </xf>
    <xf numFmtId="37" fontId="7" fillId="0" borderId="0" xfId="0" applyNumberFormat="1" applyFont="1" applyAlignment="1">
      <alignment horizontal="left" vertical="center"/>
    </xf>
    <xf numFmtId="164" fontId="4" fillId="0" borderId="118" xfId="21" applyNumberFormat="1" applyFont="1" applyFill="1" applyBorder="1" applyAlignment="1" applyProtection="1">
      <alignment horizontal="right" vertical="center"/>
      <protection locked="0"/>
    </xf>
    <xf numFmtId="164" fontId="4" fillId="0" borderId="119" xfId="21" applyNumberFormat="1" applyFont="1" applyFill="1" applyBorder="1" applyAlignment="1" applyProtection="1">
      <alignment horizontal="right" vertical="center"/>
      <protection locked="0"/>
    </xf>
    <xf numFmtId="0" fontId="27" fillId="127" borderId="0" xfId="0" applyFont="1" applyFill="1" applyAlignment="1">
      <alignment horizontal="center" vertical="center"/>
    </xf>
    <xf numFmtId="0" fontId="27" fillId="127" borderId="0" xfId="0" applyFont="1" applyFill="1" applyAlignment="1">
      <alignment vertical="center"/>
    </xf>
    <xf numFmtId="0" fontId="27" fillId="0" borderId="97" xfId="0" applyFont="1" applyBorder="1"/>
    <xf numFmtId="167" fontId="27" fillId="0" borderId="0" xfId="0" applyNumberFormat="1" applyFont="1"/>
    <xf numFmtId="167" fontId="27" fillId="0" borderId="0" xfId="1" applyNumberFormat="1" applyFont="1"/>
    <xf numFmtId="44" fontId="27" fillId="0" borderId="0" xfId="9" applyFont="1"/>
    <xf numFmtId="43" fontId="27" fillId="0" borderId="137" xfId="1497" applyFont="1" applyBorder="1"/>
    <xf numFmtId="44" fontId="29" fillId="0" borderId="0" xfId="2" applyFont="1" applyBorder="1"/>
    <xf numFmtId="44" fontId="29" fillId="0" borderId="136" xfId="2" applyFont="1" applyFill="1" applyBorder="1" applyAlignment="1">
      <alignment vertical="center"/>
    </xf>
    <xf numFmtId="44" fontId="5" fillId="0" borderId="136" xfId="2" applyFont="1" applyFill="1" applyBorder="1" applyAlignment="1">
      <alignment vertical="center"/>
    </xf>
    <xf numFmtId="44" fontId="27" fillId="0" borderId="0" xfId="2" applyFont="1" applyAlignment="1">
      <alignment horizontal="center" vertical="center"/>
    </xf>
    <xf numFmtId="44" fontId="27" fillId="0" borderId="0" xfId="2" applyFont="1" applyAlignment="1">
      <alignment horizontal="right" vertical="center"/>
    </xf>
    <xf numFmtId="43" fontId="27" fillId="0" borderId="0" xfId="1" applyFont="1" applyAlignment="1">
      <alignment horizontal="center" vertical="center"/>
    </xf>
    <xf numFmtId="43" fontId="27" fillId="0" borderId="0" xfId="1" applyFont="1" applyAlignment="1">
      <alignment horizontal="right" vertical="center"/>
    </xf>
    <xf numFmtId="43" fontId="4" fillId="0" borderId="0" xfId="1" applyFont="1" applyFill="1" applyAlignment="1">
      <alignment horizontal="right" vertical="center"/>
    </xf>
    <xf numFmtId="43" fontId="27" fillId="0" borderId="137" xfId="1" applyFont="1" applyBorder="1" applyAlignment="1">
      <alignment horizontal="center" vertical="center"/>
    </xf>
    <xf numFmtId="43" fontId="4" fillId="0" borderId="137" xfId="1" applyFont="1" applyFill="1" applyBorder="1" applyAlignment="1">
      <alignment horizontal="right" vertical="center"/>
    </xf>
    <xf numFmtId="43" fontId="27" fillId="0" borderId="0" xfId="1" applyFont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27" fillId="0" borderId="0" xfId="1" applyFont="1" applyBorder="1" applyAlignment="1">
      <alignment horizontal="right" vertical="center"/>
    </xf>
    <xf numFmtId="43" fontId="27" fillId="0" borderId="137" xfId="1" applyFont="1" applyBorder="1" applyAlignment="1">
      <alignment horizontal="right" vertical="center"/>
    </xf>
    <xf numFmtId="43" fontId="5" fillId="0" borderId="137" xfId="1" applyFont="1" applyFill="1" applyBorder="1" applyAlignment="1">
      <alignment horizontal="right" vertical="center"/>
    </xf>
    <xf numFmtId="165" fontId="4" fillId="0" borderId="137" xfId="1" applyNumberFormat="1" applyFont="1" applyFill="1" applyBorder="1" applyAlignment="1" applyProtection="1">
      <alignment vertical="center"/>
      <protection locked="0"/>
    </xf>
    <xf numFmtId="43" fontId="4" fillId="0" borderId="0" xfId="0" applyNumberFormat="1" applyFont="1" applyAlignment="1">
      <alignment vertical="center"/>
    </xf>
    <xf numFmtId="0" fontId="27" fillId="0" borderId="0" xfId="57" quotePrefix="1" applyFont="1"/>
    <xf numFmtId="37" fontId="5" fillId="0" borderId="0" xfId="0" applyNumberFormat="1" applyFont="1"/>
    <xf numFmtId="0" fontId="168" fillId="0" borderId="0" xfId="57" applyFont="1" applyAlignment="1">
      <alignment horizontal="center" vertical="justify"/>
    </xf>
    <xf numFmtId="0" fontId="168" fillId="0" borderId="0" xfId="57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2" applyFont="1" applyAlignment="1">
      <alignment horizontal="center"/>
    </xf>
    <xf numFmtId="2" fontId="5" fillId="2" borderId="0" xfId="2012" applyNumberFormat="1" applyFont="1" applyFill="1" applyAlignment="1">
      <alignment horizontal="center"/>
    </xf>
    <xf numFmtId="0" fontId="5" fillId="0" borderId="0" xfId="2012" applyFont="1" applyAlignment="1" applyProtection="1">
      <alignment horizontal="center"/>
      <protection locked="0"/>
    </xf>
    <xf numFmtId="49" fontId="5" fillId="0" borderId="0" xfId="4" applyNumberFormat="1" applyFont="1" applyAlignment="1">
      <alignment horizontal="center"/>
    </xf>
    <xf numFmtId="0" fontId="29" fillId="0" borderId="0" xfId="1604" applyFont="1" applyAlignment="1">
      <alignment horizontal="right"/>
    </xf>
    <xf numFmtId="0" fontId="29" fillId="3" borderId="0" xfId="1604" applyFont="1" applyFill="1" applyAlignment="1">
      <alignment horizontal="center"/>
    </xf>
    <xf numFmtId="5" fontId="29" fillId="0" borderId="0" xfId="1604" applyNumberFormat="1" applyFont="1" applyAlignment="1">
      <alignment horizontal="center"/>
    </xf>
    <xf numFmtId="0" fontId="29" fillId="0" borderId="114" xfId="1604" applyFont="1" applyBorder="1" applyAlignment="1">
      <alignment horizontal="center"/>
    </xf>
    <xf numFmtId="0" fontId="29" fillId="0" borderId="115" xfId="1604" applyFont="1" applyBorder="1"/>
    <xf numFmtId="0" fontId="29" fillId="0" borderId="116" xfId="1604" applyFont="1" applyBorder="1"/>
    <xf numFmtId="0" fontId="29" fillId="0" borderId="0" xfId="57" applyFont="1" applyAlignment="1">
      <alignment horizontal="center"/>
    </xf>
    <xf numFmtId="5" fontId="29" fillId="0" borderId="0" xfId="57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5" fillId="0" borderId="0" xfId="4" quotePrefix="1" applyFont="1" applyAlignment="1">
      <alignment horizontal="center"/>
    </xf>
    <xf numFmtId="0" fontId="5" fillId="0" borderId="0" xfId="4" applyFont="1"/>
    <xf numFmtId="0" fontId="29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</cellXfs>
  <cellStyles count="38566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097" xr:uid="{00000000-0005-0000-0000-0000FB940000}"/>
    <cellStyle name="Comma 154" xfId="38100" xr:uid="{00000000-0005-0000-0000-0000FE940000}"/>
    <cellStyle name="Comma 155" xfId="38103" xr:uid="{00000000-0005-0000-0000-000001950000}"/>
    <cellStyle name="Comma 156" xfId="38106" xr:uid="{00000000-0005-0000-0000-000004950000}"/>
    <cellStyle name="Comma 157" xfId="38109" xr:uid="{00000000-0005-0000-0000-000007950000}"/>
    <cellStyle name="Comma 158" xfId="38112" xr:uid="{00000000-0005-0000-0000-00000A950000}"/>
    <cellStyle name="Comma 159" xfId="38115" xr:uid="{00000000-0005-0000-0000-00000D950000}"/>
    <cellStyle name="Comma 16" xfId="1452" xr:uid="{00000000-0005-0000-0000-0000ED050000}"/>
    <cellStyle name="Comma 160" xfId="38118" xr:uid="{00000000-0005-0000-0000-000010950000}"/>
    <cellStyle name="Comma 161" xfId="38410" xr:uid="{00000000-0005-0000-0000-000037960000}"/>
    <cellStyle name="Comma 162" xfId="38407" xr:uid="{00000000-0005-0000-0000-00003A960000}"/>
    <cellStyle name="Comma 163" xfId="38121" xr:uid="{00000000-0005-0000-0000-00003D960000}"/>
    <cellStyle name="Comma 164" xfId="38125" xr:uid="{00000000-0005-0000-0000-000041960000}"/>
    <cellStyle name="Comma 165" xfId="38413" xr:uid="{00000000-0005-0000-0000-000045960000}"/>
    <cellStyle name="Comma 166" xfId="38417" xr:uid="{00000000-0005-0000-0000-000049960000}"/>
    <cellStyle name="Comma 167" xfId="38421" xr:uid="{00000000-0005-0000-0000-00004D960000}"/>
    <cellStyle name="Comma 168" xfId="38425" xr:uid="{00000000-0005-0000-0000-000051960000}"/>
    <cellStyle name="Comma 169" xfId="38429" xr:uid="{00000000-0005-0000-0000-000055960000}"/>
    <cellStyle name="Comma 17" xfId="1453" xr:uid="{00000000-0005-0000-0000-0000EE050000}"/>
    <cellStyle name="Comma 170" xfId="38432" xr:uid="{00000000-0005-0000-0000-000059960000}"/>
    <cellStyle name="Comma 171" xfId="38436" xr:uid="{00000000-0005-0000-0000-00005D960000}"/>
    <cellStyle name="Comma 172" xfId="38441" xr:uid="{00000000-0005-0000-0000-000061960000}"/>
    <cellStyle name="Comma 173" xfId="38445" xr:uid="{00000000-0005-0000-0000-000065960000}"/>
    <cellStyle name="Comma 174" xfId="38449" xr:uid="{00000000-0005-0000-0000-000069960000}"/>
    <cellStyle name="Comma 175" xfId="38453" xr:uid="{00000000-0005-0000-0000-00006D960000}"/>
    <cellStyle name="Comma 176" xfId="38457" xr:uid="{00000000-0005-0000-0000-000071960000}"/>
    <cellStyle name="Comma 177" xfId="38461" xr:uid="{00000000-0005-0000-0000-000075960000}"/>
    <cellStyle name="Comma 178" xfId="38465" xr:uid="{00000000-0005-0000-0000-000079960000}"/>
    <cellStyle name="Comma 179" xfId="38469" xr:uid="{00000000-0005-0000-0000-00007D960000}"/>
    <cellStyle name="Comma 18" xfId="1454" xr:uid="{00000000-0005-0000-0000-0000EF050000}"/>
    <cellStyle name="Comma 180" xfId="38473" xr:uid="{00000000-0005-0000-0000-000081960000}"/>
    <cellStyle name="Comma 181" xfId="38478" xr:uid="{00000000-0005-0000-0000-000087960000}"/>
    <cellStyle name="Comma 182" xfId="38480" xr:uid="{00000000-0005-0000-0000-00008A960000}"/>
    <cellStyle name="Comma 183" xfId="38485" xr:uid="{00000000-0005-0000-0000-00008E960000}"/>
    <cellStyle name="Comma 184" xfId="38488" xr:uid="{00000000-0005-0000-0000-000092960000}"/>
    <cellStyle name="Comma 185" xfId="38492" xr:uid="{00000000-0005-0000-0000-000086960000}"/>
    <cellStyle name="Comma 186" xfId="38496" xr:uid="{00000000-0005-0000-0000-00008A960000}"/>
    <cellStyle name="Comma 187" xfId="38500" xr:uid="{00000000-0005-0000-0000-00008E960000}"/>
    <cellStyle name="Comma 188" xfId="38502" xr:uid="{00000000-0005-0000-0000-000090960000}"/>
    <cellStyle name="Comma 189" xfId="38504" xr:uid="{00000000-0005-0000-0000-000092960000}"/>
    <cellStyle name="Comma 19" xfId="1455" xr:uid="{00000000-0005-0000-0000-0000F0050000}"/>
    <cellStyle name="Comma 190" xfId="38506" xr:uid="{00000000-0005-0000-0000-000094960000}"/>
    <cellStyle name="Comma 191" xfId="38508" xr:uid="{00000000-0005-0000-0000-000096960000}"/>
    <cellStyle name="Comma 192" xfId="38510" xr:uid="{00000000-0005-0000-0000-000098960000}"/>
    <cellStyle name="Comma 193" xfId="38512" xr:uid="{00000000-0005-0000-0000-00009A960000}"/>
    <cellStyle name="Comma 194" xfId="38514" xr:uid="{00000000-0005-0000-0000-00009C960000}"/>
    <cellStyle name="Comma 195" xfId="38516" xr:uid="{00000000-0005-0000-0000-00009E960000}"/>
    <cellStyle name="Comma 196" xfId="38518" xr:uid="{00000000-0005-0000-0000-0000A0960000}"/>
    <cellStyle name="Comma 197" xfId="38520" xr:uid="{00000000-0005-0000-0000-0000A2960000}"/>
    <cellStyle name="Comma 198" xfId="38522" xr:uid="{00000000-0005-0000-0000-0000A4960000}"/>
    <cellStyle name="Comma 199" xfId="38524" xr:uid="{00000000-0005-0000-0000-0000A696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00" xfId="38526" xr:uid="{00000000-0005-0000-0000-0000A8960000}"/>
    <cellStyle name="Comma 201" xfId="38528" xr:uid="{00000000-0005-0000-0000-0000AA960000}"/>
    <cellStyle name="Comma 202" xfId="38530" xr:uid="{00000000-0005-0000-0000-0000AC960000}"/>
    <cellStyle name="Comma 203" xfId="38532" xr:uid="{00000000-0005-0000-0000-0000AE960000}"/>
    <cellStyle name="Comma 204" xfId="38534" xr:uid="{00000000-0005-0000-0000-0000B0960000}"/>
    <cellStyle name="Comma 205" xfId="38536" xr:uid="{00000000-0005-0000-0000-0000B2960000}"/>
    <cellStyle name="Comma 206" xfId="38538" xr:uid="{00000000-0005-0000-0000-0000B4960000}"/>
    <cellStyle name="Comma 207" xfId="38540" xr:uid="{00000000-0005-0000-0000-0000B6960000}"/>
    <cellStyle name="Comma 208" xfId="38542" xr:uid="{00000000-0005-0000-0000-0000B8960000}"/>
    <cellStyle name="Comma 209" xfId="38544" xr:uid="{00000000-0005-0000-0000-0000BA960000}"/>
    <cellStyle name="Comma 21" xfId="1478" xr:uid="{00000000-0005-0000-0000-000033060000}"/>
    <cellStyle name="Comma 210" xfId="38546" xr:uid="{00000000-0005-0000-0000-0000BC960000}"/>
    <cellStyle name="Comma 211" xfId="38548" xr:uid="{00000000-0005-0000-0000-0000BE960000}"/>
    <cellStyle name="Comma 212" xfId="38550" xr:uid="{00000000-0005-0000-0000-0000C1960000}"/>
    <cellStyle name="Comma 213" xfId="38553" xr:uid="{00000000-0005-0000-0000-0000C3960000}"/>
    <cellStyle name="Comma 214" xfId="38554" xr:uid="{00000000-0005-0000-0000-0000C5960000}"/>
    <cellStyle name="Comma 215" xfId="38556" xr:uid="{00000000-0005-0000-0000-0000C7960000}"/>
    <cellStyle name="Comma 216" xfId="38555" xr:uid="{00000000-0005-0000-0000-0000C9960000}"/>
    <cellStyle name="Comma 217" xfId="38558" xr:uid="{00000000-0005-0000-0000-0000CB960000}"/>
    <cellStyle name="Comma 218" xfId="38560" xr:uid="{00000000-0005-0000-0000-0000CD960000}"/>
    <cellStyle name="Comma 219" xfId="38562" xr:uid="{00000000-0005-0000-0000-0000CF9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098" xr:uid="{00000000-0005-0000-0000-0000FC940000}"/>
    <cellStyle name="Currency 102" xfId="38101" xr:uid="{00000000-0005-0000-0000-0000FF940000}"/>
    <cellStyle name="Currency 103" xfId="38104" xr:uid="{00000000-0005-0000-0000-000002950000}"/>
    <cellStyle name="Currency 104" xfId="38107" xr:uid="{00000000-0005-0000-0000-000005950000}"/>
    <cellStyle name="Currency 105" xfId="38110" xr:uid="{00000000-0005-0000-0000-000008950000}"/>
    <cellStyle name="Currency 106" xfId="38113" xr:uid="{00000000-0005-0000-0000-00000B950000}"/>
    <cellStyle name="Currency 107" xfId="38116" xr:uid="{00000000-0005-0000-0000-00000E950000}"/>
    <cellStyle name="Currency 108" xfId="38119" xr:uid="{00000000-0005-0000-0000-000011950000}"/>
    <cellStyle name="Currency 109" xfId="38409" xr:uid="{00000000-0005-0000-0000-000038960000}"/>
    <cellStyle name="Currency 11" xfId="1959" xr:uid="{00000000-0005-0000-0000-0000EA060000}"/>
    <cellStyle name="Currency 110" xfId="38406" xr:uid="{00000000-0005-0000-0000-00003B960000}"/>
    <cellStyle name="Currency 111" xfId="38123" xr:uid="{00000000-0005-0000-0000-00003E960000}"/>
    <cellStyle name="Currency 112" xfId="38127" xr:uid="{00000000-0005-0000-0000-000042960000}"/>
    <cellStyle name="Currency 113" xfId="38415" xr:uid="{00000000-0005-0000-0000-000046960000}"/>
    <cellStyle name="Currency 114" xfId="38419" xr:uid="{00000000-0005-0000-0000-00004A960000}"/>
    <cellStyle name="Currency 115" xfId="38423" xr:uid="{00000000-0005-0000-0000-00004E960000}"/>
    <cellStyle name="Currency 116" xfId="38427" xr:uid="{00000000-0005-0000-0000-000052960000}"/>
    <cellStyle name="Currency 117" xfId="38431" xr:uid="{00000000-0005-0000-0000-000056960000}"/>
    <cellStyle name="Currency 118" xfId="38434" xr:uid="{00000000-0005-0000-0000-00005A960000}"/>
    <cellStyle name="Currency 119" xfId="38437" xr:uid="{00000000-0005-0000-0000-00005E960000}"/>
    <cellStyle name="Currency 12" xfId="23" xr:uid="{00000000-0005-0000-0000-0000EB060000}"/>
    <cellStyle name="Currency 120" xfId="38438" xr:uid="{00000000-0005-0000-0000-000062960000}"/>
    <cellStyle name="Currency 121" xfId="38442" xr:uid="{00000000-0005-0000-0000-000066960000}"/>
    <cellStyle name="Currency 122" xfId="38446" xr:uid="{00000000-0005-0000-0000-00006A960000}"/>
    <cellStyle name="Currency 123" xfId="38450" xr:uid="{00000000-0005-0000-0000-00006E960000}"/>
    <cellStyle name="Currency 124" xfId="38454" xr:uid="{00000000-0005-0000-0000-000072960000}"/>
    <cellStyle name="Currency 125" xfId="38458" xr:uid="{00000000-0005-0000-0000-000076960000}"/>
    <cellStyle name="Currency 126" xfId="38462" xr:uid="{00000000-0005-0000-0000-00007A960000}"/>
    <cellStyle name="Currency 127" xfId="38466" xr:uid="{00000000-0005-0000-0000-00007E960000}"/>
    <cellStyle name="Currency 128" xfId="38470" xr:uid="{00000000-0005-0000-0000-000082960000}"/>
    <cellStyle name="Currency 129" xfId="38477" xr:uid="{00000000-0005-0000-0000-000088960000}"/>
    <cellStyle name="Currency 13" xfId="2023" xr:uid="{00000000-0005-0000-0000-0000EC060000}"/>
    <cellStyle name="Currency 130" xfId="38482" xr:uid="{00000000-0005-0000-0000-00008B960000}"/>
    <cellStyle name="Currency 131" xfId="38483" xr:uid="{00000000-0005-0000-0000-00008F960000}"/>
    <cellStyle name="Currency 132" xfId="38490" xr:uid="{00000000-0005-0000-0000-000093960000}"/>
    <cellStyle name="Currency 133" xfId="38493" xr:uid="{00000000-0005-0000-0000-000087960000}"/>
    <cellStyle name="Currency 134" xfId="38497" xr:uid="{00000000-0005-0000-0000-00008B9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3 3" xfId="38128" xr:uid="{00000000-0005-0000-0000-00009601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0" xfId="38467" xr:uid="{00000000-0005-0000-0000-00007B960000}"/>
    <cellStyle name="Normal 101" xfId="2569" xr:uid="{00000000-0005-0000-0000-0000BD080000}"/>
    <cellStyle name="Normal 102" xfId="38471" xr:uid="{00000000-0005-0000-0000-00007F960000}"/>
    <cellStyle name="Normal 103" xfId="38474" xr:uid="{00000000-0005-0000-0000-000083960000}"/>
    <cellStyle name="Normal 104" xfId="38476" xr:uid="{00000000-0005-0000-0000-000089960000}"/>
    <cellStyle name="Normal 105" xfId="38479" xr:uid="{00000000-0005-0000-0000-00008C960000}"/>
    <cellStyle name="Normal 106" xfId="38486" xr:uid="{00000000-0005-0000-0000-000090960000}"/>
    <cellStyle name="Normal 107" xfId="38487" xr:uid="{00000000-0005-0000-0000-000094960000}"/>
    <cellStyle name="Normal 108" xfId="38491" xr:uid="{00000000-0005-0000-0000-000088960000}"/>
    <cellStyle name="Normal 109" xfId="38495" xr:uid="{00000000-0005-0000-0000-00008C96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10" xfId="38499" xr:uid="{00000000-0005-0000-0000-00008F960000}"/>
    <cellStyle name="Normal 111" xfId="38501" xr:uid="{00000000-0005-0000-0000-000091960000}"/>
    <cellStyle name="Normal 112" xfId="38503" xr:uid="{00000000-0005-0000-0000-000093960000}"/>
    <cellStyle name="Normal 113" xfId="38505" xr:uid="{00000000-0005-0000-0000-000095960000}"/>
    <cellStyle name="Normal 114" xfId="38507" xr:uid="{00000000-0005-0000-0000-000097960000}"/>
    <cellStyle name="Normal 115" xfId="38509" xr:uid="{00000000-0005-0000-0000-000099960000}"/>
    <cellStyle name="Normal 116" xfId="38511" xr:uid="{00000000-0005-0000-0000-00009B960000}"/>
    <cellStyle name="Normal 117" xfId="38513" xr:uid="{00000000-0005-0000-0000-00009D960000}"/>
    <cellStyle name="Normal 118" xfId="38515" xr:uid="{00000000-0005-0000-0000-00009F960000}"/>
    <cellStyle name="Normal 119" xfId="38517" xr:uid="{00000000-0005-0000-0000-0000A196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20" xfId="38519" xr:uid="{00000000-0005-0000-0000-0000A3960000}"/>
    <cellStyle name="Normal 121" xfId="38521" xr:uid="{00000000-0005-0000-0000-0000A5960000}"/>
    <cellStyle name="Normal 122" xfId="38523" xr:uid="{00000000-0005-0000-0000-0000A7960000}"/>
    <cellStyle name="Normal 123" xfId="38525" xr:uid="{00000000-0005-0000-0000-0000A9960000}"/>
    <cellStyle name="Normal 124" xfId="38527" xr:uid="{00000000-0005-0000-0000-0000AB960000}"/>
    <cellStyle name="Normal 125" xfId="38529" xr:uid="{00000000-0005-0000-0000-0000AD960000}"/>
    <cellStyle name="Normal 126" xfId="38531" xr:uid="{00000000-0005-0000-0000-0000AF960000}"/>
    <cellStyle name="Normal 127" xfId="38533" xr:uid="{00000000-0005-0000-0000-0000B1960000}"/>
    <cellStyle name="Normal 128" xfId="38535" xr:uid="{00000000-0005-0000-0000-0000B3960000}"/>
    <cellStyle name="Normal 129" xfId="38537" xr:uid="{00000000-0005-0000-0000-0000B596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30" xfId="38539" xr:uid="{00000000-0005-0000-0000-0000B7960000}"/>
    <cellStyle name="Normal 131" xfId="38541" xr:uid="{00000000-0005-0000-0000-0000B9960000}"/>
    <cellStyle name="Normal 132" xfId="38543" xr:uid="{00000000-0005-0000-0000-0000BB960000}"/>
    <cellStyle name="Normal 133" xfId="38545" xr:uid="{00000000-0005-0000-0000-0000BD960000}"/>
    <cellStyle name="Normal 134" xfId="38547" xr:uid="{00000000-0005-0000-0000-0000BF960000}"/>
    <cellStyle name="Normal 135" xfId="38549" xr:uid="{00000000-0005-0000-0000-0000C2960000}"/>
    <cellStyle name="Normal 136" xfId="38552" xr:uid="{00000000-0005-0000-0000-0000C4960000}"/>
    <cellStyle name="Normal 137" xfId="38557" xr:uid="{00000000-0005-0000-0000-0000C6960000}"/>
    <cellStyle name="Normal 138" xfId="38559" xr:uid="{00000000-0005-0000-0000-0000C8960000}"/>
    <cellStyle name="Normal 139" xfId="38561" xr:uid="{00000000-0005-0000-0000-0000CA96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40" xfId="38563" xr:uid="{00000000-0005-0000-0000-0000CC960000}"/>
    <cellStyle name="Normal 141" xfId="38564" xr:uid="{00000000-0005-0000-0000-0000CE960000}"/>
    <cellStyle name="Normal 142" xfId="38565" xr:uid="{00000000-0005-0000-0000-0000D096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0 3" xfId="38551" xr:uid="{586F9496-CAC6-4832-86AA-6C991F59689F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096" xr:uid="{00000000-0005-0000-0000-0000FD940000}"/>
    <cellStyle name="Normal 76" xfId="38099" xr:uid="{00000000-0005-0000-0000-000000950000}"/>
    <cellStyle name="Normal 77" xfId="38102" xr:uid="{00000000-0005-0000-0000-000003950000}"/>
    <cellStyle name="Normal 78" xfId="38105" xr:uid="{00000000-0005-0000-0000-000006950000}"/>
    <cellStyle name="Normal 79" xfId="38108" xr:uid="{00000000-0005-0000-0000-000009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80" xfId="38111" xr:uid="{00000000-0005-0000-0000-00000C950000}"/>
    <cellStyle name="Normal 81" xfId="38114" xr:uid="{00000000-0005-0000-0000-00000F950000}"/>
    <cellStyle name="Normal 82" xfId="38117" xr:uid="{00000000-0005-0000-0000-000012950000}"/>
    <cellStyle name="Normal 83" xfId="38411" xr:uid="{00000000-0005-0000-0000-000039960000}"/>
    <cellStyle name="Normal 84" xfId="38408" xr:uid="{00000000-0005-0000-0000-00003C960000}"/>
    <cellStyle name="Normal 85" xfId="38120" xr:uid="{00000000-0005-0000-0000-00003F960000}"/>
    <cellStyle name="Normal 86" xfId="38126" xr:uid="{00000000-0005-0000-0000-000043960000}"/>
    <cellStyle name="Normal 87" xfId="38412" xr:uid="{00000000-0005-0000-0000-000047960000}"/>
    <cellStyle name="Normal 88" xfId="38416" xr:uid="{00000000-0005-0000-0000-00004B960000}"/>
    <cellStyle name="Normal 89" xfId="38420" xr:uid="{00000000-0005-0000-0000-00004F96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90" xfId="38424" xr:uid="{00000000-0005-0000-0000-000053960000}"/>
    <cellStyle name="Normal 91" xfId="38428" xr:uid="{00000000-0005-0000-0000-000057960000}"/>
    <cellStyle name="Normal 92" xfId="38433" xr:uid="{00000000-0005-0000-0000-00005B960000}"/>
    <cellStyle name="Normal 93" xfId="38439" xr:uid="{00000000-0005-0000-0000-00005F960000}"/>
    <cellStyle name="Normal 94" xfId="38443" xr:uid="{00000000-0005-0000-0000-000063960000}"/>
    <cellStyle name="Normal 95" xfId="38447" xr:uid="{00000000-0005-0000-0000-000067960000}"/>
    <cellStyle name="Normal 96" xfId="38451" xr:uid="{00000000-0005-0000-0000-00006B960000}"/>
    <cellStyle name="Normal 97" xfId="38455" xr:uid="{00000000-0005-0000-0000-00006F960000}"/>
    <cellStyle name="Normal 98" xfId="38459" xr:uid="{00000000-0005-0000-0000-000073960000}"/>
    <cellStyle name="Normal 99" xfId="38463" xr:uid="{00000000-0005-0000-0000-00007796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12" xfId="38129" xr:uid="{00000000-0005-0000-0000-0000CE01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45" xfId="38122" xr:uid="{00000000-0005-0000-0000-000040960000}"/>
    <cellStyle name="Percent 46" xfId="38124" xr:uid="{00000000-0005-0000-0000-000044960000}"/>
    <cellStyle name="Percent 47" xfId="38414" xr:uid="{00000000-0005-0000-0000-000048960000}"/>
    <cellStyle name="Percent 48" xfId="38418" xr:uid="{00000000-0005-0000-0000-00004C960000}"/>
    <cellStyle name="Percent 49" xfId="38422" xr:uid="{00000000-0005-0000-0000-00005096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50" xfId="38426" xr:uid="{00000000-0005-0000-0000-000054960000}"/>
    <cellStyle name="Percent 51" xfId="38430" xr:uid="{00000000-0005-0000-0000-000058960000}"/>
    <cellStyle name="Percent 52" xfId="38435" xr:uid="{00000000-0005-0000-0000-00005C960000}"/>
    <cellStyle name="Percent 53" xfId="38440" xr:uid="{00000000-0005-0000-0000-000060960000}"/>
    <cellStyle name="Percent 54" xfId="38444" xr:uid="{00000000-0005-0000-0000-000064960000}"/>
    <cellStyle name="Percent 55" xfId="38448" xr:uid="{00000000-0005-0000-0000-000068960000}"/>
    <cellStyle name="Percent 56" xfId="38452" xr:uid="{00000000-0005-0000-0000-00006C960000}"/>
    <cellStyle name="Percent 57" xfId="38456" xr:uid="{00000000-0005-0000-0000-000070960000}"/>
    <cellStyle name="Percent 58" xfId="38460" xr:uid="{00000000-0005-0000-0000-000074960000}"/>
    <cellStyle name="Percent 59" xfId="38464" xr:uid="{00000000-0005-0000-0000-00007896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60" xfId="38468" xr:uid="{00000000-0005-0000-0000-00007C960000}"/>
    <cellStyle name="Percent 61" xfId="38472" xr:uid="{00000000-0005-0000-0000-000080960000}"/>
    <cellStyle name="Percent 62" xfId="38475" xr:uid="{00000000-0005-0000-0000-000084960000}"/>
    <cellStyle name="Percent 63" xfId="38481" xr:uid="{00000000-0005-0000-0000-00008D960000}"/>
    <cellStyle name="Percent 64" xfId="38484" xr:uid="{00000000-0005-0000-0000-000091960000}"/>
    <cellStyle name="Percent 65" xfId="38489" xr:uid="{00000000-0005-0000-0000-000095960000}"/>
    <cellStyle name="Percent 66" xfId="38494" xr:uid="{00000000-0005-0000-0000-000089960000}"/>
    <cellStyle name="Percent 67" xfId="38498" xr:uid="{00000000-0005-0000-0000-00008D96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11" xfId="38131" xr:uid="{00000000-0005-0000-0000-0000E001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15" xfId="38132" xr:uid="{00000000-0005-0000-0000-0000E201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12" xfId="38133" xr:uid="{00000000-0005-0000-0000-0000E301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24" xfId="38130" xr:uid="{00000000-0005-0000-0000-0000DF01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4 9" xfId="38134" xr:uid="{00000000-0005-0000-0000-0000E801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13" xfId="38135" xr:uid="{00000000-0005-0000-0000-0000EB01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15" xfId="38137" xr:uid="{00000000-0005-0000-0000-0000F401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24" xfId="38136" xr:uid="{00000000-0005-0000-0000-0000F3010000}"/>
    <cellStyle name="SAPBEXaggDataEmph 3" xfId="564" xr:uid="{00000000-0005-0000-0000-00005E100000}"/>
    <cellStyle name="SAPBEXaggDataEmph 3 10" xfId="22292" xr:uid="{00000000-0005-0000-0000-00005F100000}"/>
    <cellStyle name="SAPBEXaggDataEmph 3 11" xfId="38138" xr:uid="{00000000-0005-0000-0000-0000F501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12" xfId="38139" xr:uid="{00000000-0005-0000-0000-0000F601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11" xfId="38141" xr:uid="{00000000-0005-0000-0000-0000F80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23" xfId="38140" xr:uid="{00000000-0005-0000-0000-0000F701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13" xfId="38142" xr:uid="{00000000-0005-0000-0000-0000FE01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12" xfId="38143" xr:uid="{00000000-0005-0000-0000-0000FF01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4 9" xfId="38144" xr:uid="{00000000-0005-0000-0000-00000002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13" xfId="38145" xr:uid="{00000000-0005-0000-0000-00000302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14" xfId="38147" xr:uid="{00000000-0005-0000-0000-00000C02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12" xfId="38148" xr:uid="{00000000-0005-0000-0000-00000D02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23" xfId="38146" xr:uid="{00000000-0005-0000-0000-00000B020000}"/>
    <cellStyle name="SAPBEXaggItemX 3" xfId="586" xr:uid="{00000000-0005-0000-0000-00009E150000}"/>
    <cellStyle name="SAPBEXaggItemX 3 10" xfId="4988" xr:uid="{00000000-0005-0000-0000-00009F150000}"/>
    <cellStyle name="SAPBEXaggItemX 3 11" xfId="38149" xr:uid="{00000000-0005-0000-0000-00000E02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13" xfId="38150" xr:uid="{00000000-0005-0000-0000-00000F02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12" xfId="38151" xr:uid="{00000000-0005-0000-0000-00001302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12" xfId="38152" xr:uid="{00000000-0005-0000-0000-000018020000}"/>
    <cellStyle name="SAPBEXchaText 5 2" xfId="597" xr:uid="{00000000-0005-0000-0000-000034170000}"/>
    <cellStyle name="SAPBEXchaText 5 2 10" xfId="38153" xr:uid="{00000000-0005-0000-0000-00001902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10" xfId="38154" xr:uid="{00000000-0005-0000-0000-00001A02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15" xfId="38156" xr:uid="{00000000-0005-0000-0000-00002602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12" xfId="38157" xr:uid="{00000000-0005-0000-0000-00002702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24" xfId="38155" xr:uid="{00000000-0005-0000-0000-00002402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2 8" xfId="38159" xr:uid="{00000000-0005-0000-0000-00002902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3 9" xfId="38158" xr:uid="{00000000-0005-0000-0000-00002802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13" xfId="38160" xr:uid="{00000000-0005-0000-0000-00002A02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11" xfId="38161" xr:uid="{00000000-0005-0000-0000-00003302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15" xfId="38163" xr:uid="{00000000-0005-0000-0000-00003602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12" xfId="38164" xr:uid="{00000000-0005-0000-0000-00003702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24" xfId="38162" xr:uid="{00000000-0005-0000-0000-00003402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2 8" xfId="38166" xr:uid="{00000000-0005-0000-0000-00003902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3 9" xfId="38165" xr:uid="{00000000-0005-0000-0000-00003802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13" xfId="38167" xr:uid="{00000000-0005-0000-0000-00003A02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11" xfId="38168" xr:uid="{00000000-0005-0000-0000-00004302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12" xfId="38170" xr:uid="{00000000-0005-0000-0000-00004502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15" xfId="38171" xr:uid="{00000000-0005-0000-0000-00004602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12" xfId="38172" xr:uid="{00000000-0005-0000-0000-00004702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24" xfId="38169" xr:uid="{00000000-0005-0000-0000-00004402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2 8" xfId="38174" xr:uid="{00000000-0005-0000-0000-00004902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3 9" xfId="38173" xr:uid="{00000000-0005-0000-0000-00004802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13" xfId="38175" xr:uid="{00000000-0005-0000-0000-00004A02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13" xfId="38176" xr:uid="{00000000-0005-0000-0000-00004B02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12" xfId="38177" xr:uid="{00000000-0005-0000-0000-00004C02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13" xfId="38178" xr:uid="{00000000-0005-0000-0000-00004D02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12" xfId="38179" xr:uid="{00000000-0005-0000-0000-00004E02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13" xfId="38180" xr:uid="{00000000-0005-0000-0000-00004F02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12" xfId="38181" xr:uid="{00000000-0005-0000-0000-00005002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13" xfId="38182" xr:uid="{00000000-0005-0000-0000-000051020000}"/>
    <cellStyle name="SAPBEXexcBad9 8 2" xfId="649" xr:uid="{00000000-0005-0000-0000-000024200000}"/>
    <cellStyle name="SAPBEXexcBad9 8 2 10" xfId="38183" xr:uid="{00000000-0005-0000-0000-00005202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11" xfId="38184" xr:uid="{00000000-0005-0000-0000-00005302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15" xfId="38186" xr:uid="{00000000-0005-0000-0000-00005702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12" xfId="38187" xr:uid="{00000000-0005-0000-0000-00005802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24" xfId="38185" xr:uid="{00000000-0005-0000-0000-00005502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2 8" xfId="38189" xr:uid="{00000000-0005-0000-0000-00005A02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3 9" xfId="38188" xr:uid="{00000000-0005-0000-0000-00005902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13" xfId="38190" xr:uid="{00000000-0005-0000-0000-00005B0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11" xfId="38191" xr:uid="{00000000-0005-0000-0000-00006402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15" xfId="38193" xr:uid="{00000000-0005-0000-0000-00006702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12" xfId="38194" xr:uid="{00000000-0005-0000-0000-00006802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24" xfId="38192" xr:uid="{00000000-0005-0000-0000-00006502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2 8" xfId="38196" xr:uid="{00000000-0005-0000-0000-00006A02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3 9" xfId="38195" xr:uid="{00000000-0005-0000-0000-00006902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13" xfId="38197" xr:uid="{00000000-0005-0000-0000-00006B02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11" xfId="38198" xr:uid="{00000000-0005-0000-0000-00007402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15" xfId="38200" xr:uid="{00000000-0005-0000-0000-00007702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12" xfId="38201" xr:uid="{00000000-0005-0000-0000-00007802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24" xfId="38199" xr:uid="{00000000-0005-0000-0000-00007502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2 8" xfId="38203" xr:uid="{00000000-0005-0000-0000-00007A02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3 9" xfId="38202" xr:uid="{00000000-0005-0000-0000-00007902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13" xfId="38204" xr:uid="{00000000-0005-0000-0000-00007B02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11" xfId="38205" xr:uid="{00000000-0005-0000-0000-00008402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15" xfId="38207" xr:uid="{00000000-0005-0000-0000-00008802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12" xfId="38208" xr:uid="{00000000-0005-0000-0000-00008902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24" xfId="38206" xr:uid="{00000000-0005-0000-0000-00008602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2 8" xfId="38210" xr:uid="{00000000-0005-0000-0000-00008B02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3 9" xfId="38209" xr:uid="{00000000-0005-0000-0000-00008A02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13" xfId="38211" xr:uid="{00000000-0005-0000-0000-00008C02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11" xfId="38212" xr:uid="{00000000-0005-0000-0000-00009502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15" xfId="38214" xr:uid="{00000000-0005-0000-0000-00009802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12" xfId="38215" xr:uid="{00000000-0005-0000-0000-00009902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24" xfId="38213" xr:uid="{00000000-0005-0000-0000-00009602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2 8" xfId="38217" xr:uid="{00000000-0005-0000-0000-00009B02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3 9" xfId="38216" xr:uid="{00000000-0005-0000-0000-00009A02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13" xfId="38218" xr:uid="{00000000-0005-0000-0000-00009C02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11" xfId="38219" xr:uid="{00000000-0005-0000-0000-0000A502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15" xfId="38221" xr:uid="{00000000-0005-0000-0000-0000A802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12" xfId="38222" xr:uid="{00000000-0005-0000-0000-0000A902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24" xfId="38220" xr:uid="{00000000-0005-0000-0000-0000A602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2 8" xfId="38224" xr:uid="{00000000-0005-0000-0000-0000AB02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3 9" xfId="38223" xr:uid="{00000000-0005-0000-0000-0000AA02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13" xfId="38225" xr:uid="{00000000-0005-0000-0000-0000AC02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11" xfId="38226" xr:uid="{00000000-0005-0000-0000-0000B50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16" xfId="38227" xr:uid="{00000000-0005-0000-0000-0000B70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13" xfId="38228" xr:uid="{00000000-0005-0000-0000-0000B80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3 8" xfId="38229" xr:uid="{00000000-0005-0000-0000-0000B9020000}"/>
    <cellStyle name="SAPBEXfilterDrill 4" xfId="744" xr:uid="{00000000-0005-0000-0000-000073320000}"/>
    <cellStyle name="SAPBEXfilterDrill 4 10" xfId="37983" xr:uid="{00000000-0005-0000-0000-000074320000}"/>
    <cellStyle name="SAPBEXfilterDrill 4 11" xfId="38230" xr:uid="{00000000-0005-0000-0000-0000BA020000}"/>
    <cellStyle name="SAPBEXfilterDrill 4 2" xfId="745" xr:uid="{00000000-0005-0000-0000-000075320000}"/>
    <cellStyle name="SAPBEXfilterDrill 4 2 10" xfId="38231" xr:uid="{00000000-0005-0000-0000-0000BB0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11" xfId="38232" xr:uid="{00000000-0005-0000-0000-0000BC020000}"/>
    <cellStyle name="SAPBEXfilterDrill 5 2" xfId="747" xr:uid="{00000000-0005-0000-0000-000089320000}"/>
    <cellStyle name="SAPBEXfilterDrill 5 2 10" xfId="38233" xr:uid="{00000000-0005-0000-0000-0000BD0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11" xfId="38234" xr:uid="{00000000-0005-0000-0000-0000BE020000}"/>
    <cellStyle name="SAPBEXfilterDrill 6 2" xfId="749" xr:uid="{00000000-0005-0000-0000-00009D320000}"/>
    <cellStyle name="SAPBEXfilterDrill 6 2 10" xfId="38235" xr:uid="{00000000-0005-0000-0000-0000BF0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11" xfId="38236" xr:uid="{00000000-0005-0000-0000-0000C0020000}"/>
    <cellStyle name="SAPBEXfilterDrill 7 2" xfId="751" xr:uid="{00000000-0005-0000-0000-0000B1320000}"/>
    <cellStyle name="SAPBEXfilterDrill 7 2 10" xfId="38237" xr:uid="{00000000-0005-0000-0000-0000C10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8 8" xfId="38238" xr:uid="{00000000-0005-0000-0000-0000C2020000}"/>
    <cellStyle name="SAPBEXfilterDrill 9" xfId="753" xr:uid="{00000000-0005-0000-0000-0000CA320000}"/>
    <cellStyle name="SAPBEXfilterDrill 9 10" xfId="38239" xr:uid="{00000000-0005-0000-0000-0000C30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10" xfId="38240" xr:uid="{00000000-0005-0000-0000-0000CB02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10" xfId="38241" xr:uid="{00000000-0005-0000-0000-0000D202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15" xfId="38243" xr:uid="{00000000-0005-0000-0000-0000D502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24" xfId="38242" xr:uid="{00000000-0005-0000-0000-0000D3020000}"/>
    <cellStyle name="SAPBEXformats 3" xfId="771" xr:uid="{00000000-0005-0000-0000-000096340000}"/>
    <cellStyle name="SAPBEXformats 3 10" xfId="38244" xr:uid="{00000000-0005-0000-0000-0000D602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2 8" xfId="38245" xr:uid="{00000000-0005-0000-0000-0000D702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14" xfId="38246" xr:uid="{00000000-0005-0000-0000-0000D802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12" xfId="38247" xr:uid="{00000000-0005-0000-0000-0000D902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10" xfId="38248" xr:uid="{00000000-0005-0000-0000-0000DA02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11" xfId="38249" xr:uid="{00000000-0005-0000-0000-0000E302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10" xfId="38250" xr:uid="{00000000-0005-0000-0000-0000E702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14" xfId="38251" xr:uid="{00000000-0005-0000-0000-0000E8020000}"/>
    <cellStyle name="SAPBEXheaderItem 2 2" xfId="788" xr:uid="{00000000-0005-0000-0000-000077360000}"/>
    <cellStyle name="SAPBEXheaderItem 2 2 10" xfId="38252" xr:uid="{00000000-0005-0000-0000-0000E902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11" xfId="38253" xr:uid="{00000000-0005-0000-0000-0000EC020000}"/>
    <cellStyle name="SAPBEXheaderItem 4 2" xfId="792" xr:uid="{00000000-0005-0000-0000-0000A5360000}"/>
    <cellStyle name="SAPBEXheaderItem 4 2 10" xfId="38254" xr:uid="{00000000-0005-0000-0000-0000ED02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10" xfId="38255" xr:uid="{00000000-0005-0000-0000-0000EE02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11" xfId="38256" xr:uid="{00000000-0005-0000-0000-0000EF020000}"/>
    <cellStyle name="SAPBEXheaderItem 6 2" xfId="795" xr:uid="{00000000-0005-0000-0000-0000D2360000}"/>
    <cellStyle name="SAPBEXheaderItem 6 2 10" xfId="38257" xr:uid="{00000000-0005-0000-0000-0000F002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11" xfId="38258" xr:uid="{00000000-0005-0000-0000-0000F1020000}"/>
    <cellStyle name="SAPBEXheaderItem 7 2" xfId="797" xr:uid="{00000000-0005-0000-0000-0000E6360000}"/>
    <cellStyle name="SAPBEXheaderItem 7 2 10" xfId="38259" xr:uid="{00000000-0005-0000-0000-0000F202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11" xfId="38260" xr:uid="{00000000-0005-0000-0000-0000F3020000}"/>
    <cellStyle name="SAPBEXheaderItem 8 2" xfId="799" xr:uid="{00000000-0005-0000-0000-0000FA360000}"/>
    <cellStyle name="SAPBEXheaderItem 8 2 10" xfId="38261" xr:uid="{00000000-0005-0000-0000-0000F402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11" xfId="38262" xr:uid="{00000000-0005-0000-0000-0000F5020000}"/>
    <cellStyle name="SAPBEXheaderItem 9 2" xfId="801" xr:uid="{00000000-0005-0000-0000-00000E370000}"/>
    <cellStyle name="SAPBEXheaderItem 9 2 10" xfId="38263" xr:uid="{00000000-0005-0000-0000-0000F602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10" xfId="38264" xr:uid="{00000000-0005-0000-0000-0000F902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14" xfId="38265" xr:uid="{00000000-0005-0000-0000-0000FA020000}"/>
    <cellStyle name="SAPBEXheaderText 2 2" xfId="805" xr:uid="{00000000-0005-0000-0000-00003B370000}"/>
    <cellStyle name="SAPBEXheaderText 2 2 10" xfId="38266" xr:uid="{00000000-0005-0000-0000-0000FB02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11" xfId="38267" xr:uid="{00000000-0005-0000-0000-0000FE020000}"/>
    <cellStyle name="SAPBEXheaderText 4 2" xfId="809" xr:uid="{00000000-0005-0000-0000-000069370000}"/>
    <cellStyle name="SAPBEXheaderText 4 2 10" xfId="38268" xr:uid="{00000000-0005-0000-0000-0000FF02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10" xfId="38269" xr:uid="{00000000-0005-0000-0000-00000003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11" xfId="38270" xr:uid="{00000000-0005-0000-0000-000001030000}"/>
    <cellStyle name="SAPBEXheaderText 6 2" xfId="812" xr:uid="{00000000-0005-0000-0000-000096370000}"/>
    <cellStyle name="SAPBEXheaderText 6 2 10" xfId="38271" xr:uid="{00000000-0005-0000-0000-00000203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11" xfId="38272" xr:uid="{00000000-0005-0000-0000-000003030000}"/>
    <cellStyle name="SAPBEXheaderText 7 2" xfId="814" xr:uid="{00000000-0005-0000-0000-0000AA370000}"/>
    <cellStyle name="SAPBEXheaderText 7 2 10" xfId="38273" xr:uid="{00000000-0005-0000-0000-00000403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11" xfId="38274" xr:uid="{00000000-0005-0000-0000-000005030000}"/>
    <cellStyle name="SAPBEXheaderText 8 2" xfId="816" xr:uid="{00000000-0005-0000-0000-0000BE370000}"/>
    <cellStyle name="SAPBEXheaderText 8 2 10" xfId="38275" xr:uid="{00000000-0005-0000-0000-00000603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11" xfId="38276" xr:uid="{00000000-0005-0000-0000-000007030000}"/>
    <cellStyle name="SAPBEXheaderText 9 2" xfId="818" xr:uid="{00000000-0005-0000-0000-0000D2370000}"/>
    <cellStyle name="SAPBEXheaderText 9 2 10" xfId="38277" xr:uid="{00000000-0005-0000-0000-00000803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27" xfId="38279" xr:uid="{00000000-0005-0000-0000-00000A03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27" xfId="38278" xr:uid="{00000000-0005-0000-0000-00000903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24" xfId="38280" xr:uid="{00000000-0005-0000-0000-00000B03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13" xfId="38282" xr:uid="{00000000-0005-0000-0000-00000D03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27" xfId="38281" xr:uid="{00000000-0005-0000-0000-00000C03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13" xfId="38283" xr:uid="{00000000-0005-0000-0000-00000E03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27" xfId="38285" xr:uid="{00000000-0005-0000-0000-00001903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27" xfId="38284" xr:uid="{00000000-0005-0000-0000-00001803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26" xfId="38286" xr:uid="{00000000-0005-0000-0000-00001A03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13" xfId="38288" xr:uid="{00000000-0005-0000-0000-00001C03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27" xfId="38287" xr:uid="{00000000-0005-0000-0000-00001B03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13" xfId="38289" xr:uid="{00000000-0005-0000-0000-00001D03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12" xfId="38291" xr:uid="{00000000-0005-0000-0000-00001F03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27" xfId="38290" xr:uid="{00000000-0005-0000-0000-00001E03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12" xfId="38292" xr:uid="{00000000-0005-0000-0000-00002003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12" xfId="38293" xr:uid="{00000000-0005-0000-0000-00002103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27" xfId="38295" xr:uid="{00000000-0005-0000-0000-00002303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27" xfId="38294" xr:uid="{00000000-0005-0000-0000-00002203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24" xfId="38296" xr:uid="{00000000-0005-0000-0000-00002403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13" xfId="38298" xr:uid="{00000000-0005-0000-0000-00002603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27" xfId="38297" xr:uid="{00000000-0005-0000-0000-00002503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13" xfId="38299" xr:uid="{00000000-0005-0000-0000-00002703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27" xfId="38301" xr:uid="{00000000-0005-0000-0000-00003203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26" xfId="38300" xr:uid="{00000000-0005-0000-0000-00003103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25" xfId="38302" xr:uid="{00000000-0005-0000-0000-00003303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12" xfId="38304" xr:uid="{00000000-0005-0000-0000-00003503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26" xfId="38303" xr:uid="{00000000-0005-0000-0000-00003403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12" xfId="38305" xr:uid="{00000000-0005-0000-0000-00003603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11" xfId="38307" xr:uid="{00000000-0005-0000-0000-00003803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26" xfId="38306" xr:uid="{00000000-0005-0000-0000-00003703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12" xfId="38308" xr:uid="{00000000-0005-0000-0000-00003903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11" xfId="38309" xr:uid="{00000000-0005-0000-0000-00003A03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26" xfId="38311" xr:uid="{00000000-0005-0000-0000-00003C0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26" xfId="38310" xr:uid="{00000000-0005-0000-0000-00003B03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23" xfId="38312" xr:uid="{00000000-0005-0000-0000-00003D03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12" xfId="38314" xr:uid="{00000000-0005-0000-0000-00003F03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26" xfId="38313" xr:uid="{00000000-0005-0000-0000-00003E03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12" xfId="38315" xr:uid="{00000000-0005-0000-0000-00004003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26" xfId="38317" xr:uid="{00000000-0005-0000-0000-00004B03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26" xfId="38316" xr:uid="{00000000-0005-0000-0000-00004A03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25" xfId="38318" xr:uid="{00000000-0005-0000-0000-00004C03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12" xfId="38320" xr:uid="{00000000-0005-0000-0000-00004E03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26" xfId="38319" xr:uid="{00000000-0005-0000-0000-00004D03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12" xfId="38321" xr:uid="{00000000-0005-0000-0000-00004F03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11" xfId="38323" xr:uid="{00000000-0005-0000-0000-00005103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26" xfId="38322" xr:uid="{00000000-0005-0000-0000-00005003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12" xfId="38324" xr:uid="{00000000-0005-0000-0000-00005203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11" xfId="38325" xr:uid="{00000000-0005-0000-0000-00005303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26" xfId="38327" xr:uid="{00000000-0005-0000-0000-0000550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26" xfId="38326" xr:uid="{00000000-0005-0000-0000-00005403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23" xfId="38328" xr:uid="{00000000-0005-0000-0000-00005603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12" xfId="38330" xr:uid="{00000000-0005-0000-0000-00005803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26" xfId="38329" xr:uid="{00000000-0005-0000-0000-00005703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12" xfId="38331" xr:uid="{00000000-0005-0000-0000-00005903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26" xfId="38333" xr:uid="{00000000-0005-0000-0000-00006403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26" xfId="38332" xr:uid="{00000000-0005-0000-0000-00006303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25" xfId="38334" xr:uid="{00000000-0005-0000-0000-00006503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12" xfId="38336" xr:uid="{00000000-0005-0000-0000-00006703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26" xfId="38335" xr:uid="{00000000-0005-0000-0000-00006603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12" xfId="38337" xr:uid="{00000000-0005-0000-0000-00006803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11" xfId="38339" xr:uid="{00000000-0005-0000-0000-00006A03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26" xfId="38338" xr:uid="{00000000-0005-0000-0000-00006903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12" xfId="38340" xr:uid="{00000000-0005-0000-0000-00006B03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11" xfId="38341" xr:uid="{00000000-0005-0000-0000-00006C03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18" xfId="38342" xr:uid="{00000000-0005-0000-0000-00006D03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2 8" xfId="38344" xr:uid="{00000000-0005-0000-0000-00007003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3 9" xfId="38343" xr:uid="{00000000-0005-0000-0000-00006F03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4 9" xfId="38345" xr:uid="{00000000-0005-0000-0000-00007103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5 8" xfId="38346" xr:uid="{00000000-0005-0000-0000-00007203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ItemHeader 8" xfId="38347" xr:uid="{00000000-0005-0000-0000-00007303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14" xfId="38349" xr:uid="{00000000-0005-0000-0000-000075030000}"/>
    <cellStyle name="SAPBEXresData 2 2" xfId="937" xr:uid="{00000000-0005-0000-0000-000085820000}"/>
    <cellStyle name="SAPBEXresData 2 2 10" xfId="38350" xr:uid="{00000000-0005-0000-0000-00007603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23" xfId="38348" xr:uid="{00000000-0005-0000-0000-000074030000}"/>
    <cellStyle name="SAPBEXresData 3" xfId="938" xr:uid="{00000000-0005-0000-0000-0000C0820000}"/>
    <cellStyle name="SAPBEXresData 3 10" xfId="5114" xr:uid="{00000000-0005-0000-0000-0000C1820000}"/>
    <cellStyle name="SAPBEXresData 3 11" xfId="38351" xr:uid="{00000000-0005-0000-0000-00007703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2 9" xfId="38352" xr:uid="{00000000-0005-0000-0000-00007803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12" xfId="38353" xr:uid="{00000000-0005-0000-0000-00007903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11" xfId="38354" xr:uid="{00000000-0005-0000-0000-00007A0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13" xfId="38356" xr:uid="{00000000-0005-0000-0000-00007C03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23" xfId="38355" xr:uid="{00000000-0005-0000-0000-00007B030000}"/>
    <cellStyle name="SAPBEXresDataEmph 3" xfId="943" xr:uid="{00000000-0005-0000-0000-000089840000}"/>
    <cellStyle name="SAPBEXresDataEmph 3 10" xfId="38357" xr:uid="{00000000-0005-0000-0000-00007D03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11" xfId="38358" xr:uid="{00000000-0005-0000-0000-00007E03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14" xfId="38360" xr:uid="{00000000-0005-0000-0000-000080030000}"/>
    <cellStyle name="SAPBEXresItem 2 2" xfId="946" xr:uid="{00000000-0005-0000-0000-00000D860000}"/>
    <cellStyle name="SAPBEXresItem 2 2 10" xfId="38361" xr:uid="{00000000-0005-0000-0000-00008103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23" xfId="38359" xr:uid="{00000000-0005-0000-0000-00007F030000}"/>
    <cellStyle name="SAPBEXresItem 3" xfId="947" xr:uid="{00000000-0005-0000-0000-000048860000}"/>
    <cellStyle name="SAPBEXresItem 3 10" xfId="5123" xr:uid="{00000000-0005-0000-0000-000049860000}"/>
    <cellStyle name="SAPBEXresItem 3 11" xfId="38362" xr:uid="{00000000-0005-0000-0000-00008203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2 9" xfId="38363" xr:uid="{00000000-0005-0000-0000-00008303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12" xfId="38364" xr:uid="{00000000-0005-0000-0000-00008403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11" xfId="38365" xr:uid="{00000000-0005-0000-0000-00008503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14" xfId="38367" xr:uid="{00000000-0005-0000-0000-000087030000}"/>
    <cellStyle name="SAPBEXresItemX 2 2" xfId="952" xr:uid="{00000000-0005-0000-0000-0000CF870000}"/>
    <cellStyle name="SAPBEXresItemX 2 2 10" xfId="38368" xr:uid="{00000000-0005-0000-0000-00008803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22" xfId="38366" xr:uid="{00000000-0005-0000-0000-000086030000}"/>
    <cellStyle name="SAPBEXresItemX 3" xfId="953" xr:uid="{00000000-0005-0000-0000-000008880000}"/>
    <cellStyle name="SAPBEXresItemX 3 10" xfId="5129" xr:uid="{00000000-0005-0000-0000-000009880000}"/>
    <cellStyle name="SAPBEXresItemX 3 11" xfId="38369" xr:uid="{00000000-0005-0000-0000-00008903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2 9" xfId="38370" xr:uid="{00000000-0005-0000-0000-00008A03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12" xfId="38371" xr:uid="{00000000-0005-0000-0000-00008B03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11" xfId="38373" xr:uid="{00000000-0005-0000-0000-00008D03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23" xfId="38372" xr:uid="{00000000-0005-0000-0000-00008C03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13" xfId="38374" xr:uid="{00000000-0005-0000-0000-000093030000}"/>
    <cellStyle name="SAPBEXstdData 3 2" xfId="963" xr:uid="{00000000-0005-0000-0000-0000078A0000}"/>
    <cellStyle name="SAPBEXstdData 3 2 10" xfId="38375" xr:uid="{00000000-0005-0000-0000-00009403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12" xfId="38376" xr:uid="{00000000-0005-0000-0000-00009503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2 9" xfId="38377" xr:uid="{00000000-0005-0000-0000-00009603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12" xfId="38378" xr:uid="{00000000-0005-0000-0000-00009903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14" xfId="38380" xr:uid="{00000000-0005-0000-0000-0000A203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23" xfId="38379" xr:uid="{00000000-0005-0000-0000-0000A1030000}"/>
    <cellStyle name="SAPBEXstdDataEmph 3" xfId="976" xr:uid="{00000000-0005-0000-0000-00003E8C0000}"/>
    <cellStyle name="SAPBEXstdDataEmph 3 10" xfId="22504" xr:uid="{00000000-0005-0000-0000-00003F8C0000}"/>
    <cellStyle name="SAPBEXstdDataEmph 3 11" xfId="38381" xr:uid="{00000000-0005-0000-0000-0000A303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11" xfId="38382" xr:uid="{00000000-0005-0000-0000-0000A403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11" xfId="38384" xr:uid="{00000000-0005-0000-0000-0000A603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22" xfId="38383" xr:uid="{00000000-0005-0000-0000-0000A503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15" xfId="38385" xr:uid="{00000000-0005-0000-0000-0000AC030000}"/>
    <cellStyle name="SAPBEXstdItem 3 2" xfId="985" xr:uid="{00000000-0005-0000-0000-00003E8E0000}"/>
    <cellStyle name="SAPBEXstdItem 3 2 10" xfId="38386" xr:uid="{00000000-0005-0000-0000-0000AD03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13" xfId="38387" xr:uid="{00000000-0005-0000-0000-0000AE03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2 9" xfId="38388" xr:uid="{00000000-0005-0000-0000-0000AF03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14" xfId="38389" xr:uid="{00000000-0005-0000-0000-0000B2030000}"/>
    <cellStyle name="SAPBEXstdItem 6 2" xfId="991" xr:uid="{00000000-0005-0000-0000-0000E38E0000}"/>
    <cellStyle name="SAPBEXstdItem 6 2 10" xfId="38390" xr:uid="{00000000-0005-0000-0000-0000B303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10" xfId="38391" xr:uid="{00000000-0005-0000-0000-0000B403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13" xfId="38393" xr:uid="{00000000-0005-0000-0000-0000BD03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22" xfId="38392" xr:uid="{00000000-0005-0000-0000-0000BC030000}"/>
    <cellStyle name="SAPBEXstdItemX 3" xfId="1001" xr:uid="{00000000-0005-0000-0000-00008C900000}"/>
    <cellStyle name="SAPBEXstdItemX 3 10" xfId="5153" xr:uid="{00000000-0005-0000-0000-00008D900000}"/>
    <cellStyle name="SAPBEXstdItemX 3 11" xfId="38394" xr:uid="{00000000-0005-0000-0000-0000BE03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2 9" xfId="38395" xr:uid="{00000000-0005-0000-0000-0000BF03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14" xfId="38396" xr:uid="{00000000-0005-0000-0000-0000C0030000}"/>
    <cellStyle name="SAPBEXstdItemX 4 2" xfId="1004" xr:uid="{00000000-0005-0000-0000-0000BC900000}"/>
    <cellStyle name="SAPBEXstdItemX 4 2 10" xfId="38397" xr:uid="{00000000-0005-0000-0000-0000C103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10" xfId="38398" xr:uid="{00000000-0005-0000-0000-0000C203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19" xfId="38399" xr:uid="{00000000-0005-0000-0000-0000C703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5 9" xfId="38400" xr:uid="{00000000-0005-0000-0000-0000CC03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14" xfId="38402" xr:uid="{00000000-0005-0000-0000-0000D903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23" xfId="38401" xr:uid="{00000000-0005-0000-0000-0000D8030000}"/>
    <cellStyle name="SAPBEXundefined 3" xfId="1023" xr:uid="{00000000-0005-0000-0000-0000FD920000}"/>
    <cellStyle name="SAPBEXundefined 3 10" xfId="22517" xr:uid="{00000000-0005-0000-0000-0000FE920000}"/>
    <cellStyle name="SAPBEXundefined 3 11" xfId="38403" xr:uid="{00000000-0005-0000-0000-0000DA03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11" xfId="38404" xr:uid="{00000000-0005-0000-0000-0000DB0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13" xfId="38405" xr:uid="{00000000-0005-0000-0000-0000E503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0"/>
  <tableStyles count="1" defaultTableStyle="TableStyleMedium2" defaultPivotStyle="PivotStyleLight16">
    <tableStyle name="Invisible" pivot="0" table="0" count="0" xr9:uid="{3CB00735-B26B-44E4-BF5A-AD544F8D7BEB}"/>
  </tableStyles>
  <colors>
    <mruColors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93</xdr:row>
      <xdr:rowOff>9525</xdr:rowOff>
    </xdr:from>
    <xdr:to>
      <xdr:col>1</xdr:col>
      <xdr:colOff>3581077</xdr:colOff>
      <xdr:row>93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B220BD9-4D7D-408F-8ACA-2631763046D6}"/>
            </a:ext>
          </a:extLst>
        </xdr:cNvPr>
        <xdr:cNvSpPr>
          <a:spLocks noChangeShapeType="1"/>
        </xdr:cNvSpPr>
      </xdr:nvSpPr>
      <xdr:spPr bwMode="auto">
        <a:xfrm>
          <a:off x="1900239" y="18786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105</xdr:row>
      <xdr:rowOff>-1</xdr:rowOff>
    </xdr:from>
    <xdr:to>
      <xdr:col>2</xdr:col>
      <xdr:colOff>312424</xdr:colOff>
      <xdr:row>105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B7F03FA-FAB8-43AE-9094-623DC121CDC0}"/>
            </a:ext>
          </a:extLst>
        </xdr:cNvPr>
        <xdr:cNvSpPr>
          <a:spLocks noChangeShapeType="1"/>
        </xdr:cNvSpPr>
      </xdr:nvSpPr>
      <xdr:spPr bwMode="auto">
        <a:xfrm>
          <a:off x="1757367" y="21139149"/>
          <a:ext cx="34636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B77E95C-E7B0-46B1-81E7-391B0B6B746F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B5F1ADD-0E16-41CF-894D-A4F8FA1F99C6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308120A-531F-417B-B5C6-B74DC0232A66}"/>
            </a:ext>
          </a:extLst>
        </xdr:cNvPr>
        <xdr:cNvSpPr>
          <a:spLocks noChangeShapeType="1"/>
        </xdr:cNvSpPr>
      </xdr:nvSpPr>
      <xdr:spPr bwMode="auto">
        <a:xfrm>
          <a:off x="1757367" y="30372049"/>
          <a:ext cx="34636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93</xdr:row>
      <xdr:rowOff>9525</xdr:rowOff>
    </xdr:from>
    <xdr:to>
      <xdr:col>1</xdr:col>
      <xdr:colOff>3581077</xdr:colOff>
      <xdr:row>93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BCC5161B-5DF1-46B2-93A0-4CAB39493A74}"/>
            </a:ext>
          </a:extLst>
        </xdr:cNvPr>
        <xdr:cNvSpPr>
          <a:spLocks noChangeShapeType="1"/>
        </xdr:cNvSpPr>
      </xdr:nvSpPr>
      <xdr:spPr bwMode="auto">
        <a:xfrm>
          <a:off x="1900239" y="18786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105</xdr:row>
      <xdr:rowOff>-1</xdr:rowOff>
    </xdr:from>
    <xdr:to>
      <xdr:col>2</xdr:col>
      <xdr:colOff>312424</xdr:colOff>
      <xdr:row>105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D098EC1-5759-440C-B6C6-148AA9E2D859}"/>
            </a:ext>
          </a:extLst>
        </xdr:cNvPr>
        <xdr:cNvSpPr>
          <a:spLocks noChangeShapeType="1"/>
        </xdr:cNvSpPr>
      </xdr:nvSpPr>
      <xdr:spPr bwMode="auto">
        <a:xfrm>
          <a:off x="1757367" y="21139149"/>
          <a:ext cx="34636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F0DE719B-028C-403F-8301-994BC8328CFA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AC6551D4-DBFC-45E5-A124-15203C137D58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B298587D-F64B-451D-A831-CA1107963D4B}"/>
            </a:ext>
          </a:extLst>
        </xdr:cNvPr>
        <xdr:cNvSpPr>
          <a:spLocks noChangeShapeType="1"/>
        </xdr:cNvSpPr>
      </xdr:nvSpPr>
      <xdr:spPr bwMode="auto">
        <a:xfrm>
          <a:off x="1757367" y="30372049"/>
          <a:ext cx="34636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94</xdr:row>
      <xdr:rowOff>9525</xdr:rowOff>
    </xdr:from>
    <xdr:to>
      <xdr:col>1</xdr:col>
      <xdr:colOff>3581077</xdr:colOff>
      <xdr:row>94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DC2C17-3563-49ED-A6A9-50929E779464}"/>
            </a:ext>
          </a:extLst>
        </xdr:cNvPr>
        <xdr:cNvSpPr>
          <a:spLocks noChangeShapeType="1"/>
        </xdr:cNvSpPr>
      </xdr:nvSpPr>
      <xdr:spPr bwMode="auto">
        <a:xfrm>
          <a:off x="1906589" y="187515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106</xdr:row>
      <xdr:rowOff>-1</xdr:rowOff>
    </xdr:from>
    <xdr:to>
      <xdr:col>2</xdr:col>
      <xdr:colOff>312424</xdr:colOff>
      <xdr:row>106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4E1363-266C-4E4D-ABF1-B45037165817}"/>
            </a:ext>
          </a:extLst>
        </xdr:cNvPr>
        <xdr:cNvSpPr>
          <a:spLocks noChangeShapeType="1"/>
        </xdr:cNvSpPr>
      </xdr:nvSpPr>
      <xdr:spPr bwMode="auto">
        <a:xfrm>
          <a:off x="1760542" y="21145499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47E0398-CFCE-4FEE-86F4-CC93AD063156}"/>
            </a:ext>
          </a:extLst>
        </xdr:cNvPr>
        <xdr:cNvSpPr>
          <a:spLocks noChangeShapeType="1"/>
        </xdr:cNvSpPr>
      </xdr:nvSpPr>
      <xdr:spPr bwMode="auto">
        <a:xfrm>
          <a:off x="1906589" y="279146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7781105-785B-4CB3-992F-E214A886F28F}"/>
            </a:ext>
          </a:extLst>
        </xdr:cNvPr>
        <xdr:cNvSpPr>
          <a:spLocks noChangeShapeType="1"/>
        </xdr:cNvSpPr>
      </xdr:nvSpPr>
      <xdr:spPr bwMode="auto">
        <a:xfrm>
          <a:off x="1906589" y="279146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152</xdr:row>
      <xdr:rowOff>-1</xdr:rowOff>
    </xdr:from>
    <xdr:to>
      <xdr:col>2</xdr:col>
      <xdr:colOff>312424</xdr:colOff>
      <xdr:row>152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BC150FE-714C-43FA-8E65-C1F279C1048C}"/>
            </a:ext>
          </a:extLst>
        </xdr:cNvPr>
        <xdr:cNvSpPr>
          <a:spLocks noChangeShapeType="1"/>
        </xdr:cNvSpPr>
      </xdr:nvSpPr>
      <xdr:spPr bwMode="auto">
        <a:xfrm>
          <a:off x="1760542" y="30308549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94</xdr:row>
      <xdr:rowOff>9525</xdr:rowOff>
    </xdr:from>
    <xdr:to>
      <xdr:col>1</xdr:col>
      <xdr:colOff>3581077</xdr:colOff>
      <xdr:row>94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FB7FD532-8D91-43EC-9AF5-A6077E0A6171}"/>
            </a:ext>
          </a:extLst>
        </xdr:cNvPr>
        <xdr:cNvSpPr>
          <a:spLocks noChangeShapeType="1"/>
        </xdr:cNvSpPr>
      </xdr:nvSpPr>
      <xdr:spPr bwMode="auto">
        <a:xfrm>
          <a:off x="1906589" y="187515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106</xdr:row>
      <xdr:rowOff>-1</xdr:rowOff>
    </xdr:from>
    <xdr:to>
      <xdr:col>2</xdr:col>
      <xdr:colOff>312424</xdr:colOff>
      <xdr:row>106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9FC30C18-2A87-42F9-BCF3-C22CC8A16420}"/>
            </a:ext>
          </a:extLst>
        </xdr:cNvPr>
        <xdr:cNvSpPr>
          <a:spLocks noChangeShapeType="1"/>
        </xdr:cNvSpPr>
      </xdr:nvSpPr>
      <xdr:spPr bwMode="auto">
        <a:xfrm>
          <a:off x="1760542" y="21145499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FF23387-018E-48AC-B5B1-17C29540F4C4}"/>
            </a:ext>
          </a:extLst>
        </xdr:cNvPr>
        <xdr:cNvSpPr>
          <a:spLocks noChangeShapeType="1"/>
        </xdr:cNvSpPr>
      </xdr:nvSpPr>
      <xdr:spPr bwMode="auto">
        <a:xfrm>
          <a:off x="1906589" y="279146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F8895645-8171-4283-8EA9-9DB80E0B8128}"/>
            </a:ext>
          </a:extLst>
        </xdr:cNvPr>
        <xdr:cNvSpPr>
          <a:spLocks noChangeShapeType="1"/>
        </xdr:cNvSpPr>
      </xdr:nvSpPr>
      <xdr:spPr bwMode="auto">
        <a:xfrm>
          <a:off x="1906589" y="2791460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152</xdr:row>
      <xdr:rowOff>-1</xdr:rowOff>
    </xdr:from>
    <xdr:to>
      <xdr:col>2</xdr:col>
      <xdr:colOff>312424</xdr:colOff>
      <xdr:row>152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B6B777EA-68F7-4E5D-BB63-9CE627E0A474}"/>
            </a:ext>
          </a:extLst>
        </xdr:cNvPr>
        <xdr:cNvSpPr>
          <a:spLocks noChangeShapeType="1"/>
        </xdr:cNvSpPr>
      </xdr:nvSpPr>
      <xdr:spPr bwMode="auto">
        <a:xfrm>
          <a:off x="1760542" y="30308549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8C50-6351-4A46-8CA8-45C677CFD29F}">
  <sheetPr>
    <pageSetUpPr fitToPage="1"/>
  </sheetPr>
  <dimension ref="A2:H41"/>
  <sheetViews>
    <sheetView tabSelected="1" zoomScale="80" zoomScaleNormal="80" workbookViewId="0"/>
  </sheetViews>
  <sheetFormatPr defaultColWidth="9.1796875" defaultRowHeight="14.5"/>
  <cols>
    <col min="1" max="1" width="4.81640625" style="607" bestFit="1" customWidth="1"/>
    <col min="2" max="2" width="76.6328125" style="607" customWidth="1"/>
    <col min="3" max="3" width="1.6328125" style="607" customWidth="1"/>
    <col min="4" max="4" width="20.81640625" style="607" customWidth="1"/>
    <col min="5" max="5" width="1.54296875" style="607" customWidth="1"/>
    <col min="6" max="6" width="40.6328125" style="607" customWidth="1"/>
    <col min="7" max="7" width="4.81640625" style="607" customWidth="1"/>
    <col min="8" max="16384" width="9.1796875" style="607"/>
  </cols>
  <sheetData>
    <row r="2" spans="1:8" ht="17.5">
      <c r="B2" s="955" t="s">
        <v>56</v>
      </c>
      <c r="C2" s="955"/>
      <c r="D2" s="955"/>
      <c r="E2" s="955"/>
      <c r="F2" s="955"/>
    </row>
    <row r="3" spans="1:8" ht="17.5">
      <c r="B3" s="608" t="s">
        <v>419</v>
      </c>
      <c r="C3" s="609"/>
      <c r="D3" s="610"/>
      <c r="E3" s="610"/>
      <c r="F3" s="610"/>
    </row>
    <row r="4" spans="1:8" ht="17.5">
      <c r="B4" s="956" t="s">
        <v>736</v>
      </c>
      <c r="C4" s="956"/>
      <c r="D4" s="956"/>
      <c r="E4" s="956"/>
      <c r="F4" s="956"/>
    </row>
    <row r="5" spans="1:8" ht="17.5">
      <c r="B5" s="611" t="s">
        <v>420</v>
      </c>
      <c r="C5" s="609"/>
      <c r="D5" s="609"/>
      <c r="E5" s="609"/>
      <c r="F5" s="609"/>
    </row>
    <row r="6" spans="1:8" ht="15.5">
      <c r="B6" s="957" t="s">
        <v>1</v>
      </c>
      <c r="C6" s="957"/>
      <c r="D6" s="957"/>
      <c r="E6" s="957"/>
      <c r="F6" s="957"/>
      <c r="G6" s="612"/>
      <c r="H6" s="612"/>
    </row>
    <row r="7" spans="1:8" ht="15.5">
      <c r="B7" s="65"/>
      <c r="C7" s="65"/>
      <c r="D7" s="613"/>
      <c r="E7" s="614"/>
      <c r="F7" s="65"/>
      <c r="G7" s="65"/>
    </row>
    <row r="8" spans="1:8" ht="15.5">
      <c r="A8" s="2" t="s">
        <v>2</v>
      </c>
      <c r="G8" s="2" t="s">
        <v>2</v>
      </c>
    </row>
    <row r="9" spans="1:8" ht="15.5">
      <c r="A9" s="615" t="s">
        <v>3</v>
      </c>
      <c r="B9" s="67" t="s">
        <v>113</v>
      </c>
      <c r="C9" s="67"/>
      <c r="D9" s="67" t="s">
        <v>32</v>
      </c>
      <c r="E9" s="69"/>
      <c r="F9" s="67" t="s">
        <v>5</v>
      </c>
      <c r="G9" s="615" t="s">
        <v>3</v>
      </c>
    </row>
    <row r="10" spans="1:8" ht="15.5">
      <c r="A10" s="2"/>
      <c r="B10" s="65"/>
      <c r="C10" s="65"/>
      <c r="D10" s="66"/>
      <c r="E10" s="66"/>
      <c r="F10" s="66"/>
      <c r="G10" s="2"/>
    </row>
    <row r="11" spans="1:8" ht="15.5">
      <c r="A11" s="2">
        <v>1</v>
      </c>
      <c r="B11" s="614" t="s">
        <v>707</v>
      </c>
      <c r="C11" s="614"/>
      <c r="D11" s="66"/>
      <c r="E11" s="66"/>
      <c r="F11" s="66"/>
      <c r="G11" s="2">
        <v>1</v>
      </c>
    </row>
    <row r="12" spans="1:8" ht="15.5">
      <c r="A12" s="2">
        <f>A11+1</f>
        <v>2</v>
      </c>
      <c r="B12" s="614"/>
      <c r="C12" s="614"/>
      <c r="D12" s="66"/>
      <c r="E12" s="66"/>
      <c r="F12" s="66"/>
      <c r="G12" s="2">
        <f>G11+1</f>
        <v>2</v>
      </c>
    </row>
    <row r="13" spans="1:8" ht="15.5">
      <c r="A13" s="2">
        <f t="shared" ref="A13:A21" si="0">A12+1</f>
        <v>3</v>
      </c>
      <c r="B13" s="616" t="s">
        <v>421</v>
      </c>
      <c r="C13" s="617"/>
      <c r="D13" s="934">
        <f>'Pg2 App X C8 Comparison'!G27</f>
        <v>2.1407479220442838</v>
      </c>
      <c r="E13" s="618"/>
      <c r="F13" s="66" t="s">
        <v>422</v>
      </c>
      <c r="G13" s="2">
        <f t="shared" ref="G13:G21" si="1">G12+1</f>
        <v>3</v>
      </c>
    </row>
    <row r="14" spans="1:8" ht="15.5">
      <c r="A14" s="2">
        <f t="shared" si="0"/>
        <v>4</v>
      </c>
      <c r="B14" s="65"/>
      <c r="C14" s="66"/>
      <c r="D14" s="618"/>
      <c r="E14" s="618"/>
      <c r="F14" s="66"/>
      <c r="G14" s="2">
        <f t="shared" si="1"/>
        <v>4</v>
      </c>
    </row>
    <row r="15" spans="1:8" ht="15.5">
      <c r="A15" s="2">
        <f t="shared" si="0"/>
        <v>5</v>
      </c>
      <c r="B15" s="65" t="s">
        <v>423</v>
      </c>
      <c r="C15" s="66"/>
      <c r="D15" s="935">
        <f>'Pg15 App X C8 Int Calc'!G102</f>
        <v>0.89524089178109212</v>
      </c>
      <c r="E15" s="619"/>
      <c r="F15" s="66" t="s">
        <v>735</v>
      </c>
      <c r="G15" s="2">
        <f t="shared" si="1"/>
        <v>5</v>
      </c>
    </row>
    <row r="16" spans="1:8" ht="15.5">
      <c r="A16" s="2">
        <f t="shared" si="0"/>
        <v>6</v>
      </c>
      <c r="B16" s="65"/>
      <c r="C16" s="66"/>
      <c r="D16" s="620"/>
      <c r="E16" s="620"/>
      <c r="F16" s="66"/>
      <c r="G16" s="2">
        <f t="shared" si="1"/>
        <v>6</v>
      </c>
    </row>
    <row r="17" spans="1:7" ht="15.5">
      <c r="A17" s="2">
        <f t="shared" si="0"/>
        <v>7</v>
      </c>
      <c r="B17" s="621" t="s">
        <v>424</v>
      </c>
      <c r="C17" s="69"/>
      <c r="D17" s="936">
        <f>D13+D15</f>
        <v>3.0359888138253757</v>
      </c>
      <c r="E17" s="618"/>
      <c r="F17" s="66" t="s">
        <v>425</v>
      </c>
      <c r="G17" s="2">
        <f t="shared" si="1"/>
        <v>7</v>
      </c>
    </row>
    <row r="18" spans="1:7" ht="15.5">
      <c r="A18" s="2">
        <f t="shared" si="0"/>
        <v>8</v>
      </c>
      <c r="B18" s="65"/>
      <c r="C18" s="66"/>
      <c r="D18" s="100"/>
      <c r="E18" s="65"/>
      <c r="F18" s="65"/>
      <c r="G18" s="2">
        <f t="shared" si="1"/>
        <v>8</v>
      </c>
    </row>
    <row r="19" spans="1:7" ht="15.5">
      <c r="A19" s="2">
        <f t="shared" si="0"/>
        <v>9</v>
      </c>
      <c r="B19" s="80" t="s">
        <v>426</v>
      </c>
      <c r="C19" s="66"/>
      <c r="D19" s="622">
        <v>12</v>
      </c>
      <c r="E19" s="65"/>
      <c r="F19" s="65"/>
      <c r="G19" s="2">
        <f t="shared" si="1"/>
        <v>9</v>
      </c>
    </row>
    <row r="20" spans="1:7" ht="15.5">
      <c r="A20" s="2">
        <f t="shared" si="0"/>
        <v>10</v>
      </c>
      <c r="B20" s="65"/>
      <c r="C20" s="66"/>
      <c r="D20" s="100"/>
      <c r="E20" s="65"/>
      <c r="F20" s="65"/>
      <c r="G20" s="2">
        <f t="shared" si="1"/>
        <v>10</v>
      </c>
    </row>
    <row r="21" spans="1:7" ht="16" thickBot="1">
      <c r="A21" s="2">
        <f t="shared" si="0"/>
        <v>11</v>
      </c>
      <c r="B21" s="621" t="s">
        <v>427</v>
      </c>
      <c r="C21" s="65"/>
      <c r="D21" s="623">
        <f>D17/12</f>
        <v>0.25299906781878129</v>
      </c>
      <c r="E21" s="65"/>
      <c r="F21" s="66" t="s">
        <v>428</v>
      </c>
      <c r="G21" s="2">
        <f t="shared" si="1"/>
        <v>11</v>
      </c>
    </row>
    <row r="22" spans="1:7" ht="16" thickTop="1">
      <c r="A22" s="2"/>
      <c r="B22" s="624"/>
      <c r="C22" s="65"/>
      <c r="D22" s="625"/>
      <c r="E22" s="65"/>
      <c r="F22" s="65"/>
      <c r="G22" s="65"/>
    </row>
    <row r="23" spans="1:7" ht="15.5">
      <c r="B23" s="65"/>
      <c r="C23" s="65"/>
      <c r="D23" s="65"/>
      <c r="E23" s="65"/>
      <c r="F23" s="65"/>
      <c r="G23" s="65"/>
    </row>
    <row r="24" spans="1:7" ht="17">
      <c r="A24" s="626">
        <v>1</v>
      </c>
      <c r="B24" s="627" t="s">
        <v>708</v>
      </c>
      <c r="C24" s="65"/>
      <c r="D24" s="65"/>
      <c r="E24" s="65"/>
      <c r="F24" s="65"/>
      <c r="G24" s="65"/>
    </row>
    <row r="25" spans="1:7" ht="15.5">
      <c r="B25" s="627" t="s">
        <v>764</v>
      </c>
      <c r="C25" s="65"/>
      <c r="D25" s="65"/>
      <c r="E25" s="65"/>
      <c r="F25" s="65"/>
      <c r="G25" s="65"/>
    </row>
    <row r="26" spans="1:7" ht="15.5">
      <c r="B26" s="953" t="s">
        <v>763</v>
      </c>
      <c r="C26" s="65"/>
      <c r="D26" s="65"/>
      <c r="E26" s="65"/>
      <c r="F26" s="65"/>
      <c r="G26" s="65"/>
    </row>
    <row r="27" spans="1:7" ht="15.5">
      <c r="B27" s="65" t="s">
        <v>765</v>
      </c>
      <c r="C27" s="65"/>
      <c r="D27" s="65"/>
      <c r="E27" s="65"/>
      <c r="F27" s="65"/>
      <c r="G27" s="65"/>
    </row>
    <row r="28" spans="1:7" ht="15.5">
      <c r="B28" s="65"/>
      <c r="C28" s="65"/>
      <c r="D28" s="65"/>
      <c r="E28" s="65"/>
      <c r="F28" s="65"/>
      <c r="G28" s="65"/>
    </row>
    <row r="29" spans="1:7" ht="17">
      <c r="A29" s="626"/>
      <c r="B29" s="65"/>
      <c r="C29" s="65"/>
      <c r="D29" s="65"/>
      <c r="E29" s="65"/>
      <c r="F29" s="65"/>
      <c r="G29" s="65"/>
    </row>
    <row r="30" spans="1:7" ht="15.5">
      <c r="B30" s="65"/>
      <c r="C30" s="65"/>
      <c r="D30" s="65"/>
      <c r="E30" s="65"/>
      <c r="F30" s="65"/>
      <c r="G30" s="65"/>
    </row>
    <row r="31" spans="1:7" ht="15.5">
      <c r="B31" s="65"/>
      <c r="C31" s="65"/>
      <c r="D31" s="65"/>
      <c r="E31" s="65"/>
      <c r="F31" s="65"/>
      <c r="G31" s="65"/>
    </row>
    <row r="32" spans="1:7" ht="15.5">
      <c r="B32" s="65"/>
      <c r="C32" s="65"/>
      <c r="D32" s="65"/>
      <c r="E32" s="65"/>
      <c r="F32" s="65"/>
      <c r="G32" s="65"/>
    </row>
    <row r="33" spans="2:7" ht="15.5">
      <c r="B33" s="65"/>
      <c r="C33" s="65"/>
      <c r="D33" s="65"/>
      <c r="E33" s="65"/>
      <c r="F33" s="65"/>
      <c r="G33" s="65"/>
    </row>
    <row r="34" spans="2:7" ht="15.5">
      <c r="B34" s="65"/>
      <c r="C34" s="65"/>
      <c r="D34" s="65"/>
      <c r="E34" s="65"/>
      <c r="F34" s="65"/>
      <c r="G34" s="65"/>
    </row>
    <row r="35" spans="2:7" ht="15.5">
      <c r="B35" s="65"/>
      <c r="C35" s="65"/>
      <c r="D35" s="65"/>
      <c r="E35" s="65"/>
      <c r="F35" s="65"/>
      <c r="G35" s="65"/>
    </row>
    <row r="36" spans="2:7" ht="15.5">
      <c r="B36" s="65"/>
      <c r="C36" s="65"/>
      <c r="D36" s="65"/>
      <c r="E36" s="65"/>
      <c r="F36" s="65"/>
      <c r="G36" s="65"/>
    </row>
    <row r="37" spans="2:7" ht="15.5">
      <c r="B37" s="65"/>
      <c r="C37" s="65"/>
      <c r="D37" s="65"/>
      <c r="E37" s="65"/>
      <c r="F37" s="65"/>
      <c r="G37" s="65"/>
    </row>
    <row r="38" spans="2:7" ht="15.5">
      <c r="B38" s="65"/>
      <c r="C38" s="65"/>
      <c r="D38" s="65"/>
      <c r="E38" s="65"/>
      <c r="F38" s="65"/>
      <c r="G38" s="65"/>
    </row>
    <row r="39" spans="2:7" ht="15.5">
      <c r="B39" s="65"/>
      <c r="C39" s="65"/>
      <c r="D39" s="65"/>
      <c r="E39" s="65"/>
      <c r="F39" s="65"/>
      <c r="G39" s="65"/>
    </row>
    <row r="40" spans="2:7" ht="15.5">
      <c r="B40" s="65"/>
      <c r="C40" s="65"/>
      <c r="D40" s="65"/>
      <c r="E40" s="65"/>
      <c r="F40" s="65"/>
      <c r="G40" s="65"/>
    </row>
    <row r="41" spans="2:7" ht="15.5">
      <c r="B41" s="65"/>
      <c r="C41" s="65"/>
      <c r="D41" s="65"/>
      <c r="E41" s="65"/>
      <c r="F41" s="65"/>
      <c r="G41" s="65"/>
    </row>
  </sheetData>
  <mergeCells count="3">
    <mergeCell ref="B2:F2"/>
    <mergeCell ref="B4:F4"/>
    <mergeCell ref="B6:F6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BF96-59A0-4DE0-883A-BD06BD95845A}">
  <sheetPr>
    <pageSetUpPr fitToPage="1"/>
  </sheetPr>
  <dimension ref="A2:M58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69.08984375" style="6" customWidth="1"/>
    <col min="3" max="3" width="19.6328125" style="6" customWidth="1"/>
    <col min="4" max="4" width="1.6328125" style="6" customWidth="1"/>
    <col min="5" max="5" width="21.54296875" style="6" customWidth="1"/>
    <col min="6" max="6" width="1.6328125" style="6" customWidth="1"/>
    <col min="7" max="7" width="13.6328125" style="6" customWidth="1"/>
    <col min="8" max="8" width="45.81640625" style="6" customWidth="1"/>
    <col min="9" max="9" width="5.08984375" style="102" customWidth="1"/>
    <col min="10" max="10" width="10.1796875" style="6" bestFit="1" customWidth="1"/>
    <col min="11" max="11" width="12.08984375" style="6" bestFit="1" customWidth="1"/>
    <col min="12" max="16384" width="8.81640625" style="6"/>
  </cols>
  <sheetData>
    <row r="2" spans="1:11">
      <c r="A2" s="628"/>
      <c r="B2" s="958" t="s">
        <v>0</v>
      </c>
      <c r="C2" s="958"/>
      <c r="D2" s="958"/>
      <c r="E2" s="958"/>
      <c r="F2" s="958"/>
      <c r="G2" s="958"/>
      <c r="H2" s="958"/>
      <c r="I2" s="628"/>
    </row>
    <row r="3" spans="1:11">
      <c r="B3" s="958" t="s">
        <v>429</v>
      </c>
      <c r="C3" s="958"/>
      <c r="D3" s="958"/>
      <c r="E3" s="958"/>
      <c r="F3" s="958"/>
      <c r="G3" s="958"/>
      <c r="H3" s="958"/>
      <c r="I3" s="106"/>
    </row>
    <row r="4" spans="1:11" ht="17.25" customHeight="1">
      <c r="B4" s="958" t="s">
        <v>737</v>
      </c>
      <c r="C4" s="958"/>
      <c r="D4" s="958"/>
      <c r="E4" s="958"/>
      <c r="F4" s="958"/>
      <c r="G4" s="958"/>
      <c r="H4" s="958"/>
      <c r="I4" s="106"/>
    </row>
    <row r="5" spans="1:11">
      <c r="B5" s="958" t="s">
        <v>420</v>
      </c>
      <c r="C5" s="958"/>
      <c r="D5" s="958"/>
      <c r="E5" s="958"/>
      <c r="F5" s="958"/>
      <c r="G5" s="958"/>
      <c r="H5" s="958"/>
      <c r="I5" s="106"/>
    </row>
    <row r="6" spans="1:11">
      <c r="B6" s="959" t="s">
        <v>1</v>
      </c>
      <c r="C6" s="958"/>
      <c r="D6" s="958"/>
      <c r="E6" s="958"/>
      <c r="F6" s="958"/>
      <c r="G6" s="958"/>
      <c r="H6" s="958"/>
      <c r="I6" s="106"/>
    </row>
    <row r="7" spans="1:11">
      <c r="B7" s="501"/>
      <c r="C7" s="90"/>
      <c r="D7" s="90"/>
      <c r="E7" s="90"/>
      <c r="F7" s="90"/>
      <c r="G7" s="90"/>
      <c r="H7" s="90"/>
      <c r="I7" s="106"/>
    </row>
    <row r="8" spans="1:11" ht="16" thickBot="1">
      <c r="A8" s="628"/>
      <c r="B8" s="90"/>
      <c r="C8" s="629" t="s">
        <v>430</v>
      </c>
      <c r="D8" s="630"/>
      <c r="E8" s="629" t="s">
        <v>431</v>
      </c>
      <c r="F8" s="629"/>
      <c r="G8" s="629" t="s">
        <v>432</v>
      </c>
      <c r="H8" s="629"/>
      <c r="I8" s="628"/>
    </row>
    <row r="9" spans="1:11" ht="60">
      <c r="A9" s="313"/>
      <c r="B9" s="502"/>
      <c r="C9" s="631" t="s">
        <v>433</v>
      </c>
      <c r="D9" s="90"/>
      <c r="E9" s="632" t="s">
        <v>734</v>
      </c>
      <c r="F9" s="632"/>
      <c r="G9" s="633" t="s">
        <v>434</v>
      </c>
      <c r="H9" s="634"/>
      <c r="I9" s="315"/>
    </row>
    <row r="10" spans="1:11">
      <c r="A10" s="313" t="s">
        <v>2</v>
      </c>
      <c r="B10" s="62"/>
      <c r="C10" s="635" t="s">
        <v>22</v>
      </c>
      <c r="D10" s="90"/>
      <c r="E10" s="90" t="s">
        <v>22</v>
      </c>
      <c r="F10" s="90"/>
      <c r="G10" s="633" t="s">
        <v>435</v>
      </c>
      <c r="H10" s="90"/>
      <c r="I10" s="315" t="s">
        <v>2</v>
      </c>
    </row>
    <row r="11" spans="1:11">
      <c r="A11" s="313" t="s">
        <v>3</v>
      </c>
      <c r="B11" s="92" t="s">
        <v>436</v>
      </c>
      <c r="C11" s="96" t="s">
        <v>23</v>
      </c>
      <c r="D11" s="555"/>
      <c r="E11" s="555" t="s">
        <v>23</v>
      </c>
      <c r="F11" s="555"/>
      <c r="G11" s="636" t="s">
        <v>437</v>
      </c>
      <c r="H11" s="555" t="s">
        <v>5</v>
      </c>
      <c r="I11" s="315" t="s">
        <v>3</v>
      </c>
    </row>
    <row r="12" spans="1:11">
      <c r="A12" s="313"/>
      <c r="B12" s="503"/>
      <c r="C12" s="637"/>
      <c r="D12" s="638"/>
      <c r="E12" s="638"/>
      <c r="F12" s="638"/>
      <c r="G12" s="638"/>
      <c r="H12" s="99"/>
      <c r="I12" s="315"/>
    </row>
    <row r="13" spans="1:11">
      <c r="A13" s="313">
        <v>1</v>
      </c>
      <c r="B13" s="93" t="s">
        <v>24</v>
      </c>
      <c r="C13" s="876">
        <f>'Pg3 Rev App X C8 Summary'!C11</f>
        <v>62.686206847943446</v>
      </c>
      <c r="D13" s="639"/>
      <c r="E13" s="639">
        <f>'Pg4 As Filed App X C8 FERC Adj '!C12</f>
        <v>62.686206847943446</v>
      </c>
      <c r="F13" s="639"/>
      <c r="G13" s="639">
        <f>C13-E13</f>
        <v>0</v>
      </c>
      <c r="H13" s="471" t="s">
        <v>438</v>
      </c>
      <c r="I13" s="315">
        <f>A13</f>
        <v>1</v>
      </c>
      <c r="K13" s="101"/>
    </row>
    <row r="14" spans="1:11">
      <c r="A14" s="313">
        <f>A13+1</f>
        <v>2</v>
      </c>
      <c r="B14" s="61"/>
      <c r="C14" s="877"/>
      <c r="D14" s="640"/>
      <c r="E14" s="640"/>
      <c r="F14" s="640"/>
      <c r="G14" s="640"/>
      <c r="H14" s="90"/>
      <c r="I14" s="315">
        <f>I13+1</f>
        <v>2</v>
      </c>
    </row>
    <row r="15" spans="1:11">
      <c r="A15" s="313">
        <f t="shared" ref="A15:A28" si="0">A14+1</f>
        <v>3</v>
      </c>
      <c r="B15" s="93" t="s">
        <v>25</v>
      </c>
      <c r="C15" s="878">
        <f>'Pg3 Rev App X C8 Summary'!C13</f>
        <v>1587.5037552157478</v>
      </c>
      <c r="D15" s="641" t="s">
        <v>439</v>
      </c>
      <c r="E15" s="642">
        <f>'Pg4 As Filed App X C8 FERC Adj '!C14</f>
        <v>1586.9401786689903</v>
      </c>
      <c r="F15" s="641"/>
      <c r="G15" s="643">
        <f>C15-E15</f>
        <v>0.5635765467575311</v>
      </c>
      <c r="H15" s="471" t="s">
        <v>440</v>
      </c>
      <c r="I15" s="315">
        <f t="shared" ref="I15:I28" si="1">I14+1</f>
        <v>3</v>
      </c>
      <c r="K15" s="932"/>
    </row>
    <row r="16" spans="1:11">
      <c r="A16" s="313">
        <f t="shared" si="0"/>
        <v>4</v>
      </c>
      <c r="B16" s="61"/>
      <c r="C16" s="877"/>
      <c r="D16" s="640"/>
      <c r="E16" s="640"/>
      <c r="F16" s="640"/>
      <c r="G16" s="640"/>
      <c r="H16" s="644"/>
      <c r="I16" s="315">
        <f t="shared" si="1"/>
        <v>4</v>
      </c>
      <c r="K16" s="933"/>
    </row>
    <row r="17" spans="1:13">
      <c r="A17" s="313">
        <f t="shared" si="0"/>
        <v>5</v>
      </c>
      <c r="B17" s="64" t="s">
        <v>26</v>
      </c>
      <c r="C17" s="879">
        <f>'Pg3 Rev App X C8 Summary'!C15</f>
        <v>786.61088461860368</v>
      </c>
      <c r="D17" s="645"/>
      <c r="E17" s="645">
        <f>'Pg4 As Filed App X C8 FERC Adj '!C16</f>
        <v>786.61088461860368</v>
      </c>
      <c r="F17" s="645"/>
      <c r="G17" s="645">
        <f>C17-E17</f>
        <v>0</v>
      </c>
      <c r="H17" s="471" t="s">
        <v>441</v>
      </c>
      <c r="I17" s="315">
        <f t="shared" si="1"/>
        <v>5</v>
      </c>
      <c r="K17" s="473"/>
    </row>
    <row r="18" spans="1:13">
      <c r="A18" s="313">
        <f t="shared" si="0"/>
        <v>6</v>
      </c>
      <c r="B18" s="93"/>
      <c r="C18" s="877"/>
      <c r="D18" s="640"/>
      <c r="E18" s="640"/>
      <c r="F18" s="640"/>
      <c r="G18" s="640"/>
      <c r="H18" s="646"/>
      <c r="I18" s="315">
        <f t="shared" si="1"/>
        <v>6</v>
      </c>
    </row>
    <row r="19" spans="1:13">
      <c r="A19" s="313">
        <f t="shared" si="0"/>
        <v>7</v>
      </c>
      <c r="B19" s="93" t="s">
        <v>27</v>
      </c>
      <c r="C19" s="877"/>
      <c r="D19" s="640"/>
      <c r="E19" s="640"/>
      <c r="F19" s="640"/>
      <c r="G19" s="640"/>
      <c r="H19" s="646"/>
      <c r="I19" s="315">
        <f t="shared" si="1"/>
        <v>7</v>
      </c>
    </row>
    <row r="20" spans="1:13">
      <c r="A20" s="313">
        <f t="shared" si="0"/>
        <v>8</v>
      </c>
      <c r="B20" s="93"/>
      <c r="C20" s="877"/>
      <c r="D20" s="640"/>
      <c r="E20" s="640"/>
      <c r="F20" s="640"/>
      <c r="G20" s="640"/>
      <c r="H20" s="647"/>
      <c r="I20" s="315">
        <f t="shared" si="1"/>
        <v>8</v>
      </c>
    </row>
    <row r="21" spans="1:13">
      <c r="A21" s="313">
        <f t="shared" si="0"/>
        <v>9</v>
      </c>
      <c r="B21" s="94" t="s">
        <v>28</v>
      </c>
      <c r="C21" s="878">
        <f>'Pg3 Rev App X C8 Summary'!C19</f>
        <v>936.91308664114524</v>
      </c>
      <c r="D21" s="641" t="s">
        <v>439</v>
      </c>
      <c r="E21" s="642">
        <f>'Pg4 As Filed App X C8 FERC Adj '!C20</f>
        <v>936.33591526585872</v>
      </c>
      <c r="F21" s="641"/>
      <c r="G21" s="648">
        <f>C21-E21</f>
        <v>0.57717137528652529</v>
      </c>
      <c r="H21" s="97" t="s">
        <v>442</v>
      </c>
      <c r="I21" s="315">
        <f t="shared" si="1"/>
        <v>9</v>
      </c>
      <c r="K21" s="682"/>
    </row>
    <row r="22" spans="1:13">
      <c r="A22" s="313">
        <f t="shared" si="0"/>
        <v>10</v>
      </c>
      <c r="B22" s="94"/>
      <c r="C22" s="880"/>
      <c r="D22" s="116"/>
      <c r="E22" s="116"/>
      <c r="F22" s="116"/>
      <c r="G22" s="116"/>
      <c r="H22" s="97"/>
      <c r="I22" s="315">
        <f t="shared" si="1"/>
        <v>10</v>
      </c>
    </row>
    <row r="23" spans="1:13">
      <c r="A23" s="313">
        <f t="shared" si="0"/>
        <v>11</v>
      </c>
      <c r="B23" s="93" t="s">
        <v>29</v>
      </c>
      <c r="C23" s="881"/>
      <c r="D23" s="649"/>
      <c r="E23" s="649"/>
      <c r="F23" s="649"/>
      <c r="G23" s="649"/>
      <c r="H23" s="97"/>
      <c r="I23" s="315">
        <f t="shared" si="1"/>
        <v>11</v>
      </c>
    </row>
    <row r="24" spans="1:13">
      <c r="A24" s="313">
        <f t="shared" si="0"/>
        <v>12</v>
      </c>
      <c r="B24" s="64"/>
      <c r="C24" s="880"/>
      <c r="D24" s="116"/>
      <c r="E24" s="116"/>
      <c r="F24" s="116"/>
      <c r="G24" s="116"/>
      <c r="H24" s="97"/>
      <c r="I24" s="315">
        <f t="shared" si="1"/>
        <v>12</v>
      </c>
    </row>
    <row r="25" spans="1:13">
      <c r="A25" s="313">
        <f t="shared" si="0"/>
        <v>13</v>
      </c>
      <c r="B25" s="94" t="s">
        <v>443</v>
      </c>
      <c r="C25" s="721">
        <f>'Pg3 Rev App X C8 Summary'!C23</f>
        <v>59.690370497349754</v>
      </c>
      <c r="D25" s="128"/>
      <c r="E25" s="524">
        <f>'Pg4 As Filed App X C8 FERC Adj '!C24</f>
        <v>59.690370497349754</v>
      </c>
      <c r="F25" s="128"/>
      <c r="G25" s="650">
        <f>C25-E25</f>
        <v>0</v>
      </c>
      <c r="H25" s="97" t="s">
        <v>444</v>
      </c>
      <c r="I25" s="315">
        <f t="shared" si="1"/>
        <v>13</v>
      </c>
      <c r="K25" s="473"/>
    </row>
    <row r="26" spans="1:13">
      <c r="A26" s="313">
        <f t="shared" si="0"/>
        <v>14</v>
      </c>
      <c r="B26" s="79"/>
      <c r="C26" s="651"/>
      <c r="D26" s="652"/>
      <c r="E26" s="652"/>
      <c r="F26" s="652"/>
      <c r="G26" s="652"/>
      <c r="H26" s="97"/>
      <c r="I26" s="315">
        <f t="shared" si="1"/>
        <v>14</v>
      </c>
    </row>
    <row r="27" spans="1:13" ht="16" thickBot="1">
      <c r="A27" s="313">
        <f t="shared" si="0"/>
        <v>15</v>
      </c>
      <c r="B27" s="61" t="s">
        <v>445</v>
      </c>
      <c r="C27" s="653">
        <f>'Pg3 Rev App X C8 Summary'!C25</f>
        <v>3434.4043038207897</v>
      </c>
      <c r="D27" s="641" t="s">
        <v>439</v>
      </c>
      <c r="E27" s="654">
        <f>'Pg4 As Filed App X C8 FERC Adj '!C26</f>
        <v>3432.2635558987454</v>
      </c>
      <c r="F27" s="641"/>
      <c r="G27" s="655">
        <f>C27-E27</f>
        <v>2.1407479220442838</v>
      </c>
      <c r="H27" s="97" t="s">
        <v>712</v>
      </c>
      <c r="I27" s="315">
        <f t="shared" si="1"/>
        <v>15</v>
      </c>
      <c r="L27" s="101"/>
      <c r="M27" s="474"/>
    </row>
    <row r="28" spans="1:13" ht="16.5" thickTop="1" thickBot="1">
      <c r="A28" s="313">
        <f t="shared" si="0"/>
        <v>16</v>
      </c>
      <c r="B28" s="505"/>
      <c r="C28" s="98"/>
      <c r="D28" s="656"/>
      <c r="E28" s="656"/>
      <c r="F28" s="656"/>
      <c r="G28" s="656"/>
      <c r="H28" s="656"/>
      <c r="I28" s="315">
        <f t="shared" si="1"/>
        <v>16</v>
      </c>
    </row>
    <row r="30" spans="1:13" ht="16" thickBot="1">
      <c r="A30" s="628"/>
      <c r="B30" s="194"/>
      <c r="C30" s="657"/>
      <c r="D30" s="657"/>
      <c r="E30" s="657"/>
      <c r="F30" s="657"/>
      <c r="G30" s="657"/>
      <c r="H30" s="63"/>
      <c r="I30" s="628"/>
    </row>
    <row r="31" spans="1:13" ht="60">
      <c r="A31" s="314"/>
      <c r="B31" s="506"/>
      <c r="C31" s="631" t="str">
        <f>C9</f>
        <v>Revised - Appendix X Cycle 8</v>
      </c>
      <c r="D31" s="90"/>
      <c r="E31" s="632" t="str">
        <f>E9</f>
        <v>As Filed - Appendix X Cycle 8 ER19-2017, ER22-139 and ER24-176</v>
      </c>
      <c r="F31" s="632"/>
      <c r="G31" s="633" t="s">
        <v>434</v>
      </c>
      <c r="H31" s="658"/>
      <c r="I31" s="316"/>
    </row>
    <row r="32" spans="1:13">
      <c r="A32" s="313" t="s">
        <v>2</v>
      </c>
      <c r="B32" s="62"/>
      <c r="C32" s="635" t="s">
        <v>22</v>
      </c>
      <c r="D32" s="90"/>
      <c r="E32" s="90" t="s">
        <v>22</v>
      </c>
      <c r="F32" s="90"/>
      <c r="G32" s="633" t="s">
        <v>435</v>
      </c>
      <c r="H32" s="90"/>
      <c r="I32" s="315" t="s">
        <v>2</v>
      </c>
    </row>
    <row r="33" spans="1:9">
      <c r="A33" s="313" t="s">
        <v>3</v>
      </c>
      <c r="B33" s="92" t="s">
        <v>446</v>
      </c>
      <c r="C33" s="96" t="s">
        <v>23</v>
      </c>
      <c r="D33" s="555"/>
      <c r="E33" s="555" t="s">
        <v>23</v>
      </c>
      <c r="F33" s="555"/>
      <c r="G33" s="636" t="s">
        <v>437</v>
      </c>
      <c r="H33" s="555" t="s">
        <v>5</v>
      </c>
      <c r="I33" s="315" t="s">
        <v>3</v>
      </c>
    </row>
    <row r="34" spans="1:9">
      <c r="A34" s="313">
        <f>A28+1</f>
        <v>17</v>
      </c>
      <c r="B34" s="61"/>
      <c r="C34" s="637"/>
      <c r="D34" s="638"/>
      <c r="E34" s="638"/>
      <c r="F34" s="638"/>
      <c r="G34" s="638"/>
      <c r="H34" s="99"/>
      <c r="I34" s="315">
        <f>I28+1</f>
        <v>17</v>
      </c>
    </row>
    <row r="35" spans="1:9">
      <c r="A35" s="313">
        <f>A34+1</f>
        <v>18</v>
      </c>
      <c r="B35" s="93" t="str">
        <f>B13</f>
        <v>Section 1 - Direct Maintenance Expense Cost Component</v>
      </c>
      <c r="C35" s="659">
        <f>'Pg3 Rev App X C8 Summary'!C33</f>
        <v>5.2238505706619538</v>
      </c>
      <c r="D35" s="660"/>
      <c r="E35" s="660">
        <f>'Pg4 As Filed App X C8 FERC Adj '!C34</f>
        <v>5.2238505706619538</v>
      </c>
      <c r="F35" s="660"/>
      <c r="G35" s="660">
        <f>C35-E35</f>
        <v>0</v>
      </c>
      <c r="H35" s="2" t="s">
        <v>447</v>
      </c>
      <c r="I35" s="315">
        <f>I34+1</f>
        <v>18</v>
      </c>
    </row>
    <row r="36" spans="1:9">
      <c r="A36" s="313">
        <f t="shared" ref="A36:A54" si="2">A35+1</f>
        <v>19</v>
      </c>
      <c r="B36" s="61"/>
      <c r="C36" s="661"/>
      <c r="D36" s="662"/>
      <c r="E36" s="662"/>
      <c r="F36" s="662"/>
      <c r="G36" s="662"/>
      <c r="H36" s="83"/>
      <c r="I36" s="315">
        <f t="shared" ref="I36:I54" si="3">I35+1</f>
        <v>19</v>
      </c>
    </row>
    <row r="37" spans="1:9">
      <c r="A37" s="313">
        <f t="shared" si="2"/>
        <v>20</v>
      </c>
      <c r="B37" s="93" t="str">
        <f>B15</f>
        <v>Section 2 - Non-Direct Expense Cost Component</v>
      </c>
      <c r="C37" s="663">
        <f>'Pg3 Rev App X C8 Summary'!C35</f>
        <v>132.29197960131231</v>
      </c>
      <c r="D37" s="641" t="s">
        <v>439</v>
      </c>
      <c r="E37" s="664">
        <f>'Pg4 As Filed App X C8 FERC Adj '!C36</f>
        <v>132.24501488908251</v>
      </c>
      <c r="F37" s="641"/>
      <c r="G37" s="665">
        <f>C37-E37</f>
        <v>4.6964712229794259E-2</v>
      </c>
      <c r="H37" s="2" t="s">
        <v>448</v>
      </c>
      <c r="I37" s="315">
        <f t="shared" si="3"/>
        <v>20</v>
      </c>
    </row>
    <row r="38" spans="1:9">
      <c r="A38" s="313">
        <f t="shared" si="2"/>
        <v>21</v>
      </c>
      <c r="B38" s="61"/>
      <c r="C38" s="661"/>
      <c r="D38" s="662"/>
      <c r="E38" s="662"/>
      <c r="F38" s="662"/>
      <c r="G38" s="662"/>
      <c r="H38" s="666"/>
      <c r="I38" s="315">
        <f t="shared" si="3"/>
        <v>21</v>
      </c>
    </row>
    <row r="39" spans="1:9">
      <c r="A39" s="313">
        <f t="shared" si="2"/>
        <v>22</v>
      </c>
      <c r="B39" s="93" t="str">
        <f>B17</f>
        <v>Section 3 - Cost Component Containing Other Specific Expenses</v>
      </c>
      <c r="C39" s="667">
        <f>'Pg3 Rev App X C8 Summary'!C37</f>
        <v>65.550907051550311</v>
      </c>
      <c r="D39" s="668"/>
      <c r="E39" s="668">
        <f>'Pg4 As Filed App X C8 FERC Adj '!C38</f>
        <v>65.550907051550311</v>
      </c>
      <c r="F39" s="668"/>
      <c r="G39" s="873">
        <f>C39-E39</f>
        <v>0</v>
      </c>
      <c r="H39" s="2" t="s">
        <v>449</v>
      </c>
      <c r="I39" s="315">
        <f t="shared" si="3"/>
        <v>22</v>
      </c>
    </row>
    <row r="40" spans="1:9">
      <c r="A40" s="313">
        <f t="shared" si="2"/>
        <v>23</v>
      </c>
      <c r="B40" s="61"/>
      <c r="C40" s="661"/>
      <c r="D40" s="662"/>
      <c r="E40" s="662"/>
      <c r="F40" s="662"/>
      <c r="G40" s="662"/>
      <c r="H40" s="644"/>
      <c r="I40" s="315">
        <f t="shared" si="3"/>
        <v>23</v>
      </c>
    </row>
    <row r="41" spans="1:9">
      <c r="A41" s="313">
        <f t="shared" si="2"/>
        <v>24</v>
      </c>
      <c r="B41" s="93" t="str">
        <f>LEFT(B19,45)</f>
        <v>Section 4 - True-Up Adjustment Cost Component</v>
      </c>
      <c r="C41" s="661"/>
      <c r="D41" s="662"/>
      <c r="E41" s="662"/>
      <c r="F41" s="662"/>
      <c r="G41" s="662"/>
      <c r="H41" s="669"/>
      <c r="I41" s="315">
        <f t="shared" si="3"/>
        <v>24</v>
      </c>
    </row>
    <row r="42" spans="1:9">
      <c r="A42" s="313">
        <f t="shared" si="2"/>
        <v>25</v>
      </c>
      <c r="B42" s="93"/>
      <c r="C42" s="661"/>
      <c r="D42" s="662"/>
      <c r="E42" s="662"/>
      <c r="F42" s="662"/>
      <c r="G42" s="662"/>
      <c r="H42" s="669"/>
      <c r="I42" s="315">
        <f t="shared" si="3"/>
        <v>25</v>
      </c>
    </row>
    <row r="43" spans="1:9">
      <c r="A43" s="313">
        <f t="shared" si="2"/>
        <v>26</v>
      </c>
      <c r="B43" s="94" t="str">
        <f>B21</f>
        <v xml:space="preserve">   True-Up Adjustment derived in Cycle 8</v>
      </c>
      <c r="C43" s="663">
        <f>'Pg3 Rev App X C8 Summary'!C41</f>
        <v>78.07609055342877</v>
      </c>
      <c r="D43" s="641" t="s">
        <v>439</v>
      </c>
      <c r="E43" s="664">
        <f>'Pg4 As Filed App X C8 FERC Adj '!C42</f>
        <v>78.027992938821555</v>
      </c>
      <c r="F43" s="641"/>
      <c r="G43" s="665">
        <f>C43-E43</f>
        <v>4.8097614607215178E-2</v>
      </c>
      <c r="H43" s="2" t="s">
        <v>450</v>
      </c>
      <c r="I43" s="315">
        <f t="shared" si="3"/>
        <v>26</v>
      </c>
    </row>
    <row r="44" spans="1:9">
      <c r="A44" s="313">
        <f t="shared" si="2"/>
        <v>27</v>
      </c>
      <c r="B44" s="94"/>
      <c r="C44" s="670"/>
      <c r="D44" s="671"/>
      <c r="E44" s="671"/>
      <c r="F44" s="671"/>
      <c r="G44" s="671"/>
      <c r="H44" s="97"/>
      <c r="I44" s="315">
        <f t="shared" si="3"/>
        <v>27</v>
      </c>
    </row>
    <row r="45" spans="1:9">
      <c r="A45" s="313">
        <f t="shared" si="2"/>
        <v>28</v>
      </c>
      <c r="B45" s="93" t="str">
        <f>B23</f>
        <v>Section 5 - Interest True-Up Adjustment Cost Component</v>
      </c>
      <c r="C45" s="670"/>
      <c r="D45" s="671"/>
      <c r="E45" s="671"/>
      <c r="F45" s="671"/>
      <c r="G45" s="671"/>
      <c r="H45" s="672"/>
      <c r="I45" s="315">
        <f t="shared" si="3"/>
        <v>28</v>
      </c>
    </row>
    <row r="46" spans="1:9">
      <c r="A46" s="313">
        <f t="shared" si="2"/>
        <v>29</v>
      </c>
      <c r="B46" s="93"/>
      <c r="C46" s="670"/>
      <c r="D46" s="671"/>
      <c r="E46" s="671"/>
      <c r="F46" s="671"/>
      <c r="G46" s="671"/>
      <c r="H46" s="672"/>
      <c r="I46" s="315">
        <f t="shared" si="3"/>
        <v>29</v>
      </c>
    </row>
    <row r="47" spans="1:9">
      <c r="A47" s="313">
        <f t="shared" si="2"/>
        <v>30</v>
      </c>
      <c r="B47" s="7" t="str">
        <f>B25</f>
        <v xml:space="preserve">   Cycle 7 Interest True-Up Adjustment</v>
      </c>
      <c r="C47" s="673">
        <f>'Pg3 Rev App X C8 Summary'!C45</f>
        <v>4.9741975414458128</v>
      </c>
      <c r="D47" s="674"/>
      <c r="E47" s="675">
        <f>'Pg4 As Filed App X C8 FERC Adj '!C46</f>
        <v>4.9741975414458128</v>
      </c>
      <c r="F47" s="674"/>
      <c r="G47" s="676">
        <f>C47-E47</f>
        <v>0</v>
      </c>
      <c r="H47" s="2" t="s">
        <v>451</v>
      </c>
      <c r="I47" s="315">
        <f t="shared" si="3"/>
        <v>30</v>
      </c>
    </row>
    <row r="48" spans="1:9">
      <c r="A48" s="313">
        <f t="shared" si="2"/>
        <v>31</v>
      </c>
      <c r="B48" s="61"/>
      <c r="C48" s="677"/>
      <c r="D48" s="678"/>
      <c r="E48" s="678"/>
      <c r="F48" s="678"/>
      <c r="G48" s="678"/>
      <c r="H48" s="90"/>
      <c r="I48" s="315">
        <f t="shared" si="3"/>
        <v>31</v>
      </c>
    </row>
    <row r="49" spans="1:10" ht="16" thickBot="1">
      <c r="A49" s="313">
        <f t="shared" si="2"/>
        <v>32</v>
      </c>
      <c r="B49" s="61" t="s">
        <v>452</v>
      </c>
      <c r="C49" s="679">
        <f>'Pg3 Rev App X C8 Summary'!C47</f>
        <v>286.20035865173247</v>
      </c>
      <c r="D49" s="641" t="s">
        <v>439</v>
      </c>
      <c r="E49" s="680">
        <f>'Pg4 As Filed App X C8 FERC Adj '!C48</f>
        <v>286.02196299156213</v>
      </c>
      <c r="F49" s="641"/>
      <c r="G49" s="681">
        <f>C49-E49</f>
        <v>0.17839566017033803</v>
      </c>
      <c r="H49" s="2" t="s">
        <v>713</v>
      </c>
      <c r="I49" s="315">
        <f t="shared" si="3"/>
        <v>32</v>
      </c>
      <c r="J49" s="682"/>
    </row>
    <row r="50" spans="1:10" ht="16" thickTop="1">
      <c r="A50" s="313">
        <f t="shared" si="2"/>
        <v>33</v>
      </c>
      <c r="B50" s="61"/>
      <c r="C50" s="683"/>
      <c r="D50" s="684"/>
      <c r="E50" s="684"/>
      <c r="F50" s="684"/>
      <c r="G50" s="684"/>
      <c r="H50" s="685"/>
      <c r="I50" s="315">
        <f t="shared" si="3"/>
        <v>33</v>
      </c>
    </row>
    <row r="51" spans="1:10">
      <c r="A51" s="313">
        <f t="shared" si="2"/>
        <v>34</v>
      </c>
      <c r="B51" s="95" t="s">
        <v>453</v>
      </c>
      <c r="C51" s="889">
        <f>'Pg3 Rev App X C8 Summary'!C49</f>
        <v>12</v>
      </c>
      <c r="D51" s="686"/>
      <c r="E51" s="687">
        <f>'Pg4 As Filed App X C8 FERC Adj '!C50</f>
        <v>12</v>
      </c>
      <c r="F51" s="686"/>
      <c r="G51" s="687">
        <f>C51-E51</f>
        <v>0</v>
      </c>
      <c r="H51" s="2" t="s">
        <v>454</v>
      </c>
      <c r="I51" s="315">
        <f t="shared" si="3"/>
        <v>34</v>
      </c>
    </row>
    <row r="52" spans="1:10">
      <c r="A52" s="313">
        <f t="shared" si="2"/>
        <v>35</v>
      </c>
      <c r="B52" s="61"/>
      <c r="C52" s="683"/>
      <c r="D52" s="684"/>
      <c r="E52" s="684"/>
      <c r="F52" s="684"/>
      <c r="G52" s="684"/>
      <c r="H52" s="688"/>
      <c r="I52" s="315">
        <f t="shared" si="3"/>
        <v>35</v>
      </c>
    </row>
    <row r="53" spans="1:10" ht="16" thickBot="1">
      <c r="A53" s="313">
        <f t="shared" si="2"/>
        <v>36</v>
      </c>
      <c r="B53" s="95" t="str">
        <f>B27</f>
        <v>Total Citizens' Cycle 8 Annual Costs</v>
      </c>
      <c r="C53" s="689">
        <f>'Pg3 Rev App X C8 Summary'!C51</f>
        <v>3434.4043038207897</v>
      </c>
      <c r="D53" s="641" t="s">
        <v>439</v>
      </c>
      <c r="E53" s="690">
        <f>'Pg4 As Filed App X C8 FERC Adj '!C52</f>
        <v>3432.2635558987458</v>
      </c>
      <c r="F53" s="641"/>
      <c r="G53" s="691">
        <f>C53-E53</f>
        <v>2.140747922043829</v>
      </c>
      <c r="H53" s="2" t="s">
        <v>455</v>
      </c>
      <c r="I53" s="315">
        <f t="shared" si="3"/>
        <v>36</v>
      </c>
    </row>
    <row r="54" spans="1:10" ht="16.5" thickTop="1" thickBot="1">
      <c r="A54" s="313">
        <f t="shared" si="2"/>
        <v>37</v>
      </c>
      <c r="B54" s="656"/>
      <c r="C54" s="692"/>
      <c r="D54" s="693"/>
      <c r="E54" s="693"/>
      <c r="F54" s="693"/>
      <c r="G54" s="693"/>
      <c r="H54" s="694"/>
      <c r="I54" s="315">
        <f t="shared" si="3"/>
        <v>37</v>
      </c>
    </row>
    <row r="57" spans="1:10">
      <c r="A57" s="641" t="s">
        <v>439</v>
      </c>
      <c r="B57" s="107" t="s">
        <v>766</v>
      </c>
      <c r="C57" s="5"/>
    </row>
    <row r="58" spans="1:10">
      <c r="B58" s="91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2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B79F-AAD7-4683-AFEF-55DE486F6FBB}">
  <sheetPr>
    <pageSetUpPr fitToPage="1"/>
  </sheetPr>
  <dimension ref="A2:J56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77.1796875" style="6" customWidth="1"/>
    <col min="3" max="3" width="20.1796875" style="6" customWidth="1"/>
    <col min="4" max="4" width="1.6328125" style="6" customWidth="1"/>
    <col min="5" max="5" width="55.453125" style="6" customWidth="1"/>
    <col min="6" max="6" width="5.08984375" style="102" customWidth="1"/>
    <col min="7" max="16384" width="8.81640625" style="6"/>
  </cols>
  <sheetData>
    <row r="2" spans="1:8">
      <c r="A2" s="628"/>
      <c r="B2" s="958" t="s">
        <v>0</v>
      </c>
      <c r="C2" s="958"/>
      <c r="D2" s="958"/>
      <c r="E2" s="958"/>
      <c r="F2" s="628"/>
    </row>
    <row r="3" spans="1:8">
      <c r="B3" s="958" t="s">
        <v>429</v>
      </c>
      <c r="C3" s="958"/>
      <c r="D3" s="958"/>
      <c r="E3" s="958"/>
      <c r="F3" s="106"/>
    </row>
    <row r="4" spans="1:8">
      <c r="B4" s="958" t="s">
        <v>21</v>
      </c>
      <c r="C4" s="958"/>
      <c r="D4" s="958"/>
      <c r="E4" s="958"/>
      <c r="F4" s="106"/>
    </row>
    <row r="5" spans="1:8">
      <c r="A5" s="628"/>
      <c r="B5" s="960" t="s">
        <v>456</v>
      </c>
      <c r="C5" s="960"/>
      <c r="D5" s="960"/>
      <c r="E5" s="960"/>
      <c r="F5" s="628"/>
    </row>
    <row r="6" spans="1:8">
      <c r="B6" s="959" t="s">
        <v>1</v>
      </c>
      <c r="C6" s="958"/>
      <c r="D6" s="958"/>
      <c r="E6" s="958"/>
      <c r="F6" s="106"/>
    </row>
    <row r="7" spans="1:8" ht="16" thickBot="1">
      <c r="A7" s="628"/>
      <c r="B7" s="90"/>
      <c r="C7" s="79"/>
      <c r="D7" s="656"/>
      <c r="E7" s="79"/>
      <c r="F7" s="628"/>
    </row>
    <row r="8" spans="1:8">
      <c r="A8" s="313" t="s">
        <v>2</v>
      </c>
      <c r="B8" s="502"/>
      <c r="C8" s="695" t="s">
        <v>22</v>
      </c>
      <c r="D8" s="90"/>
      <c r="E8" s="554"/>
      <c r="F8" s="315" t="s">
        <v>2</v>
      </c>
    </row>
    <row r="9" spans="1:8">
      <c r="A9" s="313" t="s">
        <v>3</v>
      </c>
      <c r="B9" s="92" t="s">
        <v>436</v>
      </c>
      <c r="C9" s="78" t="s">
        <v>23</v>
      </c>
      <c r="D9" s="555"/>
      <c r="E9" s="555" t="s">
        <v>5</v>
      </c>
      <c r="F9" s="315" t="s">
        <v>3</v>
      </c>
    </row>
    <row r="10" spans="1:8">
      <c r="A10" s="313"/>
      <c r="B10" s="503"/>
      <c r="C10" s="696"/>
      <c r="D10" s="638"/>
      <c r="E10" s="99"/>
      <c r="F10" s="315"/>
    </row>
    <row r="11" spans="1:8">
      <c r="A11" s="313">
        <v>1</v>
      </c>
      <c r="B11" s="93" t="s">
        <v>24</v>
      </c>
      <c r="C11" s="882">
        <v>62.686206847943446</v>
      </c>
      <c r="D11" s="639"/>
      <c r="E11" s="471" t="s">
        <v>457</v>
      </c>
      <c r="F11" s="315">
        <f>A11</f>
        <v>1</v>
      </c>
      <c r="H11" s="101"/>
    </row>
    <row r="12" spans="1:8">
      <c r="A12" s="313">
        <f>A11+1</f>
        <v>2</v>
      </c>
      <c r="B12" s="61"/>
      <c r="C12" s="883"/>
      <c r="D12" s="640"/>
      <c r="E12" s="90"/>
      <c r="F12" s="315">
        <f>F11+1</f>
        <v>2</v>
      </c>
    </row>
    <row r="13" spans="1:8">
      <c r="A13" s="313">
        <f t="shared" ref="A13:A26" si="0">A12+1</f>
        <v>3</v>
      </c>
      <c r="B13" s="93" t="s">
        <v>25</v>
      </c>
      <c r="C13" s="884">
        <f>'Pg5 Rev Sec 2 Non-Dir Exp'!E41</f>
        <v>1587.5037552157478</v>
      </c>
      <c r="D13" s="641" t="s">
        <v>439</v>
      </c>
      <c r="E13" s="471" t="s">
        <v>705</v>
      </c>
      <c r="F13" s="315">
        <f t="shared" ref="F13:F26" si="1">F12+1</f>
        <v>3</v>
      </c>
      <c r="H13" s="473"/>
    </row>
    <row r="14" spans="1:8">
      <c r="A14" s="313">
        <f t="shared" si="0"/>
        <v>4</v>
      </c>
      <c r="B14" s="61"/>
      <c r="C14" s="883"/>
      <c r="D14" s="640"/>
      <c r="E14" s="644"/>
      <c r="F14" s="315">
        <f t="shared" si="1"/>
        <v>4</v>
      </c>
    </row>
    <row r="15" spans="1:8">
      <c r="A15" s="313">
        <f t="shared" si="0"/>
        <v>5</v>
      </c>
      <c r="B15" s="64" t="s">
        <v>26</v>
      </c>
      <c r="C15" s="885">
        <v>786.61088461860368</v>
      </c>
      <c r="D15" s="645"/>
      <c r="E15" s="471" t="s">
        <v>458</v>
      </c>
      <c r="F15" s="315">
        <f t="shared" si="1"/>
        <v>5</v>
      </c>
      <c r="H15" s="473"/>
    </row>
    <row r="16" spans="1:8">
      <c r="A16" s="313">
        <f t="shared" si="0"/>
        <v>6</v>
      </c>
      <c r="B16" s="93"/>
      <c r="C16" s="883"/>
      <c r="D16" s="640"/>
      <c r="E16" s="646"/>
      <c r="F16" s="315">
        <f t="shared" si="1"/>
        <v>6</v>
      </c>
    </row>
    <row r="17" spans="1:10">
      <c r="A17" s="313">
        <f t="shared" si="0"/>
        <v>7</v>
      </c>
      <c r="B17" s="93" t="s">
        <v>27</v>
      </c>
      <c r="C17" s="883"/>
      <c r="D17" s="640"/>
      <c r="E17" s="646"/>
      <c r="F17" s="315">
        <f t="shared" si="1"/>
        <v>7</v>
      </c>
    </row>
    <row r="18" spans="1:10">
      <c r="A18" s="313">
        <f t="shared" si="0"/>
        <v>8</v>
      </c>
      <c r="B18" s="93"/>
      <c r="C18" s="883"/>
      <c r="D18" s="640"/>
      <c r="E18" s="647"/>
      <c r="F18" s="315">
        <f t="shared" si="1"/>
        <v>8</v>
      </c>
    </row>
    <row r="19" spans="1:10">
      <c r="A19" s="313">
        <f t="shared" si="0"/>
        <v>9</v>
      </c>
      <c r="B19" s="94" t="s">
        <v>28</v>
      </c>
      <c r="C19" s="884">
        <f>'Pg7 Rev Sec 4a-TU'!O42</f>
        <v>936.91308664114524</v>
      </c>
      <c r="D19" s="641" t="s">
        <v>439</v>
      </c>
      <c r="E19" s="97" t="s">
        <v>733</v>
      </c>
      <c r="F19" s="315">
        <f t="shared" si="1"/>
        <v>9</v>
      </c>
      <c r="H19" s="101"/>
    </row>
    <row r="20" spans="1:10">
      <c r="A20" s="313">
        <f t="shared" si="0"/>
        <v>10</v>
      </c>
      <c r="B20" s="94"/>
      <c r="C20" s="886"/>
      <c r="D20" s="116"/>
      <c r="E20" s="97"/>
      <c r="F20" s="315">
        <f t="shared" si="1"/>
        <v>10</v>
      </c>
    </row>
    <row r="21" spans="1:10">
      <c r="A21" s="313">
        <f t="shared" si="0"/>
        <v>11</v>
      </c>
      <c r="B21" s="93" t="s">
        <v>29</v>
      </c>
      <c r="C21" s="887"/>
      <c r="D21" s="649"/>
      <c r="E21" s="97"/>
      <c r="F21" s="315">
        <f t="shared" si="1"/>
        <v>11</v>
      </c>
    </row>
    <row r="22" spans="1:10">
      <c r="A22" s="313">
        <f t="shared" si="0"/>
        <v>12</v>
      </c>
      <c r="B22" s="64"/>
      <c r="C22" s="886"/>
      <c r="D22" s="116"/>
      <c r="E22" s="97"/>
      <c r="F22" s="315">
        <f t="shared" si="1"/>
        <v>12</v>
      </c>
    </row>
    <row r="23" spans="1:10">
      <c r="A23" s="313">
        <f t="shared" si="0"/>
        <v>13</v>
      </c>
      <c r="B23" s="94" t="s">
        <v>443</v>
      </c>
      <c r="C23" s="342">
        <v>59.690370497349754</v>
      </c>
      <c r="D23" s="128"/>
      <c r="E23" s="97" t="s">
        <v>459</v>
      </c>
      <c r="F23" s="315">
        <f t="shared" si="1"/>
        <v>13</v>
      </c>
      <c r="H23" s="473"/>
    </row>
    <row r="24" spans="1:10">
      <c r="A24" s="313">
        <f t="shared" si="0"/>
        <v>14</v>
      </c>
      <c r="B24" s="79"/>
      <c r="C24" s="504"/>
      <c r="D24" s="652"/>
      <c r="E24" s="97"/>
      <c r="F24" s="315">
        <f t="shared" si="1"/>
        <v>14</v>
      </c>
    </row>
    <row r="25" spans="1:10" ht="16" thickBot="1">
      <c r="A25" s="313">
        <f t="shared" si="0"/>
        <v>15</v>
      </c>
      <c r="B25" s="61" t="s">
        <v>445</v>
      </c>
      <c r="C25" s="697">
        <f>C11+C13+C15+C19+C23+1</f>
        <v>3434.4043038207897</v>
      </c>
      <c r="D25" s="641" t="s">
        <v>439</v>
      </c>
      <c r="E25" s="66" t="s">
        <v>460</v>
      </c>
      <c r="F25" s="315">
        <f t="shared" si="1"/>
        <v>15</v>
      </c>
      <c r="I25" s="101"/>
      <c r="J25" s="474"/>
    </row>
    <row r="26" spans="1:10" ht="16.5" thickTop="1" thickBot="1">
      <c r="A26" s="313">
        <f t="shared" si="0"/>
        <v>16</v>
      </c>
      <c r="B26" s="505"/>
      <c r="C26" s="698"/>
      <c r="D26" s="98"/>
      <c r="E26" s="656"/>
      <c r="F26" s="315">
        <f t="shared" si="1"/>
        <v>16</v>
      </c>
    </row>
    <row r="28" spans="1:10" ht="16" thickBot="1">
      <c r="A28" s="628"/>
      <c r="B28" s="194"/>
      <c r="C28" s="63"/>
      <c r="D28" s="657"/>
      <c r="E28" s="63"/>
      <c r="F28" s="628"/>
    </row>
    <row r="29" spans="1:10">
      <c r="A29" s="314"/>
      <c r="B29" s="506"/>
      <c r="C29" s="695"/>
      <c r="D29" s="90"/>
      <c r="E29" s="658"/>
      <c r="F29" s="316"/>
    </row>
    <row r="30" spans="1:10">
      <c r="A30" s="313" t="s">
        <v>2</v>
      </c>
      <c r="B30" s="62"/>
      <c r="C30" s="77" t="s">
        <v>22</v>
      </c>
      <c r="D30" s="90"/>
      <c r="E30" s="90"/>
      <c r="F30" s="315" t="s">
        <v>2</v>
      </c>
    </row>
    <row r="31" spans="1:10">
      <c r="A31" s="313" t="s">
        <v>3</v>
      </c>
      <c r="B31" s="92" t="s">
        <v>30</v>
      </c>
      <c r="C31" s="78" t="s">
        <v>23</v>
      </c>
      <c r="D31" s="555"/>
      <c r="E31" s="555" t="s">
        <v>5</v>
      </c>
      <c r="F31" s="315" t="s">
        <v>3</v>
      </c>
    </row>
    <row r="32" spans="1:10">
      <c r="A32" s="313">
        <f>A26+1</f>
        <v>17</v>
      </c>
      <c r="B32" s="61"/>
      <c r="C32" s="696"/>
      <c r="D32" s="638"/>
      <c r="E32" s="99"/>
      <c r="F32" s="315">
        <f>F26+1</f>
        <v>17</v>
      </c>
    </row>
    <row r="33" spans="1:6">
      <c r="A33" s="313">
        <f>A32+1</f>
        <v>18</v>
      </c>
      <c r="B33" s="93" t="str">
        <f>B11</f>
        <v>Section 1 - Direct Maintenance Expense Cost Component</v>
      </c>
      <c r="C33" s="699">
        <f>C11/12</f>
        <v>5.2238505706619538</v>
      </c>
      <c r="D33" s="660"/>
      <c r="E33" s="471" t="str">
        <f>"Line "&amp;A11&amp;" Above / 12 Months"</f>
        <v>Line 1 Above / 12 Months</v>
      </c>
      <c r="F33" s="315">
        <f>F32+1</f>
        <v>18</v>
      </c>
    </row>
    <row r="34" spans="1:6">
      <c r="A34" s="313">
        <f t="shared" ref="A34:A52" si="2">A33+1</f>
        <v>19</v>
      </c>
      <c r="B34" s="61"/>
      <c r="C34" s="700"/>
      <c r="D34" s="662"/>
      <c r="E34" s="83"/>
      <c r="F34" s="315">
        <f t="shared" ref="F34:F52" si="3">F33+1</f>
        <v>19</v>
      </c>
    </row>
    <row r="35" spans="1:6">
      <c r="A35" s="313">
        <f t="shared" si="2"/>
        <v>20</v>
      </c>
      <c r="B35" s="93" t="str">
        <f>B13</f>
        <v>Section 2 - Non-Direct Expense Cost Component</v>
      </c>
      <c r="C35" s="701">
        <f>C13/12</f>
        <v>132.29197960131231</v>
      </c>
      <c r="D35" s="641" t="s">
        <v>439</v>
      </c>
      <c r="E35" s="471" t="str">
        <f>"Line "&amp;A13&amp;" Above / 12 Months"</f>
        <v>Line 3 Above / 12 Months</v>
      </c>
      <c r="F35" s="315">
        <f t="shared" si="3"/>
        <v>20</v>
      </c>
    </row>
    <row r="36" spans="1:6">
      <c r="A36" s="313">
        <f t="shared" si="2"/>
        <v>21</v>
      </c>
      <c r="B36" s="61"/>
      <c r="C36" s="700"/>
      <c r="D36" s="662"/>
      <c r="E36" s="666"/>
      <c r="F36" s="315">
        <f t="shared" si="3"/>
        <v>21</v>
      </c>
    </row>
    <row r="37" spans="1:6">
      <c r="A37" s="313">
        <f t="shared" si="2"/>
        <v>22</v>
      </c>
      <c r="B37" s="93" t="str">
        <f>B15</f>
        <v>Section 3 - Cost Component Containing Other Specific Expenses</v>
      </c>
      <c r="C37" s="702">
        <f>C15/12</f>
        <v>65.550907051550311</v>
      </c>
      <c r="D37" s="668"/>
      <c r="E37" s="471" t="str">
        <f>"Line "&amp;A15&amp;" Above / 12 Months"</f>
        <v>Line 5 Above / 12 Months</v>
      </c>
      <c r="F37" s="315">
        <f t="shared" si="3"/>
        <v>22</v>
      </c>
    </row>
    <row r="38" spans="1:6">
      <c r="A38" s="313">
        <f t="shared" si="2"/>
        <v>23</v>
      </c>
      <c r="B38" s="61"/>
      <c r="C38" s="700"/>
      <c r="D38" s="662"/>
      <c r="E38" s="644"/>
      <c r="F38" s="315">
        <f t="shared" si="3"/>
        <v>23</v>
      </c>
    </row>
    <row r="39" spans="1:6">
      <c r="A39" s="313">
        <f t="shared" si="2"/>
        <v>24</v>
      </c>
      <c r="B39" s="93" t="str">
        <f>LEFT(B17,45)</f>
        <v>Section 4 - True-Up Adjustment Cost Component</v>
      </c>
      <c r="C39" s="700"/>
      <c r="D39" s="662"/>
      <c r="E39" s="669"/>
      <c r="F39" s="315">
        <f t="shared" si="3"/>
        <v>24</v>
      </c>
    </row>
    <row r="40" spans="1:6">
      <c r="A40" s="313">
        <f t="shared" si="2"/>
        <v>25</v>
      </c>
      <c r="B40" s="93"/>
      <c r="C40" s="700"/>
      <c r="D40" s="662"/>
      <c r="E40" s="669"/>
      <c r="F40" s="315">
        <f t="shared" si="3"/>
        <v>25</v>
      </c>
    </row>
    <row r="41" spans="1:6">
      <c r="A41" s="313">
        <f t="shared" si="2"/>
        <v>26</v>
      </c>
      <c r="B41" s="94" t="str">
        <f>B19</f>
        <v xml:space="preserve">   True-Up Adjustment derived in Cycle 8</v>
      </c>
      <c r="C41" s="701">
        <f>C19/12</f>
        <v>78.07609055342877</v>
      </c>
      <c r="D41" s="641" t="s">
        <v>439</v>
      </c>
      <c r="E41" s="471" t="str">
        <f>"Line "&amp;A19&amp;" Above / 12 Months"</f>
        <v>Line 9 Above / 12 Months</v>
      </c>
      <c r="F41" s="315">
        <f t="shared" si="3"/>
        <v>26</v>
      </c>
    </row>
    <row r="42" spans="1:6">
      <c r="A42" s="313">
        <f t="shared" si="2"/>
        <v>27</v>
      </c>
      <c r="B42" s="94"/>
      <c r="C42" s="507"/>
      <c r="D42" s="671"/>
      <c r="E42" s="97"/>
      <c r="F42" s="315">
        <f t="shared" si="3"/>
        <v>27</v>
      </c>
    </row>
    <row r="43" spans="1:6">
      <c r="A43" s="313">
        <f t="shared" si="2"/>
        <v>28</v>
      </c>
      <c r="B43" s="93" t="str">
        <f>B21</f>
        <v>Section 5 - Interest True-Up Adjustment Cost Component</v>
      </c>
      <c r="C43" s="507"/>
      <c r="D43" s="671"/>
      <c r="E43" s="672"/>
      <c r="F43" s="315">
        <f t="shared" si="3"/>
        <v>28</v>
      </c>
    </row>
    <row r="44" spans="1:6">
      <c r="A44" s="313">
        <f t="shared" si="2"/>
        <v>29</v>
      </c>
      <c r="B44" s="93"/>
      <c r="C44" s="507"/>
      <c r="D44" s="671"/>
      <c r="E44" s="672"/>
      <c r="F44" s="315">
        <f t="shared" si="3"/>
        <v>29</v>
      </c>
    </row>
    <row r="45" spans="1:6">
      <c r="A45" s="313">
        <f t="shared" si="2"/>
        <v>30</v>
      </c>
      <c r="B45" s="7" t="str">
        <f>B23</f>
        <v xml:space="preserve">   Cycle 7 Interest True-Up Adjustment</v>
      </c>
      <c r="C45" s="498">
        <f>C23/12</f>
        <v>4.9741975414458128</v>
      </c>
      <c r="D45" s="674"/>
      <c r="E45" s="471" t="str">
        <f>"Line "&amp;A23&amp;" Above / 12 Months"</f>
        <v>Line 13 Above / 12 Months</v>
      </c>
      <c r="F45" s="315">
        <f t="shared" si="3"/>
        <v>30</v>
      </c>
    </row>
    <row r="46" spans="1:6">
      <c r="A46" s="313">
        <f t="shared" si="2"/>
        <v>31</v>
      </c>
      <c r="B46" s="61"/>
      <c r="C46" s="703"/>
      <c r="D46" s="678"/>
      <c r="E46" s="90"/>
      <c r="F46" s="315">
        <f t="shared" si="3"/>
        <v>31</v>
      </c>
    </row>
    <row r="47" spans="1:6" ht="16" thickBot="1">
      <c r="A47" s="313">
        <f t="shared" si="2"/>
        <v>32</v>
      </c>
      <c r="B47" s="61" t="s">
        <v>452</v>
      </c>
      <c r="C47" s="294">
        <f>C25/12</f>
        <v>286.20035865173247</v>
      </c>
      <c r="D47" s="641" t="s">
        <v>439</v>
      </c>
      <c r="E47" s="97" t="str">
        <f>"Sum Lines "&amp;A33&amp;" thru "&amp;A45&amp;""</f>
        <v>Sum Lines 18 thru 30</v>
      </c>
      <c r="F47" s="315">
        <f t="shared" si="3"/>
        <v>32</v>
      </c>
    </row>
    <row r="48" spans="1:6" ht="16" thickTop="1">
      <c r="A48" s="313">
        <f t="shared" si="2"/>
        <v>33</v>
      </c>
      <c r="B48" s="61"/>
      <c r="C48" s="508"/>
      <c r="D48" s="684"/>
      <c r="E48" s="685"/>
      <c r="F48" s="315">
        <f t="shared" si="3"/>
        <v>33</v>
      </c>
    </row>
    <row r="49" spans="1:6">
      <c r="A49" s="313">
        <f t="shared" si="2"/>
        <v>34</v>
      </c>
      <c r="B49" s="95" t="s">
        <v>453</v>
      </c>
      <c r="C49" s="888">
        <v>12</v>
      </c>
      <c r="D49" s="686"/>
      <c r="E49" s="685"/>
      <c r="F49" s="315">
        <f t="shared" si="3"/>
        <v>34</v>
      </c>
    </row>
    <row r="50" spans="1:6">
      <c r="A50" s="313">
        <f t="shared" si="2"/>
        <v>35</v>
      </c>
      <c r="B50" s="61"/>
      <c r="C50" s="508"/>
      <c r="D50" s="684"/>
      <c r="E50" s="688"/>
      <c r="F50" s="315">
        <f t="shared" si="3"/>
        <v>35</v>
      </c>
    </row>
    <row r="51" spans="1:6" ht="16" thickBot="1">
      <c r="A51" s="313">
        <f t="shared" si="2"/>
        <v>36</v>
      </c>
      <c r="B51" s="95" t="str">
        <f>B25</f>
        <v>Total Citizens' Cycle 8 Annual Costs</v>
      </c>
      <c r="C51" s="704">
        <f>C47*C49</f>
        <v>3434.4043038207897</v>
      </c>
      <c r="D51" s="641" t="s">
        <v>439</v>
      </c>
      <c r="E51" s="97" t="str">
        <f>"Line "&amp;A47&amp;" x Line "&amp;A49</f>
        <v>Line 32 x Line 34</v>
      </c>
      <c r="F51" s="315">
        <f t="shared" si="3"/>
        <v>36</v>
      </c>
    </row>
    <row r="52" spans="1:6" ht="16.5" thickTop="1" thickBot="1">
      <c r="A52" s="313">
        <f t="shared" si="2"/>
        <v>37</v>
      </c>
      <c r="B52" s="656"/>
      <c r="C52" s="11"/>
      <c r="D52" s="705"/>
      <c r="E52" s="694"/>
      <c r="F52" s="315">
        <f t="shared" si="3"/>
        <v>37</v>
      </c>
    </row>
    <row r="55" spans="1:6">
      <c r="A55" s="641" t="s">
        <v>439</v>
      </c>
      <c r="B55" s="5" t="str">
        <f>'Pg2 App X C8 Comparison'!B57</f>
        <v>Items in BOLD have changed to correct the over-allocation of "Duplicate Charges (Company Energy Use)" Credit in FERC Account no. 929.</v>
      </c>
      <c r="C55" s="5"/>
    </row>
    <row r="56" spans="1:6">
      <c r="B56" s="91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1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54E-73E8-4770-954E-9F6F279AD87C}">
  <sheetPr>
    <pageSetUpPr fitToPage="1"/>
  </sheetPr>
  <dimension ref="A1:J57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77.1796875" style="6" customWidth="1"/>
    <col min="3" max="3" width="20.1796875" style="6" customWidth="1"/>
    <col min="4" max="4" width="1.6328125" style="6" customWidth="1"/>
    <col min="5" max="5" width="55.453125" style="6" customWidth="1"/>
    <col min="6" max="6" width="5.08984375" style="102" customWidth="1"/>
    <col min="7" max="16384" width="8.81640625" style="6"/>
  </cols>
  <sheetData>
    <row r="1" spans="1:8">
      <c r="A1" s="926" t="s">
        <v>738</v>
      </c>
    </row>
    <row r="3" spans="1:8">
      <c r="A3" s="628"/>
      <c r="B3" s="958" t="s">
        <v>0</v>
      </c>
      <c r="C3" s="958"/>
      <c r="D3" s="958"/>
      <c r="E3" s="958"/>
      <c r="F3" s="628"/>
    </row>
    <row r="4" spans="1:8">
      <c r="B4" s="958" t="s">
        <v>429</v>
      </c>
      <c r="C4" s="958"/>
      <c r="D4" s="958"/>
      <c r="E4" s="958"/>
      <c r="F4" s="106"/>
    </row>
    <row r="5" spans="1:8">
      <c r="B5" s="958" t="s">
        <v>21</v>
      </c>
      <c r="C5" s="958"/>
      <c r="D5" s="958"/>
      <c r="E5" s="958"/>
      <c r="F5" s="106"/>
    </row>
    <row r="6" spans="1:8">
      <c r="A6" s="628"/>
      <c r="B6" s="960" t="s">
        <v>456</v>
      </c>
      <c r="C6" s="960"/>
      <c r="D6" s="960"/>
      <c r="E6" s="960"/>
      <c r="F6" s="628"/>
    </row>
    <row r="7" spans="1:8">
      <c r="B7" s="959" t="s">
        <v>1</v>
      </c>
      <c r="C7" s="958"/>
      <c r="D7" s="958"/>
      <c r="E7" s="958"/>
      <c r="F7" s="106"/>
    </row>
    <row r="8" spans="1:8" ht="16" thickBot="1">
      <c r="A8" s="628"/>
      <c r="B8" s="90"/>
      <c r="C8" s="79"/>
      <c r="D8" s="656"/>
      <c r="E8" s="79"/>
      <c r="F8" s="628"/>
    </row>
    <row r="9" spans="1:8">
      <c r="A9" s="313" t="s">
        <v>2</v>
      </c>
      <c r="B9" s="502"/>
      <c r="C9" s="695" t="s">
        <v>22</v>
      </c>
      <c r="D9" s="90"/>
      <c r="E9" s="554"/>
      <c r="F9" s="315" t="s">
        <v>2</v>
      </c>
    </row>
    <row r="10" spans="1:8">
      <c r="A10" s="313" t="s">
        <v>3</v>
      </c>
      <c r="B10" s="92" t="s">
        <v>436</v>
      </c>
      <c r="C10" s="78" t="s">
        <v>23</v>
      </c>
      <c r="D10" s="555"/>
      <c r="E10" s="555" t="s">
        <v>5</v>
      </c>
      <c r="F10" s="315" t="s">
        <v>3</v>
      </c>
    </row>
    <row r="11" spans="1:8">
      <c r="A11" s="313"/>
      <c r="B11" s="503"/>
      <c r="C11" s="696"/>
      <c r="D11" s="638"/>
      <c r="E11" s="99"/>
      <c r="F11" s="315"/>
    </row>
    <row r="12" spans="1:8">
      <c r="A12" s="313">
        <v>1</v>
      </c>
      <c r="B12" s="93" t="s">
        <v>24</v>
      </c>
      <c r="C12" s="882">
        <v>62.686206847943446</v>
      </c>
      <c r="D12" s="639"/>
      <c r="E12" s="471" t="s">
        <v>457</v>
      </c>
      <c r="F12" s="315">
        <f>A12</f>
        <v>1</v>
      </c>
      <c r="H12" s="101"/>
    </row>
    <row r="13" spans="1:8">
      <c r="A13" s="313">
        <f>A12+1</f>
        <v>2</v>
      </c>
      <c r="B13" s="61"/>
      <c r="C13" s="883"/>
      <c r="D13" s="640"/>
      <c r="E13" s="90"/>
      <c r="F13" s="315">
        <f>F12+1</f>
        <v>2</v>
      </c>
    </row>
    <row r="14" spans="1:8">
      <c r="A14" s="313">
        <f t="shared" ref="A14:A27" si="0">A13+1</f>
        <v>3</v>
      </c>
      <c r="B14" s="93" t="s">
        <v>25</v>
      </c>
      <c r="C14" s="884">
        <v>1586.9401786689903</v>
      </c>
      <c r="D14" s="641" t="s">
        <v>439</v>
      </c>
      <c r="E14" s="471" t="s">
        <v>705</v>
      </c>
      <c r="F14" s="315">
        <f t="shared" ref="F14:F27" si="1">F13+1</f>
        <v>3</v>
      </c>
      <c r="H14" s="473"/>
    </row>
    <row r="15" spans="1:8">
      <c r="A15" s="313">
        <f t="shared" si="0"/>
        <v>4</v>
      </c>
      <c r="B15" s="61"/>
      <c r="C15" s="883"/>
      <c r="D15" s="640"/>
      <c r="E15" s="644"/>
      <c r="F15" s="315">
        <f t="shared" si="1"/>
        <v>4</v>
      </c>
    </row>
    <row r="16" spans="1:8">
      <c r="A16" s="313">
        <f t="shared" si="0"/>
        <v>5</v>
      </c>
      <c r="B16" s="64" t="s">
        <v>26</v>
      </c>
      <c r="C16" s="885">
        <v>786.61088461860368</v>
      </c>
      <c r="D16" s="645"/>
      <c r="E16" s="471" t="s">
        <v>458</v>
      </c>
      <c r="F16" s="315">
        <f t="shared" si="1"/>
        <v>5</v>
      </c>
      <c r="H16" s="473"/>
    </row>
    <row r="17" spans="1:10">
      <c r="A17" s="313">
        <f t="shared" si="0"/>
        <v>6</v>
      </c>
      <c r="B17" s="93"/>
      <c r="C17" s="883"/>
      <c r="D17" s="640"/>
      <c r="E17" s="646"/>
      <c r="F17" s="315">
        <f t="shared" si="1"/>
        <v>6</v>
      </c>
    </row>
    <row r="18" spans="1:10">
      <c r="A18" s="313">
        <f t="shared" si="0"/>
        <v>7</v>
      </c>
      <c r="B18" s="93" t="s">
        <v>27</v>
      </c>
      <c r="C18" s="883"/>
      <c r="D18" s="640"/>
      <c r="E18" s="646"/>
      <c r="F18" s="315">
        <f t="shared" si="1"/>
        <v>7</v>
      </c>
    </row>
    <row r="19" spans="1:10">
      <c r="A19" s="313">
        <f t="shared" si="0"/>
        <v>8</v>
      </c>
      <c r="B19" s="93"/>
      <c r="C19" s="883"/>
      <c r="D19" s="640"/>
      <c r="E19" s="647"/>
      <c r="F19" s="315">
        <f t="shared" si="1"/>
        <v>8</v>
      </c>
    </row>
    <row r="20" spans="1:10">
      <c r="A20" s="313">
        <f t="shared" si="0"/>
        <v>9</v>
      </c>
      <c r="B20" s="94" t="s">
        <v>28</v>
      </c>
      <c r="C20" s="884">
        <v>936.33591526585872</v>
      </c>
      <c r="D20" s="641" t="s">
        <v>439</v>
      </c>
      <c r="E20" s="97" t="s">
        <v>706</v>
      </c>
      <c r="F20" s="315">
        <f t="shared" si="1"/>
        <v>9</v>
      </c>
      <c r="H20" s="101"/>
    </row>
    <row r="21" spans="1:10">
      <c r="A21" s="313">
        <f t="shared" si="0"/>
        <v>10</v>
      </c>
      <c r="B21" s="94"/>
      <c r="C21" s="886"/>
      <c r="D21" s="116"/>
      <c r="E21" s="97"/>
      <c r="F21" s="315">
        <f t="shared" si="1"/>
        <v>10</v>
      </c>
    </row>
    <row r="22" spans="1:10">
      <c r="A22" s="313">
        <f t="shared" si="0"/>
        <v>11</v>
      </c>
      <c r="B22" s="93" t="s">
        <v>29</v>
      </c>
      <c r="C22" s="887"/>
      <c r="D22" s="649"/>
      <c r="E22" s="97"/>
      <c r="F22" s="315">
        <f t="shared" si="1"/>
        <v>11</v>
      </c>
    </row>
    <row r="23" spans="1:10">
      <c r="A23" s="313">
        <f t="shared" si="0"/>
        <v>12</v>
      </c>
      <c r="B23" s="64"/>
      <c r="C23" s="886"/>
      <c r="D23" s="116"/>
      <c r="E23" s="97"/>
      <c r="F23" s="315">
        <f t="shared" si="1"/>
        <v>12</v>
      </c>
    </row>
    <row r="24" spans="1:10">
      <c r="A24" s="313">
        <f t="shared" si="0"/>
        <v>13</v>
      </c>
      <c r="B24" s="94" t="s">
        <v>443</v>
      </c>
      <c r="C24" s="342">
        <v>59.690370497349754</v>
      </c>
      <c r="D24" s="128"/>
      <c r="E24" s="97" t="s">
        <v>459</v>
      </c>
      <c r="F24" s="315">
        <f t="shared" si="1"/>
        <v>13</v>
      </c>
      <c r="H24" s="473"/>
    </row>
    <row r="25" spans="1:10">
      <c r="A25" s="313">
        <f t="shared" si="0"/>
        <v>14</v>
      </c>
      <c r="B25" s="79"/>
      <c r="C25" s="504"/>
      <c r="D25" s="652"/>
      <c r="E25" s="97"/>
      <c r="F25" s="315">
        <f t="shared" si="1"/>
        <v>14</v>
      </c>
    </row>
    <row r="26" spans="1:10" ht="16" thickBot="1">
      <c r="A26" s="313">
        <f t="shared" si="0"/>
        <v>15</v>
      </c>
      <c r="B26" s="61" t="s">
        <v>445</v>
      </c>
      <c r="C26" s="697">
        <f>C12+C14+C16+C20+C24</f>
        <v>3432.2635558987454</v>
      </c>
      <c r="D26" s="641" t="s">
        <v>439</v>
      </c>
      <c r="E26" s="66" t="s">
        <v>460</v>
      </c>
      <c r="F26" s="315">
        <f t="shared" si="1"/>
        <v>15</v>
      </c>
      <c r="I26" s="101"/>
      <c r="J26" s="474"/>
    </row>
    <row r="27" spans="1:10" ht="16.5" thickTop="1" thickBot="1">
      <c r="A27" s="313">
        <f t="shared" si="0"/>
        <v>16</v>
      </c>
      <c r="B27" s="505"/>
      <c r="C27" s="698"/>
      <c r="D27" s="98"/>
      <c r="E27" s="656"/>
      <c r="F27" s="315">
        <f t="shared" si="1"/>
        <v>16</v>
      </c>
    </row>
    <row r="29" spans="1:10" ht="16" thickBot="1">
      <c r="A29" s="628"/>
      <c r="B29" s="194"/>
      <c r="C29" s="63"/>
      <c r="D29" s="657"/>
      <c r="E29" s="63"/>
      <c r="F29" s="628"/>
    </row>
    <row r="30" spans="1:10">
      <c r="A30" s="314"/>
      <c r="B30" s="506"/>
      <c r="C30" s="695"/>
      <c r="D30" s="90"/>
      <c r="E30" s="658"/>
      <c r="F30" s="316"/>
    </row>
    <row r="31" spans="1:10">
      <c r="A31" s="313" t="s">
        <v>2</v>
      </c>
      <c r="B31" s="62"/>
      <c r="C31" s="77" t="s">
        <v>22</v>
      </c>
      <c r="D31" s="90"/>
      <c r="E31" s="90"/>
      <c r="F31" s="315" t="s">
        <v>2</v>
      </c>
    </row>
    <row r="32" spans="1:10">
      <c r="A32" s="313" t="s">
        <v>3</v>
      </c>
      <c r="B32" s="92" t="s">
        <v>30</v>
      </c>
      <c r="C32" s="78" t="s">
        <v>23</v>
      </c>
      <c r="D32" s="555"/>
      <c r="E32" s="555" t="s">
        <v>5</v>
      </c>
      <c r="F32" s="315" t="s">
        <v>3</v>
      </c>
    </row>
    <row r="33" spans="1:6">
      <c r="A33" s="313">
        <f>A27+1</f>
        <v>17</v>
      </c>
      <c r="B33" s="61"/>
      <c r="C33" s="696"/>
      <c r="D33" s="638"/>
      <c r="E33" s="99"/>
      <c r="F33" s="315">
        <f>F27+1</f>
        <v>17</v>
      </c>
    </row>
    <row r="34" spans="1:6">
      <c r="A34" s="313">
        <f>A33+1</f>
        <v>18</v>
      </c>
      <c r="B34" s="93" t="str">
        <f>B12</f>
        <v>Section 1 - Direct Maintenance Expense Cost Component</v>
      </c>
      <c r="C34" s="699">
        <f>C12/12</f>
        <v>5.2238505706619538</v>
      </c>
      <c r="D34" s="660"/>
      <c r="E34" s="471" t="str">
        <f>"Line "&amp;A12&amp;" Above / 12 Months"</f>
        <v>Line 1 Above / 12 Months</v>
      </c>
      <c r="F34" s="315">
        <f>F33+1</f>
        <v>18</v>
      </c>
    </row>
    <row r="35" spans="1:6">
      <c r="A35" s="313">
        <f t="shared" ref="A35:A53" si="2">A34+1</f>
        <v>19</v>
      </c>
      <c r="B35" s="61"/>
      <c r="C35" s="700"/>
      <c r="D35" s="662"/>
      <c r="E35" s="83"/>
      <c r="F35" s="315">
        <f t="shared" ref="F35:F53" si="3">F34+1</f>
        <v>19</v>
      </c>
    </row>
    <row r="36" spans="1:6">
      <c r="A36" s="313">
        <f t="shared" si="2"/>
        <v>20</v>
      </c>
      <c r="B36" s="93" t="str">
        <f>B14</f>
        <v>Section 2 - Non-Direct Expense Cost Component</v>
      </c>
      <c r="C36" s="701">
        <f>C14/12</f>
        <v>132.24501488908251</v>
      </c>
      <c r="D36" s="641" t="s">
        <v>439</v>
      </c>
      <c r="E36" s="471" t="str">
        <f>"Line "&amp;A14&amp;" Above / 12 Months"</f>
        <v>Line 3 Above / 12 Months</v>
      </c>
      <c r="F36" s="315">
        <f t="shared" si="3"/>
        <v>20</v>
      </c>
    </row>
    <row r="37" spans="1:6">
      <c r="A37" s="313">
        <f t="shared" si="2"/>
        <v>21</v>
      </c>
      <c r="B37" s="61"/>
      <c r="C37" s="700"/>
      <c r="D37" s="662"/>
      <c r="E37" s="666"/>
      <c r="F37" s="315">
        <f t="shared" si="3"/>
        <v>21</v>
      </c>
    </row>
    <row r="38" spans="1:6">
      <c r="A38" s="313">
        <f t="shared" si="2"/>
        <v>22</v>
      </c>
      <c r="B38" s="93" t="str">
        <f>B16</f>
        <v>Section 3 - Cost Component Containing Other Specific Expenses</v>
      </c>
      <c r="C38" s="702">
        <f>C16/12</f>
        <v>65.550907051550311</v>
      </c>
      <c r="D38" s="668"/>
      <c r="E38" s="471" t="str">
        <f>"Line "&amp;A16&amp;" Above / 12 Months"</f>
        <v>Line 5 Above / 12 Months</v>
      </c>
      <c r="F38" s="315">
        <f t="shared" si="3"/>
        <v>22</v>
      </c>
    </row>
    <row r="39" spans="1:6">
      <c r="A39" s="313">
        <f t="shared" si="2"/>
        <v>23</v>
      </c>
      <c r="B39" s="61"/>
      <c r="C39" s="700"/>
      <c r="D39" s="662"/>
      <c r="E39" s="644"/>
      <c r="F39" s="315">
        <f t="shared" si="3"/>
        <v>23</v>
      </c>
    </row>
    <row r="40" spans="1:6">
      <c r="A40" s="313">
        <f t="shared" si="2"/>
        <v>24</v>
      </c>
      <c r="B40" s="93" t="str">
        <f>LEFT(B18,45)</f>
        <v>Section 4 - True-Up Adjustment Cost Component</v>
      </c>
      <c r="C40" s="700"/>
      <c r="D40" s="662"/>
      <c r="E40" s="669"/>
      <c r="F40" s="315">
        <f t="shared" si="3"/>
        <v>24</v>
      </c>
    </row>
    <row r="41" spans="1:6">
      <c r="A41" s="313">
        <f t="shared" si="2"/>
        <v>25</v>
      </c>
      <c r="B41" s="93"/>
      <c r="C41" s="700"/>
      <c r="D41" s="662"/>
      <c r="E41" s="669"/>
      <c r="F41" s="315">
        <f t="shared" si="3"/>
        <v>25</v>
      </c>
    </row>
    <row r="42" spans="1:6">
      <c r="A42" s="313">
        <f t="shared" si="2"/>
        <v>26</v>
      </c>
      <c r="B42" s="94" t="str">
        <f>B20</f>
        <v xml:space="preserve">   True-Up Adjustment derived in Cycle 8</v>
      </c>
      <c r="C42" s="701">
        <f>C20/12</f>
        <v>78.027992938821555</v>
      </c>
      <c r="D42" s="641" t="s">
        <v>439</v>
      </c>
      <c r="E42" s="471" t="str">
        <f>"Line "&amp;A20&amp;" Above / 12 Months"</f>
        <v>Line 9 Above / 12 Months</v>
      </c>
      <c r="F42" s="315">
        <f t="shared" si="3"/>
        <v>26</v>
      </c>
    </row>
    <row r="43" spans="1:6">
      <c r="A43" s="313">
        <f t="shared" si="2"/>
        <v>27</v>
      </c>
      <c r="B43" s="94"/>
      <c r="C43" s="507"/>
      <c r="D43" s="671"/>
      <c r="E43" s="97"/>
      <c r="F43" s="315">
        <f t="shared" si="3"/>
        <v>27</v>
      </c>
    </row>
    <row r="44" spans="1:6">
      <c r="A44" s="313">
        <f t="shared" si="2"/>
        <v>28</v>
      </c>
      <c r="B44" s="93" t="str">
        <f>B22</f>
        <v>Section 5 - Interest True-Up Adjustment Cost Component</v>
      </c>
      <c r="C44" s="507"/>
      <c r="D44" s="671"/>
      <c r="E44" s="672"/>
      <c r="F44" s="315">
        <f t="shared" si="3"/>
        <v>28</v>
      </c>
    </row>
    <row r="45" spans="1:6">
      <c r="A45" s="313">
        <f t="shared" si="2"/>
        <v>29</v>
      </c>
      <c r="B45" s="93"/>
      <c r="C45" s="507"/>
      <c r="D45" s="671"/>
      <c r="E45" s="672"/>
      <c r="F45" s="315">
        <f t="shared" si="3"/>
        <v>29</v>
      </c>
    </row>
    <row r="46" spans="1:6">
      <c r="A46" s="313">
        <f t="shared" si="2"/>
        <v>30</v>
      </c>
      <c r="B46" s="7" t="str">
        <f>B24</f>
        <v xml:space="preserve">   Cycle 7 Interest True-Up Adjustment</v>
      </c>
      <c r="C46" s="498">
        <f>C24/12</f>
        <v>4.9741975414458128</v>
      </c>
      <c r="D46" s="674"/>
      <c r="E46" s="471" t="str">
        <f>"Line "&amp;A24&amp;" Above / 12 Months"</f>
        <v>Line 13 Above / 12 Months</v>
      </c>
      <c r="F46" s="315">
        <f t="shared" si="3"/>
        <v>30</v>
      </c>
    </row>
    <row r="47" spans="1:6">
      <c r="A47" s="313">
        <f t="shared" si="2"/>
        <v>31</v>
      </c>
      <c r="B47" s="61"/>
      <c r="C47" s="703"/>
      <c r="D47" s="678"/>
      <c r="E47" s="90"/>
      <c r="F47" s="315">
        <f t="shared" si="3"/>
        <v>31</v>
      </c>
    </row>
    <row r="48" spans="1:6" ht="16" thickBot="1">
      <c r="A48" s="313">
        <f t="shared" si="2"/>
        <v>32</v>
      </c>
      <c r="B48" s="61" t="s">
        <v>452</v>
      </c>
      <c r="C48" s="294">
        <f>C34+C36+C38+C42+C46</f>
        <v>286.02196299156213</v>
      </c>
      <c r="D48" s="641" t="s">
        <v>439</v>
      </c>
      <c r="E48" s="97" t="str">
        <f>"Sum Lines "&amp;A34&amp;" thru "&amp;A46&amp;""</f>
        <v>Sum Lines 18 thru 30</v>
      </c>
      <c r="F48" s="315">
        <f t="shared" si="3"/>
        <v>32</v>
      </c>
    </row>
    <row r="49" spans="1:6" ht="16" thickTop="1">
      <c r="A49" s="313">
        <f t="shared" si="2"/>
        <v>33</v>
      </c>
      <c r="B49" s="61"/>
      <c r="C49" s="508"/>
      <c r="D49" s="684"/>
      <c r="E49" s="685"/>
      <c r="F49" s="315">
        <f t="shared" si="3"/>
        <v>33</v>
      </c>
    </row>
    <row r="50" spans="1:6">
      <c r="A50" s="313">
        <f t="shared" si="2"/>
        <v>34</v>
      </c>
      <c r="B50" s="95" t="s">
        <v>453</v>
      </c>
      <c r="C50" s="888">
        <v>12</v>
      </c>
      <c r="D50" s="686"/>
      <c r="E50" s="685"/>
      <c r="F50" s="315">
        <f t="shared" si="3"/>
        <v>34</v>
      </c>
    </row>
    <row r="51" spans="1:6">
      <c r="A51" s="313">
        <f t="shared" si="2"/>
        <v>35</v>
      </c>
      <c r="B51" s="61"/>
      <c r="C51" s="508"/>
      <c r="D51" s="684"/>
      <c r="E51" s="688"/>
      <c r="F51" s="315">
        <f t="shared" si="3"/>
        <v>35</v>
      </c>
    </row>
    <row r="52" spans="1:6" ht="16" thickBot="1">
      <c r="A52" s="313">
        <f t="shared" si="2"/>
        <v>36</v>
      </c>
      <c r="B52" s="95" t="str">
        <f>B26</f>
        <v>Total Citizens' Cycle 8 Annual Costs</v>
      </c>
      <c r="C52" s="704">
        <f>C48*C50</f>
        <v>3432.2635558987458</v>
      </c>
      <c r="D52" s="641" t="s">
        <v>439</v>
      </c>
      <c r="E52" s="97" t="str">
        <f>"Line "&amp;A48&amp;" x Line "&amp;A50</f>
        <v>Line 32 x Line 34</v>
      </c>
      <c r="F52" s="315">
        <f t="shared" si="3"/>
        <v>36</v>
      </c>
    </row>
    <row r="53" spans="1:6" ht="16.5" thickTop="1" thickBot="1">
      <c r="A53" s="313">
        <f t="shared" si="2"/>
        <v>37</v>
      </c>
      <c r="B53" s="656"/>
      <c r="C53" s="11"/>
      <c r="D53" s="705"/>
      <c r="E53" s="694"/>
      <c r="F53" s="315">
        <f t="shared" si="3"/>
        <v>37</v>
      </c>
    </row>
    <row r="56" spans="1:6">
      <c r="A56" s="641" t="s">
        <v>439</v>
      </c>
      <c r="B56" s="5" t="s">
        <v>709</v>
      </c>
      <c r="C56" s="5"/>
    </row>
    <row r="57" spans="1:6">
      <c r="B57" s="91"/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58" orientation="portrait" r:id="rId1"/>
  <headerFooter scaleWithDoc="0" alignWithMargins="0">
    <oddHeader>&amp;C&amp;"Times New Roman,Bold"&amp;7AS FILED SUMMARY WITH COST ADJ INCL IN APPENDIX X CYCLE 12 (ER24-176)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38B1-A0C7-4117-B2C5-165A2A900AA3}">
  <dimension ref="A1:J244"/>
  <sheetViews>
    <sheetView zoomScale="80" zoomScaleNormal="80" workbookViewId="0"/>
  </sheetViews>
  <sheetFormatPr defaultColWidth="8.81640625" defaultRowHeight="15.5"/>
  <cols>
    <col min="1" max="1" width="5.1796875" style="111" customWidth="1"/>
    <col min="2" max="2" width="96" style="6" customWidth="1"/>
    <col min="3" max="3" width="10.453125" style="6" customWidth="1"/>
    <col min="4" max="4" width="1.54296875" style="6" customWidth="1"/>
    <col min="5" max="5" width="20.6328125" style="6" customWidth="1"/>
    <col min="6" max="6" width="1.54296875" style="6" customWidth="1"/>
    <col min="7" max="7" width="53.54296875" style="6" customWidth="1"/>
    <col min="8" max="8" width="5.1796875" style="102" customWidth="1"/>
    <col min="9" max="9" width="8.81640625" style="6"/>
    <col min="10" max="10" width="9.81640625" style="6" bestFit="1" customWidth="1"/>
    <col min="11" max="16384" width="8.81640625" style="6"/>
  </cols>
  <sheetData>
    <row r="1" spans="1:8">
      <c r="A1" s="317"/>
      <c r="B1" s="14"/>
      <c r="C1" s="14"/>
      <c r="D1" s="14"/>
      <c r="E1" s="51"/>
      <c r="F1" s="51"/>
      <c r="G1" s="51"/>
      <c r="H1" s="312"/>
    </row>
    <row r="2" spans="1:8">
      <c r="B2" s="961" t="s">
        <v>0</v>
      </c>
      <c r="C2" s="961"/>
      <c r="D2" s="961"/>
      <c r="E2" s="961"/>
      <c r="F2" s="961"/>
      <c r="G2" s="961"/>
      <c r="H2" s="317"/>
    </row>
    <row r="3" spans="1:8">
      <c r="B3" s="961" t="s">
        <v>31</v>
      </c>
      <c r="C3" s="961"/>
      <c r="D3" s="961"/>
      <c r="E3" s="961"/>
      <c r="F3" s="961"/>
      <c r="G3" s="961"/>
      <c r="H3" s="317"/>
    </row>
    <row r="4" spans="1:8">
      <c r="B4" s="961" t="s">
        <v>37</v>
      </c>
      <c r="C4" s="961"/>
      <c r="D4" s="961"/>
      <c r="E4" s="961"/>
      <c r="F4" s="961"/>
      <c r="G4" s="961"/>
      <c r="H4" s="317"/>
    </row>
    <row r="5" spans="1:8">
      <c r="B5" s="962" t="s">
        <v>464</v>
      </c>
      <c r="C5" s="962"/>
      <c r="D5" s="962"/>
      <c r="E5" s="962"/>
      <c r="F5" s="962"/>
      <c r="G5" s="962"/>
      <c r="H5" s="317"/>
    </row>
    <row r="6" spans="1:8">
      <c r="B6" s="964" t="s">
        <v>1</v>
      </c>
      <c r="C6" s="964"/>
      <c r="D6" s="964"/>
      <c r="E6" s="964"/>
      <c r="F6" s="964"/>
      <c r="G6" s="964"/>
      <c r="H6" s="311"/>
    </row>
    <row r="7" spans="1:8">
      <c r="A7" s="318"/>
      <c r="B7" s="13"/>
      <c r="C7" s="13"/>
      <c r="D7" s="13"/>
      <c r="E7" s="13"/>
      <c r="F7" s="13"/>
      <c r="G7" s="51"/>
      <c r="H7" s="312"/>
    </row>
    <row r="8" spans="1:8">
      <c r="A8" s="319" t="s">
        <v>2</v>
      </c>
      <c r="B8" s="14"/>
      <c r="C8" s="14"/>
      <c r="D8" s="14"/>
      <c r="E8" s="13"/>
      <c r="F8" s="13"/>
      <c r="G8" s="14"/>
      <c r="H8" s="319" t="s">
        <v>2</v>
      </c>
    </row>
    <row r="9" spans="1:8">
      <c r="A9" s="319" t="s">
        <v>3</v>
      </c>
      <c r="B9" s="14"/>
      <c r="C9" s="14"/>
      <c r="D9" s="14"/>
      <c r="E9" s="308" t="s">
        <v>32</v>
      </c>
      <c r="F9" s="18"/>
      <c r="G9" s="308" t="s">
        <v>5</v>
      </c>
      <c r="H9" s="319" t="s">
        <v>3</v>
      </c>
    </row>
    <row r="10" spans="1:8">
      <c r="A10" s="319"/>
      <c r="B10" s="14"/>
      <c r="C10" s="14"/>
      <c r="D10" s="14"/>
      <c r="E10" s="13"/>
      <c r="F10" s="18"/>
      <c r="G10" s="13"/>
      <c r="H10" s="319"/>
    </row>
    <row r="11" spans="1:8">
      <c r="A11" s="319">
        <v>1</v>
      </c>
      <c r="B11" s="16" t="s">
        <v>38</v>
      </c>
      <c r="C11" s="16"/>
      <c r="D11" s="16"/>
      <c r="E11" s="51"/>
      <c r="F11" s="51"/>
      <c r="G11" s="13"/>
      <c r="H11" s="319">
        <f>A11</f>
        <v>1</v>
      </c>
    </row>
    <row r="12" spans="1:8">
      <c r="A12" s="319">
        <f>A11+1</f>
        <v>2</v>
      </c>
      <c r="B12" s="17" t="s">
        <v>39</v>
      </c>
      <c r="C12" s="25"/>
      <c r="D12" s="25"/>
      <c r="E12" s="343">
        <f>E61</f>
        <v>5.531618912384577E-3</v>
      </c>
      <c r="F12" s="641"/>
      <c r="G12" s="12" t="s">
        <v>593</v>
      </c>
      <c r="H12" s="319">
        <f>H11+1</f>
        <v>2</v>
      </c>
    </row>
    <row r="13" spans="1:8">
      <c r="A13" s="319">
        <f t="shared" ref="A13:A41" si="0">A12+1</f>
        <v>3</v>
      </c>
      <c r="B13" s="14"/>
      <c r="C13" s="321"/>
      <c r="D13" s="321"/>
      <c r="E13" s="344"/>
      <c r="F13" s="18"/>
      <c r="G13" s="12"/>
      <c r="H13" s="319">
        <f t="shared" ref="H13:H41" si="1">H12+1</f>
        <v>3</v>
      </c>
    </row>
    <row r="14" spans="1:8">
      <c r="A14" s="319">
        <f t="shared" si="0"/>
        <v>4</v>
      </c>
      <c r="B14" s="17" t="s">
        <v>40</v>
      </c>
      <c r="C14" s="25"/>
      <c r="D14" s="25"/>
      <c r="E14" s="345">
        <f>E65</f>
        <v>1.0009530188257638E-3</v>
      </c>
      <c r="F14" s="299"/>
      <c r="G14" s="12" t="s">
        <v>594</v>
      </c>
      <c r="H14" s="319">
        <f t="shared" si="1"/>
        <v>4</v>
      </c>
    </row>
    <row r="15" spans="1:8">
      <c r="A15" s="319">
        <f t="shared" si="0"/>
        <v>5</v>
      </c>
      <c r="B15" s="14"/>
      <c r="C15" s="321"/>
      <c r="D15" s="321"/>
      <c r="E15" s="344"/>
      <c r="F15" s="18"/>
      <c r="G15" s="12"/>
      <c r="H15" s="319">
        <f t="shared" si="1"/>
        <v>5</v>
      </c>
    </row>
    <row r="16" spans="1:8">
      <c r="A16" s="319">
        <f t="shared" si="0"/>
        <v>6</v>
      </c>
      <c r="B16" s="17" t="s">
        <v>41</v>
      </c>
      <c r="C16" s="25"/>
      <c r="D16" s="25"/>
      <c r="E16" s="343">
        <f>E72</f>
        <v>6.3288841870631687E-3</v>
      </c>
      <c r="F16" s="298"/>
      <c r="G16" s="12" t="s">
        <v>526</v>
      </c>
      <c r="H16" s="319">
        <f t="shared" si="1"/>
        <v>6</v>
      </c>
    </row>
    <row r="17" spans="1:8">
      <c r="A17" s="319">
        <f t="shared" si="0"/>
        <v>7</v>
      </c>
      <c r="B17" s="51"/>
      <c r="C17" s="318"/>
      <c r="D17" s="318"/>
      <c r="E17" s="346"/>
      <c r="F17" s="300"/>
      <c r="G17" s="12"/>
      <c r="H17" s="319">
        <f t="shared" si="1"/>
        <v>7</v>
      </c>
    </row>
    <row r="18" spans="1:8">
      <c r="A18" s="319">
        <f t="shared" si="0"/>
        <v>8</v>
      </c>
      <c r="B18" s="17" t="s">
        <v>42</v>
      </c>
      <c r="C18" s="25"/>
      <c r="D18" s="25"/>
      <c r="E18" s="343">
        <f>E77</f>
        <v>2.4207292142132094E-4</v>
      </c>
      <c r="F18" s="298"/>
      <c r="G18" s="12" t="s">
        <v>595</v>
      </c>
      <c r="H18" s="319">
        <f t="shared" si="1"/>
        <v>8</v>
      </c>
    </row>
    <row r="19" spans="1:8">
      <c r="A19" s="319">
        <f t="shared" si="0"/>
        <v>9</v>
      </c>
      <c r="B19" s="14"/>
      <c r="C19" s="321"/>
      <c r="D19" s="321"/>
      <c r="E19" s="344"/>
      <c r="F19" s="18"/>
      <c r="G19" s="12"/>
      <c r="H19" s="319">
        <f t="shared" si="1"/>
        <v>9</v>
      </c>
    </row>
    <row r="20" spans="1:8">
      <c r="A20" s="319">
        <f t="shared" si="0"/>
        <v>10</v>
      </c>
      <c r="B20" s="17" t="s">
        <v>43</v>
      </c>
      <c r="C20" s="25"/>
      <c r="D20" s="25"/>
      <c r="E20" s="343">
        <f>E80</f>
        <v>3.9703474926304433E-3</v>
      </c>
      <c r="F20" s="298"/>
      <c r="G20" s="12" t="s">
        <v>536</v>
      </c>
      <c r="H20" s="319">
        <f t="shared" si="1"/>
        <v>10</v>
      </c>
    </row>
    <row r="21" spans="1:8">
      <c r="A21" s="319">
        <f t="shared" si="0"/>
        <v>11</v>
      </c>
      <c r="B21" s="14"/>
      <c r="C21" s="321"/>
      <c r="D21" s="321"/>
      <c r="E21" s="344"/>
      <c r="F21" s="18"/>
      <c r="G21" s="12"/>
      <c r="H21" s="319">
        <f t="shared" si="1"/>
        <v>11</v>
      </c>
    </row>
    <row r="22" spans="1:8">
      <c r="A22" s="319">
        <f t="shared" si="0"/>
        <v>12</v>
      </c>
      <c r="B22" s="17" t="s">
        <v>44</v>
      </c>
      <c r="C22" s="25"/>
      <c r="D22" s="25"/>
      <c r="E22" s="347">
        <v>0</v>
      </c>
      <c r="F22" s="18"/>
      <c r="G22" s="12" t="s">
        <v>45</v>
      </c>
      <c r="H22" s="319">
        <f t="shared" si="1"/>
        <v>12</v>
      </c>
    </row>
    <row r="23" spans="1:8">
      <c r="A23" s="319">
        <f t="shared" si="0"/>
        <v>13</v>
      </c>
      <c r="B23" s="14"/>
      <c r="C23" s="321"/>
      <c r="D23" s="321"/>
      <c r="E23" s="344"/>
      <c r="F23" s="18"/>
      <c r="G23" s="12"/>
      <c r="H23" s="319">
        <f t="shared" si="1"/>
        <v>13</v>
      </c>
    </row>
    <row r="24" spans="1:8">
      <c r="A24" s="319">
        <f t="shared" si="0"/>
        <v>14</v>
      </c>
      <c r="B24" s="17" t="s">
        <v>46</v>
      </c>
      <c r="C24" s="25"/>
      <c r="D24" s="25"/>
      <c r="E24" s="348">
        <v>0</v>
      </c>
      <c r="F24" s="18"/>
      <c r="G24" s="12" t="s">
        <v>45</v>
      </c>
      <c r="H24" s="319">
        <f t="shared" si="1"/>
        <v>14</v>
      </c>
    </row>
    <row r="25" spans="1:8">
      <c r="A25" s="319">
        <f t="shared" si="0"/>
        <v>15</v>
      </c>
      <c r="B25" s="14"/>
      <c r="C25" s="321"/>
      <c r="D25" s="321"/>
      <c r="E25" s="344"/>
      <c r="F25" s="18"/>
      <c r="G25" s="12"/>
      <c r="H25" s="319">
        <f t="shared" si="1"/>
        <v>15</v>
      </c>
    </row>
    <row r="26" spans="1:8">
      <c r="A26" s="319">
        <f t="shared" si="0"/>
        <v>16</v>
      </c>
      <c r="B26" s="17" t="s">
        <v>47</v>
      </c>
      <c r="C26" s="25"/>
      <c r="D26" s="25"/>
      <c r="E26" s="347">
        <v>0</v>
      </c>
      <c r="F26" s="18"/>
      <c r="G26" s="12" t="s">
        <v>45</v>
      </c>
      <c r="H26" s="319">
        <f t="shared" si="1"/>
        <v>16</v>
      </c>
    </row>
    <row r="27" spans="1:8">
      <c r="A27" s="319">
        <f t="shared" si="0"/>
        <v>17</v>
      </c>
      <c r="B27" s="14"/>
      <c r="C27" s="321"/>
      <c r="D27" s="321"/>
      <c r="E27" s="344"/>
      <c r="F27" s="18"/>
      <c r="G27" s="12"/>
      <c r="H27" s="319">
        <f t="shared" si="1"/>
        <v>17</v>
      </c>
    </row>
    <row r="28" spans="1:8">
      <c r="A28" s="319">
        <f t="shared" si="0"/>
        <v>18</v>
      </c>
      <c r="B28" s="17" t="s">
        <v>48</v>
      </c>
      <c r="C28" s="25"/>
      <c r="D28" s="25"/>
      <c r="E28" s="509">
        <f>E93</f>
        <v>1.3705554757070804E-3</v>
      </c>
      <c r="F28" s="298"/>
      <c r="G28" s="12" t="s">
        <v>596</v>
      </c>
      <c r="H28" s="319">
        <f t="shared" si="1"/>
        <v>18</v>
      </c>
    </row>
    <row r="29" spans="1:8">
      <c r="A29" s="319">
        <f t="shared" si="0"/>
        <v>19</v>
      </c>
      <c r="B29" s="19"/>
      <c r="C29" s="349"/>
      <c r="D29" s="349"/>
      <c r="E29" s="510"/>
      <c r="F29" s="49"/>
      <c r="G29" s="12"/>
      <c r="H29" s="319">
        <f t="shared" si="1"/>
        <v>19</v>
      </c>
    </row>
    <row r="30" spans="1:8">
      <c r="A30" s="319">
        <f t="shared" si="0"/>
        <v>20</v>
      </c>
      <c r="B30" s="17" t="s">
        <v>49</v>
      </c>
      <c r="C30" s="25"/>
      <c r="D30" s="25"/>
      <c r="E30" s="350">
        <f>SUM(E12:E28)</f>
        <v>1.8444432008032353E-2</v>
      </c>
      <c r="F30" s="641"/>
      <c r="G30" s="12" t="s">
        <v>597</v>
      </c>
      <c r="H30" s="319">
        <f t="shared" si="1"/>
        <v>20</v>
      </c>
    </row>
    <row r="31" spans="1:8">
      <c r="A31" s="319">
        <f t="shared" si="0"/>
        <v>21</v>
      </c>
      <c r="B31" s="14"/>
      <c r="C31" s="321"/>
      <c r="D31" s="321"/>
      <c r="E31" s="351"/>
      <c r="F31" s="20"/>
      <c r="G31" s="12"/>
      <c r="H31" s="319">
        <f t="shared" si="1"/>
        <v>21</v>
      </c>
    </row>
    <row r="32" spans="1:8">
      <c r="A32" s="319">
        <f t="shared" si="0"/>
        <v>22</v>
      </c>
      <c r="B32" s="51" t="s">
        <v>36</v>
      </c>
      <c r="C32" s="352">
        <v>1.0277E-2</v>
      </c>
      <c r="D32" s="321"/>
      <c r="E32" s="511">
        <f>E30*C32</f>
        <v>1.8955342774654849E-4</v>
      </c>
      <c r="F32" s="268"/>
      <c r="G32" s="12" t="s">
        <v>598</v>
      </c>
      <c r="H32" s="319">
        <f t="shared" si="1"/>
        <v>22</v>
      </c>
    </row>
    <row r="33" spans="1:8">
      <c r="A33" s="319">
        <f t="shared" si="0"/>
        <v>23</v>
      </c>
      <c r="B33" s="14"/>
      <c r="C33" s="321"/>
      <c r="D33" s="321"/>
      <c r="E33" s="512"/>
      <c r="F33" s="48"/>
      <c r="G33" s="12"/>
      <c r="H33" s="319">
        <f t="shared" si="1"/>
        <v>23</v>
      </c>
    </row>
    <row r="34" spans="1:8" ht="16" thickBot="1">
      <c r="A34" s="319">
        <f t="shared" si="0"/>
        <v>24</v>
      </c>
      <c r="B34" s="14" t="s">
        <v>50</v>
      </c>
      <c r="C34" s="321"/>
      <c r="D34" s="321"/>
      <c r="E34" s="513">
        <f>E30+E32</f>
        <v>1.8633985435778901E-2</v>
      </c>
      <c r="F34" s="641"/>
      <c r="G34" s="12" t="s">
        <v>599</v>
      </c>
      <c r="H34" s="319">
        <f t="shared" si="1"/>
        <v>24</v>
      </c>
    </row>
    <row r="35" spans="1:8" ht="16" thickTop="1">
      <c r="A35" s="319">
        <f t="shared" si="0"/>
        <v>25</v>
      </c>
      <c r="B35" s="51"/>
      <c r="C35" s="318"/>
      <c r="D35" s="318"/>
      <c r="E35" s="321"/>
      <c r="F35" s="14"/>
      <c r="G35" s="14"/>
      <c r="H35" s="319">
        <f t="shared" si="1"/>
        <v>25</v>
      </c>
    </row>
    <row r="36" spans="1:8">
      <c r="A36" s="319">
        <f t="shared" si="0"/>
        <v>26</v>
      </c>
      <c r="B36" s="16" t="s">
        <v>51</v>
      </c>
      <c r="C36" s="353"/>
      <c r="D36" s="353"/>
      <c r="E36" s="318"/>
      <c r="F36" s="51"/>
      <c r="G36" s="14"/>
      <c r="H36" s="319">
        <f t="shared" si="1"/>
        <v>26</v>
      </c>
    </row>
    <row r="37" spans="1:8">
      <c r="A37" s="319">
        <f t="shared" si="0"/>
        <v>27</v>
      </c>
      <c r="B37" s="17" t="s">
        <v>52</v>
      </c>
      <c r="C37" s="25"/>
      <c r="D37" s="25"/>
      <c r="E37" s="175">
        <v>85194</v>
      </c>
      <c r="F37" s="18"/>
      <c r="G37" s="12" t="s">
        <v>53</v>
      </c>
      <c r="H37" s="319">
        <f t="shared" si="1"/>
        <v>27</v>
      </c>
    </row>
    <row r="38" spans="1:8">
      <c r="A38" s="319">
        <f t="shared" si="0"/>
        <v>28</v>
      </c>
      <c r="B38" s="17"/>
      <c r="C38" s="25"/>
      <c r="D38" s="25"/>
      <c r="E38" s="25"/>
      <c r="F38" s="17"/>
      <c r="G38" s="12"/>
      <c r="H38" s="319">
        <f t="shared" si="1"/>
        <v>28</v>
      </c>
    </row>
    <row r="39" spans="1:8">
      <c r="A39" s="319">
        <f t="shared" si="0"/>
        <v>29</v>
      </c>
      <c r="B39" s="17" t="s">
        <v>54</v>
      </c>
      <c r="C39" s="25"/>
      <c r="D39" s="25"/>
      <c r="E39" s="350">
        <f>+E34</f>
        <v>1.8633985435778901E-2</v>
      </c>
      <c r="F39" s="641"/>
      <c r="G39" s="12" t="s">
        <v>600</v>
      </c>
      <c r="H39" s="319">
        <f t="shared" si="1"/>
        <v>29</v>
      </c>
    </row>
    <row r="40" spans="1:8">
      <c r="A40" s="319">
        <f t="shared" si="0"/>
        <v>30</v>
      </c>
      <c r="B40" s="14"/>
      <c r="C40" s="321"/>
      <c r="D40" s="321"/>
      <c r="E40" s="514"/>
      <c r="F40" s="305"/>
      <c r="G40" s="12"/>
      <c r="H40" s="319">
        <f t="shared" si="1"/>
        <v>30</v>
      </c>
    </row>
    <row r="41" spans="1:8" ht="16" thickBot="1">
      <c r="A41" s="319">
        <f t="shared" si="0"/>
        <v>31</v>
      </c>
      <c r="B41" s="14" t="s">
        <v>55</v>
      </c>
      <c r="C41" s="25"/>
      <c r="D41" s="25"/>
      <c r="E41" s="830">
        <f>E37*E39</f>
        <v>1587.5037552157478</v>
      </c>
      <c r="F41" s="641" t="s">
        <v>439</v>
      </c>
      <c r="G41" s="12" t="s">
        <v>601</v>
      </c>
      <c r="H41" s="319">
        <f t="shared" si="1"/>
        <v>31</v>
      </c>
    </row>
    <row r="42" spans="1:8" ht="16" thickTop="1">
      <c r="A42" s="319"/>
      <c r="B42" s="14"/>
      <c r="C42" s="17"/>
      <c r="D42" s="17"/>
      <c r="E42" s="341"/>
      <c r="F42" s="306"/>
      <c r="G42" s="12"/>
      <c r="H42" s="319"/>
    </row>
    <row r="43" spans="1:8">
      <c r="A43" s="319"/>
      <c r="B43" s="14"/>
      <c r="C43" s="17"/>
      <c r="D43" s="17"/>
      <c r="E43" s="341"/>
      <c r="F43" s="306"/>
      <c r="G43" s="12"/>
      <c r="H43" s="319"/>
    </row>
    <row r="44" spans="1:8">
      <c r="A44" s="641" t="s">
        <v>439</v>
      </c>
      <c r="B44" s="5" t="str">
        <f>'Pg2 App X C8 Comparison'!B57</f>
        <v>Items in BOLD have changed to correct the over-allocation of "Duplicate Charges (Company Energy Use)" Credit in FERC Account no. 929.</v>
      </c>
      <c r="C44" s="17"/>
      <c r="D44" s="17"/>
      <c r="E44" s="341"/>
      <c r="F44" s="306"/>
      <c r="G44" s="12"/>
      <c r="H44" s="319"/>
    </row>
    <row r="45" spans="1:8">
      <c r="A45" s="318"/>
      <c r="B45" s="14"/>
      <c r="C45" s="14"/>
      <c r="D45" s="14"/>
      <c r="E45" s="19"/>
      <c r="F45" s="19"/>
      <c r="G45" s="51"/>
      <c r="H45" s="312"/>
    </row>
    <row r="46" spans="1:8">
      <c r="A46" s="318"/>
      <c r="B46" s="14"/>
      <c r="C46" s="14"/>
      <c r="D46" s="14"/>
      <c r="E46" s="19"/>
      <c r="F46" s="19"/>
      <c r="G46" s="51"/>
      <c r="H46" s="312"/>
    </row>
    <row r="47" spans="1:8">
      <c r="B47" s="963" t="s">
        <v>56</v>
      </c>
      <c r="C47" s="963"/>
      <c r="D47" s="963"/>
      <c r="E47" s="963"/>
      <c r="F47" s="963"/>
      <c r="G47" s="963"/>
      <c r="H47" s="322"/>
    </row>
    <row r="48" spans="1:8">
      <c r="B48" s="961" t="s">
        <v>31</v>
      </c>
      <c r="C48" s="961"/>
      <c r="D48" s="961"/>
      <c r="E48" s="961"/>
      <c r="F48" s="961"/>
      <c r="G48" s="961"/>
      <c r="H48" s="321"/>
    </row>
    <row r="49" spans="1:10">
      <c r="B49" s="961" t="s">
        <v>37</v>
      </c>
      <c r="C49" s="961"/>
      <c r="D49" s="961"/>
      <c r="E49" s="961"/>
      <c r="F49" s="961"/>
      <c r="G49" s="961"/>
      <c r="H49" s="321"/>
    </row>
    <row r="50" spans="1:10">
      <c r="B50" s="962" t="str">
        <f>B5</f>
        <v>Base Period &amp; True-Up Period 12 - Months Ending December 31, 2018</v>
      </c>
      <c r="C50" s="962"/>
      <c r="D50" s="962"/>
      <c r="E50" s="962"/>
      <c r="F50" s="962"/>
      <c r="G50" s="962"/>
      <c r="H50" s="321"/>
    </row>
    <row r="51" spans="1:10">
      <c r="B51" s="958" t="s">
        <v>1</v>
      </c>
      <c r="C51" s="958"/>
      <c r="D51" s="958"/>
      <c r="E51" s="958"/>
      <c r="F51" s="958"/>
      <c r="G51" s="958"/>
      <c r="H51" s="107"/>
    </row>
    <row r="52" spans="1:10">
      <c r="A52" s="320"/>
      <c r="B52" s="14"/>
      <c r="C52" s="14"/>
      <c r="D52" s="14"/>
      <c r="E52" s="14"/>
      <c r="F52" s="14"/>
      <c r="G52" s="14"/>
      <c r="H52" s="312"/>
    </row>
    <row r="53" spans="1:10">
      <c r="A53" s="319" t="s">
        <v>2</v>
      </c>
      <c r="B53" s="14"/>
      <c r="C53" s="14"/>
      <c r="D53" s="14"/>
      <c r="E53" s="13"/>
      <c r="F53" s="13"/>
      <c r="G53" s="14"/>
      <c r="H53" s="319" t="s">
        <v>2</v>
      </c>
    </row>
    <row r="54" spans="1:10">
      <c r="A54" s="319" t="s">
        <v>3</v>
      </c>
      <c r="B54" s="14"/>
      <c r="C54" s="14"/>
      <c r="D54" s="14"/>
      <c r="E54" s="308" t="s">
        <v>32</v>
      </c>
      <c r="F54" s="12"/>
      <c r="G54" s="308" t="s">
        <v>5</v>
      </c>
      <c r="H54" s="319" t="s">
        <v>3</v>
      </c>
    </row>
    <row r="55" spans="1:10">
      <c r="A55" s="319"/>
      <c r="B55" s="14"/>
      <c r="C55" s="14"/>
      <c r="D55" s="14"/>
      <c r="E55" s="13"/>
      <c r="F55" s="13"/>
      <c r="G55" s="14"/>
      <c r="H55" s="319"/>
    </row>
    <row r="56" spans="1:10">
      <c r="A56" s="319">
        <v>1</v>
      </c>
      <c r="B56" s="21" t="s">
        <v>57</v>
      </c>
      <c r="C56" s="21"/>
      <c r="D56" s="21"/>
      <c r="E56" s="354">
        <v>5762981.7698807688</v>
      </c>
      <c r="F56" s="641"/>
      <c r="G56" s="12" t="s">
        <v>673</v>
      </c>
      <c r="H56" s="319">
        <f>A56</f>
        <v>1</v>
      </c>
    </row>
    <row r="57" spans="1:10">
      <c r="A57" s="319">
        <f>A56+1</f>
        <v>2</v>
      </c>
      <c r="B57" s="14"/>
      <c r="C57" s="14"/>
      <c r="D57" s="14"/>
      <c r="E57" s="317"/>
      <c r="F57" s="13"/>
      <c r="G57" s="14"/>
      <c r="H57" s="319">
        <f>H56+1</f>
        <v>2</v>
      </c>
    </row>
    <row r="58" spans="1:10">
      <c r="A58" s="319">
        <f t="shared" ref="A58:A93" si="2">A57+1</f>
        <v>3</v>
      </c>
      <c r="B58" s="16" t="s">
        <v>58</v>
      </c>
      <c r="C58" s="16"/>
      <c r="D58" s="16"/>
      <c r="E58" s="355"/>
      <c r="F58" s="22"/>
      <c r="G58" s="14"/>
      <c r="H58" s="319">
        <f t="shared" ref="H58:H93" si="3">H57+1</f>
        <v>3</v>
      </c>
    </row>
    <row r="59" spans="1:10">
      <c r="A59" s="319">
        <f t="shared" si="2"/>
        <v>4</v>
      </c>
      <c r="B59" s="17" t="s">
        <v>59</v>
      </c>
      <c r="C59" s="17"/>
      <c r="D59" s="17"/>
      <c r="E59" s="905">
        <v>31878.618950000004</v>
      </c>
      <c r="F59" s="641"/>
      <c r="G59" s="12" t="s">
        <v>674</v>
      </c>
      <c r="H59" s="319">
        <f t="shared" si="3"/>
        <v>4</v>
      </c>
      <c r="J59" s="340"/>
    </row>
    <row r="60" spans="1:10">
      <c r="A60" s="319">
        <f t="shared" si="2"/>
        <v>5</v>
      </c>
      <c r="B60" s="17"/>
      <c r="C60" s="17"/>
      <c r="D60" s="17"/>
      <c r="E60" s="185"/>
      <c r="F60" s="23"/>
      <c r="G60" s="12"/>
      <c r="H60" s="319">
        <f t="shared" si="3"/>
        <v>5</v>
      </c>
      <c r="J60" s="340"/>
    </row>
    <row r="61" spans="1:10">
      <c r="A61" s="319">
        <f t="shared" si="2"/>
        <v>6</v>
      </c>
      <c r="B61" s="17" t="s">
        <v>60</v>
      </c>
      <c r="C61" s="14"/>
      <c r="D61" s="14"/>
      <c r="E61" s="356">
        <f>E59/E56</f>
        <v>5.531618912384577E-3</v>
      </c>
      <c r="F61" s="641"/>
      <c r="G61" s="12" t="s">
        <v>602</v>
      </c>
      <c r="H61" s="319">
        <f t="shared" si="3"/>
        <v>6</v>
      </c>
      <c r="J61" s="340"/>
    </row>
    <row r="62" spans="1:10">
      <c r="A62" s="319">
        <f t="shared" si="2"/>
        <v>7</v>
      </c>
      <c r="B62" s="17"/>
      <c r="C62" s="17"/>
      <c r="D62" s="17"/>
      <c r="E62" s="357"/>
      <c r="F62" s="24"/>
      <c r="G62" s="12"/>
      <c r="H62" s="319">
        <f t="shared" si="3"/>
        <v>7</v>
      </c>
    </row>
    <row r="63" spans="1:10">
      <c r="A63" s="319">
        <f t="shared" si="2"/>
        <v>8</v>
      </c>
      <c r="B63" s="25" t="s">
        <v>61</v>
      </c>
      <c r="C63" s="25"/>
      <c r="D63" s="25"/>
      <c r="E63" s="904">
        <v>5768.4739999999993</v>
      </c>
      <c r="F63" s="13"/>
      <c r="G63" s="12" t="s">
        <v>675</v>
      </c>
      <c r="H63" s="319">
        <f t="shared" si="3"/>
        <v>8</v>
      </c>
    </row>
    <row r="64" spans="1:10">
      <c r="A64" s="319">
        <f t="shared" si="2"/>
        <v>9</v>
      </c>
      <c r="B64" s="14"/>
      <c r="C64" s="14"/>
      <c r="D64" s="14"/>
      <c r="E64" s="358"/>
      <c r="F64" s="26"/>
      <c r="G64" s="12"/>
      <c r="H64" s="319">
        <f t="shared" si="3"/>
        <v>9</v>
      </c>
    </row>
    <row r="65" spans="1:8">
      <c r="A65" s="319">
        <f t="shared" si="2"/>
        <v>10</v>
      </c>
      <c r="B65" s="17" t="s">
        <v>62</v>
      </c>
      <c r="C65" s="14"/>
      <c r="D65" s="14"/>
      <c r="E65" s="356">
        <f>E63/E56</f>
        <v>1.0009530188257638E-3</v>
      </c>
      <c r="F65" s="74"/>
      <c r="G65" s="12" t="s">
        <v>603</v>
      </c>
      <c r="H65" s="319">
        <f t="shared" si="3"/>
        <v>10</v>
      </c>
    </row>
    <row r="66" spans="1:8">
      <c r="A66" s="319">
        <f t="shared" si="2"/>
        <v>11</v>
      </c>
      <c r="B66" s="14"/>
      <c r="C66" s="14"/>
      <c r="D66" s="14"/>
      <c r="E66" s="358"/>
      <c r="F66" s="26"/>
      <c r="G66" s="12"/>
      <c r="H66" s="319">
        <f t="shared" si="3"/>
        <v>11</v>
      </c>
    </row>
    <row r="67" spans="1:8">
      <c r="A67" s="319">
        <f t="shared" si="2"/>
        <v>12</v>
      </c>
      <c r="B67" s="21" t="s">
        <v>63</v>
      </c>
      <c r="C67" s="21"/>
      <c r="D67" s="21"/>
      <c r="E67" s="359">
        <f>E59+E63</f>
        <v>37647.092950000006</v>
      </c>
      <c r="F67" s="641"/>
      <c r="G67" s="12" t="s">
        <v>604</v>
      </c>
      <c r="H67" s="319">
        <f t="shared" si="3"/>
        <v>12</v>
      </c>
    </row>
    <row r="68" spans="1:8">
      <c r="A68" s="319">
        <f t="shared" si="2"/>
        <v>13</v>
      </c>
      <c r="B68" s="14"/>
      <c r="C68" s="14"/>
      <c r="D68" s="14"/>
      <c r="E68" s="360"/>
      <c r="F68" s="27"/>
      <c r="G68" s="12"/>
      <c r="H68" s="319">
        <f t="shared" si="3"/>
        <v>13</v>
      </c>
    </row>
    <row r="69" spans="1:8">
      <c r="A69" s="319">
        <f t="shared" si="2"/>
        <v>14</v>
      </c>
      <c r="B69" s="16" t="s">
        <v>64</v>
      </c>
      <c r="C69" s="16"/>
      <c r="D69" s="16"/>
      <c r="E69" s="360"/>
      <c r="F69" s="27"/>
      <c r="G69" s="15"/>
      <c r="H69" s="319">
        <f t="shared" si="3"/>
        <v>14</v>
      </c>
    </row>
    <row r="70" spans="1:8">
      <c r="A70" s="319">
        <f t="shared" si="2"/>
        <v>15</v>
      </c>
      <c r="B70" s="17" t="s">
        <v>65</v>
      </c>
      <c r="C70" s="17"/>
      <c r="D70" s="17"/>
      <c r="E70" s="831">
        <f>'Pg9 Rev Stmt AH'!F52</f>
        <v>36473.244193731713</v>
      </c>
      <c r="F70" s="641" t="s">
        <v>439</v>
      </c>
      <c r="G70" s="12" t="s">
        <v>728</v>
      </c>
      <c r="H70" s="319">
        <f t="shared" si="3"/>
        <v>15</v>
      </c>
    </row>
    <row r="71" spans="1:8">
      <c r="A71" s="319">
        <f t="shared" si="2"/>
        <v>16</v>
      </c>
      <c r="B71" s="14"/>
      <c r="C71" s="14"/>
      <c r="D71" s="14"/>
      <c r="E71" s="361"/>
      <c r="F71" s="28"/>
      <c r="G71" s="12"/>
      <c r="H71" s="319">
        <f t="shared" si="3"/>
        <v>16</v>
      </c>
    </row>
    <row r="72" spans="1:8">
      <c r="A72" s="319">
        <f t="shared" si="2"/>
        <v>17</v>
      </c>
      <c r="B72" s="338" t="s">
        <v>66</v>
      </c>
      <c r="C72" s="15"/>
      <c r="D72" s="15"/>
      <c r="E72" s="356">
        <f>E70/E56</f>
        <v>6.3288841870631687E-3</v>
      </c>
      <c r="F72" s="74"/>
      <c r="G72" s="12" t="s">
        <v>605</v>
      </c>
      <c r="H72" s="319">
        <f t="shared" si="3"/>
        <v>17</v>
      </c>
    </row>
    <row r="73" spans="1:8">
      <c r="A73" s="319">
        <f t="shared" si="2"/>
        <v>18</v>
      </c>
      <c r="B73" s="15"/>
      <c r="C73" s="15"/>
      <c r="D73" s="15"/>
      <c r="E73" s="362"/>
      <c r="F73" s="29"/>
      <c r="G73" s="12"/>
      <c r="H73" s="319">
        <f t="shared" si="3"/>
        <v>18</v>
      </c>
    </row>
    <row r="74" spans="1:8">
      <c r="A74" s="319">
        <f t="shared" si="2"/>
        <v>19</v>
      </c>
      <c r="B74" s="16" t="s">
        <v>67</v>
      </c>
      <c r="C74" s="16"/>
      <c r="D74" s="16"/>
      <c r="E74" s="362"/>
      <c r="F74" s="29"/>
      <c r="G74" s="12"/>
      <c r="H74" s="319">
        <f t="shared" si="3"/>
        <v>19</v>
      </c>
    </row>
    <row r="75" spans="1:8">
      <c r="A75" s="319">
        <f t="shared" si="2"/>
        <v>20</v>
      </c>
      <c r="B75" s="17" t="s">
        <v>68</v>
      </c>
      <c r="C75" s="17"/>
      <c r="D75" s="17"/>
      <c r="E75" s="515">
        <v>1395.0618331328524</v>
      </c>
      <c r="F75" s="13"/>
      <c r="G75" s="12" t="s">
        <v>606</v>
      </c>
      <c r="H75" s="319">
        <f t="shared" si="3"/>
        <v>20</v>
      </c>
    </row>
    <row r="76" spans="1:8">
      <c r="A76" s="319">
        <f t="shared" si="2"/>
        <v>21</v>
      </c>
      <c r="B76" s="15"/>
      <c r="C76" s="15"/>
      <c r="D76" s="15"/>
      <c r="E76" s="362"/>
      <c r="F76" s="29"/>
      <c r="G76" s="12"/>
      <c r="H76" s="319">
        <f t="shared" si="3"/>
        <v>21</v>
      </c>
    </row>
    <row r="77" spans="1:8">
      <c r="A77" s="319">
        <f t="shared" si="2"/>
        <v>22</v>
      </c>
      <c r="B77" s="338" t="s">
        <v>69</v>
      </c>
      <c r="C77" s="15"/>
      <c r="D77" s="15"/>
      <c r="E77" s="356">
        <f>E75/E56</f>
        <v>2.4207292142132094E-4</v>
      </c>
      <c r="F77" s="74"/>
      <c r="G77" s="12" t="s">
        <v>607</v>
      </c>
      <c r="H77" s="319">
        <f t="shared" si="3"/>
        <v>22</v>
      </c>
    </row>
    <row r="78" spans="1:8">
      <c r="A78" s="319">
        <f t="shared" si="2"/>
        <v>23</v>
      </c>
      <c r="B78" s="15"/>
      <c r="C78" s="15"/>
      <c r="D78" s="15"/>
      <c r="E78" s="362"/>
      <c r="F78" s="29"/>
      <c r="G78" s="12"/>
      <c r="H78" s="319">
        <f t="shared" si="3"/>
        <v>23</v>
      </c>
    </row>
    <row r="79" spans="1:8">
      <c r="A79" s="319">
        <f t="shared" si="2"/>
        <v>24</v>
      </c>
      <c r="B79" s="16" t="s">
        <v>70</v>
      </c>
      <c r="C79" s="16"/>
      <c r="D79" s="16"/>
      <c r="E79" s="362"/>
      <c r="F79" s="29"/>
      <c r="G79" s="12"/>
      <c r="H79" s="319">
        <f t="shared" si="3"/>
        <v>24</v>
      </c>
    </row>
    <row r="80" spans="1:8">
      <c r="A80" s="319">
        <f t="shared" si="2"/>
        <v>25</v>
      </c>
      <c r="B80" s="17" t="s">
        <v>71</v>
      </c>
      <c r="C80" s="14"/>
      <c r="D80" s="14"/>
      <c r="E80" s="363">
        <f>E125</f>
        <v>3.9703474926304433E-3</v>
      </c>
      <c r="F80" s="74"/>
      <c r="G80" s="12" t="s">
        <v>608</v>
      </c>
      <c r="H80" s="319">
        <f t="shared" si="3"/>
        <v>25</v>
      </c>
    </row>
    <row r="81" spans="1:8">
      <c r="A81" s="319">
        <f t="shared" si="2"/>
        <v>26</v>
      </c>
      <c r="B81" s="14"/>
      <c r="C81" s="14"/>
      <c r="D81" s="14"/>
      <c r="E81" s="364"/>
      <c r="F81" s="30"/>
      <c r="G81" s="12"/>
      <c r="H81" s="319">
        <f t="shared" si="3"/>
        <v>26</v>
      </c>
    </row>
    <row r="82" spans="1:8">
      <c r="A82" s="319">
        <f t="shared" si="2"/>
        <v>27</v>
      </c>
      <c r="B82" s="16" t="s">
        <v>72</v>
      </c>
      <c r="C82" s="16"/>
      <c r="D82" s="16"/>
      <c r="E82" s="364"/>
      <c r="F82" s="30"/>
      <c r="G82" s="12"/>
      <c r="H82" s="319">
        <f t="shared" si="3"/>
        <v>27</v>
      </c>
    </row>
    <row r="83" spans="1:8">
      <c r="A83" s="319">
        <f t="shared" si="2"/>
        <v>28</v>
      </c>
      <c r="B83" s="339" t="s">
        <v>73</v>
      </c>
      <c r="C83" s="14"/>
      <c r="D83" s="14"/>
      <c r="E83" s="364"/>
      <c r="F83" s="30"/>
      <c r="G83" s="12"/>
      <c r="H83" s="319">
        <f t="shared" si="3"/>
        <v>28</v>
      </c>
    </row>
    <row r="84" spans="1:8">
      <c r="A84" s="319">
        <f t="shared" si="2"/>
        <v>29</v>
      </c>
      <c r="B84" s="17" t="s">
        <v>74</v>
      </c>
      <c r="C84" s="17"/>
      <c r="D84" s="17"/>
      <c r="E84" s="365">
        <v>52608.351266362319</v>
      </c>
      <c r="F84" s="641"/>
      <c r="G84" s="12" t="s">
        <v>731</v>
      </c>
      <c r="H84" s="319">
        <f t="shared" si="3"/>
        <v>29</v>
      </c>
    </row>
    <row r="85" spans="1:8">
      <c r="A85" s="319">
        <f t="shared" si="2"/>
        <v>30</v>
      </c>
      <c r="B85" s="17" t="s">
        <v>75</v>
      </c>
      <c r="C85" s="17"/>
      <c r="D85" s="17"/>
      <c r="E85" s="366">
        <v>19882.453617015279</v>
      </c>
      <c r="F85" s="641"/>
      <c r="G85" s="12" t="s">
        <v>732</v>
      </c>
      <c r="H85" s="319">
        <f t="shared" si="3"/>
        <v>30</v>
      </c>
    </row>
    <row r="86" spans="1:8">
      <c r="A86" s="319">
        <f t="shared" si="2"/>
        <v>31</v>
      </c>
      <c r="B86" s="17" t="s">
        <v>76</v>
      </c>
      <c r="C86" s="17"/>
      <c r="D86" s="17"/>
      <c r="E86" s="832">
        <f>'Pg10 Rev Stmt AL'!E29</f>
        <v>9265.0421429664602</v>
      </c>
      <c r="F86" s="641" t="s">
        <v>439</v>
      </c>
      <c r="G86" s="12" t="s">
        <v>730</v>
      </c>
      <c r="H86" s="319">
        <f t="shared" si="3"/>
        <v>31</v>
      </c>
    </row>
    <row r="87" spans="1:8">
      <c r="A87" s="319">
        <f t="shared" si="2"/>
        <v>32</v>
      </c>
      <c r="B87" s="17" t="s">
        <v>77</v>
      </c>
      <c r="C87" s="14"/>
      <c r="D87" s="14"/>
      <c r="E87" s="833">
        <f>SUM(E84:E86)</f>
        <v>81755.847026344054</v>
      </c>
      <c r="F87" s="641" t="s">
        <v>439</v>
      </c>
      <c r="G87" s="12" t="s">
        <v>609</v>
      </c>
      <c r="H87" s="319">
        <f t="shared" si="3"/>
        <v>32</v>
      </c>
    </row>
    <row r="88" spans="1:8">
      <c r="A88" s="319">
        <f t="shared" si="2"/>
        <v>33</v>
      </c>
      <c r="B88" s="14"/>
      <c r="C88" s="14"/>
      <c r="D88" s="14"/>
      <c r="E88" s="367"/>
      <c r="F88" s="31"/>
      <c r="G88" s="12"/>
      <c r="H88" s="319">
        <f t="shared" si="3"/>
        <v>33</v>
      </c>
    </row>
    <row r="89" spans="1:8">
      <c r="A89" s="319">
        <f t="shared" si="2"/>
        <v>34</v>
      </c>
      <c r="B89" s="17" t="s">
        <v>34</v>
      </c>
      <c r="C89" s="17"/>
      <c r="D89" s="17"/>
      <c r="E89" s="368">
        <v>9.6610658544887346E-2</v>
      </c>
      <c r="F89" s="13"/>
      <c r="G89" s="12" t="s">
        <v>681</v>
      </c>
      <c r="H89" s="319">
        <f t="shared" si="3"/>
        <v>34</v>
      </c>
    </row>
    <row r="90" spans="1:8">
      <c r="A90" s="319">
        <f t="shared" si="2"/>
        <v>35</v>
      </c>
      <c r="B90" s="14"/>
      <c r="C90" s="14"/>
      <c r="D90" s="14"/>
      <c r="E90" s="367"/>
      <c r="F90" s="31"/>
      <c r="G90" s="12"/>
      <c r="H90" s="319">
        <f t="shared" si="3"/>
        <v>35</v>
      </c>
    </row>
    <row r="91" spans="1:8">
      <c r="A91" s="319">
        <f t="shared" si="2"/>
        <v>36</v>
      </c>
      <c r="B91" s="17" t="s">
        <v>78</v>
      </c>
      <c r="C91" s="14"/>
      <c r="D91" s="14"/>
      <c r="E91" s="369">
        <f>E87*E89</f>
        <v>7898.486221110169</v>
      </c>
      <c r="F91" s="641"/>
      <c r="G91" s="12" t="s">
        <v>592</v>
      </c>
      <c r="H91" s="319">
        <f t="shared" si="3"/>
        <v>36</v>
      </c>
    </row>
    <row r="92" spans="1:8">
      <c r="A92" s="319">
        <f t="shared" si="2"/>
        <v>37</v>
      </c>
      <c r="B92" s="14"/>
      <c r="C92" s="14"/>
      <c r="D92" s="14"/>
      <c r="E92" s="367"/>
      <c r="F92" s="31"/>
      <c r="G92" s="12"/>
      <c r="H92" s="319">
        <f t="shared" si="3"/>
        <v>37</v>
      </c>
    </row>
    <row r="93" spans="1:8">
      <c r="A93" s="319">
        <f t="shared" si="2"/>
        <v>38</v>
      </c>
      <c r="B93" s="17" t="s">
        <v>79</v>
      </c>
      <c r="C93" s="14"/>
      <c r="D93" s="14"/>
      <c r="E93" s="356">
        <f>E91/E56</f>
        <v>1.3705554757070804E-3</v>
      </c>
      <c r="F93" s="74"/>
      <c r="G93" s="12" t="s">
        <v>610</v>
      </c>
      <c r="H93" s="319">
        <f t="shared" si="3"/>
        <v>38</v>
      </c>
    </row>
    <row r="94" spans="1:8">
      <c r="A94" s="319"/>
      <c r="B94" s="17"/>
      <c r="C94" s="14"/>
      <c r="D94" s="14"/>
      <c r="E94" s="337"/>
      <c r="F94" s="74"/>
      <c r="G94" s="12"/>
      <c r="H94" s="319"/>
    </row>
    <row r="95" spans="1:8">
      <c r="A95" s="319"/>
      <c r="B95" s="17"/>
      <c r="C95" s="14"/>
      <c r="D95" s="14"/>
      <c r="E95" s="337"/>
      <c r="F95" s="74"/>
      <c r="G95" s="12"/>
      <c r="H95" s="319"/>
    </row>
    <row r="96" spans="1:8">
      <c r="A96" s="641" t="s">
        <v>439</v>
      </c>
      <c r="B96" s="5" t="str">
        <f>B44</f>
        <v>Items in BOLD have changed to correct the over-allocation of "Duplicate Charges (Company Energy Use)" Credit in FERC Account no. 929.</v>
      </c>
      <c r="C96" s="14"/>
      <c r="D96" s="14"/>
      <c r="E96" s="337"/>
      <c r="F96" s="74"/>
      <c r="G96" s="12"/>
      <c r="H96" s="319"/>
    </row>
    <row r="97" spans="1:8">
      <c r="A97" s="318"/>
      <c r="B97" s="14"/>
      <c r="C97" s="14"/>
      <c r="D97" s="14"/>
      <c r="E97" s="51"/>
      <c r="F97" s="51"/>
      <c r="G97" s="51"/>
      <c r="H97" s="317"/>
    </row>
    <row r="98" spans="1:8">
      <c r="A98" s="318"/>
      <c r="B98" s="14"/>
      <c r="C98" s="14"/>
      <c r="D98" s="14"/>
      <c r="E98" s="51"/>
      <c r="F98" s="51"/>
      <c r="G98" s="51"/>
      <c r="H98" s="317"/>
    </row>
    <row r="99" spans="1:8">
      <c r="B99" s="961" t="s">
        <v>56</v>
      </c>
      <c r="C99" s="961"/>
      <c r="D99" s="961"/>
      <c r="E99" s="961"/>
      <c r="F99" s="961"/>
      <c r="G99" s="961"/>
      <c r="H99" s="321"/>
    </row>
    <row r="100" spans="1:8">
      <c r="B100" s="961" t="s">
        <v>31</v>
      </c>
      <c r="C100" s="961"/>
      <c r="D100" s="961"/>
      <c r="E100" s="961"/>
      <c r="F100" s="961"/>
      <c r="G100" s="961"/>
      <c r="H100" s="321"/>
    </row>
    <row r="101" spans="1:8">
      <c r="B101" s="961" t="s">
        <v>37</v>
      </c>
      <c r="C101" s="961"/>
      <c r="D101" s="961"/>
      <c r="E101" s="961"/>
      <c r="F101" s="961"/>
      <c r="G101" s="961"/>
      <c r="H101" s="321"/>
    </row>
    <row r="102" spans="1:8">
      <c r="B102" s="962" t="str">
        <f>B5</f>
        <v>Base Period &amp; True-Up Period 12 - Months Ending December 31, 2018</v>
      </c>
      <c r="C102" s="962"/>
      <c r="D102" s="962"/>
      <c r="E102" s="962"/>
      <c r="F102" s="962"/>
      <c r="G102" s="962"/>
      <c r="H102" s="321"/>
    </row>
    <row r="103" spans="1:8">
      <c r="B103" s="958" t="s">
        <v>1</v>
      </c>
      <c r="C103" s="958"/>
      <c r="D103" s="958"/>
      <c r="E103" s="958"/>
      <c r="F103" s="958"/>
      <c r="G103" s="958"/>
      <c r="H103" s="107"/>
    </row>
    <row r="104" spans="1:8">
      <c r="A104" s="318"/>
      <c r="B104" s="47"/>
      <c r="C104" s="47"/>
      <c r="D104" s="47"/>
      <c r="E104" s="14"/>
      <c r="F104" s="14"/>
      <c r="G104" s="51"/>
      <c r="H104" s="312"/>
    </row>
    <row r="105" spans="1:8">
      <c r="A105" s="319" t="s">
        <v>2</v>
      </c>
      <c r="B105" s="14"/>
      <c r="C105" s="14"/>
      <c r="D105" s="14"/>
      <c r="E105" s="13"/>
      <c r="F105" s="13"/>
      <c r="G105" s="14"/>
      <c r="H105" s="319" t="s">
        <v>2</v>
      </c>
    </row>
    <row r="106" spans="1:8">
      <c r="A106" s="319" t="s">
        <v>3</v>
      </c>
      <c r="B106" s="14"/>
      <c r="C106" s="14"/>
      <c r="D106" s="14"/>
      <c r="E106" s="308" t="s">
        <v>32</v>
      </c>
      <c r="F106" s="12"/>
      <c r="G106" s="308" t="s">
        <v>5</v>
      </c>
      <c r="H106" s="319" t="s">
        <v>3</v>
      </c>
    </row>
    <row r="107" spans="1:8">
      <c r="A107" s="319"/>
      <c r="B107" s="14"/>
      <c r="C107" s="14"/>
      <c r="D107" s="14"/>
      <c r="E107" s="13"/>
      <c r="F107" s="13"/>
      <c r="G107" s="516"/>
      <c r="H107" s="319"/>
    </row>
    <row r="108" spans="1:8">
      <c r="A108" s="319">
        <v>1</v>
      </c>
      <c r="B108" s="16" t="s">
        <v>80</v>
      </c>
      <c r="C108" s="16"/>
      <c r="D108" s="16"/>
      <c r="E108" s="51"/>
      <c r="F108" s="51"/>
      <c r="G108" s="14"/>
      <c r="H108" s="319">
        <f>A108</f>
        <v>1</v>
      </c>
    </row>
    <row r="109" spans="1:8">
      <c r="A109" s="319">
        <f>A108+1</f>
        <v>2</v>
      </c>
      <c r="B109" s="17" t="s">
        <v>81</v>
      </c>
      <c r="C109" s="17"/>
      <c r="D109" s="17"/>
      <c r="E109" s="370">
        <v>914536.76709768525</v>
      </c>
      <c r="F109" s="641"/>
      <c r="G109" s="12" t="s">
        <v>682</v>
      </c>
      <c r="H109" s="319">
        <f>H108+1</f>
        <v>2</v>
      </c>
    </row>
    <row r="110" spans="1:8">
      <c r="A110" s="319">
        <f t="shared" ref="A110:A165" si="4">A109+1</f>
        <v>3</v>
      </c>
      <c r="B110" s="17"/>
      <c r="C110" s="17"/>
      <c r="D110" s="17"/>
      <c r="E110" s="318"/>
      <c r="F110" s="13"/>
      <c r="G110" s="12"/>
      <c r="H110" s="319">
        <f t="shared" ref="H110:H165" si="5">H109+1</f>
        <v>3</v>
      </c>
    </row>
    <row r="111" spans="1:8">
      <c r="A111" s="319">
        <f t="shared" si="4"/>
        <v>4</v>
      </c>
      <c r="B111" s="17" t="s">
        <v>82</v>
      </c>
      <c r="C111" s="17"/>
      <c r="D111" s="17"/>
      <c r="E111" s="371">
        <v>392237.14557000005</v>
      </c>
      <c r="F111" s="641"/>
      <c r="G111" s="12" t="s">
        <v>683</v>
      </c>
      <c r="H111" s="319">
        <f t="shared" si="5"/>
        <v>4</v>
      </c>
    </row>
    <row r="112" spans="1:8" ht="18">
      <c r="A112" s="319">
        <f t="shared" si="4"/>
        <v>5</v>
      </c>
      <c r="B112" s="14"/>
      <c r="C112" s="14"/>
      <c r="D112" s="14"/>
      <c r="E112" s="906"/>
      <c r="F112" s="32"/>
      <c r="G112" s="14"/>
      <c r="H112" s="319">
        <f t="shared" si="5"/>
        <v>5</v>
      </c>
    </row>
    <row r="113" spans="1:8">
      <c r="A113" s="319">
        <f t="shared" si="4"/>
        <v>6</v>
      </c>
      <c r="B113" s="17" t="s">
        <v>83</v>
      </c>
      <c r="C113" s="14"/>
      <c r="D113" s="14"/>
      <c r="E113" s="373">
        <f>E109+E111</f>
        <v>1306773.9126676852</v>
      </c>
      <c r="F113" s="641"/>
      <c r="G113" s="12" t="s">
        <v>611</v>
      </c>
      <c r="H113" s="319">
        <f t="shared" si="5"/>
        <v>6</v>
      </c>
    </row>
    <row r="114" spans="1:8">
      <c r="A114" s="319">
        <f t="shared" si="4"/>
        <v>7</v>
      </c>
      <c r="B114" s="14"/>
      <c r="C114" s="14"/>
      <c r="D114" s="14"/>
      <c r="E114" s="907"/>
      <c r="F114" s="33"/>
      <c r="G114" s="14"/>
      <c r="H114" s="319">
        <f t="shared" si="5"/>
        <v>7</v>
      </c>
    </row>
    <row r="115" spans="1:8">
      <c r="A115" s="319">
        <f t="shared" si="4"/>
        <v>8</v>
      </c>
      <c r="B115" s="17" t="s">
        <v>84</v>
      </c>
      <c r="C115" s="17"/>
      <c r="D115" s="17"/>
      <c r="E115" s="375">
        <f>E144</f>
        <v>0.16898953104763109</v>
      </c>
      <c r="F115" s="641"/>
      <c r="G115" s="12" t="s">
        <v>612</v>
      </c>
      <c r="H115" s="319">
        <f t="shared" si="5"/>
        <v>8</v>
      </c>
    </row>
    <row r="116" spans="1:8">
      <c r="A116" s="319">
        <f t="shared" si="4"/>
        <v>9</v>
      </c>
      <c r="B116" s="14"/>
      <c r="C116" s="14"/>
      <c r="D116" s="14"/>
      <c r="E116" s="908"/>
      <c r="F116" s="34"/>
      <c r="G116" s="14"/>
      <c r="H116" s="319">
        <f t="shared" si="5"/>
        <v>9</v>
      </c>
    </row>
    <row r="117" spans="1:8">
      <c r="A117" s="319">
        <f t="shared" si="4"/>
        <v>10</v>
      </c>
      <c r="B117" s="17" t="s">
        <v>85</v>
      </c>
      <c r="C117" s="14"/>
      <c r="D117" s="14"/>
      <c r="E117" s="377">
        <f>E113*E115</f>
        <v>220831.11068699014</v>
      </c>
      <c r="F117" s="641"/>
      <c r="G117" s="12" t="s">
        <v>613</v>
      </c>
      <c r="H117" s="319">
        <f t="shared" si="5"/>
        <v>10</v>
      </c>
    </row>
    <row r="118" spans="1:8">
      <c r="A118" s="319">
        <f t="shared" si="4"/>
        <v>11</v>
      </c>
      <c r="B118" s="14"/>
      <c r="C118" s="14"/>
      <c r="D118" s="14"/>
      <c r="E118" s="374"/>
      <c r="F118" s="33"/>
      <c r="G118" s="14"/>
      <c r="H118" s="319">
        <f t="shared" si="5"/>
        <v>11</v>
      </c>
    </row>
    <row r="119" spans="1:8">
      <c r="A119" s="319">
        <f t="shared" si="4"/>
        <v>12</v>
      </c>
      <c r="B119" s="35" t="s">
        <v>86</v>
      </c>
      <c r="C119" s="35"/>
      <c r="D119" s="35"/>
      <c r="E119" s="378">
        <v>0.10361330044910678</v>
      </c>
      <c r="F119" s="13"/>
      <c r="G119" s="12" t="s">
        <v>493</v>
      </c>
      <c r="H119" s="319">
        <f t="shared" si="5"/>
        <v>12</v>
      </c>
    </row>
    <row r="120" spans="1:8">
      <c r="A120" s="319">
        <f t="shared" si="4"/>
        <v>13</v>
      </c>
      <c r="B120" s="14"/>
      <c r="C120" s="14"/>
      <c r="D120" s="14"/>
      <c r="E120" s="376"/>
      <c r="F120" s="34"/>
      <c r="G120" s="12"/>
      <c r="H120" s="319">
        <f t="shared" si="5"/>
        <v>13</v>
      </c>
    </row>
    <row r="121" spans="1:8">
      <c r="A121" s="319">
        <f t="shared" si="4"/>
        <v>14</v>
      </c>
      <c r="B121" s="17" t="s">
        <v>87</v>
      </c>
      <c r="C121" s="14"/>
      <c r="D121" s="14"/>
      <c r="E121" s="379">
        <f>E117*E119</f>
        <v>22881.040220121067</v>
      </c>
      <c r="F121" s="641"/>
      <c r="G121" s="12" t="s">
        <v>614</v>
      </c>
      <c r="H121" s="319">
        <f t="shared" si="5"/>
        <v>14</v>
      </c>
    </row>
    <row r="122" spans="1:8">
      <c r="A122" s="319">
        <f t="shared" si="4"/>
        <v>15</v>
      </c>
      <c r="B122" s="14"/>
      <c r="C122" s="14"/>
      <c r="D122" s="14"/>
      <c r="E122" s="318"/>
      <c r="F122" s="51"/>
      <c r="G122" s="14"/>
      <c r="H122" s="319">
        <f t="shared" si="5"/>
        <v>15</v>
      </c>
    </row>
    <row r="123" spans="1:8">
      <c r="A123" s="319">
        <f t="shared" si="4"/>
        <v>16</v>
      </c>
      <c r="B123" s="17" t="s">
        <v>57</v>
      </c>
      <c r="C123" s="17"/>
      <c r="D123" s="17"/>
      <c r="E123" s="380">
        <v>5762981.7698807688</v>
      </c>
      <c r="F123" s="641"/>
      <c r="G123" s="12" t="s">
        <v>673</v>
      </c>
      <c r="H123" s="319">
        <f t="shared" si="5"/>
        <v>16</v>
      </c>
    </row>
    <row r="124" spans="1:8">
      <c r="A124" s="319">
        <f t="shared" si="4"/>
        <v>17</v>
      </c>
      <c r="B124" s="14"/>
      <c r="C124" s="14"/>
      <c r="D124" s="14"/>
      <c r="E124" s="517"/>
      <c r="F124" s="14"/>
      <c r="G124" s="14"/>
      <c r="H124" s="319">
        <f t="shared" si="5"/>
        <v>17</v>
      </c>
    </row>
    <row r="125" spans="1:8" ht="16" thickBot="1">
      <c r="A125" s="319">
        <f t="shared" si="4"/>
        <v>18</v>
      </c>
      <c r="B125" s="14" t="s">
        <v>88</v>
      </c>
      <c r="C125" s="14"/>
      <c r="D125" s="14"/>
      <c r="E125" s="518">
        <f>E121/E123</f>
        <v>3.9703474926304433E-3</v>
      </c>
      <c r="F125" s="74"/>
      <c r="G125" s="12" t="s">
        <v>615</v>
      </c>
      <c r="H125" s="319">
        <f t="shared" si="5"/>
        <v>18</v>
      </c>
    </row>
    <row r="126" spans="1:8" ht="16" thickTop="1">
      <c r="A126" s="319">
        <f t="shared" si="4"/>
        <v>19</v>
      </c>
      <c r="B126" s="14"/>
      <c r="C126" s="14"/>
      <c r="D126" s="14"/>
      <c r="E126" s="318"/>
      <c r="F126" s="51"/>
      <c r="G126" s="14"/>
      <c r="H126" s="319">
        <f t="shared" si="5"/>
        <v>19</v>
      </c>
    </row>
    <row r="127" spans="1:8">
      <c r="A127" s="319">
        <f t="shared" si="4"/>
        <v>20</v>
      </c>
      <c r="B127" s="36" t="s">
        <v>89</v>
      </c>
      <c r="C127" s="36"/>
      <c r="D127" s="36"/>
      <c r="E127" s="317"/>
      <c r="F127" s="13"/>
      <c r="G127" s="13"/>
      <c r="H127" s="319">
        <f t="shared" si="5"/>
        <v>20</v>
      </c>
    </row>
    <row r="128" spans="1:8">
      <c r="A128" s="319">
        <f t="shared" si="4"/>
        <v>21</v>
      </c>
      <c r="B128" s="17" t="s">
        <v>90</v>
      </c>
      <c r="C128" s="17"/>
      <c r="D128" s="17"/>
      <c r="E128" s="381">
        <v>0</v>
      </c>
      <c r="F128" s="13"/>
      <c r="G128" s="12" t="s">
        <v>91</v>
      </c>
      <c r="H128" s="319">
        <f t="shared" si="5"/>
        <v>21</v>
      </c>
    </row>
    <row r="129" spans="1:8">
      <c r="A129" s="319">
        <f t="shared" si="4"/>
        <v>22</v>
      </c>
      <c r="B129" s="14"/>
      <c r="C129" s="14"/>
      <c r="D129" s="14"/>
      <c r="E129" s="317"/>
      <c r="F129" s="13"/>
      <c r="G129" s="12"/>
      <c r="H129" s="319">
        <f t="shared" si="5"/>
        <v>22</v>
      </c>
    </row>
    <row r="130" spans="1:8">
      <c r="A130" s="319">
        <f t="shared" si="4"/>
        <v>23</v>
      </c>
      <c r="B130" s="17" t="s">
        <v>92</v>
      </c>
      <c r="C130" s="17"/>
      <c r="D130" s="17"/>
      <c r="E130" s="381">
        <v>0</v>
      </c>
      <c r="F130" s="13"/>
      <c r="G130" s="12" t="s">
        <v>93</v>
      </c>
      <c r="H130" s="319">
        <f t="shared" si="5"/>
        <v>23</v>
      </c>
    </row>
    <row r="131" spans="1:8">
      <c r="A131" s="319">
        <f t="shared" si="4"/>
        <v>24</v>
      </c>
      <c r="B131" s="14"/>
      <c r="C131" s="14"/>
      <c r="D131" s="14"/>
      <c r="E131" s="317"/>
      <c r="F131" s="13"/>
      <c r="G131" s="12"/>
      <c r="H131" s="319">
        <f t="shared" si="5"/>
        <v>24</v>
      </c>
    </row>
    <row r="132" spans="1:8">
      <c r="A132" s="319">
        <f t="shared" si="4"/>
        <v>25</v>
      </c>
      <c r="B132" s="17" t="s">
        <v>94</v>
      </c>
      <c r="C132" s="17"/>
      <c r="D132" s="17"/>
      <c r="E132" s="381">
        <v>0</v>
      </c>
      <c r="F132" s="13"/>
      <c r="G132" s="12" t="s">
        <v>91</v>
      </c>
      <c r="H132" s="319">
        <f t="shared" si="5"/>
        <v>25</v>
      </c>
    </row>
    <row r="133" spans="1:8">
      <c r="A133" s="319">
        <f t="shared" si="4"/>
        <v>26</v>
      </c>
      <c r="B133" s="14"/>
      <c r="C133" s="14"/>
      <c r="D133" s="14"/>
      <c r="E133" s="317"/>
      <c r="F133" s="13"/>
      <c r="G133" s="14"/>
      <c r="H133" s="319">
        <f t="shared" si="5"/>
        <v>26</v>
      </c>
    </row>
    <row r="134" spans="1:8">
      <c r="A134" s="319">
        <f t="shared" si="4"/>
        <v>27</v>
      </c>
      <c r="B134" s="17" t="s">
        <v>95</v>
      </c>
      <c r="C134" s="17"/>
      <c r="D134" s="17"/>
      <c r="E134" s="382">
        <f>E153</f>
        <v>7.237887250274376E-2</v>
      </c>
      <c r="F134" s="641"/>
      <c r="G134" s="12" t="s">
        <v>616</v>
      </c>
      <c r="H134" s="319">
        <f t="shared" si="5"/>
        <v>27</v>
      </c>
    </row>
    <row r="135" spans="1:8">
      <c r="A135" s="319">
        <f t="shared" si="4"/>
        <v>28</v>
      </c>
      <c r="B135" s="17"/>
      <c r="C135" s="17"/>
      <c r="D135" s="17"/>
      <c r="E135" s="317"/>
      <c r="F135" s="13"/>
      <c r="G135" s="14"/>
      <c r="H135" s="319">
        <f t="shared" si="5"/>
        <v>28</v>
      </c>
    </row>
    <row r="136" spans="1:8" ht="18.5">
      <c r="A136" s="319">
        <f t="shared" si="4"/>
        <v>29</v>
      </c>
      <c r="B136" s="17" t="s">
        <v>96</v>
      </c>
      <c r="C136" s="17"/>
      <c r="D136" s="17"/>
      <c r="E136" s="343">
        <f>'Pg12 As Filed Stmt AV FERC Adj'!G109</f>
        <v>2.1375467222082299E-2</v>
      </c>
      <c r="F136" s="13"/>
      <c r="G136" s="12" t="s">
        <v>684</v>
      </c>
      <c r="H136" s="319">
        <f t="shared" si="5"/>
        <v>29</v>
      </c>
    </row>
    <row r="137" spans="1:8">
      <c r="A137" s="319">
        <f t="shared" si="4"/>
        <v>30</v>
      </c>
      <c r="B137" s="17"/>
      <c r="C137" s="17"/>
      <c r="D137" s="17"/>
      <c r="E137" s="383"/>
      <c r="F137" s="37"/>
      <c r="G137" s="14"/>
      <c r="H137" s="319">
        <f t="shared" si="5"/>
        <v>30</v>
      </c>
    </row>
    <row r="138" spans="1:8">
      <c r="A138" s="319">
        <f t="shared" si="4"/>
        <v>31</v>
      </c>
      <c r="B138" s="17" t="s">
        <v>97</v>
      </c>
      <c r="C138" s="17"/>
      <c r="D138" s="17"/>
      <c r="E138" s="343">
        <f>'Pg12 As Filed Stmt AV FERC Adj'!G111</f>
        <v>7.523519132280504E-2</v>
      </c>
      <c r="F138" s="13"/>
      <c r="G138" s="12" t="s">
        <v>685</v>
      </c>
      <c r="H138" s="319">
        <f t="shared" si="5"/>
        <v>31</v>
      </c>
    </row>
    <row r="139" spans="1:8">
      <c r="A139" s="319">
        <f t="shared" si="4"/>
        <v>32</v>
      </c>
      <c r="B139" s="17"/>
      <c r="C139" s="17"/>
      <c r="D139" s="17"/>
      <c r="E139" s="383"/>
      <c r="F139" s="37"/>
      <c r="G139" s="14"/>
      <c r="H139" s="319">
        <f t="shared" si="5"/>
        <v>32</v>
      </c>
    </row>
    <row r="140" spans="1:8">
      <c r="A140" s="319">
        <f t="shared" si="4"/>
        <v>33</v>
      </c>
      <c r="B140" s="17" t="s">
        <v>98</v>
      </c>
      <c r="C140" s="17"/>
      <c r="D140" s="17"/>
      <c r="E140" s="381">
        <v>0</v>
      </c>
      <c r="F140" s="13"/>
      <c r="G140" s="12" t="s">
        <v>99</v>
      </c>
      <c r="H140" s="319">
        <f t="shared" si="5"/>
        <v>33</v>
      </c>
    </row>
    <row r="141" spans="1:8">
      <c r="A141" s="319">
        <f t="shared" si="4"/>
        <v>34</v>
      </c>
      <c r="B141" s="38"/>
      <c r="C141" s="38"/>
      <c r="D141" s="38"/>
      <c r="E141" s="317"/>
      <c r="F141" s="13"/>
      <c r="G141" s="14"/>
      <c r="H141" s="319">
        <f t="shared" si="5"/>
        <v>34</v>
      </c>
    </row>
    <row r="142" spans="1:8">
      <c r="A142" s="319">
        <f t="shared" si="4"/>
        <v>35</v>
      </c>
      <c r="B142" s="17" t="s">
        <v>100</v>
      </c>
      <c r="C142" s="17"/>
      <c r="D142" s="17"/>
      <c r="E142" s="350">
        <f>E165</f>
        <v>0</v>
      </c>
      <c r="F142" s="298"/>
      <c r="G142" s="12" t="s">
        <v>617</v>
      </c>
      <c r="H142" s="319">
        <f t="shared" si="5"/>
        <v>35</v>
      </c>
    </row>
    <row r="143" spans="1:8">
      <c r="A143" s="319">
        <f t="shared" si="4"/>
        <v>36</v>
      </c>
      <c r="B143" s="14"/>
      <c r="C143" s="14"/>
      <c r="D143" s="14"/>
      <c r="E143" s="519"/>
      <c r="F143" s="13"/>
      <c r="G143" s="14"/>
      <c r="H143" s="319">
        <f t="shared" si="5"/>
        <v>36</v>
      </c>
    </row>
    <row r="144" spans="1:8" ht="16" thickBot="1">
      <c r="A144" s="319">
        <f t="shared" si="4"/>
        <v>37</v>
      </c>
      <c r="B144" s="14" t="s">
        <v>101</v>
      </c>
      <c r="C144" s="14"/>
      <c r="D144" s="14"/>
      <c r="E144" s="520">
        <f>SUM(E128:E142)</f>
        <v>0.16898953104763109</v>
      </c>
      <c r="F144" s="641"/>
      <c r="G144" s="12" t="s">
        <v>618</v>
      </c>
      <c r="H144" s="319">
        <f t="shared" si="5"/>
        <v>37</v>
      </c>
    </row>
    <row r="145" spans="1:8" ht="16" thickTop="1">
      <c r="A145" s="319">
        <f t="shared" si="4"/>
        <v>38</v>
      </c>
      <c r="B145" s="14"/>
      <c r="C145" s="14"/>
      <c r="D145" s="14"/>
      <c r="E145" s="384"/>
      <c r="F145" s="39"/>
      <c r="G145" s="12"/>
      <c r="H145" s="319">
        <f t="shared" si="5"/>
        <v>38</v>
      </c>
    </row>
    <row r="146" spans="1:8">
      <c r="A146" s="319">
        <f t="shared" si="4"/>
        <v>39</v>
      </c>
      <c r="B146" s="16" t="s">
        <v>102</v>
      </c>
      <c r="C146" s="16"/>
      <c r="D146" s="16"/>
      <c r="E146" s="321"/>
      <c r="F146" s="14"/>
      <c r="G146" s="13"/>
      <c r="H146" s="319">
        <f t="shared" si="5"/>
        <v>39</v>
      </c>
    </row>
    <row r="147" spans="1:8">
      <c r="A147" s="319">
        <f t="shared" si="4"/>
        <v>40</v>
      </c>
      <c r="B147" s="17" t="s">
        <v>103</v>
      </c>
      <c r="C147" s="17"/>
      <c r="D147" s="17"/>
      <c r="E147" s="385">
        <v>77421.89188488599</v>
      </c>
      <c r="F147" s="641"/>
      <c r="G147" s="12" t="s">
        <v>686</v>
      </c>
      <c r="H147" s="319">
        <f t="shared" si="5"/>
        <v>40</v>
      </c>
    </row>
    <row r="148" spans="1:8">
      <c r="A148" s="319">
        <f t="shared" si="4"/>
        <v>41</v>
      </c>
      <c r="B148" s="17"/>
      <c r="C148" s="17"/>
      <c r="D148" s="17"/>
      <c r="E148" s="386"/>
      <c r="F148" s="40"/>
      <c r="G148" s="12"/>
      <c r="H148" s="319">
        <f t="shared" si="5"/>
        <v>41</v>
      </c>
    </row>
    <row r="149" spans="1:8">
      <c r="A149" s="319">
        <f t="shared" si="4"/>
        <v>42</v>
      </c>
      <c r="B149" s="17" t="s">
        <v>104</v>
      </c>
      <c r="C149" s="17"/>
      <c r="D149" s="17"/>
      <c r="E149" s="385">
        <v>17160.930530000001</v>
      </c>
      <c r="F149" s="641"/>
      <c r="G149" s="12" t="s">
        <v>687</v>
      </c>
      <c r="H149" s="319">
        <f t="shared" si="5"/>
        <v>42</v>
      </c>
    </row>
    <row r="150" spans="1:8">
      <c r="A150" s="319">
        <f t="shared" si="4"/>
        <v>43</v>
      </c>
      <c r="B150" s="17"/>
      <c r="C150" s="17"/>
      <c r="D150" s="17"/>
      <c r="E150" s="25"/>
      <c r="F150" s="14"/>
      <c r="G150" s="12"/>
      <c r="H150" s="319">
        <f t="shared" si="5"/>
        <v>43</v>
      </c>
    </row>
    <row r="151" spans="1:8">
      <c r="A151" s="319">
        <f t="shared" si="4"/>
        <v>44</v>
      </c>
      <c r="B151" s="17" t="s">
        <v>105</v>
      </c>
      <c r="C151" s="17"/>
      <c r="D151" s="17"/>
      <c r="E151" s="387">
        <f>E113</f>
        <v>1306773.9126676852</v>
      </c>
      <c r="F151" s="641"/>
      <c r="G151" s="12" t="s">
        <v>591</v>
      </c>
      <c r="H151" s="319">
        <f t="shared" si="5"/>
        <v>44</v>
      </c>
    </row>
    <row r="152" spans="1:8">
      <c r="A152" s="319">
        <f t="shared" si="4"/>
        <v>45</v>
      </c>
      <c r="B152" s="17"/>
      <c r="C152" s="17"/>
      <c r="D152" s="17"/>
      <c r="E152" s="521"/>
      <c r="F152" s="41"/>
      <c r="G152" s="15"/>
      <c r="H152" s="319">
        <f t="shared" si="5"/>
        <v>45</v>
      </c>
    </row>
    <row r="153" spans="1:8" ht="16" thickBot="1">
      <c r="A153" s="319">
        <f t="shared" si="4"/>
        <v>46</v>
      </c>
      <c r="B153" s="14" t="s">
        <v>106</v>
      </c>
      <c r="C153" s="17"/>
      <c r="D153" s="17"/>
      <c r="E153" s="522">
        <f>(E147+E149)/E151</f>
        <v>7.237887250274376E-2</v>
      </c>
      <c r="F153" s="641"/>
      <c r="G153" s="12" t="s">
        <v>619</v>
      </c>
      <c r="H153" s="319">
        <f t="shared" si="5"/>
        <v>46</v>
      </c>
    </row>
    <row r="154" spans="1:8" ht="16" thickTop="1">
      <c r="A154" s="319">
        <f t="shared" si="4"/>
        <v>47</v>
      </c>
      <c r="B154" s="14"/>
      <c r="C154" s="14"/>
      <c r="D154" s="14"/>
      <c r="E154" s="388"/>
      <c r="F154" s="41"/>
      <c r="G154" s="15"/>
      <c r="H154" s="319">
        <f t="shared" si="5"/>
        <v>47</v>
      </c>
    </row>
    <row r="155" spans="1:8">
      <c r="A155" s="319">
        <f t="shared" si="4"/>
        <v>48</v>
      </c>
      <c r="B155" s="16" t="s">
        <v>107</v>
      </c>
      <c r="C155" s="16"/>
      <c r="D155" s="16"/>
      <c r="E155" s="318"/>
      <c r="F155" s="51"/>
      <c r="G155" s="14"/>
      <c r="H155" s="319">
        <f t="shared" si="5"/>
        <v>48</v>
      </c>
    </row>
    <row r="156" spans="1:8">
      <c r="A156" s="319">
        <f t="shared" si="4"/>
        <v>49</v>
      </c>
      <c r="B156" s="14"/>
      <c r="C156" s="14"/>
      <c r="D156" s="14"/>
      <c r="E156" s="318"/>
      <c r="F156" s="51"/>
      <c r="G156" s="14"/>
      <c r="H156" s="319">
        <f t="shared" si="5"/>
        <v>49</v>
      </c>
    </row>
    <row r="157" spans="1:8">
      <c r="A157" s="319">
        <f t="shared" si="4"/>
        <v>50</v>
      </c>
      <c r="B157" s="17" t="s">
        <v>108</v>
      </c>
      <c r="C157" s="17"/>
      <c r="D157" s="17"/>
      <c r="E157" s="389">
        <v>0</v>
      </c>
      <c r="F157" s="13"/>
      <c r="G157" s="12" t="s">
        <v>620</v>
      </c>
      <c r="H157" s="319">
        <f t="shared" si="5"/>
        <v>50</v>
      </c>
    </row>
    <row r="158" spans="1:8">
      <c r="A158" s="319">
        <f t="shared" si="4"/>
        <v>51</v>
      </c>
      <c r="B158" s="17"/>
      <c r="C158" s="17"/>
      <c r="D158" s="17"/>
      <c r="E158" s="390"/>
      <c r="F158" s="42"/>
      <c r="G158" s="14"/>
      <c r="H158" s="319">
        <f t="shared" si="5"/>
        <v>51</v>
      </c>
    </row>
    <row r="159" spans="1:8">
      <c r="A159" s="319">
        <f t="shared" si="4"/>
        <v>52</v>
      </c>
      <c r="B159" s="17" t="s">
        <v>35</v>
      </c>
      <c r="C159" s="17"/>
      <c r="D159" s="17"/>
      <c r="E159" s="391">
        <f>'Pg12 As Filed Stmt AV FERC Adj'!G113</f>
        <v>9.6610658544887346E-2</v>
      </c>
      <c r="F159" s="13"/>
      <c r="G159" s="12" t="s">
        <v>681</v>
      </c>
      <c r="H159" s="319">
        <f t="shared" si="5"/>
        <v>52</v>
      </c>
    </row>
    <row r="160" spans="1:8">
      <c r="A160" s="319">
        <f t="shared" si="4"/>
        <v>53</v>
      </c>
      <c r="B160" s="14"/>
      <c r="C160" s="14"/>
      <c r="D160" s="14"/>
      <c r="E160" s="392"/>
      <c r="F160" s="43"/>
      <c r="G160" s="14"/>
      <c r="H160" s="319">
        <f t="shared" si="5"/>
        <v>53</v>
      </c>
    </row>
    <row r="161" spans="1:8">
      <c r="A161" s="319">
        <f t="shared" si="4"/>
        <v>54</v>
      </c>
      <c r="B161" s="17" t="s">
        <v>109</v>
      </c>
      <c r="C161" s="17"/>
      <c r="D161" s="17"/>
      <c r="E161" s="393">
        <f>E157*E159</f>
        <v>0</v>
      </c>
      <c r="F161" s="50"/>
      <c r="G161" s="12" t="s">
        <v>621</v>
      </c>
      <c r="H161" s="319">
        <f t="shared" si="5"/>
        <v>54</v>
      </c>
    </row>
    <row r="162" spans="1:8">
      <c r="A162" s="319">
        <f t="shared" si="4"/>
        <v>55</v>
      </c>
      <c r="B162" s="14"/>
      <c r="C162" s="14"/>
      <c r="D162" s="14"/>
      <c r="E162" s="394"/>
      <c r="F162" s="44"/>
      <c r="G162" s="14"/>
      <c r="H162" s="319">
        <f t="shared" si="5"/>
        <v>55</v>
      </c>
    </row>
    <row r="163" spans="1:8">
      <c r="A163" s="319">
        <f t="shared" si="4"/>
        <v>56</v>
      </c>
      <c r="B163" s="17" t="s">
        <v>110</v>
      </c>
      <c r="C163" s="17"/>
      <c r="D163" s="17"/>
      <c r="E163" s="395">
        <f>E113</f>
        <v>1306773.9126676852</v>
      </c>
      <c r="F163" s="641"/>
      <c r="G163" s="12" t="s">
        <v>591</v>
      </c>
      <c r="H163" s="319">
        <f t="shared" si="5"/>
        <v>56</v>
      </c>
    </row>
    <row r="164" spans="1:8">
      <c r="A164" s="319">
        <f t="shared" si="4"/>
        <v>57</v>
      </c>
      <c r="B164" s="14"/>
      <c r="C164" s="14"/>
      <c r="D164" s="14"/>
      <c r="E164" s="523"/>
      <c r="F164" s="307"/>
      <c r="G164" s="14"/>
      <c r="H164" s="319">
        <f t="shared" si="5"/>
        <v>57</v>
      </c>
    </row>
    <row r="165" spans="1:8" ht="16" thickBot="1">
      <c r="A165" s="319">
        <f t="shared" si="4"/>
        <v>58</v>
      </c>
      <c r="B165" s="14" t="s">
        <v>111</v>
      </c>
      <c r="C165" s="17"/>
      <c r="D165" s="17"/>
      <c r="E165" s="518">
        <f>E161/E163</f>
        <v>0</v>
      </c>
      <c r="F165" s="74"/>
      <c r="G165" s="12" t="s">
        <v>622</v>
      </c>
      <c r="H165" s="319">
        <f t="shared" si="5"/>
        <v>58</v>
      </c>
    </row>
    <row r="166" spans="1:8" ht="16" thickTop="1">
      <c r="A166" s="319"/>
      <c r="B166" s="14"/>
      <c r="C166" s="17"/>
      <c r="D166" s="17"/>
      <c r="E166" s="337"/>
      <c r="F166" s="74"/>
      <c r="G166" s="12"/>
      <c r="H166" s="319"/>
    </row>
    <row r="167" spans="1:8">
      <c r="A167" s="319"/>
      <c r="B167" s="14"/>
      <c r="C167" s="17"/>
      <c r="D167" s="17"/>
      <c r="E167" s="337"/>
      <c r="F167" s="74"/>
      <c r="G167" s="12"/>
      <c r="H167" s="319"/>
    </row>
    <row r="168" spans="1:8" ht="18.5">
      <c r="A168" s="317"/>
      <c r="B168" s="46"/>
      <c r="C168" s="46"/>
      <c r="D168" s="46"/>
      <c r="E168" s="14"/>
      <c r="F168" s="14"/>
      <c r="G168" s="14"/>
      <c r="H168" s="317"/>
    </row>
    <row r="169" spans="1:8">
      <c r="A169" s="317"/>
      <c r="B169" s="51"/>
      <c r="C169" s="51"/>
      <c r="D169" s="51"/>
      <c r="E169" s="51"/>
      <c r="F169" s="51"/>
      <c r="G169" s="14"/>
      <c r="H169" s="312"/>
    </row>
    <row r="170" spans="1:8">
      <c r="A170" s="317"/>
      <c r="B170" s="51"/>
      <c r="C170" s="51"/>
      <c r="D170" s="51"/>
      <c r="E170" s="51"/>
      <c r="F170" s="51"/>
      <c r="G170" s="14"/>
      <c r="H170" s="312"/>
    </row>
    <row r="171" spans="1:8">
      <c r="A171" s="317"/>
      <c r="B171" s="14"/>
      <c r="C171" s="14"/>
      <c r="D171" s="14"/>
      <c r="E171" s="51"/>
      <c r="F171" s="51"/>
      <c r="G171" s="14"/>
      <c r="H171" s="312"/>
    </row>
    <row r="172" spans="1:8">
      <c r="A172" s="317"/>
      <c r="B172" s="14"/>
      <c r="C172" s="14"/>
      <c r="D172" s="14"/>
      <c r="E172" s="51"/>
      <c r="F172" s="51"/>
      <c r="G172" s="14"/>
      <c r="H172" s="312"/>
    </row>
    <row r="173" spans="1:8">
      <c r="A173" s="317"/>
      <c r="B173" s="14"/>
      <c r="C173" s="14"/>
      <c r="D173" s="14"/>
      <c r="E173" s="51"/>
      <c r="F173" s="51"/>
      <c r="G173" s="14"/>
      <c r="H173" s="312"/>
    </row>
    <row r="174" spans="1:8">
      <c r="A174" s="321"/>
    </row>
    <row r="175" spans="1:8">
      <c r="A175" s="321"/>
    </row>
    <row r="176" spans="1:8">
      <c r="A176" s="321"/>
    </row>
    <row r="177" spans="1:1">
      <c r="A177" s="321"/>
    </row>
    <row r="178" spans="1:1">
      <c r="A178" s="321"/>
    </row>
    <row r="179" spans="1:1">
      <c r="A179" s="321"/>
    </row>
    <row r="180" spans="1:1">
      <c r="A180" s="321"/>
    </row>
    <row r="181" spans="1:1">
      <c r="A181" s="321"/>
    </row>
    <row r="182" spans="1:1">
      <c r="A182" s="321"/>
    </row>
    <row r="183" spans="1:1">
      <c r="A183" s="321"/>
    </row>
    <row r="184" spans="1:1">
      <c r="A184" s="321"/>
    </row>
    <row r="185" spans="1:1">
      <c r="A185" s="321"/>
    </row>
    <row r="186" spans="1:1">
      <c r="A186" s="321"/>
    </row>
    <row r="187" spans="1:1">
      <c r="A187" s="321"/>
    </row>
    <row r="188" spans="1:1">
      <c r="A188" s="321"/>
    </row>
    <row r="189" spans="1:1">
      <c r="A189" s="321"/>
    </row>
    <row r="190" spans="1:1">
      <c r="A190" s="321"/>
    </row>
    <row r="191" spans="1:1">
      <c r="A191" s="321"/>
    </row>
    <row r="192" spans="1:1">
      <c r="A192" s="321"/>
    </row>
    <row r="193" spans="1:1">
      <c r="A193" s="321"/>
    </row>
    <row r="194" spans="1:1">
      <c r="A194" s="321"/>
    </row>
    <row r="195" spans="1:1">
      <c r="A195" s="321"/>
    </row>
    <row r="196" spans="1:1">
      <c r="A196" s="321"/>
    </row>
    <row r="197" spans="1:1">
      <c r="A197" s="321"/>
    </row>
    <row r="198" spans="1:1">
      <c r="A198" s="321"/>
    </row>
    <row r="199" spans="1:1">
      <c r="A199" s="321"/>
    </row>
    <row r="200" spans="1:1">
      <c r="A200" s="321"/>
    </row>
    <row r="201" spans="1:1">
      <c r="A201" s="321"/>
    </row>
    <row r="202" spans="1:1">
      <c r="A202" s="321"/>
    </row>
    <row r="203" spans="1:1">
      <c r="A203" s="321"/>
    </row>
    <row r="204" spans="1:1">
      <c r="A204" s="321"/>
    </row>
    <row r="205" spans="1:1">
      <c r="A205" s="321"/>
    </row>
    <row r="206" spans="1:1">
      <c r="A206" s="321"/>
    </row>
    <row r="207" spans="1:1">
      <c r="A207" s="321"/>
    </row>
    <row r="208" spans="1:1">
      <c r="A208" s="321"/>
    </row>
    <row r="209" spans="1:1">
      <c r="A209" s="321"/>
    </row>
    <row r="210" spans="1:1">
      <c r="A210" s="321"/>
    </row>
    <row r="211" spans="1:1">
      <c r="A211" s="321"/>
    </row>
    <row r="212" spans="1:1">
      <c r="A212" s="321"/>
    </row>
    <row r="213" spans="1:1">
      <c r="A213" s="321"/>
    </row>
    <row r="214" spans="1:1">
      <c r="A214" s="321"/>
    </row>
    <row r="215" spans="1:1">
      <c r="A215" s="321"/>
    </row>
    <row r="216" spans="1:1">
      <c r="A216" s="321"/>
    </row>
    <row r="217" spans="1:1">
      <c r="A217" s="321"/>
    </row>
    <row r="218" spans="1:1">
      <c r="A218" s="321"/>
    </row>
    <row r="219" spans="1:1">
      <c r="A219" s="321"/>
    </row>
    <row r="220" spans="1:1">
      <c r="A220" s="321"/>
    </row>
    <row r="221" spans="1:1">
      <c r="A221" s="321"/>
    </row>
    <row r="222" spans="1:1">
      <c r="A222" s="321"/>
    </row>
    <row r="223" spans="1:1">
      <c r="A223" s="321"/>
    </row>
    <row r="224" spans="1:1">
      <c r="A224" s="321"/>
    </row>
    <row r="225" spans="1:6">
      <c r="A225" s="321"/>
    </row>
    <row r="226" spans="1:6">
      <c r="A226" s="321"/>
    </row>
    <row r="227" spans="1:6">
      <c r="A227" s="321"/>
    </row>
    <row r="228" spans="1:6">
      <c r="A228" s="321"/>
    </row>
    <row r="229" spans="1:6">
      <c r="A229" s="321"/>
    </row>
    <row r="230" spans="1:6">
      <c r="A230" s="321"/>
    </row>
    <row r="231" spans="1:6">
      <c r="A231" s="321"/>
    </row>
    <row r="232" spans="1:6">
      <c r="A232" s="321"/>
    </row>
    <row r="233" spans="1:6">
      <c r="A233" s="321"/>
    </row>
    <row r="234" spans="1:6">
      <c r="A234" s="321"/>
    </row>
    <row r="235" spans="1:6">
      <c r="A235" s="321"/>
    </row>
    <row r="236" spans="1:6">
      <c r="A236" s="321"/>
    </row>
    <row r="237" spans="1:6">
      <c r="A237" s="321"/>
    </row>
    <row r="238" spans="1:6">
      <c r="A238" s="321"/>
      <c r="B238" s="51"/>
      <c r="C238" s="51"/>
      <c r="D238" s="51"/>
      <c r="E238" s="51"/>
      <c r="F238" s="51"/>
    </row>
    <row r="239" spans="1:6">
      <c r="A239" s="321"/>
      <c r="B239" s="51"/>
      <c r="C239" s="51"/>
      <c r="D239" s="51"/>
      <c r="E239" s="51"/>
      <c r="F239" s="51"/>
    </row>
    <row r="244" spans="1:6">
      <c r="A244" s="318"/>
      <c r="B244" s="51"/>
      <c r="C244" s="51"/>
      <c r="D244" s="51"/>
      <c r="E244" s="45"/>
      <c r="F244" s="45"/>
    </row>
  </sheetData>
  <mergeCells count="15">
    <mergeCell ref="B47:G47"/>
    <mergeCell ref="B2:G2"/>
    <mergeCell ref="B3:G3"/>
    <mergeCell ref="B4:G4"/>
    <mergeCell ref="B5:G5"/>
    <mergeCell ref="B6:G6"/>
    <mergeCell ref="B101:G101"/>
    <mergeCell ref="B102:G102"/>
    <mergeCell ref="B103:G103"/>
    <mergeCell ref="B48:G48"/>
    <mergeCell ref="B49:G49"/>
    <mergeCell ref="B50:G50"/>
    <mergeCell ref="B51:G51"/>
    <mergeCell ref="B99:G99"/>
    <mergeCell ref="B100:G100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Roman,Bold"&amp;7REVISED</oddHeader>
    <oddFooter>&amp;L&amp;F&amp;CPage 5.&amp;P&amp;R&amp;A</oddFooter>
  </headerFooter>
  <rowBreaks count="2" manualBreakCount="2">
    <brk id="45" max="16383" man="1"/>
    <brk id="9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5E8E-8489-45CF-BEB3-9428BAD22039}">
  <dimension ref="A1:J246"/>
  <sheetViews>
    <sheetView zoomScale="80" zoomScaleNormal="80" workbookViewId="0"/>
  </sheetViews>
  <sheetFormatPr defaultColWidth="8.81640625" defaultRowHeight="15.5"/>
  <cols>
    <col min="1" max="1" width="5.1796875" style="111" customWidth="1"/>
    <col min="2" max="2" width="96" style="6" customWidth="1"/>
    <col min="3" max="3" width="10.453125" style="6" customWidth="1"/>
    <col min="4" max="4" width="1.54296875" style="6" customWidth="1"/>
    <col min="5" max="5" width="20.6328125" style="6" customWidth="1"/>
    <col min="6" max="6" width="1.54296875" style="6" customWidth="1"/>
    <col min="7" max="7" width="53.54296875" style="6" customWidth="1"/>
    <col min="8" max="8" width="5.1796875" style="102" customWidth="1"/>
    <col min="9" max="9" width="8.81640625" style="6"/>
    <col min="10" max="10" width="9.81640625" style="6" bestFit="1" customWidth="1"/>
    <col min="11" max="16384" width="8.81640625" style="6"/>
  </cols>
  <sheetData>
    <row r="1" spans="1:8">
      <c r="A1" s="926" t="s">
        <v>758</v>
      </c>
    </row>
    <row r="2" spans="1:8">
      <c r="A2" s="317"/>
      <c r="B2" s="14"/>
      <c r="C2" s="14"/>
      <c r="D2" s="14"/>
      <c r="E2" s="51"/>
      <c r="F2" s="51"/>
      <c r="G2" s="51"/>
      <c r="H2" s="312"/>
    </row>
    <row r="3" spans="1:8">
      <c r="B3" s="961" t="s">
        <v>0</v>
      </c>
      <c r="C3" s="961"/>
      <c r="D3" s="961"/>
      <c r="E3" s="961"/>
      <c r="F3" s="961"/>
      <c r="G3" s="961"/>
      <c r="H3" s="317"/>
    </row>
    <row r="4" spans="1:8">
      <c r="B4" s="961" t="s">
        <v>31</v>
      </c>
      <c r="C4" s="961"/>
      <c r="D4" s="961"/>
      <c r="E4" s="961"/>
      <c r="F4" s="961"/>
      <c r="G4" s="961"/>
      <c r="H4" s="317"/>
    </row>
    <row r="5" spans="1:8">
      <c r="B5" s="961" t="s">
        <v>37</v>
      </c>
      <c r="C5" s="961"/>
      <c r="D5" s="961"/>
      <c r="E5" s="961"/>
      <c r="F5" s="961"/>
      <c r="G5" s="961"/>
      <c r="H5" s="317"/>
    </row>
    <row r="6" spans="1:8">
      <c r="B6" s="962" t="s">
        <v>464</v>
      </c>
      <c r="C6" s="962"/>
      <c r="D6" s="962"/>
      <c r="E6" s="962"/>
      <c r="F6" s="962"/>
      <c r="G6" s="962"/>
      <c r="H6" s="317"/>
    </row>
    <row r="7" spans="1:8">
      <c r="B7" s="964" t="s">
        <v>1</v>
      </c>
      <c r="C7" s="964"/>
      <c r="D7" s="964"/>
      <c r="E7" s="964"/>
      <c r="F7" s="964"/>
      <c r="G7" s="964"/>
      <c r="H7" s="311"/>
    </row>
    <row r="8" spans="1:8">
      <c r="A8" s="318"/>
      <c r="B8" s="13"/>
      <c r="C8" s="13"/>
      <c r="D8" s="13"/>
      <c r="E8" s="13"/>
      <c r="F8" s="13"/>
      <c r="G8" s="51"/>
      <c r="H8" s="312"/>
    </row>
    <row r="9" spans="1:8">
      <c r="A9" s="319" t="s">
        <v>2</v>
      </c>
      <c r="B9" s="14"/>
      <c r="C9" s="14"/>
      <c r="D9" s="14"/>
      <c r="E9" s="13"/>
      <c r="F9" s="13"/>
      <c r="G9" s="14"/>
      <c r="H9" s="319" t="s">
        <v>2</v>
      </c>
    </row>
    <row r="10" spans="1:8">
      <c r="A10" s="319" t="s">
        <v>3</v>
      </c>
      <c r="B10" s="14"/>
      <c r="C10" s="14"/>
      <c r="D10" s="14"/>
      <c r="E10" s="308" t="s">
        <v>32</v>
      </c>
      <c r="F10" s="18"/>
      <c r="G10" s="308" t="s">
        <v>5</v>
      </c>
      <c r="H10" s="319" t="s">
        <v>3</v>
      </c>
    </row>
    <row r="11" spans="1:8">
      <c r="A11" s="319"/>
      <c r="B11" s="14"/>
      <c r="C11" s="14"/>
      <c r="D11" s="14"/>
      <c r="E11" s="13"/>
      <c r="F11" s="18"/>
      <c r="G11" s="13"/>
      <c r="H11" s="319"/>
    </row>
    <row r="12" spans="1:8">
      <c r="A12" s="319">
        <v>1</v>
      </c>
      <c r="B12" s="16" t="s">
        <v>38</v>
      </c>
      <c r="C12" s="16"/>
      <c r="D12" s="16"/>
      <c r="E12" s="51"/>
      <c r="F12" s="51"/>
      <c r="G12" s="13"/>
      <c r="H12" s="319">
        <f>A12</f>
        <v>1</v>
      </c>
    </row>
    <row r="13" spans="1:8">
      <c r="A13" s="319">
        <f>A12+1</f>
        <v>2</v>
      </c>
      <c r="B13" s="17" t="s">
        <v>39</v>
      </c>
      <c r="C13" s="25"/>
      <c r="D13" s="25"/>
      <c r="E13" s="842">
        <f>E62</f>
        <v>5.531618912384577E-3</v>
      </c>
      <c r="F13" s="641" t="s">
        <v>439</v>
      </c>
      <c r="G13" s="12" t="s">
        <v>593</v>
      </c>
      <c r="H13" s="319">
        <f>H12+1</f>
        <v>2</v>
      </c>
    </row>
    <row r="14" spans="1:8">
      <c r="A14" s="319">
        <f t="shared" ref="A14:A42" si="0">A13+1</f>
        <v>3</v>
      </c>
      <c r="B14" s="14"/>
      <c r="C14" s="321"/>
      <c r="D14" s="321"/>
      <c r="E14" s="344"/>
      <c r="F14" s="18"/>
      <c r="G14" s="12"/>
      <c r="H14" s="319">
        <f t="shared" ref="H14:H42" si="1">H13+1</f>
        <v>3</v>
      </c>
    </row>
    <row r="15" spans="1:8">
      <c r="A15" s="319">
        <f t="shared" si="0"/>
        <v>4</v>
      </c>
      <c r="B15" s="17" t="s">
        <v>40</v>
      </c>
      <c r="C15" s="25"/>
      <c r="D15" s="25"/>
      <c r="E15" s="345">
        <f>E66</f>
        <v>1.0009530188257638E-3</v>
      </c>
      <c r="F15" s="299"/>
      <c r="G15" s="12" t="s">
        <v>594</v>
      </c>
      <c r="H15" s="319">
        <f t="shared" si="1"/>
        <v>4</v>
      </c>
    </row>
    <row r="16" spans="1:8">
      <c r="A16" s="319">
        <f t="shared" si="0"/>
        <v>5</v>
      </c>
      <c r="B16" s="14"/>
      <c r="C16" s="321"/>
      <c r="D16" s="321"/>
      <c r="E16" s="344"/>
      <c r="F16" s="18"/>
      <c r="G16" s="12"/>
      <c r="H16" s="319">
        <f t="shared" si="1"/>
        <v>5</v>
      </c>
    </row>
    <row r="17" spans="1:8">
      <c r="A17" s="319">
        <f t="shared" si="0"/>
        <v>6</v>
      </c>
      <c r="B17" s="17" t="s">
        <v>41</v>
      </c>
      <c r="C17" s="25"/>
      <c r="D17" s="25"/>
      <c r="E17" s="343">
        <f>E73</f>
        <v>6.3224143973175436E-3</v>
      </c>
      <c r="F17" s="298"/>
      <c r="G17" s="12" t="s">
        <v>526</v>
      </c>
      <c r="H17" s="319">
        <f t="shared" si="1"/>
        <v>6</v>
      </c>
    </row>
    <row r="18" spans="1:8">
      <c r="A18" s="319">
        <f t="shared" si="0"/>
        <v>7</v>
      </c>
      <c r="B18" s="51"/>
      <c r="C18" s="318"/>
      <c r="D18" s="318"/>
      <c r="E18" s="346"/>
      <c r="F18" s="300"/>
      <c r="G18" s="12"/>
      <c r="H18" s="319">
        <f t="shared" si="1"/>
        <v>7</v>
      </c>
    </row>
    <row r="19" spans="1:8">
      <c r="A19" s="319">
        <f t="shared" si="0"/>
        <v>8</v>
      </c>
      <c r="B19" s="17" t="s">
        <v>42</v>
      </c>
      <c r="C19" s="25"/>
      <c r="D19" s="25"/>
      <c r="E19" s="343">
        <f>E78</f>
        <v>2.4207292142132094E-4</v>
      </c>
      <c r="F19" s="298"/>
      <c r="G19" s="12" t="s">
        <v>595</v>
      </c>
      <c r="H19" s="319">
        <f t="shared" si="1"/>
        <v>8</v>
      </c>
    </row>
    <row r="20" spans="1:8">
      <c r="A20" s="319">
        <f t="shared" si="0"/>
        <v>9</v>
      </c>
      <c r="B20" s="14"/>
      <c r="C20" s="321"/>
      <c r="D20" s="321"/>
      <c r="E20" s="344"/>
      <c r="F20" s="18"/>
      <c r="G20" s="12"/>
      <c r="H20" s="319">
        <f t="shared" si="1"/>
        <v>9</v>
      </c>
    </row>
    <row r="21" spans="1:8">
      <c r="A21" s="319">
        <f t="shared" si="0"/>
        <v>10</v>
      </c>
      <c r="B21" s="17" t="s">
        <v>43</v>
      </c>
      <c r="C21" s="25"/>
      <c r="D21" s="25"/>
      <c r="E21" s="343">
        <f>E81</f>
        <v>3.9703474926304433E-3</v>
      </c>
      <c r="F21" s="298"/>
      <c r="G21" s="12" t="s">
        <v>536</v>
      </c>
      <c r="H21" s="319">
        <f t="shared" si="1"/>
        <v>10</v>
      </c>
    </row>
    <row r="22" spans="1:8">
      <c r="A22" s="319">
        <f t="shared" si="0"/>
        <v>11</v>
      </c>
      <c r="B22" s="14"/>
      <c r="C22" s="321"/>
      <c r="D22" s="321"/>
      <c r="E22" s="344"/>
      <c r="F22" s="18"/>
      <c r="G22" s="12"/>
      <c r="H22" s="319">
        <f t="shared" si="1"/>
        <v>11</v>
      </c>
    </row>
    <row r="23" spans="1:8">
      <c r="A23" s="319">
        <f t="shared" si="0"/>
        <v>12</v>
      </c>
      <c r="B23" s="17" t="s">
        <v>44</v>
      </c>
      <c r="C23" s="25"/>
      <c r="D23" s="25"/>
      <c r="E23" s="347">
        <v>0</v>
      </c>
      <c r="F23" s="18"/>
      <c r="G23" s="12" t="s">
        <v>45</v>
      </c>
      <c r="H23" s="319">
        <f t="shared" si="1"/>
        <v>12</v>
      </c>
    </row>
    <row r="24" spans="1:8">
      <c r="A24" s="319">
        <f t="shared" si="0"/>
        <v>13</v>
      </c>
      <c r="B24" s="14"/>
      <c r="C24" s="321"/>
      <c r="D24" s="321"/>
      <c r="E24" s="344"/>
      <c r="F24" s="18"/>
      <c r="G24" s="12"/>
      <c r="H24" s="319">
        <f t="shared" si="1"/>
        <v>13</v>
      </c>
    </row>
    <row r="25" spans="1:8">
      <c r="A25" s="319">
        <f t="shared" si="0"/>
        <v>14</v>
      </c>
      <c r="B25" s="17" t="s">
        <v>46</v>
      </c>
      <c r="C25" s="25"/>
      <c r="D25" s="25"/>
      <c r="E25" s="348">
        <v>0</v>
      </c>
      <c r="F25" s="18"/>
      <c r="G25" s="12" t="s">
        <v>45</v>
      </c>
      <c r="H25" s="319">
        <f t="shared" si="1"/>
        <v>14</v>
      </c>
    </row>
    <row r="26" spans="1:8">
      <c r="A26" s="319">
        <f t="shared" si="0"/>
        <v>15</v>
      </c>
      <c r="B26" s="14"/>
      <c r="C26" s="321"/>
      <c r="D26" s="321"/>
      <c r="E26" s="344"/>
      <c r="F26" s="18"/>
      <c r="G26" s="12"/>
      <c r="H26" s="319">
        <f t="shared" si="1"/>
        <v>15</v>
      </c>
    </row>
    <row r="27" spans="1:8">
      <c r="A27" s="319">
        <f t="shared" si="0"/>
        <v>16</v>
      </c>
      <c r="B27" s="17" t="s">
        <v>47</v>
      </c>
      <c r="C27" s="25"/>
      <c r="D27" s="25"/>
      <c r="E27" s="347">
        <v>0</v>
      </c>
      <c r="F27" s="18"/>
      <c r="G27" s="12" t="s">
        <v>45</v>
      </c>
      <c r="H27" s="319">
        <f t="shared" si="1"/>
        <v>16</v>
      </c>
    </row>
    <row r="28" spans="1:8">
      <c r="A28" s="319">
        <f t="shared" si="0"/>
        <v>17</v>
      </c>
      <c r="B28" s="14"/>
      <c r="C28" s="321"/>
      <c r="D28" s="321"/>
      <c r="E28" s="344"/>
      <c r="F28" s="18"/>
      <c r="G28" s="12"/>
      <c r="H28" s="319">
        <f t="shared" si="1"/>
        <v>17</v>
      </c>
    </row>
    <row r="29" spans="1:8">
      <c r="A29" s="319">
        <f t="shared" si="0"/>
        <v>18</v>
      </c>
      <c r="B29" s="17" t="s">
        <v>48</v>
      </c>
      <c r="C29" s="25"/>
      <c r="D29" s="25"/>
      <c r="E29" s="509">
        <f>E94</f>
        <v>1.370477344376084E-3</v>
      </c>
      <c r="F29" s="298"/>
      <c r="G29" s="12" t="s">
        <v>596</v>
      </c>
      <c r="H29" s="319">
        <f t="shared" si="1"/>
        <v>18</v>
      </c>
    </row>
    <row r="30" spans="1:8">
      <c r="A30" s="319">
        <f t="shared" si="0"/>
        <v>19</v>
      </c>
      <c r="B30" s="19"/>
      <c r="C30" s="349"/>
      <c r="D30" s="349"/>
      <c r="E30" s="510"/>
      <c r="F30" s="49"/>
      <c r="G30" s="12"/>
      <c r="H30" s="319">
        <f t="shared" si="1"/>
        <v>19</v>
      </c>
    </row>
    <row r="31" spans="1:8">
      <c r="A31" s="319">
        <f t="shared" si="0"/>
        <v>20</v>
      </c>
      <c r="B31" s="17" t="s">
        <v>49</v>
      </c>
      <c r="C31" s="25"/>
      <c r="D31" s="25"/>
      <c r="E31" s="829">
        <f>SUM(E13:E29)</f>
        <v>1.8437884086955732E-2</v>
      </c>
      <c r="F31" s="641" t="s">
        <v>439</v>
      </c>
      <c r="G31" s="12" t="s">
        <v>597</v>
      </c>
      <c r="H31" s="319">
        <f t="shared" si="1"/>
        <v>20</v>
      </c>
    </row>
    <row r="32" spans="1:8">
      <c r="A32" s="319">
        <f t="shared" si="0"/>
        <v>21</v>
      </c>
      <c r="B32" s="14"/>
      <c r="C32" s="321"/>
      <c r="D32" s="321"/>
      <c r="E32" s="351"/>
      <c r="F32" s="20"/>
      <c r="G32" s="12"/>
      <c r="H32" s="319">
        <f t="shared" si="1"/>
        <v>21</v>
      </c>
    </row>
    <row r="33" spans="1:8">
      <c r="A33" s="319">
        <f t="shared" si="0"/>
        <v>22</v>
      </c>
      <c r="B33" s="51" t="s">
        <v>36</v>
      </c>
      <c r="C33" s="352">
        <v>1.0277E-2</v>
      </c>
      <c r="D33" s="321"/>
      <c r="E33" s="511">
        <f>E31*C33</f>
        <v>1.8948613476164406E-4</v>
      </c>
      <c r="F33" s="268"/>
      <c r="G33" s="12" t="s">
        <v>598</v>
      </c>
      <c r="H33" s="319">
        <f t="shared" si="1"/>
        <v>22</v>
      </c>
    </row>
    <row r="34" spans="1:8">
      <c r="A34" s="319">
        <f t="shared" si="0"/>
        <v>23</v>
      </c>
      <c r="B34" s="14"/>
      <c r="C34" s="321"/>
      <c r="D34" s="321"/>
      <c r="E34" s="512"/>
      <c r="F34" s="48"/>
      <c r="G34" s="12"/>
      <c r="H34" s="319">
        <f t="shared" si="1"/>
        <v>23</v>
      </c>
    </row>
    <row r="35" spans="1:8" ht="16" thickBot="1">
      <c r="A35" s="319">
        <f t="shared" si="0"/>
        <v>24</v>
      </c>
      <c r="B35" s="14" t="s">
        <v>50</v>
      </c>
      <c r="C35" s="321"/>
      <c r="D35" s="321"/>
      <c r="E35" s="828">
        <f>E31+E33</f>
        <v>1.8627370221717378E-2</v>
      </c>
      <c r="F35" s="641" t="s">
        <v>439</v>
      </c>
      <c r="G35" s="12" t="s">
        <v>599</v>
      </c>
      <c r="H35" s="319">
        <f t="shared" si="1"/>
        <v>24</v>
      </c>
    </row>
    <row r="36" spans="1:8" ht="16" thickTop="1">
      <c r="A36" s="319">
        <f t="shared" si="0"/>
        <v>25</v>
      </c>
      <c r="B36" s="51"/>
      <c r="C36" s="318"/>
      <c r="D36" s="318"/>
      <c r="E36" s="321"/>
      <c r="F36" s="14"/>
      <c r="G36" s="14"/>
      <c r="H36" s="319">
        <f t="shared" si="1"/>
        <v>25</v>
      </c>
    </row>
    <row r="37" spans="1:8">
      <c r="A37" s="319">
        <f t="shared" si="0"/>
        <v>26</v>
      </c>
      <c r="B37" s="16" t="s">
        <v>51</v>
      </c>
      <c r="C37" s="353"/>
      <c r="D37" s="353"/>
      <c r="E37" s="318"/>
      <c r="F37" s="51"/>
      <c r="G37" s="14"/>
      <c r="H37" s="319">
        <f t="shared" si="1"/>
        <v>26</v>
      </c>
    </row>
    <row r="38" spans="1:8">
      <c r="A38" s="319">
        <f t="shared" si="0"/>
        <v>27</v>
      </c>
      <c r="B38" s="17" t="s">
        <v>52</v>
      </c>
      <c r="C38" s="25"/>
      <c r="D38" s="25"/>
      <c r="E38" s="175">
        <v>85194</v>
      </c>
      <c r="F38" s="18"/>
      <c r="G38" s="12" t="s">
        <v>53</v>
      </c>
      <c r="H38" s="319">
        <f t="shared" si="1"/>
        <v>27</v>
      </c>
    </row>
    <row r="39" spans="1:8">
      <c r="A39" s="319">
        <f t="shared" si="0"/>
        <v>28</v>
      </c>
      <c r="B39" s="17"/>
      <c r="C39" s="25"/>
      <c r="D39" s="25"/>
      <c r="E39" s="25"/>
      <c r="F39" s="17"/>
      <c r="G39" s="12"/>
      <c r="H39" s="319">
        <f t="shared" si="1"/>
        <v>28</v>
      </c>
    </row>
    <row r="40" spans="1:8">
      <c r="A40" s="319">
        <f t="shared" si="0"/>
        <v>29</v>
      </c>
      <c r="B40" s="17" t="s">
        <v>54</v>
      </c>
      <c r="C40" s="25"/>
      <c r="D40" s="25"/>
      <c r="E40" s="829">
        <f>+E35</f>
        <v>1.8627370221717378E-2</v>
      </c>
      <c r="F40" s="641" t="s">
        <v>439</v>
      </c>
      <c r="G40" s="12" t="s">
        <v>600</v>
      </c>
      <c r="H40" s="319">
        <f t="shared" si="1"/>
        <v>29</v>
      </c>
    </row>
    <row r="41" spans="1:8">
      <c r="A41" s="319">
        <f t="shared" si="0"/>
        <v>30</v>
      </c>
      <c r="B41" s="14"/>
      <c r="C41" s="321"/>
      <c r="D41" s="321"/>
      <c r="E41" s="514"/>
      <c r="F41" s="305"/>
      <c r="G41" s="12"/>
      <c r="H41" s="319">
        <f t="shared" si="1"/>
        <v>30</v>
      </c>
    </row>
    <row r="42" spans="1:8" ht="16" thickBot="1">
      <c r="A42" s="319">
        <f t="shared" si="0"/>
        <v>31</v>
      </c>
      <c r="B42" s="14" t="s">
        <v>55</v>
      </c>
      <c r="C42" s="25"/>
      <c r="D42" s="25"/>
      <c r="E42" s="830">
        <f>E38*E40</f>
        <v>1586.9401786689903</v>
      </c>
      <c r="F42" s="641" t="s">
        <v>439</v>
      </c>
      <c r="G42" s="12" t="s">
        <v>601</v>
      </c>
      <c r="H42" s="319">
        <f t="shared" si="1"/>
        <v>31</v>
      </c>
    </row>
    <row r="43" spans="1:8" ht="16" thickTop="1">
      <c r="A43" s="319"/>
      <c r="B43" s="14"/>
      <c r="C43" s="17"/>
      <c r="D43" s="17"/>
      <c r="E43" s="341"/>
      <c r="F43" s="306"/>
      <c r="G43" s="12"/>
      <c r="H43" s="319"/>
    </row>
    <row r="44" spans="1:8">
      <c r="A44" s="319"/>
      <c r="B44" s="14"/>
      <c r="C44" s="17"/>
      <c r="D44" s="17"/>
      <c r="E44" s="341"/>
      <c r="F44" s="306"/>
      <c r="G44" s="12"/>
      <c r="H44" s="319"/>
    </row>
    <row r="45" spans="1:8">
      <c r="A45" s="641" t="s">
        <v>439</v>
      </c>
      <c r="B45" s="5" t="s">
        <v>709</v>
      </c>
      <c r="C45" s="17"/>
      <c r="D45" s="17"/>
      <c r="E45" s="341"/>
      <c r="F45" s="306"/>
      <c r="G45" s="12"/>
      <c r="H45" s="319"/>
    </row>
    <row r="46" spans="1:8">
      <c r="A46" s="318"/>
      <c r="B46" s="14"/>
      <c r="C46" s="14"/>
      <c r="D46" s="14"/>
      <c r="E46" s="19"/>
      <c r="F46" s="19"/>
      <c r="G46" s="51"/>
      <c r="H46" s="312"/>
    </row>
    <row r="47" spans="1:8">
      <c r="A47" s="318"/>
      <c r="B47" s="14"/>
      <c r="C47" s="14"/>
      <c r="D47" s="14"/>
      <c r="E47" s="19"/>
      <c r="F47" s="19"/>
      <c r="G47" s="51"/>
      <c r="H47" s="312"/>
    </row>
    <row r="48" spans="1:8">
      <c r="B48" s="963" t="s">
        <v>56</v>
      </c>
      <c r="C48" s="963"/>
      <c r="D48" s="963"/>
      <c r="E48" s="963"/>
      <c r="F48" s="963"/>
      <c r="G48" s="963"/>
      <c r="H48" s="322"/>
    </row>
    <row r="49" spans="1:10">
      <c r="B49" s="961" t="s">
        <v>31</v>
      </c>
      <c r="C49" s="961"/>
      <c r="D49" s="961"/>
      <c r="E49" s="961"/>
      <c r="F49" s="961"/>
      <c r="G49" s="961"/>
      <c r="H49" s="321"/>
    </row>
    <row r="50" spans="1:10">
      <c r="B50" s="961" t="s">
        <v>37</v>
      </c>
      <c r="C50" s="961"/>
      <c r="D50" s="961"/>
      <c r="E50" s="961"/>
      <c r="F50" s="961"/>
      <c r="G50" s="961"/>
      <c r="H50" s="321"/>
    </row>
    <row r="51" spans="1:10">
      <c r="B51" s="962" t="str">
        <f>B6</f>
        <v>Base Period &amp; True-Up Period 12 - Months Ending December 31, 2018</v>
      </c>
      <c r="C51" s="962"/>
      <c r="D51" s="962"/>
      <c r="E51" s="962"/>
      <c r="F51" s="962"/>
      <c r="G51" s="962"/>
      <c r="H51" s="321"/>
    </row>
    <row r="52" spans="1:10">
      <c r="B52" s="958" t="s">
        <v>1</v>
      </c>
      <c r="C52" s="958"/>
      <c r="D52" s="958"/>
      <c r="E52" s="958"/>
      <c r="F52" s="958"/>
      <c r="G52" s="958"/>
      <c r="H52" s="107"/>
    </row>
    <row r="53" spans="1:10">
      <c r="A53" s="320"/>
      <c r="B53" s="14"/>
      <c r="C53" s="14"/>
      <c r="D53" s="14"/>
      <c r="E53" s="14"/>
      <c r="F53" s="14"/>
      <c r="G53" s="14"/>
      <c r="H53" s="312"/>
    </row>
    <row r="54" spans="1:10">
      <c r="A54" s="319" t="s">
        <v>2</v>
      </c>
      <c r="B54" s="14"/>
      <c r="C54" s="14"/>
      <c r="D54" s="14"/>
      <c r="E54" s="13"/>
      <c r="F54" s="13"/>
      <c r="G54" s="14"/>
      <c r="H54" s="319" t="s">
        <v>2</v>
      </c>
    </row>
    <row r="55" spans="1:10">
      <c r="A55" s="319" t="s">
        <v>3</v>
      </c>
      <c r="B55" s="14"/>
      <c r="C55" s="14"/>
      <c r="D55" s="14"/>
      <c r="E55" s="308" t="s">
        <v>32</v>
      </c>
      <c r="F55" s="12"/>
      <c r="G55" s="308" t="s">
        <v>5</v>
      </c>
      <c r="H55" s="319" t="s">
        <v>3</v>
      </c>
    </row>
    <row r="56" spans="1:10">
      <c r="A56" s="319"/>
      <c r="B56" s="14"/>
      <c r="C56" s="14"/>
      <c r="D56" s="14"/>
      <c r="E56" s="13"/>
      <c r="F56" s="13"/>
      <c r="G56" s="14"/>
      <c r="H56" s="319"/>
    </row>
    <row r="57" spans="1:10">
      <c r="A57" s="319">
        <v>1</v>
      </c>
      <c r="B57" s="21" t="s">
        <v>57</v>
      </c>
      <c r="C57" s="21"/>
      <c r="D57" s="21"/>
      <c r="E57" s="835">
        <v>5762981.7698807688</v>
      </c>
      <c r="F57" s="641" t="s">
        <v>439</v>
      </c>
      <c r="G57" s="12" t="s">
        <v>673</v>
      </c>
      <c r="H57" s="319">
        <f>A57</f>
        <v>1</v>
      </c>
    </row>
    <row r="58" spans="1:10">
      <c r="A58" s="319">
        <f>A57+1</f>
        <v>2</v>
      </c>
      <c r="B58" s="14"/>
      <c r="C58" s="14"/>
      <c r="D58" s="14"/>
      <c r="E58" s="317"/>
      <c r="F58" s="13"/>
      <c r="G58" s="14"/>
      <c r="H58" s="319">
        <f>H57+1</f>
        <v>2</v>
      </c>
    </row>
    <row r="59" spans="1:10">
      <c r="A59" s="319">
        <f t="shared" ref="A59:A94" si="2">A58+1</f>
        <v>3</v>
      </c>
      <c r="B59" s="16" t="s">
        <v>58</v>
      </c>
      <c r="C59" s="16"/>
      <c r="D59" s="16"/>
      <c r="E59" s="355"/>
      <c r="F59" s="22"/>
      <c r="G59" s="14"/>
      <c r="H59" s="319">
        <f t="shared" ref="H59:H94" si="3">H58+1</f>
        <v>3</v>
      </c>
    </row>
    <row r="60" spans="1:10">
      <c r="A60" s="319">
        <f t="shared" si="2"/>
        <v>4</v>
      </c>
      <c r="B60" s="17" t="s">
        <v>59</v>
      </c>
      <c r="C60" s="17"/>
      <c r="D60" s="17"/>
      <c r="E60" s="903">
        <v>31878.618950000004</v>
      </c>
      <c r="F60" s="641" t="s">
        <v>439</v>
      </c>
      <c r="G60" s="12" t="s">
        <v>674</v>
      </c>
      <c r="H60" s="319">
        <f t="shared" si="3"/>
        <v>4</v>
      </c>
      <c r="J60" s="340"/>
    </row>
    <row r="61" spans="1:10">
      <c r="A61" s="319">
        <f t="shared" si="2"/>
        <v>5</v>
      </c>
      <c r="B61" s="17"/>
      <c r="C61" s="17"/>
      <c r="D61" s="17"/>
      <c r="E61" s="185"/>
      <c r="F61" s="23"/>
      <c r="G61" s="12"/>
      <c r="H61" s="319">
        <f t="shared" si="3"/>
        <v>5</v>
      </c>
      <c r="J61" s="340"/>
    </row>
    <row r="62" spans="1:10">
      <c r="A62" s="319">
        <f t="shared" si="2"/>
        <v>6</v>
      </c>
      <c r="B62" s="17" t="s">
        <v>60</v>
      </c>
      <c r="C62" s="14"/>
      <c r="D62" s="14"/>
      <c r="E62" s="843">
        <f>E60/E57</f>
        <v>5.531618912384577E-3</v>
      </c>
      <c r="F62" s="641" t="s">
        <v>439</v>
      </c>
      <c r="G62" s="12" t="s">
        <v>602</v>
      </c>
      <c r="H62" s="319">
        <f t="shared" si="3"/>
        <v>6</v>
      </c>
      <c r="J62" s="340"/>
    </row>
    <row r="63" spans="1:10">
      <c r="A63" s="319">
        <f t="shared" si="2"/>
        <v>7</v>
      </c>
      <c r="B63" s="17"/>
      <c r="C63" s="17"/>
      <c r="D63" s="17"/>
      <c r="E63" s="357"/>
      <c r="F63" s="24"/>
      <c r="G63" s="12"/>
      <c r="H63" s="319">
        <f t="shared" si="3"/>
        <v>7</v>
      </c>
    </row>
    <row r="64" spans="1:10">
      <c r="A64" s="319">
        <f t="shared" si="2"/>
        <v>8</v>
      </c>
      <c r="B64" s="25" t="s">
        <v>61</v>
      </c>
      <c r="C64" s="25"/>
      <c r="D64" s="25"/>
      <c r="E64" s="904">
        <v>5768.4739999999993</v>
      </c>
      <c r="F64" s="13"/>
      <c r="G64" s="12" t="s">
        <v>675</v>
      </c>
      <c r="H64" s="319">
        <f t="shared" si="3"/>
        <v>8</v>
      </c>
    </row>
    <row r="65" spans="1:8">
      <c r="A65" s="319">
        <f t="shared" si="2"/>
        <v>9</v>
      </c>
      <c r="B65" s="14"/>
      <c r="C65" s="14"/>
      <c r="D65" s="14"/>
      <c r="E65" s="358"/>
      <c r="F65" s="26"/>
      <c r="G65" s="12"/>
      <c r="H65" s="319">
        <f t="shared" si="3"/>
        <v>9</v>
      </c>
    </row>
    <row r="66" spans="1:8">
      <c r="A66" s="319">
        <f t="shared" si="2"/>
        <v>10</v>
      </c>
      <c r="B66" s="17" t="s">
        <v>62</v>
      </c>
      <c r="C66" s="14"/>
      <c r="D66" s="14"/>
      <c r="E66" s="356">
        <f>E64/E57</f>
        <v>1.0009530188257638E-3</v>
      </c>
      <c r="F66" s="74"/>
      <c r="G66" s="12" t="s">
        <v>603</v>
      </c>
      <c r="H66" s="319">
        <f t="shared" si="3"/>
        <v>10</v>
      </c>
    </row>
    <row r="67" spans="1:8">
      <c r="A67" s="319">
        <f t="shared" si="2"/>
        <v>11</v>
      </c>
      <c r="B67" s="14"/>
      <c r="C67" s="14"/>
      <c r="D67" s="14"/>
      <c r="E67" s="358"/>
      <c r="F67" s="26"/>
      <c r="G67" s="12"/>
      <c r="H67" s="319">
        <f t="shared" si="3"/>
        <v>11</v>
      </c>
    </row>
    <row r="68" spans="1:8">
      <c r="A68" s="319">
        <f t="shared" si="2"/>
        <v>12</v>
      </c>
      <c r="B68" s="21" t="s">
        <v>63</v>
      </c>
      <c r="C68" s="21"/>
      <c r="D68" s="21"/>
      <c r="E68" s="367">
        <f>E60+E64</f>
        <v>37647.092950000006</v>
      </c>
      <c r="F68" s="641" t="s">
        <v>439</v>
      </c>
      <c r="G68" s="12" t="s">
        <v>604</v>
      </c>
      <c r="H68" s="319">
        <f t="shared" si="3"/>
        <v>12</v>
      </c>
    </row>
    <row r="69" spans="1:8">
      <c r="A69" s="319">
        <f t="shared" si="2"/>
        <v>13</v>
      </c>
      <c r="B69" s="14"/>
      <c r="C69" s="14"/>
      <c r="D69" s="14"/>
      <c r="E69" s="360"/>
      <c r="F69" s="27"/>
      <c r="G69" s="12"/>
      <c r="H69" s="319">
        <f t="shared" si="3"/>
        <v>13</v>
      </c>
    </row>
    <row r="70" spans="1:8">
      <c r="A70" s="319">
        <f t="shared" si="2"/>
        <v>14</v>
      </c>
      <c r="B70" s="16" t="s">
        <v>64</v>
      </c>
      <c r="C70" s="16"/>
      <c r="D70" s="16"/>
      <c r="E70" s="360"/>
      <c r="F70" s="27"/>
      <c r="G70" s="15"/>
      <c r="H70" s="319">
        <f t="shared" si="3"/>
        <v>14</v>
      </c>
    </row>
    <row r="71" spans="1:8">
      <c r="A71" s="319">
        <f t="shared" si="2"/>
        <v>15</v>
      </c>
      <c r="B71" s="17" t="s">
        <v>65</v>
      </c>
      <c r="C71" s="17"/>
      <c r="D71" s="17"/>
      <c r="E71" s="831">
        <f>'Pg9.1 As Filed Stmt AH FERC Adj'!F52</f>
        <v>36435.958913372713</v>
      </c>
      <c r="F71" s="641" t="s">
        <v>439</v>
      </c>
      <c r="G71" s="12" t="s">
        <v>676</v>
      </c>
      <c r="H71" s="319">
        <f t="shared" si="3"/>
        <v>15</v>
      </c>
    </row>
    <row r="72" spans="1:8">
      <c r="A72" s="319">
        <f t="shared" si="2"/>
        <v>16</v>
      </c>
      <c r="B72" s="14"/>
      <c r="C72" s="14"/>
      <c r="D72" s="14"/>
      <c r="E72" s="361"/>
      <c r="F72" s="28"/>
      <c r="G72" s="12"/>
      <c r="H72" s="319">
        <f t="shared" si="3"/>
        <v>16</v>
      </c>
    </row>
    <row r="73" spans="1:8">
      <c r="A73" s="319">
        <f t="shared" si="2"/>
        <v>17</v>
      </c>
      <c r="B73" s="338" t="s">
        <v>66</v>
      </c>
      <c r="C73" s="15"/>
      <c r="D73" s="15"/>
      <c r="E73" s="356">
        <f>E71/E57</f>
        <v>6.3224143973175436E-3</v>
      </c>
      <c r="F73" s="74"/>
      <c r="G73" s="12" t="s">
        <v>605</v>
      </c>
      <c r="H73" s="319">
        <f t="shared" si="3"/>
        <v>17</v>
      </c>
    </row>
    <row r="74" spans="1:8">
      <c r="A74" s="319">
        <f t="shared" si="2"/>
        <v>18</v>
      </c>
      <c r="B74" s="15"/>
      <c r="C74" s="15"/>
      <c r="D74" s="15"/>
      <c r="E74" s="362"/>
      <c r="F74" s="29"/>
      <c r="G74" s="12"/>
      <c r="H74" s="319">
        <f t="shared" si="3"/>
        <v>18</v>
      </c>
    </row>
    <row r="75" spans="1:8">
      <c r="A75" s="319">
        <f t="shared" si="2"/>
        <v>19</v>
      </c>
      <c r="B75" s="16" t="s">
        <v>67</v>
      </c>
      <c r="C75" s="16"/>
      <c r="D75" s="16"/>
      <c r="E75" s="362"/>
      <c r="F75" s="29"/>
      <c r="G75" s="12"/>
      <c r="H75" s="319">
        <f t="shared" si="3"/>
        <v>19</v>
      </c>
    </row>
    <row r="76" spans="1:8">
      <c r="A76" s="319">
        <f t="shared" si="2"/>
        <v>20</v>
      </c>
      <c r="B76" s="17" t="s">
        <v>68</v>
      </c>
      <c r="C76" s="17"/>
      <c r="D76" s="17"/>
      <c r="E76" s="515">
        <v>1395.0618331328524</v>
      </c>
      <c r="F76" s="13"/>
      <c r="G76" s="12" t="s">
        <v>606</v>
      </c>
      <c r="H76" s="319">
        <f t="shared" si="3"/>
        <v>20</v>
      </c>
    </row>
    <row r="77" spans="1:8">
      <c r="A77" s="319">
        <f t="shared" si="2"/>
        <v>21</v>
      </c>
      <c r="B77" s="15"/>
      <c r="C77" s="15"/>
      <c r="D77" s="15"/>
      <c r="E77" s="362"/>
      <c r="F77" s="29"/>
      <c r="G77" s="12"/>
      <c r="H77" s="319">
        <f t="shared" si="3"/>
        <v>21</v>
      </c>
    </row>
    <row r="78" spans="1:8">
      <c r="A78" s="319">
        <f t="shared" si="2"/>
        <v>22</v>
      </c>
      <c r="B78" s="338" t="s">
        <v>69</v>
      </c>
      <c r="C78" s="15"/>
      <c r="D78" s="15"/>
      <c r="E78" s="356">
        <f>E76/E57</f>
        <v>2.4207292142132094E-4</v>
      </c>
      <c r="F78" s="74"/>
      <c r="G78" s="12" t="s">
        <v>607</v>
      </c>
      <c r="H78" s="319">
        <f t="shared" si="3"/>
        <v>22</v>
      </c>
    </row>
    <row r="79" spans="1:8">
      <c r="A79" s="319">
        <f t="shared" si="2"/>
        <v>23</v>
      </c>
      <c r="B79" s="15"/>
      <c r="C79" s="15"/>
      <c r="D79" s="15"/>
      <c r="E79" s="362"/>
      <c r="F79" s="29"/>
      <c r="G79" s="12"/>
      <c r="H79" s="319">
        <f t="shared" si="3"/>
        <v>23</v>
      </c>
    </row>
    <row r="80" spans="1:8">
      <c r="A80" s="319">
        <f t="shared" si="2"/>
        <v>24</v>
      </c>
      <c r="B80" s="16" t="s">
        <v>70</v>
      </c>
      <c r="C80" s="16"/>
      <c r="D80" s="16"/>
      <c r="E80" s="362"/>
      <c r="F80" s="29"/>
      <c r="G80" s="12"/>
      <c r="H80" s="319">
        <f t="shared" si="3"/>
        <v>24</v>
      </c>
    </row>
    <row r="81" spans="1:8">
      <c r="A81" s="319">
        <f t="shared" si="2"/>
        <v>25</v>
      </c>
      <c r="B81" s="17" t="s">
        <v>71</v>
      </c>
      <c r="C81" s="14"/>
      <c r="D81" s="14"/>
      <c r="E81" s="363">
        <f>E126</f>
        <v>3.9703474926304433E-3</v>
      </c>
      <c r="F81" s="74"/>
      <c r="G81" s="12" t="s">
        <v>608</v>
      </c>
      <c r="H81" s="319">
        <f t="shared" si="3"/>
        <v>25</v>
      </c>
    </row>
    <row r="82" spans="1:8">
      <c r="A82" s="319">
        <f t="shared" si="2"/>
        <v>26</v>
      </c>
      <c r="B82" s="14"/>
      <c r="C82" s="14"/>
      <c r="D82" s="14"/>
      <c r="E82" s="364"/>
      <c r="F82" s="30"/>
      <c r="G82" s="12"/>
      <c r="H82" s="319">
        <f t="shared" si="3"/>
        <v>26</v>
      </c>
    </row>
    <row r="83" spans="1:8">
      <c r="A83" s="319">
        <f t="shared" si="2"/>
        <v>27</v>
      </c>
      <c r="B83" s="16" t="s">
        <v>72</v>
      </c>
      <c r="C83" s="16"/>
      <c r="D83" s="16"/>
      <c r="E83" s="364"/>
      <c r="F83" s="30"/>
      <c r="G83" s="12"/>
      <c r="H83" s="319">
        <f t="shared" si="3"/>
        <v>27</v>
      </c>
    </row>
    <row r="84" spans="1:8">
      <c r="A84" s="319">
        <f t="shared" si="2"/>
        <v>28</v>
      </c>
      <c r="B84" s="339" t="s">
        <v>73</v>
      </c>
      <c r="C84" s="14"/>
      <c r="D84" s="14"/>
      <c r="E84" s="364"/>
      <c r="F84" s="30"/>
      <c r="G84" s="12"/>
      <c r="H84" s="319">
        <f t="shared" si="3"/>
        <v>28</v>
      </c>
    </row>
    <row r="85" spans="1:8">
      <c r="A85" s="319">
        <f t="shared" si="2"/>
        <v>29</v>
      </c>
      <c r="B85" s="17" t="s">
        <v>74</v>
      </c>
      <c r="C85" s="17"/>
      <c r="D85" s="17"/>
      <c r="E85" s="870">
        <v>52608.351266362319</v>
      </c>
      <c r="F85" s="641" t="s">
        <v>439</v>
      </c>
      <c r="G85" s="12" t="s">
        <v>678</v>
      </c>
      <c r="H85" s="319">
        <f t="shared" si="3"/>
        <v>29</v>
      </c>
    </row>
    <row r="86" spans="1:8">
      <c r="A86" s="319">
        <f t="shared" si="2"/>
        <v>30</v>
      </c>
      <c r="B86" s="17" t="s">
        <v>75</v>
      </c>
      <c r="C86" s="17"/>
      <c r="D86" s="17"/>
      <c r="E86" s="832">
        <v>19882.453617015279</v>
      </c>
      <c r="F86" s="641" t="s">
        <v>439</v>
      </c>
      <c r="G86" s="12" t="s">
        <v>679</v>
      </c>
      <c r="H86" s="319">
        <f t="shared" si="3"/>
        <v>30</v>
      </c>
    </row>
    <row r="87" spans="1:8">
      <c r="A87" s="319">
        <f t="shared" si="2"/>
        <v>31</v>
      </c>
      <c r="B87" s="17" t="s">
        <v>76</v>
      </c>
      <c r="C87" s="17"/>
      <c r="D87" s="17"/>
      <c r="E87" s="832">
        <v>9260.3814829215862</v>
      </c>
      <c r="F87" s="641" t="s">
        <v>439</v>
      </c>
      <c r="G87" s="12" t="s">
        <v>680</v>
      </c>
      <c r="H87" s="319">
        <f t="shared" si="3"/>
        <v>31</v>
      </c>
    </row>
    <row r="88" spans="1:8">
      <c r="A88" s="319">
        <f t="shared" si="2"/>
        <v>32</v>
      </c>
      <c r="B88" s="17" t="s">
        <v>77</v>
      </c>
      <c r="C88" s="14"/>
      <c r="D88" s="14"/>
      <c r="E88" s="833">
        <f>SUM(E85:E87)</f>
        <v>81751.186366299182</v>
      </c>
      <c r="F88" s="641" t="s">
        <v>439</v>
      </c>
      <c r="G88" s="12" t="s">
        <v>609</v>
      </c>
      <c r="H88" s="319">
        <f t="shared" si="3"/>
        <v>32</v>
      </c>
    </row>
    <row r="89" spans="1:8">
      <c r="A89" s="319">
        <f t="shared" si="2"/>
        <v>33</v>
      </c>
      <c r="B89" s="14"/>
      <c r="C89" s="14"/>
      <c r="D89" s="14"/>
      <c r="E89" s="367"/>
      <c r="F89" s="31"/>
      <c r="G89" s="12"/>
      <c r="H89" s="319">
        <f t="shared" si="3"/>
        <v>33</v>
      </c>
    </row>
    <row r="90" spans="1:8">
      <c r="A90" s="319">
        <f t="shared" si="2"/>
        <v>34</v>
      </c>
      <c r="B90" s="17" t="s">
        <v>34</v>
      </c>
      <c r="C90" s="17"/>
      <c r="D90" s="17"/>
      <c r="E90" s="368">
        <v>9.6610658544887346E-2</v>
      </c>
      <c r="F90" s="13"/>
      <c r="G90" s="12" t="s">
        <v>681</v>
      </c>
      <c r="H90" s="319">
        <f t="shared" si="3"/>
        <v>34</v>
      </c>
    </row>
    <row r="91" spans="1:8">
      <c r="A91" s="319">
        <f t="shared" si="2"/>
        <v>35</v>
      </c>
      <c r="B91" s="14"/>
      <c r="C91" s="14"/>
      <c r="D91" s="14"/>
      <c r="E91" s="367"/>
      <c r="F91" s="31"/>
      <c r="G91" s="12"/>
      <c r="H91" s="319">
        <f t="shared" si="3"/>
        <v>35</v>
      </c>
    </row>
    <row r="92" spans="1:8">
      <c r="A92" s="319">
        <f t="shared" si="2"/>
        <v>36</v>
      </c>
      <c r="B92" s="17" t="s">
        <v>78</v>
      </c>
      <c r="C92" s="14"/>
      <c r="D92" s="14"/>
      <c r="E92" s="834">
        <f>E88*E90</f>
        <v>7898.03595167398</v>
      </c>
      <c r="F92" s="641" t="s">
        <v>439</v>
      </c>
      <c r="G92" s="12" t="s">
        <v>592</v>
      </c>
      <c r="H92" s="319">
        <f t="shared" si="3"/>
        <v>36</v>
      </c>
    </row>
    <row r="93" spans="1:8">
      <c r="A93" s="319">
        <f t="shared" si="2"/>
        <v>37</v>
      </c>
      <c r="B93" s="14"/>
      <c r="C93" s="14"/>
      <c r="D93" s="14"/>
      <c r="E93" s="367"/>
      <c r="F93" s="31"/>
      <c r="G93" s="12"/>
      <c r="H93" s="319">
        <f t="shared" si="3"/>
        <v>37</v>
      </c>
    </row>
    <row r="94" spans="1:8">
      <c r="A94" s="319">
        <f t="shared" si="2"/>
        <v>38</v>
      </c>
      <c r="B94" s="17" t="s">
        <v>79</v>
      </c>
      <c r="C94" s="14"/>
      <c r="D94" s="14"/>
      <c r="E94" s="356">
        <f>E92/E57</f>
        <v>1.370477344376084E-3</v>
      </c>
      <c r="F94" s="74"/>
      <c r="G94" s="12" t="s">
        <v>610</v>
      </c>
      <c r="H94" s="319">
        <f t="shared" si="3"/>
        <v>38</v>
      </c>
    </row>
    <row r="95" spans="1:8">
      <c r="A95" s="319"/>
      <c r="B95" s="17"/>
      <c r="C95" s="14"/>
      <c r="D95" s="14"/>
      <c r="E95" s="337"/>
      <c r="F95" s="74"/>
      <c r="G95" s="12"/>
      <c r="H95" s="319"/>
    </row>
    <row r="96" spans="1:8">
      <c r="A96" s="319"/>
      <c r="B96" s="17"/>
      <c r="C96" s="14"/>
      <c r="D96" s="14"/>
      <c r="E96" s="337"/>
      <c r="F96" s="74"/>
      <c r="G96" s="12"/>
      <c r="H96" s="319"/>
    </row>
    <row r="97" spans="1:8">
      <c r="A97" s="641" t="s">
        <v>439</v>
      </c>
      <c r="B97" s="5" t="s">
        <v>709</v>
      </c>
      <c r="C97" s="14"/>
      <c r="D97" s="14"/>
      <c r="E97" s="337"/>
      <c r="F97" s="74"/>
      <c r="G97" s="12"/>
      <c r="H97" s="319"/>
    </row>
    <row r="98" spans="1:8">
      <c r="A98" s="318"/>
      <c r="B98" s="14"/>
      <c r="C98" s="14"/>
      <c r="D98" s="14"/>
      <c r="E98" s="51"/>
      <c r="F98" s="51"/>
      <c r="G98" s="51"/>
      <c r="H98" s="317"/>
    </row>
    <row r="99" spans="1:8">
      <c r="A99" s="318"/>
      <c r="B99" s="14"/>
      <c r="C99" s="14"/>
      <c r="D99" s="14"/>
      <c r="E99" s="51"/>
      <c r="F99" s="51"/>
      <c r="G99" s="51"/>
      <c r="H99" s="317"/>
    </row>
    <row r="100" spans="1:8">
      <c r="B100" s="961" t="s">
        <v>56</v>
      </c>
      <c r="C100" s="961"/>
      <c r="D100" s="961"/>
      <c r="E100" s="961"/>
      <c r="F100" s="961"/>
      <c r="G100" s="961"/>
      <c r="H100" s="321"/>
    </row>
    <row r="101" spans="1:8">
      <c r="B101" s="961" t="s">
        <v>31</v>
      </c>
      <c r="C101" s="961"/>
      <c r="D101" s="961"/>
      <c r="E101" s="961"/>
      <c r="F101" s="961"/>
      <c r="G101" s="961"/>
      <c r="H101" s="321"/>
    </row>
    <row r="102" spans="1:8">
      <c r="B102" s="961" t="s">
        <v>37</v>
      </c>
      <c r="C102" s="961"/>
      <c r="D102" s="961"/>
      <c r="E102" s="961"/>
      <c r="F102" s="961"/>
      <c r="G102" s="961"/>
      <c r="H102" s="321"/>
    </row>
    <row r="103" spans="1:8">
      <c r="B103" s="962" t="str">
        <f>B6</f>
        <v>Base Period &amp; True-Up Period 12 - Months Ending December 31, 2018</v>
      </c>
      <c r="C103" s="962"/>
      <c r="D103" s="962"/>
      <c r="E103" s="962"/>
      <c r="F103" s="962"/>
      <c r="G103" s="962"/>
      <c r="H103" s="321"/>
    </row>
    <row r="104" spans="1:8">
      <c r="B104" s="958" t="s">
        <v>1</v>
      </c>
      <c r="C104" s="958"/>
      <c r="D104" s="958"/>
      <c r="E104" s="958"/>
      <c r="F104" s="958"/>
      <c r="G104" s="958"/>
      <c r="H104" s="107"/>
    </row>
    <row r="105" spans="1:8">
      <c r="A105" s="318"/>
      <c r="B105" s="47"/>
      <c r="C105" s="47"/>
      <c r="D105" s="47"/>
      <c r="E105" s="14"/>
      <c r="F105" s="14"/>
      <c r="G105" s="51"/>
      <c r="H105" s="312"/>
    </row>
    <row r="106" spans="1:8">
      <c r="A106" s="319" t="s">
        <v>2</v>
      </c>
      <c r="B106" s="14"/>
      <c r="C106" s="14"/>
      <c r="D106" s="14"/>
      <c r="E106" s="13"/>
      <c r="F106" s="13"/>
      <c r="G106" s="14"/>
      <c r="H106" s="319" t="s">
        <v>2</v>
      </c>
    </row>
    <row r="107" spans="1:8">
      <c r="A107" s="319" t="s">
        <v>3</v>
      </c>
      <c r="B107" s="14"/>
      <c r="C107" s="14"/>
      <c r="D107" s="14"/>
      <c r="E107" s="308" t="s">
        <v>32</v>
      </c>
      <c r="F107" s="12"/>
      <c r="G107" s="308" t="s">
        <v>5</v>
      </c>
      <c r="H107" s="319" t="s">
        <v>3</v>
      </c>
    </row>
    <row r="108" spans="1:8">
      <c r="A108" s="319"/>
      <c r="B108" s="14"/>
      <c r="C108" s="14"/>
      <c r="D108" s="14"/>
      <c r="E108" s="13"/>
      <c r="F108" s="13"/>
      <c r="G108" s="516"/>
      <c r="H108" s="319"/>
    </row>
    <row r="109" spans="1:8">
      <c r="A109" s="319">
        <v>1</v>
      </c>
      <c r="B109" s="16" t="s">
        <v>80</v>
      </c>
      <c r="C109" s="16"/>
      <c r="D109" s="16"/>
      <c r="E109" s="51"/>
      <c r="F109" s="51"/>
      <c r="G109" s="14"/>
      <c r="H109" s="319">
        <f>A109</f>
        <v>1</v>
      </c>
    </row>
    <row r="110" spans="1:8">
      <c r="A110" s="319">
        <f>A109+1</f>
        <v>2</v>
      </c>
      <c r="B110" s="17" t="s">
        <v>81</v>
      </c>
      <c r="C110" s="17"/>
      <c r="D110" s="17"/>
      <c r="E110" s="836">
        <v>914536.76709768525</v>
      </c>
      <c r="F110" s="641" t="s">
        <v>439</v>
      </c>
      <c r="G110" s="12" t="s">
        <v>682</v>
      </c>
      <c r="H110" s="319">
        <f>H109+1</f>
        <v>2</v>
      </c>
    </row>
    <row r="111" spans="1:8">
      <c r="A111" s="319">
        <f t="shared" ref="A111:A166" si="4">A110+1</f>
        <v>3</v>
      </c>
      <c r="B111" s="17"/>
      <c r="C111" s="17"/>
      <c r="D111" s="17"/>
      <c r="E111" s="323"/>
      <c r="F111" s="13"/>
      <c r="G111" s="12"/>
      <c r="H111" s="319">
        <f t="shared" ref="H111:H166" si="5">H110+1</f>
        <v>3</v>
      </c>
    </row>
    <row r="112" spans="1:8">
      <c r="A112" s="319">
        <f t="shared" si="4"/>
        <v>4</v>
      </c>
      <c r="B112" s="17" t="s">
        <v>82</v>
      </c>
      <c r="C112" s="17"/>
      <c r="D112" s="17"/>
      <c r="E112" s="837">
        <v>392237.14557000005</v>
      </c>
      <c r="F112" s="641" t="s">
        <v>439</v>
      </c>
      <c r="G112" s="12" t="s">
        <v>683</v>
      </c>
      <c r="H112" s="319">
        <f t="shared" si="5"/>
        <v>4</v>
      </c>
    </row>
    <row r="113" spans="1:8" ht="18">
      <c r="A113" s="319">
        <f t="shared" si="4"/>
        <v>5</v>
      </c>
      <c r="B113" s="14"/>
      <c r="C113" s="14"/>
      <c r="D113" s="14"/>
      <c r="E113" s="372"/>
      <c r="F113" s="32"/>
      <c r="G113" s="14"/>
      <c r="H113" s="319">
        <f t="shared" si="5"/>
        <v>5</v>
      </c>
    </row>
    <row r="114" spans="1:8">
      <c r="A114" s="319">
        <f t="shared" si="4"/>
        <v>6</v>
      </c>
      <c r="B114" s="17" t="s">
        <v>83</v>
      </c>
      <c r="C114" s="14"/>
      <c r="D114" s="14"/>
      <c r="E114" s="838">
        <f>E110+E112</f>
        <v>1306773.9126676852</v>
      </c>
      <c r="F114" s="641" t="s">
        <v>439</v>
      </c>
      <c r="G114" s="12" t="s">
        <v>611</v>
      </c>
      <c r="H114" s="319">
        <f t="shared" si="5"/>
        <v>6</v>
      </c>
    </row>
    <row r="115" spans="1:8">
      <c r="A115" s="319">
        <f t="shared" si="4"/>
        <v>7</v>
      </c>
      <c r="B115" s="14"/>
      <c r="C115" s="14"/>
      <c r="D115" s="14"/>
      <c r="E115" s="374"/>
      <c r="F115" s="33"/>
      <c r="G115" s="14"/>
      <c r="H115" s="319">
        <f t="shared" si="5"/>
        <v>7</v>
      </c>
    </row>
    <row r="116" spans="1:8">
      <c r="A116" s="319">
        <f t="shared" si="4"/>
        <v>8</v>
      </c>
      <c r="B116" s="17" t="s">
        <v>84</v>
      </c>
      <c r="C116" s="17"/>
      <c r="D116" s="17"/>
      <c r="E116" s="844">
        <f>E145</f>
        <v>0.16898953104763109</v>
      </c>
      <c r="F116" s="641" t="s">
        <v>439</v>
      </c>
      <c r="G116" s="12" t="s">
        <v>612</v>
      </c>
      <c r="H116" s="319">
        <f t="shared" si="5"/>
        <v>8</v>
      </c>
    </row>
    <row r="117" spans="1:8">
      <c r="A117" s="319">
        <f t="shared" si="4"/>
        <v>9</v>
      </c>
      <c r="B117" s="14"/>
      <c r="C117" s="14"/>
      <c r="D117" s="14"/>
      <c r="E117" s="376"/>
      <c r="F117" s="34"/>
      <c r="G117" s="14"/>
      <c r="H117" s="319">
        <f t="shared" si="5"/>
        <v>9</v>
      </c>
    </row>
    <row r="118" spans="1:8">
      <c r="A118" s="319">
        <f t="shared" si="4"/>
        <v>10</v>
      </c>
      <c r="B118" s="17" t="s">
        <v>85</v>
      </c>
      <c r="C118" s="14"/>
      <c r="D118" s="14"/>
      <c r="E118" s="845">
        <f>E114*E116</f>
        <v>220831.11068699014</v>
      </c>
      <c r="F118" s="641" t="s">
        <v>439</v>
      </c>
      <c r="G118" s="12" t="s">
        <v>613</v>
      </c>
      <c r="H118" s="319">
        <f t="shared" si="5"/>
        <v>10</v>
      </c>
    </row>
    <row r="119" spans="1:8">
      <c r="A119" s="319">
        <f t="shared" si="4"/>
        <v>11</v>
      </c>
      <c r="B119" s="14"/>
      <c r="C119" s="14"/>
      <c r="D119" s="14"/>
      <c r="E119" s="374"/>
      <c r="F119" s="33"/>
      <c r="G119" s="14"/>
      <c r="H119" s="319">
        <f t="shared" si="5"/>
        <v>11</v>
      </c>
    </row>
    <row r="120" spans="1:8">
      <c r="A120" s="319">
        <f t="shared" si="4"/>
        <v>12</v>
      </c>
      <c r="B120" s="35" t="s">
        <v>86</v>
      </c>
      <c r="C120" s="35"/>
      <c r="D120" s="35"/>
      <c r="E120" s="378">
        <v>0.10361330044910678</v>
      </c>
      <c r="F120" s="13"/>
      <c r="G120" s="12" t="s">
        <v>493</v>
      </c>
      <c r="H120" s="319">
        <f t="shared" si="5"/>
        <v>12</v>
      </c>
    </row>
    <row r="121" spans="1:8">
      <c r="A121" s="319">
        <f t="shared" si="4"/>
        <v>13</v>
      </c>
      <c r="B121" s="14"/>
      <c r="C121" s="14"/>
      <c r="D121" s="14"/>
      <c r="E121" s="376"/>
      <c r="F121" s="34"/>
      <c r="G121" s="12"/>
      <c r="H121" s="319">
        <f t="shared" si="5"/>
        <v>13</v>
      </c>
    </row>
    <row r="122" spans="1:8">
      <c r="A122" s="319">
        <f t="shared" si="4"/>
        <v>14</v>
      </c>
      <c r="B122" s="17" t="s">
        <v>87</v>
      </c>
      <c r="C122" s="14"/>
      <c r="D122" s="14"/>
      <c r="E122" s="846">
        <f>E118*E120</f>
        <v>22881.040220121067</v>
      </c>
      <c r="F122" s="641" t="s">
        <v>439</v>
      </c>
      <c r="G122" s="12" t="s">
        <v>614</v>
      </c>
      <c r="H122" s="319">
        <f t="shared" si="5"/>
        <v>14</v>
      </c>
    </row>
    <row r="123" spans="1:8">
      <c r="A123" s="319">
        <f t="shared" si="4"/>
        <v>15</v>
      </c>
      <c r="B123" s="14"/>
      <c r="C123" s="14"/>
      <c r="D123" s="14"/>
      <c r="E123" s="318"/>
      <c r="F123" s="51"/>
      <c r="G123" s="14"/>
      <c r="H123" s="319">
        <f t="shared" si="5"/>
        <v>15</v>
      </c>
    </row>
    <row r="124" spans="1:8">
      <c r="A124" s="319">
        <f t="shared" si="4"/>
        <v>16</v>
      </c>
      <c r="B124" s="17" t="s">
        <v>57</v>
      </c>
      <c r="C124" s="17"/>
      <c r="D124" s="17"/>
      <c r="E124" s="839">
        <v>5762981.7698807688</v>
      </c>
      <c r="F124" s="641" t="s">
        <v>439</v>
      </c>
      <c r="G124" s="12" t="s">
        <v>673</v>
      </c>
      <c r="H124" s="319">
        <f t="shared" si="5"/>
        <v>16</v>
      </c>
    </row>
    <row r="125" spans="1:8">
      <c r="A125" s="319">
        <f t="shared" si="4"/>
        <v>17</v>
      </c>
      <c r="B125" s="14"/>
      <c r="C125" s="14"/>
      <c r="D125" s="14"/>
      <c r="E125" s="517"/>
      <c r="F125" s="14"/>
      <c r="G125" s="14"/>
      <c r="H125" s="319">
        <f t="shared" si="5"/>
        <v>17</v>
      </c>
    </row>
    <row r="126" spans="1:8" ht="16" thickBot="1">
      <c r="A126" s="319">
        <f t="shared" si="4"/>
        <v>18</v>
      </c>
      <c r="B126" s="14" t="s">
        <v>88</v>
      </c>
      <c r="C126" s="14"/>
      <c r="D126" s="14"/>
      <c r="E126" s="518">
        <f>E122/E124</f>
        <v>3.9703474926304433E-3</v>
      </c>
      <c r="F126" s="74"/>
      <c r="G126" s="12" t="s">
        <v>615</v>
      </c>
      <c r="H126" s="319">
        <f t="shared" si="5"/>
        <v>18</v>
      </c>
    </row>
    <row r="127" spans="1:8" ht="16" thickTop="1">
      <c r="A127" s="319">
        <f t="shared" si="4"/>
        <v>19</v>
      </c>
      <c r="B127" s="14"/>
      <c r="C127" s="14"/>
      <c r="D127" s="14"/>
      <c r="E127" s="318"/>
      <c r="F127" s="51"/>
      <c r="G127" s="14"/>
      <c r="H127" s="319">
        <f t="shared" si="5"/>
        <v>19</v>
      </c>
    </row>
    <row r="128" spans="1:8">
      <c r="A128" s="319">
        <f t="shared" si="4"/>
        <v>20</v>
      </c>
      <c r="B128" s="36" t="s">
        <v>89</v>
      </c>
      <c r="C128" s="36"/>
      <c r="D128" s="36"/>
      <c r="E128" s="317"/>
      <c r="F128" s="13"/>
      <c r="G128" s="13"/>
      <c r="H128" s="319">
        <f t="shared" si="5"/>
        <v>20</v>
      </c>
    </row>
    <row r="129" spans="1:8">
      <c r="A129" s="319">
        <f t="shared" si="4"/>
        <v>21</v>
      </c>
      <c r="B129" s="17" t="s">
        <v>90</v>
      </c>
      <c r="C129" s="17"/>
      <c r="D129" s="17"/>
      <c r="E129" s="381">
        <v>0</v>
      </c>
      <c r="F129" s="13"/>
      <c r="G129" s="12" t="s">
        <v>91</v>
      </c>
      <c r="H129" s="319">
        <f t="shared" si="5"/>
        <v>21</v>
      </c>
    </row>
    <row r="130" spans="1:8">
      <c r="A130" s="319">
        <f t="shared" si="4"/>
        <v>22</v>
      </c>
      <c r="B130" s="14"/>
      <c r="C130" s="14"/>
      <c r="D130" s="14"/>
      <c r="E130" s="317"/>
      <c r="F130" s="13"/>
      <c r="G130" s="12"/>
      <c r="H130" s="319">
        <f t="shared" si="5"/>
        <v>22</v>
      </c>
    </row>
    <row r="131" spans="1:8">
      <c r="A131" s="319">
        <f t="shared" si="4"/>
        <v>23</v>
      </c>
      <c r="B131" s="17" t="s">
        <v>92</v>
      </c>
      <c r="C131" s="17"/>
      <c r="D131" s="17"/>
      <c r="E131" s="381">
        <v>0</v>
      </c>
      <c r="F131" s="13"/>
      <c r="G131" s="12" t="s">
        <v>93</v>
      </c>
      <c r="H131" s="319">
        <f t="shared" si="5"/>
        <v>23</v>
      </c>
    </row>
    <row r="132" spans="1:8">
      <c r="A132" s="319">
        <f t="shared" si="4"/>
        <v>24</v>
      </c>
      <c r="B132" s="14"/>
      <c r="C132" s="14"/>
      <c r="D132" s="14"/>
      <c r="E132" s="317"/>
      <c r="F132" s="13"/>
      <c r="G132" s="12"/>
      <c r="H132" s="319">
        <f t="shared" si="5"/>
        <v>24</v>
      </c>
    </row>
    <row r="133" spans="1:8">
      <c r="A133" s="319">
        <f t="shared" si="4"/>
        <v>25</v>
      </c>
      <c r="B133" s="17" t="s">
        <v>94</v>
      </c>
      <c r="C133" s="17"/>
      <c r="D133" s="17"/>
      <c r="E133" s="381">
        <v>0</v>
      </c>
      <c r="F133" s="13"/>
      <c r="G133" s="12" t="s">
        <v>91</v>
      </c>
      <c r="H133" s="319">
        <f t="shared" si="5"/>
        <v>25</v>
      </c>
    </row>
    <row r="134" spans="1:8">
      <c r="A134" s="319">
        <f t="shared" si="4"/>
        <v>26</v>
      </c>
      <c r="B134" s="14"/>
      <c r="C134" s="14"/>
      <c r="D134" s="14"/>
      <c r="E134" s="317"/>
      <c r="F134" s="13"/>
      <c r="G134" s="14"/>
      <c r="H134" s="319">
        <f t="shared" si="5"/>
        <v>26</v>
      </c>
    </row>
    <row r="135" spans="1:8">
      <c r="A135" s="319">
        <f t="shared" si="4"/>
        <v>27</v>
      </c>
      <c r="B135" s="17" t="s">
        <v>95</v>
      </c>
      <c r="C135" s="17"/>
      <c r="D135" s="17"/>
      <c r="E135" s="384">
        <f>E154</f>
        <v>7.237887250274376E-2</v>
      </c>
      <c r="F135" s="641" t="s">
        <v>439</v>
      </c>
      <c r="G135" s="12" t="s">
        <v>616</v>
      </c>
      <c r="H135" s="319">
        <f t="shared" si="5"/>
        <v>27</v>
      </c>
    </row>
    <row r="136" spans="1:8">
      <c r="A136" s="319">
        <f t="shared" si="4"/>
        <v>28</v>
      </c>
      <c r="B136" s="17"/>
      <c r="C136" s="17"/>
      <c r="D136" s="17"/>
      <c r="E136" s="317"/>
      <c r="F136" s="13"/>
      <c r="G136" s="14"/>
      <c r="H136" s="319">
        <f t="shared" si="5"/>
        <v>28</v>
      </c>
    </row>
    <row r="137" spans="1:8" ht="18.5">
      <c r="A137" s="319">
        <f t="shared" si="4"/>
        <v>29</v>
      </c>
      <c r="B137" s="17" t="s">
        <v>96</v>
      </c>
      <c r="C137" s="17"/>
      <c r="D137" s="17"/>
      <c r="E137" s="343">
        <f>'Pg12 As Filed Stmt AV FERC Adj'!G109</f>
        <v>2.1375467222082299E-2</v>
      </c>
      <c r="F137" s="13"/>
      <c r="G137" s="12" t="s">
        <v>684</v>
      </c>
      <c r="H137" s="319">
        <f t="shared" si="5"/>
        <v>29</v>
      </c>
    </row>
    <row r="138" spans="1:8">
      <c r="A138" s="319">
        <f t="shared" si="4"/>
        <v>30</v>
      </c>
      <c r="B138" s="17"/>
      <c r="C138" s="17"/>
      <c r="D138" s="17"/>
      <c r="E138" s="383"/>
      <c r="F138" s="37"/>
      <c r="G138" s="14"/>
      <c r="H138" s="319">
        <f t="shared" si="5"/>
        <v>30</v>
      </c>
    </row>
    <row r="139" spans="1:8">
      <c r="A139" s="319">
        <f t="shared" si="4"/>
        <v>31</v>
      </c>
      <c r="B139" s="17" t="s">
        <v>97</v>
      </c>
      <c r="C139" s="17"/>
      <c r="D139" s="17"/>
      <c r="E139" s="343">
        <f>'Pg12 As Filed Stmt AV FERC Adj'!G111</f>
        <v>7.523519132280504E-2</v>
      </c>
      <c r="F139" s="13"/>
      <c r="G139" s="12" t="s">
        <v>685</v>
      </c>
      <c r="H139" s="319">
        <f t="shared" si="5"/>
        <v>31</v>
      </c>
    </row>
    <row r="140" spans="1:8">
      <c r="A140" s="319">
        <f t="shared" si="4"/>
        <v>32</v>
      </c>
      <c r="B140" s="17"/>
      <c r="C140" s="17"/>
      <c r="D140" s="17"/>
      <c r="E140" s="383"/>
      <c r="F140" s="37"/>
      <c r="G140" s="14"/>
      <c r="H140" s="319">
        <f t="shared" si="5"/>
        <v>32</v>
      </c>
    </row>
    <row r="141" spans="1:8">
      <c r="A141" s="319">
        <f t="shared" si="4"/>
        <v>33</v>
      </c>
      <c r="B141" s="17" t="s">
        <v>98</v>
      </c>
      <c r="C141" s="17"/>
      <c r="D141" s="17"/>
      <c r="E141" s="381">
        <v>0</v>
      </c>
      <c r="F141" s="13"/>
      <c r="G141" s="12" t="s">
        <v>99</v>
      </c>
      <c r="H141" s="319">
        <f t="shared" si="5"/>
        <v>33</v>
      </c>
    </row>
    <row r="142" spans="1:8">
      <c r="A142" s="319">
        <f t="shared" si="4"/>
        <v>34</v>
      </c>
      <c r="B142" s="38"/>
      <c r="C142" s="38"/>
      <c r="D142" s="38"/>
      <c r="E142" s="317"/>
      <c r="F142" s="13"/>
      <c r="G142" s="14"/>
      <c r="H142" s="319">
        <f t="shared" si="5"/>
        <v>34</v>
      </c>
    </row>
    <row r="143" spans="1:8">
      <c r="A143" s="319">
        <f t="shared" si="4"/>
        <v>35</v>
      </c>
      <c r="B143" s="17" t="s">
        <v>100</v>
      </c>
      <c r="C143" s="17"/>
      <c r="D143" s="17"/>
      <c r="E143" s="350">
        <f>E166</f>
        <v>0</v>
      </c>
      <c r="F143" s="298"/>
      <c r="G143" s="12" t="s">
        <v>617</v>
      </c>
      <c r="H143" s="319">
        <f t="shared" si="5"/>
        <v>35</v>
      </c>
    </row>
    <row r="144" spans="1:8">
      <c r="A144" s="319">
        <f t="shared" si="4"/>
        <v>36</v>
      </c>
      <c r="B144" s="14"/>
      <c r="C144" s="14"/>
      <c r="D144" s="14"/>
      <c r="E144" s="519"/>
      <c r="F144" s="13"/>
      <c r="G144" s="14"/>
      <c r="H144" s="319">
        <f t="shared" si="5"/>
        <v>36</v>
      </c>
    </row>
    <row r="145" spans="1:8" ht="16" thickBot="1">
      <c r="A145" s="319">
        <f t="shared" si="4"/>
        <v>37</v>
      </c>
      <c r="B145" s="14" t="s">
        <v>101</v>
      </c>
      <c r="C145" s="14"/>
      <c r="D145" s="14"/>
      <c r="E145" s="847">
        <f>SUM(E129:E143)</f>
        <v>0.16898953104763109</v>
      </c>
      <c r="F145" s="641" t="s">
        <v>439</v>
      </c>
      <c r="G145" s="12" t="s">
        <v>618</v>
      </c>
      <c r="H145" s="319">
        <f t="shared" si="5"/>
        <v>37</v>
      </c>
    </row>
    <row r="146" spans="1:8" ht="16" thickTop="1">
      <c r="A146" s="319">
        <f t="shared" si="4"/>
        <v>38</v>
      </c>
      <c r="B146" s="14"/>
      <c r="C146" s="14"/>
      <c r="D146" s="14"/>
      <c r="E146" s="384"/>
      <c r="F146" s="39"/>
      <c r="G146" s="12"/>
      <c r="H146" s="319">
        <f t="shared" si="5"/>
        <v>38</v>
      </c>
    </row>
    <row r="147" spans="1:8">
      <c r="A147" s="319">
        <f t="shared" si="4"/>
        <v>39</v>
      </c>
      <c r="B147" s="16" t="s">
        <v>102</v>
      </c>
      <c r="C147" s="16"/>
      <c r="D147" s="16"/>
      <c r="E147" s="321"/>
      <c r="F147" s="14"/>
      <c r="G147" s="13"/>
      <c r="H147" s="319">
        <f t="shared" si="5"/>
        <v>39</v>
      </c>
    </row>
    <row r="148" spans="1:8">
      <c r="A148" s="319">
        <f t="shared" si="4"/>
        <v>40</v>
      </c>
      <c r="B148" s="17" t="s">
        <v>103</v>
      </c>
      <c r="C148" s="17"/>
      <c r="D148" s="17"/>
      <c r="E148" s="840">
        <v>77421.89188488599</v>
      </c>
      <c r="F148" s="641" t="s">
        <v>439</v>
      </c>
      <c r="G148" s="12" t="s">
        <v>686</v>
      </c>
      <c r="H148" s="319">
        <f t="shared" si="5"/>
        <v>40</v>
      </c>
    </row>
    <row r="149" spans="1:8">
      <c r="A149" s="319">
        <f t="shared" si="4"/>
        <v>41</v>
      </c>
      <c r="B149" s="17"/>
      <c r="C149" s="17"/>
      <c r="D149" s="17"/>
      <c r="E149" s="386"/>
      <c r="F149" s="40"/>
      <c r="G149" s="12"/>
      <c r="H149" s="319">
        <f t="shared" si="5"/>
        <v>41</v>
      </c>
    </row>
    <row r="150" spans="1:8">
      <c r="A150" s="319">
        <f t="shared" si="4"/>
        <v>42</v>
      </c>
      <c r="B150" s="17" t="s">
        <v>104</v>
      </c>
      <c r="C150" s="17"/>
      <c r="D150" s="17"/>
      <c r="E150" s="840">
        <v>17160.930530000001</v>
      </c>
      <c r="F150" s="641" t="s">
        <v>439</v>
      </c>
      <c r="G150" s="12" t="s">
        <v>687</v>
      </c>
      <c r="H150" s="319">
        <f t="shared" si="5"/>
        <v>42</v>
      </c>
    </row>
    <row r="151" spans="1:8">
      <c r="A151" s="319">
        <f t="shared" si="4"/>
        <v>43</v>
      </c>
      <c r="B151" s="17"/>
      <c r="C151" s="17"/>
      <c r="D151" s="17"/>
      <c r="E151" s="321"/>
      <c r="F151" s="14"/>
      <c r="G151" s="12"/>
      <c r="H151" s="319">
        <f t="shared" si="5"/>
        <v>43</v>
      </c>
    </row>
    <row r="152" spans="1:8">
      <c r="A152" s="319">
        <f t="shared" si="4"/>
        <v>44</v>
      </c>
      <c r="B152" s="17" t="s">
        <v>105</v>
      </c>
      <c r="C152" s="17"/>
      <c r="D152" s="17"/>
      <c r="E152" s="124">
        <f>E114</f>
        <v>1306773.9126676852</v>
      </c>
      <c r="F152" s="641" t="s">
        <v>439</v>
      </c>
      <c r="G152" s="12" t="s">
        <v>591</v>
      </c>
      <c r="H152" s="319">
        <f t="shared" si="5"/>
        <v>44</v>
      </c>
    </row>
    <row r="153" spans="1:8">
      <c r="A153" s="319">
        <f t="shared" si="4"/>
        <v>45</v>
      </c>
      <c r="B153" s="17"/>
      <c r="C153" s="17"/>
      <c r="D153" s="17"/>
      <c r="E153" s="521"/>
      <c r="F153" s="41"/>
      <c r="G153" s="15"/>
      <c r="H153" s="319">
        <f t="shared" si="5"/>
        <v>45</v>
      </c>
    </row>
    <row r="154" spans="1:8" ht="16" thickBot="1">
      <c r="A154" s="319">
        <f t="shared" si="4"/>
        <v>46</v>
      </c>
      <c r="B154" s="14" t="s">
        <v>106</v>
      </c>
      <c r="C154" s="17"/>
      <c r="D154" s="17"/>
      <c r="E154" s="848">
        <f>(E148+E150)/E152</f>
        <v>7.237887250274376E-2</v>
      </c>
      <c r="F154" s="641" t="s">
        <v>439</v>
      </c>
      <c r="G154" s="12" t="s">
        <v>619</v>
      </c>
      <c r="H154" s="319">
        <f t="shared" si="5"/>
        <v>46</v>
      </c>
    </row>
    <row r="155" spans="1:8" ht="16" thickTop="1">
      <c r="A155" s="319">
        <f t="shared" si="4"/>
        <v>47</v>
      </c>
      <c r="B155" s="14"/>
      <c r="C155" s="14"/>
      <c r="D155" s="14"/>
      <c r="E155" s="388"/>
      <c r="F155" s="41"/>
      <c r="G155" s="15"/>
      <c r="H155" s="319">
        <f t="shared" si="5"/>
        <v>47</v>
      </c>
    </row>
    <row r="156" spans="1:8">
      <c r="A156" s="319">
        <f t="shared" si="4"/>
        <v>48</v>
      </c>
      <c r="B156" s="16" t="s">
        <v>107</v>
      </c>
      <c r="C156" s="16"/>
      <c r="D156" s="16"/>
      <c r="E156" s="318"/>
      <c r="F156" s="51"/>
      <c r="G156" s="14"/>
      <c r="H156" s="319">
        <f t="shared" si="5"/>
        <v>48</v>
      </c>
    </row>
    <row r="157" spans="1:8">
      <c r="A157" s="319">
        <f t="shared" si="4"/>
        <v>49</v>
      </c>
      <c r="B157" s="14"/>
      <c r="C157" s="14"/>
      <c r="D157" s="14"/>
      <c r="E157" s="318"/>
      <c r="F157" s="51"/>
      <c r="G157" s="14"/>
      <c r="H157" s="319">
        <f t="shared" si="5"/>
        <v>49</v>
      </c>
    </row>
    <row r="158" spans="1:8">
      <c r="A158" s="319">
        <f t="shared" si="4"/>
        <v>50</v>
      </c>
      <c r="B158" s="17" t="s">
        <v>108</v>
      </c>
      <c r="C158" s="17"/>
      <c r="D158" s="17"/>
      <c r="E158" s="389">
        <v>0</v>
      </c>
      <c r="F158" s="13"/>
      <c r="G158" s="12" t="s">
        <v>620</v>
      </c>
      <c r="H158" s="319">
        <f t="shared" si="5"/>
        <v>50</v>
      </c>
    </row>
    <row r="159" spans="1:8">
      <c r="A159" s="319">
        <f t="shared" si="4"/>
        <v>51</v>
      </c>
      <c r="B159" s="17"/>
      <c r="C159" s="17"/>
      <c r="D159" s="17"/>
      <c r="E159" s="390"/>
      <c r="F159" s="42"/>
      <c r="G159" s="14"/>
      <c r="H159" s="319">
        <f t="shared" si="5"/>
        <v>51</v>
      </c>
    </row>
    <row r="160" spans="1:8">
      <c r="A160" s="319">
        <f t="shared" si="4"/>
        <v>52</v>
      </c>
      <c r="B160" s="17" t="s">
        <v>35</v>
      </c>
      <c r="C160" s="17"/>
      <c r="D160" s="17"/>
      <c r="E160" s="391">
        <f>'Pg12 As Filed Stmt AV FERC Adj'!G113</f>
        <v>9.6610658544887346E-2</v>
      </c>
      <c r="F160" s="13"/>
      <c r="G160" s="12" t="s">
        <v>681</v>
      </c>
      <c r="H160" s="319">
        <f t="shared" si="5"/>
        <v>52</v>
      </c>
    </row>
    <row r="161" spans="1:8">
      <c r="A161" s="319">
        <f t="shared" si="4"/>
        <v>53</v>
      </c>
      <c r="B161" s="14"/>
      <c r="C161" s="14"/>
      <c r="D161" s="14"/>
      <c r="E161" s="392"/>
      <c r="F161" s="43"/>
      <c r="G161" s="14"/>
      <c r="H161" s="319">
        <f t="shared" si="5"/>
        <v>53</v>
      </c>
    </row>
    <row r="162" spans="1:8">
      <c r="A162" s="319">
        <f t="shared" si="4"/>
        <v>54</v>
      </c>
      <c r="B162" s="17" t="s">
        <v>109</v>
      </c>
      <c r="C162" s="17"/>
      <c r="D162" s="17"/>
      <c r="E162" s="393">
        <f>E158*E160</f>
        <v>0</v>
      </c>
      <c r="F162" s="50"/>
      <c r="G162" s="12" t="s">
        <v>621</v>
      </c>
      <c r="H162" s="319">
        <f t="shared" si="5"/>
        <v>54</v>
      </c>
    </row>
    <row r="163" spans="1:8">
      <c r="A163" s="319">
        <f t="shared" si="4"/>
        <v>55</v>
      </c>
      <c r="B163" s="14"/>
      <c r="C163" s="14"/>
      <c r="D163" s="14"/>
      <c r="E163" s="394"/>
      <c r="F163" s="44"/>
      <c r="G163" s="14"/>
      <c r="H163" s="319">
        <f t="shared" si="5"/>
        <v>55</v>
      </c>
    </row>
    <row r="164" spans="1:8">
      <c r="A164" s="319">
        <f t="shared" si="4"/>
        <v>56</v>
      </c>
      <c r="B164" s="17" t="s">
        <v>110</v>
      </c>
      <c r="C164" s="17"/>
      <c r="D164" s="17"/>
      <c r="E164" s="841">
        <f>E114</f>
        <v>1306773.9126676852</v>
      </c>
      <c r="F164" s="641" t="s">
        <v>439</v>
      </c>
      <c r="G164" s="12" t="s">
        <v>591</v>
      </c>
      <c r="H164" s="319">
        <f t="shared" si="5"/>
        <v>56</v>
      </c>
    </row>
    <row r="165" spans="1:8">
      <c r="A165" s="319">
        <f t="shared" si="4"/>
        <v>57</v>
      </c>
      <c r="B165" s="14"/>
      <c r="C165" s="14"/>
      <c r="D165" s="14"/>
      <c r="E165" s="523"/>
      <c r="F165" s="307"/>
      <c r="G165" s="14"/>
      <c r="H165" s="319">
        <f t="shared" si="5"/>
        <v>57</v>
      </c>
    </row>
    <row r="166" spans="1:8" ht="16" thickBot="1">
      <c r="A166" s="319">
        <f t="shared" si="4"/>
        <v>58</v>
      </c>
      <c r="B166" s="14" t="s">
        <v>111</v>
      </c>
      <c r="C166" s="17"/>
      <c r="D166" s="17"/>
      <c r="E166" s="518">
        <f>E162/E164</f>
        <v>0</v>
      </c>
      <c r="F166" s="74"/>
      <c r="G166" s="12" t="s">
        <v>622</v>
      </c>
      <c r="H166" s="319">
        <f t="shared" si="5"/>
        <v>58</v>
      </c>
    </row>
    <row r="167" spans="1:8" ht="16" thickTop="1">
      <c r="A167" s="319"/>
      <c r="B167" s="14"/>
      <c r="C167" s="17"/>
      <c r="D167" s="17"/>
      <c r="E167" s="337"/>
      <c r="F167" s="74"/>
      <c r="G167" s="12"/>
      <c r="H167" s="319"/>
    </row>
    <row r="168" spans="1:8">
      <c r="A168" s="319"/>
      <c r="B168" s="14"/>
      <c r="C168" s="17"/>
      <c r="D168" s="17"/>
      <c r="E168" s="337"/>
      <c r="F168" s="74"/>
      <c r="G168" s="12"/>
      <c r="H168" s="319"/>
    </row>
    <row r="169" spans="1:8">
      <c r="A169" s="641" t="s">
        <v>439</v>
      </c>
      <c r="B169" s="5" t="s">
        <v>709</v>
      </c>
      <c r="C169" s="14"/>
      <c r="D169" s="14"/>
      <c r="E169" s="51"/>
      <c r="F169" s="51"/>
      <c r="G169" s="45"/>
      <c r="H169" s="312"/>
    </row>
    <row r="170" spans="1:8" ht="18.5">
      <c r="A170" s="317"/>
      <c r="B170" s="46"/>
      <c r="C170" s="46"/>
      <c r="D170" s="46"/>
      <c r="E170" s="14"/>
      <c r="F170" s="14"/>
      <c r="G170" s="14"/>
      <c r="H170" s="317"/>
    </row>
    <row r="171" spans="1:8">
      <c r="A171" s="317"/>
      <c r="B171" s="51"/>
      <c r="C171" s="51"/>
      <c r="D171" s="51"/>
      <c r="E171" s="51"/>
      <c r="F171" s="51"/>
      <c r="G171" s="14"/>
      <c r="H171" s="312"/>
    </row>
    <row r="172" spans="1:8">
      <c r="A172" s="317"/>
      <c r="B172" s="51"/>
      <c r="C172" s="51"/>
      <c r="D172" s="51"/>
      <c r="E172" s="51"/>
      <c r="F172" s="51"/>
      <c r="G172" s="14"/>
      <c r="H172" s="312"/>
    </row>
    <row r="173" spans="1:8">
      <c r="A173" s="317"/>
      <c r="B173" s="14"/>
      <c r="C173" s="14"/>
      <c r="D173" s="14"/>
      <c r="E173" s="51"/>
      <c r="F173" s="51"/>
      <c r="G173" s="14"/>
      <c r="H173" s="312"/>
    </row>
    <row r="174" spans="1:8">
      <c r="A174" s="317"/>
      <c r="B174" s="14"/>
      <c r="C174" s="14"/>
      <c r="D174" s="14"/>
      <c r="E174" s="51"/>
      <c r="F174" s="51"/>
      <c r="G174" s="14"/>
      <c r="H174" s="312"/>
    </row>
    <row r="175" spans="1:8">
      <c r="A175" s="317"/>
      <c r="B175" s="14"/>
      <c r="C175" s="14"/>
      <c r="D175" s="14"/>
      <c r="E175" s="51"/>
      <c r="F175" s="51"/>
      <c r="G175" s="14"/>
      <c r="H175" s="312"/>
    </row>
    <row r="176" spans="1:8">
      <c r="A176" s="321"/>
    </row>
    <row r="177" spans="1:1">
      <c r="A177" s="321"/>
    </row>
    <row r="178" spans="1:1">
      <c r="A178" s="321"/>
    </row>
    <row r="179" spans="1:1">
      <c r="A179" s="321"/>
    </row>
    <row r="180" spans="1:1">
      <c r="A180" s="321"/>
    </row>
    <row r="181" spans="1:1">
      <c r="A181" s="321"/>
    </row>
    <row r="182" spans="1:1">
      <c r="A182" s="321"/>
    </row>
    <row r="183" spans="1:1">
      <c r="A183" s="321"/>
    </row>
    <row r="184" spans="1:1">
      <c r="A184" s="321"/>
    </row>
    <row r="185" spans="1:1">
      <c r="A185" s="321"/>
    </row>
    <row r="186" spans="1:1">
      <c r="A186" s="321"/>
    </row>
    <row r="187" spans="1:1">
      <c r="A187" s="321"/>
    </row>
    <row r="188" spans="1:1">
      <c r="A188" s="321"/>
    </row>
    <row r="189" spans="1:1">
      <c r="A189" s="321"/>
    </row>
    <row r="190" spans="1:1">
      <c r="A190" s="321"/>
    </row>
    <row r="191" spans="1:1">
      <c r="A191" s="321"/>
    </row>
    <row r="192" spans="1:1">
      <c r="A192" s="321"/>
    </row>
    <row r="193" spans="1:1">
      <c r="A193" s="321"/>
    </row>
    <row r="194" spans="1:1">
      <c r="A194" s="321"/>
    </row>
    <row r="195" spans="1:1">
      <c r="A195" s="321"/>
    </row>
    <row r="196" spans="1:1">
      <c r="A196" s="321"/>
    </row>
    <row r="197" spans="1:1">
      <c r="A197" s="321"/>
    </row>
    <row r="198" spans="1:1">
      <c r="A198" s="321"/>
    </row>
    <row r="199" spans="1:1">
      <c r="A199" s="321"/>
    </row>
    <row r="200" spans="1:1">
      <c r="A200" s="321"/>
    </row>
    <row r="201" spans="1:1">
      <c r="A201" s="321"/>
    </row>
    <row r="202" spans="1:1">
      <c r="A202" s="321"/>
    </row>
    <row r="203" spans="1:1">
      <c r="A203" s="321"/>
    </row>
    <row r="204" spans="1:1">
      <c r="A204" s="321"/>
    </row>
    <row r="205" spans="1:1">
      <c r="A205" s="321"/>
    </row>
    <row r="206" spans="1:1">
      <c r="A206" s="321"/>
    </row>
    <row r="207" spans="1:1">
      <c r="A207" s="321"/>
    </row>
    <row r="208" spans="1:1">
      <c r="A208" s="321"/>
    </row>
    <row r="209" spans="1:1">
      <c r="A209" s="321"/>
    </row>
    <row r="210" spans="1:1">
      <c r="A210" s="321"/>
    </row>
    <row r="211" spans="1:1">
      <c r="A211" s="321"/>
    </row>
    <row r="212" spans="1:1">
      <c r="A212" s="321"/>
    </row>
    <row r="213" spans="1:1">
      <c r="A213" s="321"/>
    </row>
    <row r="214" spans="1:1">
      <c r="A214" s="321"/>
    </row>
    <row r="215" spans="1:1">
      <c r="A215" s="321"/>
    </row>
    <row r="216" spans="1:1">
      <c r="A216" s="321"/>
    </row>
    <row r="217" spans="1:1">
      <c r="A217" s="321"/>
    </row>
    <row r="218" spans="1:1">
      <c r="A218" s="321"/>
    </row>
    <row r="219" spans="1:1">
      <c r="A219" s="321"/>
    </row>
    <row r="220" spans="1:1">
      <c r="A220" s="321"/>
    </row>
    <row r="221" spans="1:1">
      <c r="A221" s="321"/>
    </row>
    <row r="222" spans="1:1">
      <c r="A222" s="321"/>
    </row>
    <row r="223" spans="1:1">
      <c r="A223" s="321"/>
    </row>
    <row r="224" spans="1:1">
      <c r="A224" s="321"/>
    </row>
    <row r="225" spans="1:6">
      <c r="A225" s="321"/>
    </row>
    <row r="226" spans="1:6">
      <c r="A226" s="321"/>
    </row>
    <row r="227" spans="1:6">
      <c r="A227" s="321"/>
    </row>
    <row r="228" spans="1:6">
      <c r="A228" s="321"/>
    </row>
    <row r="229" spans="1:6">
      <c r="A229" s="321"/>
    </row>
    <row r="230" spans="1:6">
      <c r="A230" s="321"/>
    </row>
    <row r="231" spans="1:6">
      <c r="A231" s="321"/>
    </row>
    <row r="232" spans="1:6">
      <c r="A232" s="321"/>
    </row>
    <row r="233" spans="1:6">
      <c r="A233" s="321"/>
    </row>
    <row r="234" spans="1:6">
      <c r="A234" s="321"/>
    </row>
    <row r="235" spans="1:6">
      <c r="A235" s="321"/>
    </row>
    <row r="236" spans="1:6">
      <c r="A236" s="321"/>
    </row>
    <row r="237" spans="1:6">
      <c r="A237" s="321"/>
    </row>
    <row r="238" spans="1:6">
      <c r="A238" s="321"/>
    </row>
    <row r="239" spans="1:6">
      <c r="A239" s="321"/>
    </row>
    <row r="240" spans="1:6">
      <c r="A240" s="321"/>
      <c r="B240" s="51"/>
      <c r="C240" s="51"/>
      <c r="D240" s="51"/>
      <c r="E240" s="51"/>
      <c r="F240" s="51"/>
    </row>
    <row r="241" spans="1:6">
      <c r="A241" s="321"/>
      <c r="B241" s="51"/>
      <c r="C241" s="51"/>
      <c r="D241" s="51"/>
      <c r="E241" s="51"/>
      <c r="F241" s="51"/>
    </row>
    <row r="246" spans="1:6">
      <c r="A246" s="318"/>
      <c r="B246" s="51"/>
      <c r="C246" s="51"/>
      <c r="D246" s="51"/>
      <c r="E246" s="45"/>
      <c r="F246" s="45"/>
    </row>
  </sheetData>
  <mergeCells count="15">
    <mergeCell ref="B48:G48"/>
    <mergeCell ref="B3:G3"/>
    <mergeCell ref="B4:G4"/>
    <mergeCell ref="B5:G5"/>
    <mergeCell ref="B6:G6"/>
    <mergeCell ref="B7:G7"/>
    <mergeCell ref="B102:G102"/>
    <mergeCell ref="B103:G103"/>
    <mergeCell ref="B104:G104"/>
    <mergeCell ref="B49:G49"/>
    <mergeCell ref="B50:G50"/>
    <mergeCell ref="B51:G51"/>
    <mergeCell ref="B52:G52"/>
    <mergeCell ref="B100:G100"/>
    <mergeCell ref="B101:G101"/>
  </mergeCells>
  <printOptions horizontalCentered="1"/>
  <pageMargins left="0.5" right="0.5" top="0.5" bottom="0.5" header="0.35" footer="0.25"/>
  <pageSetup scale="49" orientation="portrait" r:id="rId1"/>
  <headerFooter scaleWithDoc="0" alignWithMargins="0">
    <oddHeader>&amp;C&amp;"Times New Roman,Bold"&amp;7A&amp;6S FILED SEC 2 NON-DIRECT EXP WITH COST ADJ INCL IN APPENDIX X CYCLE 12 (ER24-176)</oddHeader>
    <oddFooter>&amp;L&amp;F&amp;CPage 6.&amp;P&amp;R&amp;A</oddFooter>
  </headerFooter>
  <rowBreaks count="2" manualBreakCount="2">
    <brk id="46" max="16383" man="1"/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3DBB-8F69-4B0A-864A-5EC0B2E33D10}">
  <sheetPr>
    <pageSetUpPr fitToPage="1"/>
  </sheetPr>
  <dimension ref="A2:U53"/>
  <sheetViews>
    <sheetView zoomScale="80" zoomScaleNormal="80" workbookViewId="0"/>
  </sheetViews>
  <sheetFormatPr defaultColWidth="8.81640625" defaultRowHeight="15.5"/>
  <cols>
    <col min="1" max="1" width="5.1796875" style="102" customWidth="1"/>
    <col min="2" max="2" width="73.1796875" style="6" customWidth="1"/>
    <col min="3" max="15" width="10.1796875" style="6" customWidth="1"/>
    <col min="16" max="16" width="2" style="6" bestFit="1" customWidth="1"/>
    <col min="17" max="17" width="36.6328125" style="6" bestFit="1" customWidth="1"/>
    <col min="18" max="18" width="5.1796875" style="102" customWidth="1"/>
    <col min="19" max="19" width="2" style="6" bestFit="1" customWidth="1"/>
    <col min="20" max="20" width="8.81640625" style="6"/>
    <col min="21" max="21" width="9.81640625" style="6" bestFit="1" customWidth="1"/>
    <col min="22" max="16384" width="8.81640625" style="6"/>
  </cols>
  <sheetData>
    <row r="2" spans="1:18">
      <c r="B2" s="958" t="s">
        <v>20</v>
      </c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106"/>
    </row>
    <row r="3" spans="1:18">
      <c r="B3" s="958" t="s">
        <v>112</v>
      </c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106"/>
    </row>
    <row r="4" spans="1:18">
      <c r="B4" s="966" t="s">
        <v>624</v>
      </c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326"/>
    </row>
    <row r="5" spans="1:18">
      <c r="B5" s="967">
        <v>-1000</v>
      </c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7"/>
      <c r="R5" s="328"/>
    </row>
    <row r="6" spans="1:18" ht="16" thickBot="1">
      <c r="A6" s="312"/>
      <c r="B6" s="51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2"/>
      <c r="O6" s="51"/>
      <c r="P6" s="51"/>
      <c r="Q6" s="51"/>
      <c r="R6" s="312"/>
    </row>
    <row r="7" spans="1:18">
      <c r="A7" s="324"/>
      <c r="B7" s="272"/>
      <c r="C7" s="968" t="s">
        <v>642</v>
      </c>
      <c r="D7" s="969"/>
      <c r="E7" s="969"/>
      <c r="F7" s="969"/>
      <c r="G7" s="970"/>
      <c r="H7" s="968" t="s">
        <v>643</v>
      </c>
      <c r="I7" s="969"/>
      <c r="J7" s="969"/>
      <c r="K7" s="969"/>
      <c r="L7" s="969"/>
      <c r="M7" s="969"/>
      <c r="N7" s="970"/>
      <c r="O7" s="292"/>
      <c r="P7" s="862"/>
      <c r="Q7" s="272"/>
      <c r="R7" s="329"/>
    </row>
    <row r="8" spans="1:18">
      <c r="A8" s="325" t="s">
        <v>2</v>
      </c>
      <c r="B8" s="52"/>
      <c r="C8" s="276" t="s">
        <v>7</v>
      </c>
      <c r="D8" s="53" t="s">
        <v>8</v>
      </c>
      <c r="E8" s="53" t="s">
        <v>9</v>
      </c>
      <c r="F8" s="53" t="s">
        <v>10</v>
      </c>
      <c r="G8" s="269" t="s">
        <v>11</v>
      </c>
      <c r="H8" s="276" t="s">
        <v>12</v>
      </c>
      <c r="I8" s="53" t="s">
        <v>13</v>
      </c>
      <c r="J8" s="53" t="s">
        <v>14</v>
      </c>
      <c r="K8" s="53" t="s">
        <v>15</v>
      </c>
      <c r="L8" s="53" t="s">
        <v>16</v>
      </c>
      <c r="M8" s="53" t="s">
        <v>17</v>
      </c>
      <c r="N8" s="269" t="s">
        <v>18</v>
      </c>
      <c r="O8" s="288" t="s">
        <v>19</v>
      </c>
      <c r="P8" s="53"/>
      <c r="Q8" s="52"/>
      <c r="R8" s="330" t="s">
        <v>2</v>
      </c>
    </row>
    <row r="9" spans="1:18">
      <c r="A9" s="325" t="s">
        <v>3</v>
      </c>
      <c r="B9" s="525" t="s">
        <v>113</v>
      </c>
      <c r="C9" s="277" t="s">
        <v>462</v>
      </c>
      <c r="D9" s="526" t="s">
        <v>644</v>
      </c>
      <c r="E9" s="526" t="s">
        <v>645</v>
      </c>
      <c r="F9" s="526" t="s">
        <v>646</v>
      </c>
      <c r="G9" s="278" t="s">
        <v>647</v>
      </c>
      <c r="H9" s="277" t="s">
        <v>648</v>
      </c>
      <c r="I9" s="526" t="s">
        <v>649</v>
      </c>
      <c r="J9" s="526" t="s">
        <v>650</v>
      </c>
      <c r="K9" s="526" t="s">
        <v>651</v>
      </c>
      <c r="L9" s="526" t="s">
        <v>652</v>
      </c>
      <c r="M9" s="526" t="s">
        <v>653</v>
      </c>
      <c r="N9" s="278" t="s">
        <v>463</v>
      </c>
      <c r="O9" s="527" t="s">
        <v>4</v>
      </c>
      <c r="P9" s="525"/>
      <c r="Q9" s="525" t="s">
        <v>5</v>
      </c>
      <c r="R9" s="330" t="s">
        <v>3</v>
      </c>
    </row>
    <row r="10" spans="1:18">
      <c r="A10" s="325"/>
      <c r="B10" s="273"/>
      <c r="C10" s="279"/>
      <c r="D10" s="76"/>
      <c r="E10" s="76"/>
      <c r="F10" s="76"/>
      <c r="G10" s="280"/>
      <c r="H10" s="279"/>
      <c r="I10" s="76"/>
      <c r="J10" s="76"/>
      <c r="K10" s="76"/>
      <c r="L10" s="76"/>
      <c r="M10" s="76"/>
      <c r="N10" s="270"/>
      <c r="O10" s="289"/>
      <c r="P10" s="273"/>
      <c r="Q10" s="53"/>
      <c r="R10" s="330"/>
    </row>
    <row r="11" spans="1:18">
      <c r="A11" s="325">
        <v>1</v>
      </c>
      <c r="B11" s="52" t="s">
        <v>114</v>
      </c>
      <c r="C11" s="396"/>
      <c r="D11" s="397">
        <f>C42</f>
        <v>153.24923330869007</v>
      </c>
      <c r="E11" s="397">
        <f t="shared" ref="E11:N11" si="0">D42</f>
        <v>306.9803343404011</v>
      </c>
      <c r="F11" s="397">
        <f t="shared" si="0"/>
        <v>461.33097958742474</v>
      </c>
      <c r="G11" s="398">
        <f t="shared" si="0"/>
        <v>616.29478621460441</v>
      </c>
      <c r="H11" s="399">
        <f t="shared" si="0"/>
        <v>771.89367537899079</v>
      </c>
      <c r="I11" s="397">
        <f t="shared" si="0"/>
        <v>794.93164315946274</v>
      </c>
      <c r="J11" s="397">
        <f t="shared" si="0"/>
        <v>818.31343043428478</v>
      </c>
      <c r="K11" s="433">
        <f t="shared" si="0"/>
        <v>841.77586465801778</v>
      </c>
      <c r="L11" s="397">
        <f t="shared" si="0"/>
        <v>865.23441223203872</v>
      </c>
      <c r="M11" s="397">
        <f t="shared" si="0"/>
        <v>889.07247363932026</v>
      </c>
      <c r="N11" s="871">
        <f t="shared" si="0"/>
        <v>912.90566664115079</v>
      </c>
      <c r="O11" s="400"/>
      <c r="P11" s="641"/>
      <c r="Q11" s="54" t="s">
        <v>625</v>
      </c>
      <c r="R11" s="330">
        <f>A11</f>
        <v>1</v>
      </c>
    </row>
    <row r="12" spans="1:18">
      <c r="A12" s="325">
        <f>A11+1</f>
        <v>2</v>
      </c>
      <c r="B12" s="52"/>
      <c r="C12" s="401"/>
      <c r="D12" s="402"/>
      <c r="E12" s="402"/>
      <c r="F12" s="402"/>
      <c r="G12" s="403"/>
      <c r="H12" s="399"/>
      <c r="I12" s="402"/>
      <c r="J12" s="402"/>
      <c r="K12" s="641" t="s">
        <v>439</v>
      </c>
      <c r="L12" s="402"/>
      <c r="M12" s="402"/>
      <c r="N12" s="641" t="s">
        <v>439</v>
      </c>
      <c r="O12" s="404"/>
      <c r="P12" s="402"/>
      <c r="Q12" s="52"/>
      <c r="R12" s="330">
        <f>R11+1</f>
        <v>2</v>
      </c>
    </row>
    <row r="13" spans="1:18">
      <c r="A13" s="325">
        <f t="shared" ref="A13:A43" si="1">A12+1</f>
        <v>3</v>
      </c>
      <c r="B13" s="52" t="s">
        <v>115</v>
      </c>
      <c r="C13" s="405">
        <v>0</v>
      </c>
      <c r="D13" s="366">
        <v>0</v>
      </c>
      <c r="E13" s="366">
        <v>0</v>
      </c>
      <c r="F13" s="366">
        <v>0</v>
      </c>
      <c r="G13" s="406">
        <v>0</v>
      </c>
      <c r="H13" s="407">
        <v>214.31770150333875</v>
      </c>
      <c r="I13" s="408">
        <v>214.31770150333875</v>
      </c>
      <c r="J13" s="408">
        <v>214.31770150333875</v>
      </c>
      <c r="K13" s="408">
        <v>214.31770150333875</v>
      </c>
      <c r="L13" s="408">
        <v>214.31770150333875</v>
      </c>
      <c r="M13" s="408">
        <v>214.31770150333875</v>
      </c>
      <c r="N13" s="409">
        <v>214.31770150333875</v>
      </c>
      <c r="O13" s="410">
        <f>SUM(C13:N13)</f>
        <v>1500.2239105233716</v>
      </c>
      <c r="P13" s="397"/>
      <c r="Q13" s="54" t="s">
        <v>626</v>
      </c>
      <c r="R13" s="330">
        <f t="shared" ref="R13:R43" si="2">R12+1</f>
        <v>3</v>
      </c>
    </row>
    <row r="14" spans="1:18">
      <c r="A14" s="325">
        <f t="shared" si="1"/>
        <v>4</v>
      </c>
      <c r="B14" s="52"/>
      <c r="C14" s="411"/>
      <c r="D14" s="412"/>
      <c r="E14" s="412"/>
      <c r="F14" s="412"/>
      <c r="G14" s="413"/>
      <c r="H14" s="411"/>
      <c r="I14" s="412"/>
      <c r="J14" s="412"/>
      <c r="K14" s="412"/>
      <c r="L14" s="412"/>
      <c r="M14" s="412"/>
      <c r="N14" s="414"/>
      <c r="O14" s="415"/>
      <c r="P14" s="863"/>
      <c r="Q14" s="54" t="s">
        <v>627</v>
      </c>
      <c r="R14" s="330">
        <f t="shared" si="2"/>
        <v>4</v>
      </c>
    </row>
    <row r="15" spans="1:18" ht="18.5">
      <c r="A15" s="325">
        <f t="shared" si="1"/>
        <v>5</v>
      </c>
      <c r="B15" s="52" t="s">
        <v>116</v>
      </c>
      <c r="C15" s="411"/>
      <c r="D15" s="412"/>
      <c r="E15" s="412"/>
      <c r="F15" s="412"/>
      <c r="G15" s="413"/>
      <c r="H15" s="411"/>
      <c r="I15" s="412"/>
      <c r="J15" s="412"/>
      <c r="K15" s="412"/>
      <c r="L15" s="412"/>
      <c r="M15" s="412"/>
      <c r="N15" s="414"/>
      <c r="O15" s="415"/>
      <c r="P15" s="863"/>
      <c r="Q15" s="52"/>
      <c r="R15" s="330">
        <f t="shared" si="2"/>
        <v>5</v>
      </c>
    </row>
    <row r="16" spans="1:18">
      <c r="A16" s="325">
        <f t="shared" si="1"/>
        <v>6</v>
      </c>
      <c r="B16" s="55" t="s">
        <v>654</v>
      </c>
      <c r="C16" s="399"/>
      <c r="D16" s="416"/>
      <c r="E16" s="416"/>
      <c r="F16" s="416"/>
      <c r="G16" s="417"/>
      <c r="H16" s="411"/>
      <c r="I16" s="412"/>
      <c r="J16" s="412"/>
      <c r="K16" s="412"/>
      <c r="L16" s="412"/>
      <c r="M16" s="412"/>
      <c r="N16" s="413"/>
      <c r="O16" s="418">
        <f>SUM(C16:G16)</f>
        <v>0</v>
      </c>
      <c r="P16" s="475"/>
      <c r="Q16" s="54" t="s">
        <v>476</v>
      </c>
      <c r="R16" s="330">
        <f t="shared" si="2"/>
        <v>6</v>
      </c>
    </row>
    <row r="17" spans="1:21">
      <c r="A17" s="325">
        <f t="shared" si="1"/>
        <v>7</v>
      </c>
      <c r="B17" s="55" t="s">
        <v>655</v>
      </c>
      <c r="C17" s="419">
        <v>4.3091666666666661</v>
      </c>
      <c r="D17" s="420">
        <v>4.3091666666666661</v>
      </c>
      <c r="E17" s="420">
        <v>4.3091666666666661</v>
      </c>
      <c r="F17" s="420">
        <v>4.3091666666666661</v>
      </c>
      <c r="G17" s="421">
        <v>4.3091666666666661</v>
      </c>
      <c r="H17" s="399"/>
      <c r="I17" s="397"/>
      <c r="J17" s="397"/>
      <c r="K17" s="397"/>
      <c r="L17" s="397"/>
      <c r="M17" s="397"/>
      <c r="N17" s="398"/>
      <c r="O17" s="418">
        <f>SUM(C17:G17)</f>
        <v>21.545833333333331</v>
      </c>
      <c r="P17" s="475"/>
      <c r="Q17" s="54" t="s">
        <v>628</v>
      </c>
      <c r="R17" s="330">
        <f t="shared" si="2"/>
        <v>7</v>
      </c>
    </row>
    <row r="18" spans="1:21">
      <c r="A18" s="325">
        <f t="shared" si="1"/>
        <v>8</v>
      </c>
      <c r="B18" s="274"/>
      <c r="C18" s="422"/>
      <c r="D18" s="426"/>
      <c r="E18" s="426"/>
      <c r="F18" s="426"/>
      <c r="G18" s="427"/>
      <c r="H18" s="425"/>
      <c r="I18" s="428"/>
      <c r="J18" s="428"/>
      <c r="K18" s="428"/>
      <c r="L18" s="428"/>
      <c r="M18" s="428"/>
      <c r="N18" s="429"/>
      <c r="O18" s="418"/>
      <c r="P18" s="475"/>
      <c r="Q18" s="54"/>
      <c r="R18" s="330">
        <f t="shared" si="2"/>
        <v>8</v>
      </c>
    </row>
    <row r="19" spans="1:21">
      <c r="A19" s="325">
        <f t="shared" si="1"/>
        <v>9</v>
      </c>
      <c r="B19" s="55" t="s">
        <v>656</v>
      </c>
      <c r="C19" s="419">
        <v>45.783690236955351</v>
      </c>
      <c r="D19" s="423">
        <v>45.783690236955351</v>
      </c>
      <c r="E19" s="423">
        <v>45.783690236955351</v>
      </c>
      <c r="F19" s="423">
        <v>45.783690236955351</v>
      </c>
      <c r="G19" s="424">
        <v>45.783690236955351</v>
      </c>
      <c r="H19" s="425"/>
      <c r="I19" s="428"/>
      <c r="J19" s="428"/>
      <c r="K19" s="428"/>
      <c r="L19" s="428"/>
      <c r="M19" s="428"/>
      <c r="N19" s="429"/>
      <c r="O19" s="492">
        <f>SUM(C19:G19)</f>
        <v>228.91845118477676</v>
      </c>
      <c r="P19" s="475"/>
      <c r="Q19" s="54" t="s">
        <v>629</v>
      </c>
      <c r="R19" s="330">
        <f t="shared" si="2"/>
        <v>9</v>
      </c>
    </row>
    <row r="20" spans="1:21">
      <c r="A20" s="325">
        <f t="shared" si="1"/>
        <v>10</v>
      </c>
      <c r="B20" s="55" t="s">
        <v>657</v>
      </c>
      <c r="C20" s="411"/>
      <c r="D20" s="412"/>
      <c r="E20" s="412"/>
      <c r="F20" s="412"/>
      <c r="G20" s="413"/>
      <c r="H20" s="430">
        <v>3.2130000000000001</v>
      </c>
      <c r="I20" s="420">
        <v>3.2130000000000001</v>
      </c>
      <c r="J20" s="420">
        <v>3.2130000000000001</v>
      </c>
      <c r="K20" s="420">
        <v>3.2130000000000001</v>
      </c>
      <c r="L20" s="420">
        <v>3.2130000000000001</v>
      </c>
      <c r="M20" s="420">
        <v>3.2130000000000001</v>
      </c>
      <c r="N20" s="421">
        <v>3.2130000000000001</v>
      </c>
      <c r="O20" s="492">
        <f>SUM(H20:N20)</f>
        <v>22.491000000000003</v>
      </c>
      <c r="P20" s="475"/>
      <c r="Q20" s="54" t="s">
        <v>630</v>
      </c>
      <c r="R20" s="330">
        <f t="shared" si="2"/>
        <v>10</v>
      </c>
    </row>
    <row r="21" spans="1:21">
      <c r="A21" s="325">
        <f t="shared" si="1"/>
        <v>11</v>
      </c>
      <c r="B21" s="274"/>
      <c r="C21" s="411"/>
      <c r="D21" s="412"/>
      <c r="E21" s="412"/>
      <c r="F21" s="412"/>
      <c r="G21" s="413"/>
      <c r="H21" s="422"/>
      <c r="I21" s="397"/>
      <c r="J21" s="397"/>
      <c r="K21" s="397"/>
      <c r="L21" s="397"/>
      <c r="M21" s="397"/>
      <c r="N21" s="398"/>
      <c r="O21" s="492"/>
      <c r="P21" s="475"/>
      <c r="Q21" s="54"/>
      <c r="R21" s="330">
        <f t="shared" si="2"/>
        <v>11</v>
      </c>
    </row>
    <row r="22" spans="1:21">
      <c r="A22" s="325">
        <f t="shared" si="1"/>
        <v>12</v>
      </c>
      <c r="B22" s="55" t="s">
        <v>658</v>
      </c>
      <c r="C22" s="411"/>
      <c r="D22" s="412"/>
      <c r="E22" s="412"/>
      <c r="F22" s="412"/>
      <c r="G22" s="413"/>
      <c r="H22" s="491">
        <v>-114.735</v>
      </c>
      <c r="I22" s="420">
        <v>-114.735</v>
      </c>
      <c r="J22" s="420">
        <v>-114.735</v>
      </c>
      <c r="K22" s="420">
        <v>-114.735</v>
      </c>
      <c r="L22" s="420">
        <v>-114.735</v>
      </c>
      <c r="M22" s="420">
        <v>-114.735</v>
      </c>
      <c r="N22" s="421">
        <v>-114.735</v>
      </c>
      <c r="O22" s="492">
        <f>SUM(H22:N22)</f>
        <v>-803.14499999999998</v>
      </c>
      <c r="P22" s="475"/>
      <c r="Q22" s="54" t="s">
        <v>631</v>
      </c>
      <c r="R22" s="330">
        <f t="shared" si="2"/>
        <v>12</v>
      </c>
    </row>
    <row r="23" spans="1:21">
      <c r="A23" s="325">
        <f t="shared" si="1"/>
        <v>13</v>
      </c>
      <c r="B23" s="55" t="s">
        <v>659</v>
      </c>
      <c r="C23" s="411"/>
      <c r="D23" s="412"/>
      <c r="E23" s="412"/>
      <c r="F23" s="412"/>
      <c r="G23" s="412"/>
      <c r="H23" s="411"/>
      <c r="I23" s="412"/>
      <c r="J23" s="412"/>
      <c r="K23" s="433"/>
      <c r="L23" s="412"/>
      <c r="M23" s="412"/>
      <c r="N23" s="493"/>
      <c r="O23" s="494">
        <f>SUM(C23:N23)</f>
        <v>0</v>
      </c>
      <c r="P23" s="864"/>
      <c r="Q23" s="54" t="s">
        <v>476</v>
      </c>
      <c r="R23" s="330">
        <f t="shared" si="2"/>
        <v>13</v>
      </c>
    </row>
    <row r="24" spans="1:21">
      <c r="A24" s="325">
        <f t="shared" si="1"/>
        <v>14</v>
      </c>
      <c r="B24" s="55"/>
      <c r="C24" s="411"/>
      <c r="D24" s="412"/>
      <c r="E24" s="412"/>
      <c r="F24" s="412"/>
      <c r="G24" s="412"/>
      <c r="H24" s="411"/>
      <c r="I24" s="412"/>
      <c r="J24" s="412"/>
      <c r="K24" s="433"/>
      <c r="L24" s="412"/>
      <c r="M24" s="412"/>
      <c r="N24" s="493"/>
      <c r="O24" s="494"/>
      <c r="P24" s="864"/>
      <c r="Q24" s="54"/>
      <c r="R24" s="330">
        <f t="shared" si="2"/>
        <v>14</v>
      </c>
    </row>
    <row r="25" spans="1:21">
      <c r="A25" s="325">
        <f t="shared" si="1"/>
        <v>15</v>
      </c>
      <c r="B25" s="55" t="s">
        <v>117</v>
      </c>
      <c r="C25" s="431"/>
      <c r="D25" s="412"/>
      <c r="E25" s="412"/>
      <c r="F25" s="412"/>
      <c r="G25" s="432"/>
      <c r="H25" s="497">
        <v>80.109298496661268</v>
      </c>
      <c r="I25" s="420">
        <v>80.109298496661268</v>
      </c>
      <c r="J25" s="420">
        <v>80.109298496661268</v>
      </c>
      <c r="K25" s="420">
        <v>80.109298496661268</v>
      </c>
      <c r="L25" s="420">
        <v>80.109298496661268</v>
      </c>
      <c r="M25" s="420">
        <v>80.109298496661268</v>
      </c>
      <c r="N25" s="420">
        <v>80.109298496661268</v>
      </c>
      <c r="O25" s="496">
        <f>SUM(H25:N25)</f>
        <v>560.76508947662887</v>
      </c>
      <c r="P25" s="453"/>
      <c r="Q25" s="54" t="s">
        <v>632</v>
      </c>
      <c r="R25" s="330">
        <f t="shared" si="2"/>
        <v>15</v>
      </c>
    </row>
    <row r="26" spans="1:21">
      <c r="A26" s="325">
        <f t="shared" si="1"/>
        <v>16</v>
      </c>
      <c r="B26" s="52" t="s">
        <v>118</v>
      </c>
      <c r="C26" s="528">
        <f>SUM(C16:C25)</f>
        <v>50.092856903622021</v>
      </c>
      <c r="D26" s="434">
        <f>SUM(D16:D25)</f>
        <v>50.092856903622021</v>
      </c>
      <c r="E26" s="434">
        <f t="shared" ref="E26:F26" si="3">SUM(E16:E25)</f>
        <v>50.092856903622021</v>
      </c>
      <c r="F26" s="434">
        <f t="shared" si="3"/>
        <v>50.092856903622021</v>
      </c>
      <c r="G26" s="435">
        <f>SUM(G16:G25)</f>
        <v>50.092856903622021</v>
      </c>
      <c r="H26" s="528">
        <f>SUM(H16:H25)</f>
        <v>-31.412701503338738</v>
      </c>
      <c r="I26" s="434">
        <f>SUM(I16:I25)</f>
        <v>-31.412701503338738</v>
      </c>
      <c r="J26" s="434">
        <f t="shared" ref="J26:M26" si="4">SUM(J16:J25)</f>
        <v>-31.412701503338738</v>
      </c>
      <c r="K26" s="434">
        <f t="shared" si="4"/>
        <v>-31.412701503338738</v>
      </c>
      <c r="L26" s="434">
        <f t="shared" si="4"/>
        <v>-31.412701503338738</v>
      </c>
      <c r="M26" s="434">
        <f t="shared" si="4"/>
        <v>-31.412701503338738</v>
      </c>
      <c r="N26" s="435">
        <f>SUM(N16:N25)</f>
        <v>-31.412701503338738</v>
      </c>
      <c r="O26" s="529">
        <f>SUM(C26:N26)</f>
        <v>30.575373994738982</v>
      </c>
      <c r="P26" s="397"/>
      <c r="Q26" s="54" t="s">
        <v>633</v>
      </c>
      <c r="R26" s="330">
        <f t="shared" si="2"/>
        <v>16</v>
      </c>
    </row>
    <row r="27" spans="1:21">
      <c r="A27" s="325">
        <f t="shared" si="1"/>
        <v>17</v>
      </c>
      <c r="B27" s="275"/>
      <c r="C27" s="411"/>
      <c r="D27" s="412"/>
      <c r="E27" s="412"/>
      <c r="F27" s="412"/>
      <c r="G27" s="413"/>
      <c r="H27" s="411"/>
      <c r="I27" s="412"/>
      <c r="J27" s="412"/>
      <c r="K27" s="412"/>
      <c r="L27" s="433"/>
      <c r="M27" s="412"/>
      <c r="N27" s="414"/>
      <c r="O27" s="415"/>
      <c r="P27" s="863"/>
      <c r="Q27" s="52"/>
      <c r="R27" s="330">
        <f t="shared" si="2"/>
        <v>17</v>
      </c>
    </row>
    <row r="28" spans="1:21">
      <c r="A28" s="325">
        <f t="shared" si="1"/>
        <v>18</v>
      </c>
      <c r="B28" s="52" t="s">
        <v>119</v>
      </c>
      <c r="C28" s="436">
        <f t="shared" ref="C28:N28" si="5">C13+C26</f>
        <v>50.092856903622021</v>
      </c>
      <c r="D28" s="437">
        <f t="shared" si="5"/>
        <v>50.092856903622021</v>
      </c>
      <c r="E28" s="437">
        <f t="shared" si="5"/>
        <v>50.092856903622021</v>
      </c>
      <c r="F28" s="437">
        <f t="shared" si="5"/>
        <v>50.092856903622021</v>
      </c>
      <c r="G28" s="438">
        <f t="shared" si="5"/>
        <v>50.092856903622021</v>
      </c>
      <c r="H28" s="436">
        <f t="shared" si="5"/>
        <v>182.90500000000003</v>
      </c>
      <c r="I28" s="437">
        <f t="shared" si="5"/>
        <v>182.90500000000003</v>
      </c>
      <c r="J28" s="437">
        <f t="shared" si="5"/>
        <v>182.90500000000003</v>
      </c>
      <c r="K28" s="437">
        <f t="shared" si="5"/>
        <v>182.90500000000003</v>
      </c>
      <c r="L28" s="437">
        <f t="shared" si="5"/>
        <v>182.90500000000003</v>
      </c>
      <c r="M28" s="437">
        <f t="shared" si="5"/>
        <v>182.90500000000003</v>
      </c>
      <c r="N28" s="438">
        <f t="shared" si="5"/>
        <v>182.90500000000003</v>
      </c>
      <c r="O28" s="439">
        <f>SUM(C28:N28)</f>
        <v>1530.79928451811</v>
      </c>
      <c r="P28" s="437"/>
      <c r="Q28" s="60" t="s">
        <v>634</v>
      </c>
      <c r="R28" s="330">
        <f t="shared" si="2"/>
        <v>18</v>
      </c>
    </row>
    <row r="29" spans="1:21">
      <c r="A29" s="325">
        <f t="shared" si="1"/>
        <v>19</v>
      </c>
      <c r="B29" s="52"/>
      <c r="C29" s="440"/>
      <c r="D29" s="441"/>
      <c r="E29" s="441"/>
      <c r="F29" s="441"/>
      <c r="G29" s="442"/>
      <c r="H29" s="440"/>
      <c r="I29" s="441"/>
      <c r="J29" s="441"/>
      <c r="K29" s="441"/>
      <c r="L29" s="441"/>
      <c r="M29" s="441"/>
      <c r="N29" s="442"/>
      <c r="O29" s="443"/>
      <c r="P29" s="865"/>
      <c r="Q29" s="52"/>
      <c r="R29" s="330">
        <f t="shared" si="2"/>
        <v>19</v>
      </c>
    </row>
    <row r="30" spans="1:21">
      <c r="A30" s="325">
        <f t="shared" si="1"/>
        <v>20</v>
      </c>
      <c r="B30" s="52" t="s">
        <v>120</v>
      </c>
      <c r="C30" s="419">
        <f>'Pg8 Rev Sec 4b-TU COS'!D23</f>
        <v>203.06673722772871</v>
      </c>
      <c r="D30" s="366">
        <f>$C$30</f>
        <v>203.06673722772871</v>
      </c>
      <c r="E30" s="366">
        <f t="shared" ref="E30:N30" si="6">$C$30</f>
        <v>203.06673722772871</v>
      </c>
      <c r="F30" s="366">
        <f t="shared" si="6"/>
        <v>203.06673722772871</v>
      </c>
      <c r="G30" s="909">
        <f t="shared" si="6"/>
        <v>203.06673722772871</v>
      </c>
      <c r="H30" s="366">
        <f t="shared" si="6"/>
        <v>203.06673722772871</v>
      </c>
      <c r="I30" s="366">
        <f t="shared" si="6"/>
        <v>203.06673722772871</v>
      </c>
      <c r="J30" s="366">
        <f t="shared" si="6"/>
        <v>203.06673722772871</v>
      </c>
      <c r="K30" s="366">
        <f t="shared" si="6"/>
        <v>203.06673722772871</v>
      </c>
      <c r="L30" s="366">
        <f t="shared" si="6"/>
        <v>203.06673722772871</v>
      </c>
      <c r="M30" s="366">
        <f t="shared" si="6"/>
        <v>203.06673722772871</v>
      </c>
      <c r="N30" s="366">
        <f t="shared" si="6"/>
        <v>203.06673722772871</v>
      </c>
      <c r="O30" s="852">
        <f>SUM(C30:N30)</f>
        <v>2436.8008467327445</v>
      </c>
      <c r="P30" s="641" t="s">
        <v>439</v>
      </c>
      <c r="Q30" s="54" t="s">
        <v>672</v>
      </c>
      <c r="R30" s="330">
        <f t="shared" si="2"/>
        <v>20</v>
      </c>
      <c r="S30" s="641"/>
      <c r="U30" s="470"/>
    </row>
    <row r="31" spans="1:21">
      <c r="A31" s="325">
        <f t="shared" si="1"/>
        <v>21</v>
      </c>
      <c r="B31" s="52"/>
      <c r="C31" s="444"/>
      <c r="D31" s="530"/>
      <c r="E31" s="531"/>
      <c r="F31" s="530"/>
      <c r="G31" s="532"/>
      <c r="H31" s="445"/>
      <c r="I31" s="531"/>
      <c r="J31" s="530"/>
      <c r="K31" s="531"/>
      <c r="L31" s="530"/>
      <c r="M31" s="531"/>
      <c r="N31" s="533"/>
      <c r="O31" s="534"/>
      <c r="Q31" s="52"/>
      <c r="R31" s="330">
        <f t="shared" si="2"/>
        <v>21</v>
      </c>
    </row>
    <row r="32" spans="1:21" ht="16" thickBot="1">
      <c r="A32" s="325">
        <f t="shared" si="1"/>
        <v>22</v>
      </c>
      <c r="B32" s="52" t="s">
        <v>121</v>
      </c>
      <c r="C32" s="927">
        <f>C30-C28</f>
        <v>152.97388032410669</v>
      </c>
      <c r="D32" s="558">
        <f t="shared" ref="D32:N32" si="7">D30-D28</f>
        <v>152.97388032410669</v>
      </c>
      <c r="E32" s="558">
        <f t="shared" si="7"/>
        <v>152.97388032410669</v>
      </c>
      <c r="F32" s="558">
        <f t="shared" si="7"/>
        <v>152.97388032410669</v>
      </c>
      <c r="G32" s="928">
        <f t="shared" si="7"/>
        <v>152.97388032410669</v>
      </c>
      <c r="H32" s="927">
        <f t="shared" si="7"/>
        <v>20.161737227728679</v>
      </c>
      <c r="I32" s="558">
        <f t="shared" si="7"/>
        <v>20.161737227728679</v>
      </c>
      <c r="J32" s="558">
        <f t="shared" si="7"/>
        <v>20.161737227728679</v>
      </c>
      <c r="K32" s="558">
        <f t="shared" si="7"/>
        <v>20.161737227728679</v>
      </c>
      <c r="L32" s="558">
        <f t="shared" si="7"/>
        <v>20.161737227728679</v>
      </c>
      <c r="M32" s="558">
        <f t="shared" si="7"/>
        <v>20.161737227728679</v>
      </c>
      <c r="N32" s="928">
        <f t="shared" si="7"/>
        <v>20.161737227728679</v>
      </c>
      <c r="O32" s="448">
        <f>O30-O28</f>
        <v>906.00156221463453</v>
      </c>
      <c r="P32" s="641" t="s">
        <v>439</v>
      </c>
      <c r="Q32" s="54" t="s">
        <v>635</v>
      </c>
      <c r="R32" s="330">
        <f t="shared" si="2"/>
        <v>22</v>
      </c>
      <c r="S32" s="641"/>
    </row>
    <row r="33" spans="1:19" ht="16.5" thickTop="1" thickBot="1">
      <c r="A33" s="325">
        <f t="shared" si="1"/>
        <v>23</v>
      </c>
      <c r="B33" s="52"/>
      <c r="C33" s="281"/>
      <c r="D33" s="52"/>
      <c r="E33" s="52"/>
      <c r="F33" s="52"/>
      <c r="G33" s="270"/>
      <c r="H33" s="281"/>
      <c r="I33" s="52"/>
      <c r="J33" s="52"/>
      <c r="K33" s="52"/>
      <c r="L33" s="52"/>
      <c r="M33" s="52"/>
      <c r="N33" s="270"/>
      <c r="O33" s="290"/>
      <c r="Q33" s="52"/>
      <c r="R33" s="330">
        <f t="shared" si="2"/>
        <v>23</v>
      </c>
    </row>
    <row r="34" spans="1:19">
      <c r="A34" s="325">
        <f t="shared" si="1"/>
        <v>24</v>
      </c>
      <c r="B34" s="536"/>
      <c r="C34" s="537"/>
      <c r="D34" s="272"/>
      <c r="E34" s="272"/>
      <c r="F34" s="272"/>
      <c r="G34" s="538"/>
      <c r="H34" s="537"/>
      <c r="I34" s="272"/>
      <c r="J34" s="272"/>
      <c r="K34" s="272"/>
      <c r="L34" s="272"/>
      <c r="M34" s="272"/>
      <c r="N34" s="538"/>
      <c r="O34" s="539"/>
      <c r="Q34" s="540"/>
      <c r="R34" s="330">
        <f t="shared" si="2"/>
        <v>24</v>
      </c>
    </row>
    <row r="35" spans="1:19">
      <c r="A35" s="325">
        <f t="shared" si="1"/>
        <v>25</v>
      </c>
      <c r="B35" s="52" t="s">
        <v>122</v>
      </c>
      <c r="C35" s="281"/>
      <c r="D35" s="52"/>
      <c r="E35" s="52"/>
      <c r="F35" s="52"/>
      <c r="G35" s="270"/>
      <c r="H35" s="281"/>
      <c r="I35" s="52"/>
      <c r="J35" s="52"/>
      <c r="K35" s="52"/>
      <c r="L35" s="52"/>
      <c r="M35" s="52"/>
      <c r="N35" s="270"/>
      <c r="O35" s="290"/>
      <c r="Q35" s="52"/>
      <c r="R35" s="330">
        <f t="shared" si="2"/>
        <v>25</v>
      </c>
    </row>
    <row r="36" spans="1:19" ht="18.5">
      <c r="A36" s="325">
        <f t="shared" si="1"/>
        <v>26</v>
      </c>
      <c r="B36" s="55" t="s">
        <v>123</v>
      </c>
      <c r="C36" s="283">
        <v>0</v>
      </c>
      <c r="D36" s="59">
        <v>0</v>
      </c>
      <c r="E36" s="59">
        <v>0</v>
      </c>
      <c r="F36" s="59">
        <f>E42</f>
        <v>461.33097958742474</v>
      </c>
      <c r="G36" s="282">
        <f>E42</f>
        <v>461.33097958742474</v>
      </c>
      <c r="H36" s="283">
        <f>E42</f>
        <v>461.33097958742474</v>
      </c>
      <c r="I36" s="59">
        <f>H42</f>
        <v>794.93164315946274</v>
      </c>
      <c r="J36" s="59">
        <f>H42</f>
        <v>794.93164315946274</v>
      </c>
      <c r="K36" s="59">
        <f>H42</f>
        <v>794.93164315946274</v>
      </c>
      <c r="L36" s="59">
        <f>K42</f>
        <v>865.23441223203872</v>
      </c>
      <c r="M36" s="59">
        <f>K42</f>
        <v>865.23441223203872</v>
      </c>
      <c r="N36" s="282">
        <f>K42</f>
        <v>865.23441223203872</v>
      </c>
      <c r="O36" s="290"/>
      <c r="P36" s="641"/>
      <c r="Q36" s="54" t="s">
        <v>124</v>
      </c>
      <c r="R36" s="330">
        <f t="shared" si="2"/>
        <v>26</v>
      </c>
      <c r="S36" s="641"/>
    </row>
    <row r="37" spans="1:19">
      <c r="A37" s="325">
        <f t="shared" si="1"/>
        <v>27</v>
      </c>
      <c r="B37" s="55" t="s">
        <v>125</v>
      </c>
      <c r="C37" s="295">
        <f>C32/2</f>
        <v>76.486940162053344</v>
      </c>
      <c r="D37" s="541">
        <f>C32+(D32/2)</f>
        <v>229.46082048616003</v>
      </c>
      <c r="E37" s="541">
        <f>C32+D32+(E32/2)</f>
        <v>382.43470081026669</v>
      </c>
      <c r="F37" s="541">
        <f>F32/2</f>
        <v>76.486940162053344</v>
      </c>
      <c r="G37" s="296">
        <f>F32+(G32/2)</f>
        <v>229.46082048616003</v>
      </c>
      <c r="H37" s="295">
        <f>F32+G32+(H32/2)</f>
        <v>316.02862926207774</v>
      </c>
      <c r="I37" s="293">
        <f>I32/2</f>
        <v>10.08086861386434</v>
      </c>
      <c r="J37" s="293">
        <f>I32+(J32/2)</f>
        <v>30.242605841593019</v>
      </c>
      <c r="K37" s="293">
        <f>I32+J32+(K32/2)</f>
        <v>50.404343069321698</v>
      </c>
      <c r="L37" s="293">
        <f>L32/2</f>
        <v>10.08086861386434</v>
      </c>
      <c r="M37" s="293">
        <f>L32+(M32/2)</f>
        <v>30.242605841593019</v>
      </c>
      <c r="N37" s="296">
        <f>L32+M32+(N32/2)</f>
        <v>50.404343069321698</v>
      </c>
      <c r="O37" s="290"/>
      <c r="P37" s="641"/>
      <c r="Q37" s="54" t="s">
        <v>126</v>
      </c>
      <c r="R37" s="330">
        <f t="shared" si="2"/>
        <v>27</v>
      </c>
      <c r="S37" s="641"/>
    </row>
    <row r="38" spans="1:19">
      <c r="A38" s="325">
        <f t="shared" si="1"/>
        <v>28</v>
      </c>
      <c r="B38" s="55" t="s">
        <v>127</v>
      </c>
      <c r="C38" s="542">
        <f>SUM(C36:C37)</f>
        <v>76.486940162053344</v>
      </c>
      <c r="D38" s="543">
        <f t="shared" ref="D38:N38" si="8">SUM(D36:D37)</f>
        <v>229.46082048616003</v>
      </c>
      <c r="E38" s="543">
        <f t="shared" si="8"/>
        <v>382.43470081026669</v>
      </c>
      <c r="F38" s="543">
        <f t="shared" si="8"/>
        <v>537.81791974947805</v>
      </c>
      <c r="G38" s="544">
        <f t="shared" si="8"/>
        <v>690.7918000735848</v>
      </c>
      <c r="H38" s="542">
        <f t="shared" si="8"/>
        <v>777.35960884950248</v>
      </c>
      <c r="I38" s="543">
        <f t="shared" si="8"/>
        <v>805.01251177332711</v>
      </c>
      <c r="J38" s="543">
        <f t="shared" si="8"/>
        <v>825.17424900105573</v>
      </c>
      <c r="K38" s="543">
        <f t="shared" si="8"/>
        <v>845.33598622878446</v>
      </c>
      <c r="L38" s="543">
        <f t="shared" si="8"/>
        <v>875.31528084590309</v>
      </c>
      <c r="M38" s="543">
        <f t="shared" si="8"/>
        <v>895.47701807363171</v>
      </c>
      <c r="N38" s="861">
        <f t="shared" si="8"/>
        <v>915.63875530136045</v>
      </c>
      <c r="O38" s="290"/>
      <c r="P38" s="641" t="s">
        <v>439</v>
      </c>
      <c r="Q38" s="54" t="s">
        <v>623</v>
      </c>
      <c r="R38" s="330">
        <f t="shared" si="2"/>
        <v>28</v>
      </c>
      <c r="S38" s="641"/>
    </row>
    <row r="39" spans="1:19">
      <c r="A39" s="325">
        <f t="shared" si="1"/>
        <v>29</v>
      </c>
      <c r="B39" s="55" t="s">
        <v>128</v>
      </c>
      <c r="C39" s="284">
        <v>3.5999999999999999E-3</v>
      </c>
      <c r="D39" s="545">
        <v>3.3E-3</v>
      </c>
      <c r="E39" s="546">
        <v>3.5999999999999999E-3</v>
      </c>
      <c r="F39" s="546">
        <v>3.7000000000000002E-3</v>
      </c>
      <c r="G39" s="285">
        <v>3.8E-3</v>
      </c>
      <c r="H39" s="284">
        <v>3.7000000000000002E-3</v>
      </c>
      <c r="I39" s="546">
        <v>4.0000000000000001E-3</v>
      </c>
      <c r="J39" s="546">
        <v>4.0000000000000001E-3</v>
      </c>
      <c r="K39" s="546">
        <v>3.8999999999999998E-3</v>
      </c>
      <c r="L39" s="546">
        <v>4.1999999999999997E-3</v>
      </c>
      <c r="M39" s="546">
        <v>4.1000000000000003E-3</v>
      </c>
      <c r="N39" s="287">
        <v>4.1999999999999997E-3</v>
      </c>
      <c r="O39" s="290"/>
      <c r="Q39" s="54" t="s">
        <v>129</v>
      </c>
      <c r="R39" s="330">
        <f t="shared" si="2"/>
        <v>29</v>
      </c>
    </row>
    <row r="40" spans="1:19">
      <c r="A40" s="325">
        <f t="shared" si="1"/>
        <v>30</v>
      </c>
      <c r="B40" s="55" t="s">
        <v>130</v>
      </c>
      <c r="C40" s="547">
        <f>C38*C39</f>
        <v>0.27535298458339202</v>
      </c>
      <c r="D40" s="548">
        <f t="shared" ref="D40:N40" si="9">D38*D39</f>
        <v>0.75722070760432814</v>
      </c>
      <c r="E40" s="548">
        <f t="shared" si="9"/>
        <v>1.3767649229169601</v>
      </c>
      <c r="F40" s="548">
        <f t="shared" si="9"/>
        <v>1.9899263030730689</v>
      </c>
      <c r="G40" s="549">
        <f t="shared" si="9"/>
        <v>2.6250088402796221</v>
      </c>
      <c r="H40" s="547">
        <f t="shared" si="9"/>
        <v>2.8762305527431593</v>
      </c>
      <c r="I40" s="548">
        <f t="shared" si="9"/>
        <v>3.2200500470933084</v>
      </c>
      <c r="J40" s="548">
        <f t="shared" si="9"/>
        <v>3.3006969960042229</v>
      </c>
      <c r="K40" s="548">
        <f t="shared" si="9"/>
        <v>3.2968103462922591</v>
      </c>
      <c r="L40" s="548">
        <f t="shared" si="9"/>
        <v>3.6763241795527928</v>
      </c>
      <c r="M40" s="548">
        <f t="shared" si="9"/>
        <v>3.6714557741018905</v>
      </c>
      <c r="N40" s="549">
        <f t="shared" si="9"/>
        <v>3.8456827722657136</v>
      </c>
      <c r="O40" s="550">
        <f>SUM(C40:N40)</f>
        <v>30.91152442651072</v>
      </c>
      <c r="Q40" s="54" t="s">
        <v>636</v>
      </c>
      <c r="R40" s="330">
        <f t="shared" si="2"/>
        <v>30</v>
      </c>
    </row>
    <row r="41" spans="1:19">
      <c r="A41" s="325">
        <f t="shared" si="1"/>
        <v>31</v>
      </c>
      <c r="B41" s="52"/>
      <c r="C41" s="281"/>
      <c r="D41" s="52"/>
      <c r="E41" s="52"/>
      <c r="F41" s="52"/>
      <c r="G41" s="270"/>
      <c r="H41" s="281"/>
      <c r="I41" s="52"/>
      <c r="J41" s="52"/>
      <c r="K41" s="52"/>
      <c r="L41" s="52"/>
      <c r="M41" s="52"/>
      <c r="N41" s="270"/>
      <c r="O41" s="290"/>
      <c r="Q41" s="52"/>
      <c r="R41" s="330">
        <f t="shared" si="2"/>
        <v>31</v>
      </c>
    </row>
    <row r="42" spans="1:19" ht="16" thickBot="1">
      <c r="A42" s="325">
        <f t="shared" si="1"/>
        <v>32</v>
      </c>
      <c r="B42" s="52" t="s">
        <v>131</v>
      </c>
      <c r="C42" s="910">
        <f t="shared" ref="C42:N42" si="10">C11+C32+C40</f>
        <v>153.24923330869007</v>
      </c>
      <c r="D42" s="911">
        <f t="shared" si="10"/>
        <v>306.9803343404011</v>
      </c>
      <c r="E42" s="911">
        <f t="shared" si="10"/>
        <v>461.33097958742474</v>
      </c>
      <c r="F42" s="911">
        <f t="shared" si="10"/>
        <v>616.29478621460441</v>
      </c>
      <c r="G42" s="912">
        <f t="shared" si="10"/>
        <v>771.89367537899079</v>
      </c>
      <c r="H42" s="910">
        <f t="shared" si="10"/>
        <v>794.93164315946274</v>
      </c>
      <c r="I42" s="911">
        <f t="shared" si="10"/>
        <v>818.31343043428478</v>
      </c>
      <c r="J42" s="551">
        <f t="shared" si="10"/>
        <v>841.77586465801778</v>
      </c>
      <c r="K42" s="911">
        <f t="shared" si="10"/>
        <v>865.23441223203872</v>
      </c>
      <c r="L42" s="911">
        <f t="shared" si="10"/>
        <v>889.07247363932026</v>
      </c>
      <c r="M42" s="551">
        <f t="shared" si="10"/>
        <v>912.90566664115079</v>
      </c>
      <c r="N42" s="303">
        <f t="shared" si="10"/>
        <v>936.91308664114513</v>
      </c>
      <c r="O42" s="304">
        <f>O32+O40</f>
        <v>936.91308664114524</v>
      </c>
      <c r="P42" s="641" t="s">
        <v>439</v>
      </c>
      <c r="Q42" s="54" t="s">
        <v>637</v>
      </c>
      <c r="R42" s="330">
        <f t="shared" si="2"/>
        <v>32</v>
      </c>
      <c r="S42" s="641"/>
    </row>
    <row r="43" spans="1:19" ht="16.5" thickTop="1" thickBot="1">
      <c r="A43" s="325">
        <f t="shared" si="1"/>
        <v>33</v>
      </c>
      <c r="B43" s="552"/>
      <c r="C43" s="286"/>
      <c r="D43" s="552"/>
      <c r="E43" s="552"/>
      <c r="F43" s="552"/>
      <c r="G43" s="271"/>
      <c r="H43" s="286"/>
      <c r="I43" s="552"/>
      <c r="J43" s="913" t="s">
        <v>439</v>
      </c>
      <c r="K43" s="552"/>
      <c r="L43" s="552"/>
      <c r="M43" s="913" t="s">
        <v>439</v>
      </c>
      <c r="N43" s="913" t="s">
        <v>439</v>
      </c>
      <c r="O43" s="291"/>
      <c r="P43" s="866"/>
      <c r="Q43" s="552"/>
      <c r="R43" s="330">
        <f t="shared" si="2"/>
        <v>33</v>
      </c>
    </row>
    <row r="44" spans="1:19">
      <c r="A44" s="326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312"/>
    </row>
    <row r="45" spans="1:19">
      <c r="A45" s="326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312"/>
    </row>
    <row r="46" spans="1:19">
      <c r="A46" s="641" t="s">
        <v>439</v>
      </c>
      <c r="B46" s="5" t="str">
        <f>'Pg2 App X C8 Comparison'!B57</f>
        <v>Items in BOLD have changed to correct the over-allocation of "Duplicate Charges (Company Energy Use)" Credit in FERC Account no. 929.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312"/>
    </row>
    <row r="47" spans="1:19" ht="18">
      <c r="A47" s="327">
        <v>1</v>
      </c>
      <c r="B47" s="55" t="s">
        <v>132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965"/>
      <c r="P47" s="965"/>
      <c r="Q47" s="965"/>
      <c r="R47" s="312"/>
    </row>
    <row r="48" spans="1:19" ht="18">
      <c r="A48" s="327">
        <v>2</v>
      </c>
      <c r="B48" s="55" t="s">
        <v>133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12"/>
    </row>
    <row r="49" spans="1:7">
      <c r="A49" s="312"/>
      <c r="B49" s="55" t="str">
        <f>"a) 1st Month of Quarter = Column a, Line "&amp;A32&amp;" Divided by 2."</f>
        <v>a) 1st Month of Quarter = Column a, Line 22 Divided by 2.</v>
      </c>
      <c r="C49" s="51"/>
      <c r="D49" s="51"/>
      <c r="E49" s="51"/>
      <c r="F49" s="51"/>
      <c r="G49" s="51"/>
    </row>
    <row r="50" spans="1:7">
      <c r="A50" s="312"/>
      <c r="B50" s="55" t="str">
        <f>"b) 2nd Month of Quarter = Column a, Line "&amp;A32&amp;" + (Column b, Line "&amp;A32&amp;" Divided by 2)."</f>
        <v>b) 2nd Month of Quarter = Column a, Line 22 + (Column b, Line 22 Divided by 2).</v>
      </c>
      <c r="C50" s="51"/>
      <c r="D50" s="51"/>
      <c r="E50" s="51"/>
      <c r="F50" s="51"/>
      <c r="G50" s="56"/>
    </row>
    <row r="51" spans="1:7">
      <c r="A51" s="312"/>
      <c r="B51" s="55" t="str">
        <f>"c) 3rd Month of Quarter = Column a, Line "&amp;A32&amp;" + Column b, Line "&amp;A32&amp;" + (Column c, Line "&amp;A32&amp;" Divided by 2)."</f>
        <v>c) 3rd Month of Quarter = Column a, Line 22 + Column b, Line 22 + (Column c, Line 22 Divided by 2).</v>
      </c>
      <c r="C51" s="51"/>
      <c r="D51" s="51"/>
      <c r="E51" s="51"/>
      <c r="F51" s="51"/>
      <c r="G51" s="57"/>
    </row>
    <row r="52" spans="1:7">
      <c r="A52" s="312"/>
      <c r="B52" s="55" t="s">
        <v>134</v>
      </c>
      <c r="C52" s="51"/>
      <c r="D52" s="51"/>
      <c r="E52" s="51"/>
      <c r="F52" s="51"/>
      <c r="G52" s="58"/>
    </row>
    <row r="53" spans="1:7" ht="18">
      <c r="A53" s="327">
        <v>3</v>
      </c>
      <c r="B53" s="55" t="s">
        <v>135</v>
      </c>
      <c r="C53" s="51"/>
      <c r="D53" s="51"/>
      <c r="E53" s="51"/>
      <c r="F53" s="51"/>
      <c r="G53" s="51"/>
    </row>
  </sheetData>
  <mergeCells count="7">
    <mergeCell ref="O47:Q47"/>
    <mergeCell ref="B2:Q2"/>
    <mergeCell ref="B3:Q3"/>
    <mergeCell ref="B4:Q4"/>
    <mergeCell ref="B5:Q5"/>
    <mergeCell ref="C7:G7"/>
    <mergeCell ref="H7:N7"/>
  </mergeCells>
  <printOptions horizontalCentered="1"/>
  <pageMargins left="0.25" right="0.25" top="0.5" bottom="0.5" header="0.35" footer="0.25"/>
  <pageSetup scale="52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5FC3-959C-43DD-BCB8-2DDA8557AD21}">
  <sheetPr>
    <pageSetUpPr fitToPage="1"/>
  </sheetPr>
  <dimension ref="A1:U54"/>
  <sheetViews>
    <sheetView zoomScale="80" zoomScaleNormal="80" workbookViewId="0"/>
  </sheetViews>
  <sheetFormatPr defaultColWidth="8.81640625" defaultRowHeight="15.5"/>
  <cols>
    <col min="1" max="1" width="5.1796875" style="102" customWidth="1"/>
    <col min="2" max="2" width="73.1796875" style="6" customWidth="1"/>
    <col min="3" max="15" width="10.1796875" style="6" customWidth="1"/>
    <col min="16" max="16" width="2" style="6" bestFit="1" customWidth="1"/>
    <col min="17" max="17" width="36.6328125" style="6" bestFit="1" customWidth="1"/>
    <col min="18" max="18" width="5.1796875" style="102" customWidth="1"/>
    <col min="19" max="19" width="2" style="6" bestFit="1" customWidth="1"/>
    <col min="20" max="20" width="8.81640625" style="6"/>
    <col min="21" max="21" width="9.81640625" style="6" bestFit="1" customWidth="1"/>
    <col min="22" max="16384" width="8.81640625" style="6"/>
  </cols>
  <sheetData>
    <row r="1" spans="1:18">
      <c r="A1" s="926" t="s">
        <v>760</v>
      </c>
    </row>
    <row r="3" spans="1:18">
      <c r="B3" s="958" t="s">
        <v>20</v>
      </c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106"/>
    </row>
    <row r="4" spans="1:18">
      <c r="B4" s="958" t="s">
        <v>112</v>
      </c>
      <c r="C4" s="958"/>
      <c r="D4" s="958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106"/>
    </row>
    <row r="5" spans="1:18">
      <c r="B5" s="966" t="s">
        <v>624</v>
      </c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326"/>
    </row>
    <row r="6" spans="1:18">
      <c r="B6" s="967">
        <v>-1000</v>
      </c>
      <c r="C6" s="967"/>
      <c r="D6" s="967"/>
      <c r="E6" s="967"/>
      <c r="F6" s="967"/>
      <c r="G6" s="967"/>
      <c r="H6" s="967"/>
      <c r="I6" s="967"/>
      <c r="J6" s="967"/>
      <c r="K6" s="967"/>
      <c r="L6" s="967"/>
      <c r="M6" s="967"/>
      <c r="N6" s="967"/>
      <c r="O6" s="967"/>
      <c r="P6" s="967"/>
      <c r="Q6" s="967"/>
      <c r="R6" s="328"/>
    </row>
    <row r="7" spans="1:18" ht="16" thickBot="1">
      <c r="A7" s="312"/>
      <c r="B7" s="51"/>
      <c r="C7" s="52"/>
      <c r="D7" s="52"/>
      <c r="E7" s="53"/>
      <c r="F7" s="53"/>
      <c r="G7" s="53"/>
      <c r="H7" s="53"/>
      <c r="I7" s="53"/>
      <c r="J7" s="53"/>
      <c r="K7" s="53"/>
      <c r="L7" s="53"/>
      <c r="M7" s="53"/>
      <c r="N7" s="52"/>
      <c r="O7" s="51"/>
      <c r="P7" s="51"/>
      <c r="Q7" s="51"/>
      <c r="R7" s="312"/>
    </row>
    <row r="8" spans="1:18">
      <c r="A8" s="324"/>
      <c r="B8" s="272"/>
      <c r="C8" s="968" t="s">
        <v>642</v>
      </c>
      <c r="D8" s="969"/>
      <c r="E8" s="969"/>
      <c r="F8" s="969"/>
      <c r="G8" s="970"/>
      <c r="H8" s="968" t="s">
        <v>643</v>
      </c>
      <c r="I8" s="969"/>
      <c r="J8" s="969"/>
      <c r="K8" s="969"/>
      <c r="L8" s="969"/>
      <c r="M8" s="969"/>
      <c r="N8" s="970"/>
      <c r="O8" s="292"/>
      <c r="P8" s="862"/>
      <c r="Q8" s="272"/>
      <c r="R8" s="329"/>
    </row>
    <row r="9" spans="1:18">
      <c r="A9" s="325" t="s">
        <v>2</v>
      </c>
      <c r="B9" s="52"/>
      <c r="C9" s="276" t="s">
        <v>7</v>
      </c>
      <c r="D9" s="53" t="s">
        <v>8</v>
      </c>
      <c r="E9" s="53" t="s">
        <v>9</v>
      </c>
      <c r="F9" s="53" t="s">
        <v>10</v>
      </c>
      <c r="G9" s="269" t="s">
        <v>11</v>
      </c>
      <c r="H9" s="276" t="s">
        <v>12</v>
      </c>
      <c r="I9" s="53" t="s">
        <v>13</v>
      </c>
      <c r="J9" s="53" t="s">
        <v>14</v>
      </c>
      <c r="K9" s="53" t="s">
        <v>15</v>
      </c>
      <c r="L9" s="53" t="s">
        <v>16</v>
      </c>
      <c r="M9" s="53" t="s">
        <v>17</v>
      </c>
      <c r="N9" s="269" t="s">
        <v>18</v>
      </c>
      <c r="O9" s="288" t="s">
        <v>19</v>
      </c>
      <c r="P9" s="53"/>
      <c r="Q9" s="52"/>
      <c r="R9" s="330" t="s">
        <v>2</v>
      </c>
    </row>
    <row r="10" spans="1:18">
      <c r="A10" s="325" t="s">
        <v>3</v>
      </c>
      <c r="B10" s="525" t="s">
        <v>113</v>
      </c>
      <c r="C10" s="277" t="s">
        <v>462</v>
      </c>
      <c r="D10" s="526" t="s">
        <v>644</v>
      </c>
      <c r="E10" s="526" t="s">
        <v>645</v>
      </c>
      <c r="F10" s="526" t="s">
        <v>646</v>
      </c>
      <c r="G10" s="278" t="s">
        <v>647</v>
      </c>
      <c r="H10" s="277" t="s">
        <v>648</v>
      </c>
      <c r="I10" s="526" t="s">
        <v>649</v>
      </c>
      <c r="J10" s="526" t="s">
        <v>650</v>
      </c>
      <c r="K10" s="526" t="s">
        <v>651</v>
      </c>
      <c r="L10" s="526" t="s">
        <v>652</v>
      </c>
      <c r="M10" s="526" t="s">
        <v>653</v>
      </c>
      <c r="N10" s="278" t="s">
        <v>463</v>
      </c>
      <c r="O10" s="527" t="s">
        <v>4</v>
      </c>
      <c r="P10" s="525"/>
      <c r="Q10" s="525" t="s">
        <v>5</v>
      </c>
      <c r="R10" s="330" t="s">
        <v>3</v>
      </c>
    </row>
    <row r="11" spans="1:18">
      <c r="A11" s="325"/>
      <c r="B11" s="273"/>
      <c r="C11" s="279"/>
      <c r="D11" s="76"/>
      <c r="E11" s="76"/>
      <c r="F11" s="76"/>
      <c r="G11" s="280"/>
      <c r="H11" s="279"/>
      <c r="I11" s="76"/>
      <c r="J11" s="76"/>
      <c r="K11" s="76"/>
      <c r="L11" s="76"/>
      <c r="M11" s="76"/>
      <c r="N11" s="270"/>
      <c r="O11" s="289"/>
      <c r="P11" s="273"/>
      <c r="Q11" s="53"/>
      <c r="R11" s="330"/>
    </row>
    <row r="12" spans="1:18">
      <c r="A12" s="325">
        <v>1</v>
      </c>
      <c r="B12" s="52" t="s">
        <v>114</v>
      </c>
      <c r="C12" s="396"/>
      <c r="D12" s="433">
        <f>C43</f>
        <v>153.20218405997824</v>
      </c>
      <c r="E12" s="433">
        <f t="shared" ref="E12:N12" si="0">D43</f>
        <v>306.88608790413389</v>
      </c>
      <c r="F12" s="433">
        <f t="shared" si="0"/>
        <v>461.1893457565177</v>
      </c>
      <c r="G12" s="871">
        <f t="shared" si="0"/>
        <v>616.10557674157565</v>
      </c>
      <c r="H12" s="872">
        <f t="shared" si="0"/>
        <v>771.65669528631497</v>
      </c>
      <c r="I12" s="433">
        <f t="shared" si="0"/>
        <v>794.64673988579455</v>
      </c>
      <c r="J12" s="433">
        <f t="shared" si="0"/>
        <v>817.98032890586762</v>
      </c>
      <c r="K12" s="433">
        <f t="shared" si="0"/>
        <v>841.39437701600264</v>
      </c>
      <c r="L12" s="433">
        <f t="shared" si="0"/>
        <v>864.80439084908221</v>
      </c>
      <c r="M12" s="433">
        <f t="shared" si="0"/>
        <v>888.59358282842982</v>
      </c>
      <c r="N12" s="871">
        <f t="shared" si="0"/>
        <v>912.37775919738021</v>
      </c>
      <c r="O12" s="400"/>
      <c r="P12" s="641" t="s">
        <v>439</v>
      </c>
      <c r="Q12" s="54" t="s">
        <v>625</v>
      </c>
      <c r="R12" s="330">
        <f>A12</f>
        <v>1</v>
      </c>
    </row>
    <row r="13" spans="1:18">
      <c r="A13" s="325">
        <f>A12+1</f>
        <v>2</v>
      </c>
      <c r="B13" s="52"/>
      <c r="C13" s="401"/>
      <c r="D13" s="402"/>
      <c r="E13" s="402"/>
      <c r="F13" s="402"/>
      <c r="G13" s="403"/>
      <c r="H13" s="399"/>
      <c r="I13" s="402"/>
      <c r="J13" s="402"/>
      <c r="K13" s="402"/>
      <c r="L13" s="402"/>
      <c r="M13" s="402"/>
      <c r="N13" s="403"/>
      <c r="O13" s="404"/>
      <c r="P13" s="402"/>
      <c r="Q13" s="52"/>
      <c r="R13" s="330">
        <f>R12+1</f>
        <v>2</v>
      </c>
    </row>
    <row r="14" spans="1:18">
      <c r="A14" s="325">
        <f t="shared" ref="A14:A44" si="1">A13+1</f>
        <v>3</v>
      </c>
      <c r="B14" s="52" t="s">
        <v>115</v>
      </c>
      <c r="C14" s="405">
        <v>0</v>
      </c>
      <c r="D14" s="366">
        <v>0</v>
      </c>
      <c r="E14" s="366">
        <v>0</v>
      </c>
      <c r="F14" s="366">
        <v>0</v>
      </c>
      <c r="G14" s="406">
        <v>0</v>
      </c>
      <c r="H14" s="407">
        <v>214.31770150333875</v>
      </c>
      <c r="I14" s="408">
        <v>214.31770150333875</v>
      </c>
      <c r="J14" s="408">
        <v>214.31770150333875</v>
      </c>
      <c r="K14" s="408">
        <v>214.31770150333875</v>
      </c>
      <c r="L14" s="408">
        <v>214.31770150333875</v>
      </c>
      <c r="M14" s="408">
        <v>214.31770150333875</v>
      </c>
      <c r="N14" s="409">
        <v>214.31770150333875</v>
      </c>
      <c r="O14" s="410">
        <f>SUM(C14:N14)</f>
        <v>1500.2239105233716</v>
      </c>
      <c r="P14" s="397"/>
      <c r="Q14" s="54" t="s">
        <v>626</v>
      </c>
      <c r="R14" s="330">
        <f t="shared" ref="R14:R44" si="2">R13+1</f>
        <v>3</v>
      </c>
    </row>
    <row r="15" spans="1:18">
      <c r="A15" s="325">
        <f t="shared" si="1"/>
        <v>4</v>
      </c>
      <c r="B15" s="52"/>
      <c r="C15" s="411"/>
      <c r="D15" s="412"/>
      <c r="E15" s="412"/>
      <c r="F15" s="412"/>
      <c r="G15" s="413"/>
      <c r="H15" s="411"/>
      <c r="I15" s="412"/>
      <c r="J15" s="412"/>
      <c r="K15" s="412"/>
      <c r="L15" s="412"/>
      <c r="M15" s="412"/>
      <c r="N15" s="414"/>
      <c r="O15" s="415"/>
      <c r="P15" s="863"/>
      <c r="Q15" s="54" t="s">
        <v>627</v>
      </c>
      <c r="R15" s="330">
        <f t="shared" si="2"/>
        <v>4</v>
      </c>
    </row>
    <row r="16" spans="1:18" ht="18.5">
      <c r="A16" s="325">
        <f t="shared" si="1"/>
        <v>5</v>
      </c>
      <c r="B16" s="52" t="s">
        <v>116</v>
      </c>
      <c r="C16" s="411"/>
      <c r="D16" s="412"/>
      <c r="E16" s="412"/>
      <c r="F16" s="412"/>
      <c r="G16" s="413"/>
      <c r="H16" s="411"/>
      <c r="I16" s="412"/>
      <c r="J16" s="412"/>
      <c r="K16" s="412"/>
      <c r="L16" s="412"/>
      <c r="M16" s="412"/>
      <c r="N16" s="414"/>
      <c r="O16" s="415"/>
      <c r="P16" s="863"/>
      <c r="Q16" s="52"/>
      <c r="R16" s="330">
        <f t="shared" si="2"/>
        <v>5</v>
      </c>
    </row>
    <row r="17" spans="1:21">
      <c r="A17" s="325">
        <f t="shared" si="1"/>
        <v>6</v>
      </c>
      <c r="B17" s="55" t="s">
        <v>654</v>
      </c>
      <c r="C17" s="399"/>
      <c r="D17" s="416"/>
      <c r="E17" s="416"/>
      <c r="F17" s="416"/>
      <c r="G17" s="417"/>
      <c r="H17" s="411"/>
      <c r="I17" s="412"/>
      <c r="J17" s="412"/>
      <c r="K17" s="412"/>
      <c r="L17" s="412"/>
      <c r="M17" s="412"/>
      <c r="N17" s="413"/>
      <c r="O17" s="418">
        <f>SUM(C17:G17)</f>
        <v>0</v>
      </c>
      <c r="P17" s="475"/>
      <c r="Q17" s="54" t="s">
        <v>476</v>
      </c>
      <c r="R17" s="330">
        <f t="shared" si="2"/>
        <v>6</v>
      </c>
    </row>
    <row r="18" spans="1:21">
      <c r="A18" s="325">
        <f t="shared" si="1"/>
        <v>7</v>
      </c>
      <c r="B18" s="55" t="s">
        <v>655</v>
      </c>
      <c r="C18" s="419">
        <v>4.3091666666666661</v>
      </c>
      <c r="D18" s="420">
        <v>4.3091666666666661</v>
      </c>
      <c r="E18" s="420">
        <v>4.3091666666666661</v>
      </c>
      <c r="F18" s="420">
        <v>4.3091666666666661</v>
      </c>
      <c r="G18" s="421">
        <v>4.3091666666666661</v>
      </c>
      <c r="H18" s="399"/>
      <c r="I18" s="397"/>
      <c r="J18" s="397"/>
      <c r="K18" s="397"/>
      <c r="L18" s="397"/>
      <c r="M18" s="397"/>
      <c r="N18" s="398"/>
      <c r="O18" s="418">
        <f>SUM(C18:G18)</f>
        <v>21.545833333333331</v>
      </c>
      <c r="P18" s="475"/>
      <c r="Q18" s="54" t="s">
        <v>628</v>
      </c>
      <c r="R18" s="330">
        <f t="shared" si="2"/>
        <v>7</v>
      </c>
    </row>
    <row r="19" spans="1:21">
      <c r="A19" s="325">
        <f t="shared" si="1"/>
        <v>8</v>
      </c>
      <c r="B19" s="274"/>
      <c r="C19" s="422"/>
      <c r="D19" s="426"/>
      <c r="E19" s="426"/>
      <c r="F19" s="426"/>
      <c r="G19" s="427"/>
      <c r="H19" s="425"/>
      <c r="I19" s="428"/>
      <c r="J19" s="428"/>
      <c r="K19" s="428"/>
      <c r="L19" s="428"/>
      <c r="M19" s="428"/>
      <c r="N19" s="429"/>
      <c r="O19" s="418"/>
      <c r="P19" s="475"/>
      <c r="Q19" s="54"/>
      <c r="R19" s="330">
        <f t="shared" si="2"/>
        <v>8</v>
      </c>
    </row>
    <row r="20" spans="1:21">
      <c r="A20" s="325">
        <f t="shared" si="1"/>
        <v>9</v>
      </c>
      <c r="B20" s="55" t="s">
        <v>656</v>
      </c>
      <c r="C20" s="419">
        <v>45.783690236955351</v>
      </c>
      <c r="D20" s="423">
        <v>45.783690236955351</v>
      </c>
      <c r="E20" s="423">
        <v>45.783690236955351</v>
      </c>
      <c r="F20" s="423">
        <v>45.783690236955351</v>
      </c>
      <c r="G20" s="424">
        <v>45.783690236955351</v>
      </c>
      <c r="H20" s="425"/>
      <c r="I20" s="428"/>
      <c r="J20" s="428"/>
      <c r="K20" s="428"/>
      <c r="L20" s="428"/>
      <c r="M20" s="428"/>
      <c r="N20" s="429"/>
      <c r="O20" s="492">
        <f>SUM(C20:G20)</f>
        <v>228.91845118477676</v>
      </c>
      <c r="P20" s="475"/>
      <c r="Q20" s="54" t="s">
        <v>629</v>
      </c>
      <c r="R20" s="330">
        <f t="shared" si="2"/>
        <v>9</v>
      </c>
    </row>
    <row r="21" spans="1:21">
      <c r="A21" s="325">
        <f t="shared" si="1"/>
        <v>10</v>
      </c>
      <c r="B21" s="55" t="s">
        <v>657</v>
      </c>
      <c r="C21" s="411"/>
      <c r="D21" s="412"/>
      <c r="E21" s="412"/>
      <c r="F21" s="412"/>
      <c r="G21" s="413"/>
      <c r="H21" s="430">
        <v>3.2130000000000001</v>
      </c>
      <c r="I21" s="420">
        <v>3.2130000000000001</v>
      </c>
      <c r="J21" s="420">
        <v>3.2130000000000001</v>
      </c>
      <c r="K21" s="420">
        <v>3.2130000000000001</v>
      </c>
      <c r="L21" s="420">
        <v>3.2130000000000001</v>
      </c>
      <c r="M21" s="420">
        <v>3.2130000000000001</v>
      </c>
      <c r="N21" s="421">
        <v>3.2130000000000001</v>
      </c>
      <c r="O21" s="492">
        <f>SUM(H21:N21)</f>
        <v>22.491000000000003</v>
      </c>
      <c r="P21" s="475"/>
      <c r="Q21" s="54" t="s">
        <v>630</v>
      </c>
      <c r="R21" s="330">
        <f t="shared" si="2"/>
        <v>10</v>
      </c>
    </row>
    <row r="22" spans="1:21">
      <c r="A22" s="325">
        <f t="shared" si="1"/>
        <v>11</v>
      </c>
      <c r="B22" s="274"/>
      <c r="C22" s="411"/>
      <c r="D22" s="412"/>
      <c r="E22" s="412"/>
      <c r="F22" s="412"/>
      <c r="G22" s="413"/>
      <c r="H22" s="422"/>
      <c r="I22" s="397"/>
      <c r="J22" s="397"/>
      <c r="K22" s="397"/>
      <c r="L22" s="397"/>
      <c r="M22" s="397"/>
      <c r="N22" s="398"/>
      <c r="O22" s="492"/>
      <c r="P22" s="475"/>
      <c r="Q22" s="54"/>
      <c r="R22" s="330">
        <f t="shared" si="2"/>
        <v>11</v>
      </c>
    </row>
    <row r="23" spans="1:21">
      <c r="A23" s="325">
        <f t="shared" si="1"/>
        <v>12</v>
      </c>
      <c r="B23" s="55" t="s">
        <v>658</v>
      </c>
      <c r="C23" s="411"/>
      <c r="D23" s="412"/>
      <c r="E23" s="412"/>
      <c r="F23" s="412"/>
      <c r="G23" s="413"/>
      <c r="H23" s="491">
        <v>-114.735</v>
      </c>
      <c r="I23" s="420">
        <v>-114.735</v>
      </c>
      <c r="J23" s="420">
        <v>-114.735</v>
      </c>
      <c r="K23" s="420">
        <v>-114.735</v>
      </c>
      <c r="L23" s="420">
        <v>-114.735</v>
      </c>
      <c r="M23" s="420">
        <v>-114.735</v>
      </c>
      <c r="N23" s="421">
        <v>-114.735</v>
      </c>
      <c r="O23" s="492">
        <f>SUM(H23:N23)</f>
        <v>-803.14499999999998</v>
      </c>
      <c r="P23" s="475"/>
      <c r="Q23" s="54" t="s">
        <v>631</v>
      </c>
      <c r="R23" s="330">
        <f t="shared" si="2"/>
        <v>12</v>
      </c>
    </row>
    <row r="24" spans="1:21">
      <c r="A24" s="325">
        <f t="shared" si="1"/>
        <v>13</v>
      </c>
      <c r="B24" s="55" t="s">
        <v>659</v>
      </c>
      <c r="C24" s="411"/>
      <c r="D24" s="412"/>
      <c r="E24" s="412"/>
      <c r="F24" s="412"/>
      <c r="G24" s="412"/>
      <c r="H24" s="411"/>
      <c r="I24" s="412"/>
      <c r="J24" s="412"/>
      <c r="K24" s="433"/>
      <c r="L24" s="412"/>
      <c r="M24" s="412"/>
      <c r="N24" s="493"/>
      <c r="O24" s="494">
        <f>SUM(C24:N24)</f>
        <v>0</v>
      </c>
      <c r="P24" s="864"/>
      <c r="Q24" s="54" t="s">
        <v>476</v>
      </c>
      <c r="R24" s="330">
        <f t="shared" si="2"/>
        <v>13</v>
      </c>
    </row>
    <row r="25" spans="1:21">
      <c r="A25" s="325">
        <f t="shared" si="1"/>
        <v>14</v>
      </c>
      <c r="B25" s="55"/>
      <c r="C25" s="411"/>
      <c r="D25" s="412"/>
      <c r="E25" s="412"/>
      <c r="F25" s="412"/>
      <c r="G25" s="412"/>
      <c r="H25" s="411"/>
      <c r="I25" s="412"/>
      <c r="J25" s="412"/>
      <c r="K25" s="433"/>
      <c r="L25" s="412"/>
      <c r="M25" s="412"/>
      <c r="N25" s="493"/>
      <c r="O25" s="494"/>
      <c r="P25" s="864"/>
      <c r="Q25" s="54"/>
      <c r="R25" s="330">
        <f t="shared" si="2"/>
        <v>14</v>
      </c>
    </row>
    <row r="26" spans="1:21">
      <c r="A26" s="325">
        <f t="shared" si="1"/>
        <v>15</v>
      </c>
      <c r="B26" s="55" t="s">
        <v>117</v>
      </c>
      <c r="C26" s="431"/>
      <c r="D26" s="412"/>
      <c r="E26" s="412"/>
      <c r="F26" s="412"/>
      <c r="G26" s="432"/>
      <c r="H26" s="497">
        <v>80.109298496661268</v>
      </c>
      <c r="I26" s="420">
        <v>80.109298496661268</v>
      </c>
      <c r="J26" s="420">
        <v>80.109298496661268</v>
      </c>
      <c r="K26" s="420">
        <v>80.109298496661268</v>
      </c>
      <c r="L26" s="420">
        <v>80.109298496661268</v>
      </c>
      <c r="M26" s="420">
        <v>80.109298496661268</v>
      </c>
      <c r="N26" s="420">
        <v>80.109298496661268</v>
      </c>
      <c r="O26" s="496">
        <f>SUM(H26:N26)</f>
        <v>560.76508947662887</v>
      </c>
      <c r="P26" s="453"/>
      <c r="Q26" s="54" t="s">
        <v>632</v>
      </c>
      <c r="R26" s="330">
        <f t="shared" si="2"/>
        <v>15</v>
      </c>
    </row>
    <row r="27" spans="1:21">
      <c r="A27" s="325">
        <f t="shared" si="1"/>
        <v>16</v>
      </c>
      <c r="B27" s="52" t="s">
        <v>118</v>
      </c>
      <c r="C27" s="528">
        <f>SUM(C17:C26)</f>
        <v>50.092856903622021</v>
      </c>
      <c r="D27" s="434">
        <f>SUM(D17:D26)</f>
        <v>50.092856903622021</v>
      </c>
      <c r="E27" s="434">
        <f t="shared" ref="E27:F27" si="3">SUM(E17:E26)</f>
        <v>50.092856903622021</v>
      </c>
      <c r="F27" s="434">
        <f t="shared" si="3"/>
        <v>50.092856903622021</v>
      </c>
      <c r="G27" s="435">
        <f>SUM(G17:G26)</f>
        <v>50.092856903622021</v>
      </c>
      <c r="H27" s="528">
        <f>SUM(H17:H26)</f>
        <v>-31.412701503338738</v>
      </c>
      <c r="I27" s="434">
        <f>SUM(I17:I26)</f>
        <v>-31.412701503338738</v>
      </c>
      <c r="J27" s="434">
        <f t="shared" ref="J27:M27" si="4">SUM(J17:J26)</f>
        <v>-31.412701503338738</v>
      </c>
      <c r="K27" s="434">
        <f t="shared" si="4"/>
        <v>-31.412701503338738</v>
      </c>
      <c r="L27" s="434">
        <f t="shared" si="4"/>
        <v>-31.412701503338738</v>
      </c>
      <c r="M27" s="434">
        <f t="shared" si="4"/>
        <v>-31.412701503338738</v>
      </c>
      <c r="N27" s="435">
        <f>SUM(N17:N26)</f>
        <v>-31.412701503338738</v>
      </c>
      <c r="O27" s="529">
        <f>SUM(C27:N27)</f>
        <v>30.575373994738982</v>
      </c>
      <c r="P27" s="397"/>
      <c r="Q27" s="54" t="s">
        <v>633</v>
      </c>
      <c r="R27" s="330">
        <f t="shared" si="2"/>
        <v>16</v>
      </c>
    </row>
    <row r="28" spans="1:21">
      <c r="A28" s="325">
        <f t="shared" si="1"/>
        <v>17</v>
      </c>
      <c r="B28" s="275"/>
      <c r="C28" s="411"/>
      <c r="D28" s="412"/>
      <c r="E28" s="412"/>
      <c r="F28" s="412"/>
      <c r="G28" s="413"/>
      <c r="H28" s="411"/>
      <c r="I28" s="412"/>
      <c r="J28" s="412"/>
      <c r="K28" s="412"/>
      <c r="L28" s="433"/>
      <c r="M28" s="412"/>
      <c r="N28" s="414"/>
      <c r="O28" s="415"/>
      <c r="P28" s="863"/>
      <c r="Q28" s="52"/>
      <c r="R28" s="330">
        <f t="shared" si="2"/>
        <v>17</v>
      </c>
    </row>
    <row r="29" spans="1:21">
      <c r="A29" s="325">
        <f t="shared" si="1"/>
        <v>18</v>
      </c>
      <c r="B29" s="52" t="s">
        <v>119</v>
      </c>
      <c r="C29" s="436">
        <f t="shared" ref="C29:N29" si="5">C14+C27</f>
        <v>50.092856903622021</v>
      </c>
      <c r="D29" s="437">
        <f t="shared" si="5"/>
        <v>50.092856903622021</v>
      </c>
      <c r="E29" s="437">
        <f t="shared" si="5"/>
        <v>50.092856903622021</v>
      </c>
      <c r="F29" s="437">
        <f t="shared" si="5"/>
        <v>50.092856903622021</v>
      </c>
      <c r="G29" s="438">
        <f t="shared" si="5"/>
        <v>50.092856903622021</v>
      </c>
      <c r="H29" s="436">
        <f t="shared" si="5"/>
        <v>182.90500000000003</v>
      </c>
      <c r="I29" s="437">
        <f t="shared" si="5"/>
        <v>182.90500000000003</v>
      </c>
      <c r="J29" s="437">
        <f t="shared" si="5"/>
        <v>182.90500000000003</v>
      </c>
      <c r="K29" s="437">
        <f t="shared" si="5"/>
        <v>182.90500000000003</v>
      </c>
      <c r="L29" s="437">
        <f t="shared" si="5"/>
        <v>182.90500000000003</v>
      </c>
      <c r="M29" s="437">
        <f t="shared" si="5"/>
        <v>182.90500000000003</v>
      </c>
      <c r="N29" s="438">
        <f t="shared" si="5"/>
        <v>182.90500000000003</v>
      </c>
      <c r="O29" s="439">
        <f>SUM(C29:N29)</f>
        <v>1530.79928451811</v>
      </c>
      <c r="P29" s="437"/>
      <c r="Q29" s="60" t="s">
        <v>634</v>
      </c>
      <c r="R29" s="330">
        <f t="shared" si="2"/>
        <v>18</v>
      </c>
    </row>
    <row r="30" spans="1:21">
      <c r="A30" s="325">
        <f t="shared" si="1"/>
        <v>19</v>
      </c>
      <c r="B30" s="52"/>
      <c r="C30" s="440"/>
      <c r="D30" s="441"/>
      <c r="E30" s="441"/>
      <c r="F30" s="441"/>
      <c r="G30" s="442"/>
      <c r="H30" s="440"/>
      <c r="I30" s="441"/>
      <c r="J30" s="441"/>
      <c r="K30" s="441"/>
      <c r="L30" s="441"/>
      <c r="M30" s="441"/>
      <c r="N30" s="442"/>
      <c r="O30" s="443"/>
      <c r="P30" s="865"/>
      <c r="Q30" s="52"/>
      <c r="R30" s="330">
        <f t="shared" si="2"/>
        <v>19</v>
      </c>
    </row>
    <row r="31" spans="1:21">
      <c r="A31" s="325">
        <f t="shared" si="1"/>
        <v>20</v>
      </c>
      <c r="B31" s="52" t="s">
        <v>120</v>
      </c>
      <c r="C31" s="850">
        <v>203.01977251549889</v>
      </c>
      <c r="D31" s="832">
        <f>$C$31</f>
        <v>203.01977251549889</v>
      </c>
      <c r="E31" s="832">
        <f t="shared" ref="E31:N31" si="6">$C$31</f>
        <v>203.01977251549889</v>
      </c>
      <c r="F31" s="832">
        <f t="shared" si="6"/>
        <v>203.01977251549889</v>
      </c>
      <c r="G31" s="851">
        <f t="shared" si="6"/>
        <v>203.01977251549889</v>
      </c>
      <c r="H31" s="832">
        <f t="shared" si="6"/>
        <v>203.01977251549889</v>
      </c>
      <c r="I31" s="832">
        <f t="shared" si="6"/>
        <v>203.01977251549889</v>
      </c>
      <c r="J31" s="832">
        <f t="shared" si="6"/>
        <v>203.01977251549889</v>
      </c>
      <c r="K31" s="832">
        <f t="shared" si="6"/>
        <v>203.01977251549889</v>
      </c>
      <c r="L31" s="832">
        <f t="shared" si="6"/>
        <v>203.01977251549889</v>
      </c>
      <c r="M31" s="832">
        <f t="shared" si="6"/>
        <v>203.01977251549889</v>
      </c>
      <c r="N31" s="832">
        <f t="shared" si="6"/>
        <v>203.01977251549889</v>
      </c>
      <c r="O31" s="852">
        <f>SUM(C31:N31)</f>
        <v>2436.2372701859872</v>
      </c>
      <c r="P31" s="641" t="s">
        <v>439</v>
      </c>
      <c r="Q31" s="54" t="s">
        <v>672</v>
      </c>
      <c r="R31" s="330">
        <f t="shared" si="2"/>
        <v>20</v>
      </c>
      <c r="S31" s="641"/>
      <c r="U31" s="470"/>
    </row>
    <row r="32" spans="1:21">
      <c r="A32" s="325">
        <f t="shared" si="1"/>
        <v>21</v>
      </c>
      <c r="B32" s="52"/>
      <c r="C32" s="444"/>
      <c r="D32" s="530"/>
      <c r="E32" s="531"/>
      <c r="F32" s="530"/>
      <c r="G32" s="532"/>
      <c r="H32" s="445"/>
      <c r="I32" s="531"/>
      <c r="J32" s="530"/>
      <c r="K32" s="531"/>
      <c r="L32" s="530"/>
      <c r="M32" s="531"/>
      <c r="N32" s="533"/>
      <c r="O32" s="534"/>
      <c r="Q32" s="52"/>
      <c r="R32" s="330">
        <f t="shared" si="2"/>
        <v>21</v>
      </c>
    </row>
    <row r="33" spans="1:19" ht="16" thickBot="1">
      <c r="A33" s="325">
        <f t="shared" si="1"/>
        <v>22</v>
      </c>
      <c r="B33" s="52" t="s">
        <v>121</v>
      </c>
      <c r="C33" s="446">
        <f>C31-C29</f>
        <v>152.92691561187686</v>
      </c>
      <c r="D33" s="535">
        <f t="shared" ref="D33:N33" si="7">D31-D29</f>
        <v>152.92691561187686</v>
      </c>
      <c r="E33" s="535">
        <f t="shared" si="7"/>
        <v>152.92691561187686</v>
      </c>
      <c r="F33" s="535">
        <f t="shared" si="7"/>
        <v>152.92691561187686</v>
      </c>
      <c r="G33" s="447">
        <f t="shared" si="7"/>
        <v>152.92691561187686</v>
      </c>
      <c r="H33" s="446">
        <f t="shared" si="7"/>
        <v>20.114772515498856</v>
      </c>
      <c r="I33" s="535">
        <f t="shared" si="7"/>
        <v>20.114772515498856</v>
      </c>
      <c r="J33" s="535">
        <f t="shared" si="7"/>
        <v>20.114772515498856</v>
      </c>
      <c r="K33" s="535">
        <f t="shared" si="7"/>
        <v>20.114772515498856</v>
      </c>
      <c r="L33" s="535">
        <f t="shared" si="7"/>
        <v>20.114772515498856</v>
      </c>
      <c r="M33" s="535">
        <f t="shared" si="7"/>
        <v>20.114772515498856</v>
      </c>
      <c r="N33" s="447">
        <f t="shared" si="7"/>
        <v>20.114772515498856</v>
      </c>
      <c r="O33" s="448">
        <f>O31-O29</f>
        <v>905.43798566787723</v>
      </c>
      <c r="P33" s="641" t="s">
        <v>439</v>
      </c>
      <c r="Q33" s="54" t="s">
        <v>635</v>
      </c>
      <c r="R33" s="330">
        <f t="shared" si="2"/>
        <v>22</v>
      </c>
      <c r="S33" s="641"/>
    </row>
    <row r="34" spans="1:19" ht="16.5" thickTop="1" thickBot="1">
      <c r="A34" s="325">
        <f t="shared" si="1"/>
        <v>23</v>
      </c>
      <c r="B34" s="52"/>
      <c r="C34" s="281"/>
      <c r="D34" s="52"/>
      <c r="E34" s="52"/>
      <c r="F34" s="52"/>
      <c r="G34" s="270"/>
      <c r="H34" s="281"/>
      <c r="I34" s="52"/>
      <c r="J34" s="52"/>
      <c r="K34" s="52"/>
      <c r="L34" s="52"/>
      <c r="M34" s="52"/>
      <c r="N34" s="270"/>
      <c r="O34" s="290"/>
      <c r="P34" s="931"/>
      <c r="Q34" s="52"/>
      <c r="R34" s="330">
        <f t="shared" si="2"/>
        <v>23</v>
      </c>
    </row>
    <row r="35" spans="1:19">
      <c r="A35" s="325">
        <f t="shared" si="1"/>
        <v>24</v>
      </c>
      <c r="B35" s="536"/>
      <c r="C35" s="537"/>
      <c r="D35" s="272"/>
      <c r="E35" s="272"/>
      <c r="F35" s="272"/>
      <c r="G35" s="538"/>
      <c r="H35" s="537"/>
      <c r="I35" s="272"/>
      <c r="J35" s="272"/>
      <c r="K35" s="272"/>
      <c r="L35" s="272"/>
      <c r="M35" s="272"/>
      <c r="N35" s="538"/>
      <c r="O35" s="539"/>
      <c r="Q35" s="540"/>
      <c r="R35" s="330">
        <f t="shared" si="2"/>
        <v>24</v>
      </c>
    </row>
    <row r="36" spans="1:19">
      <c r="A36" s="325">
        <f t="shared" si="1"/>
        <v>25</v>
      </c>
      <c r="B36" s="52" t="s">
        <v>122</v>
      </c>
      <c r="C36" s="281"/>
      <c r="D36" s="52"/>
      <c r="E36" s="52"/>
      <c r="F36" s="52"/>
      <c r="G36" s="270"/>
      <c r="H36" s="281"/>
      <c r="I36" s="52"/>
      <c r="J36" s="52"/>
      <c r="K36" s="52"/>
      <c r="L36" s="52"/>
      <c r="M36" s="52"/>
      <c r="N36" s="270"/>
      <c r="O36" s="290"/>
      <c r="Q36" s="52"/>
      <c r="R36" s="330">
        <f t="shared" si="2"/>
        <v>25</v>
      </c>
    </row>
    <row r="37" spans="1:19" ht="18.5">
      <c r="A37" s="325">
        <f t="shared" si="1"/>
        <v>26</v>
      </c>
      <c r="B37" s="55" t="s">
        <v>123</v>
      </c>
      <c r="C37" s="853">
        <v>0</v>
      </c>
      <c r="D37" s="71">
        <v>0</v>
      </c>
      <c r="E37" s="71">
        <v>0</v>
      </c>
      <c r="F37" s="71">
        <f>E43</f>
        <v>461.1893457565177</v>
      </c>
      <c r="G37" s="854">
        <f>E43</f>
        <v>461.1893457565177</v>
      </c>
      <c r="H37" s="853">
        <f>E43</f>
        <v>461.1893457565177</v>
      </c>
      <c r="I37" s="71">
        <f>H43</f>
        <v>794.64673988579455</v>
      </c>
      <c r="J37" s="71">
        <f>H43</f>
        <v>794.64673988579455</v>
      </c>
      <c r="K37" s="71">
        <f>H43</f>
        <v>794.64673988579455</v>
      </c>
      <c r="L37" s="71">
        <f>K43</f>
        <v>864.80439084908221</v>
      </c>
      <c r="M37" s="71">
        <f>K43</f>
        <v>864.80439084908221</v>
      </c>
      <c r="N37" s="854">
        <f>K43</f>
        <v>864.80439084908221</v>
      </c>
      <c r="O37" s="290"/>
      <c r="P37" s="641" t="s">
        <v>439</v>
      </c>
      <c r="Q37" s="54" t="s">
        <v>124</v>
      </c>
      <c r="R37" s="330">
        <f t="shared" si="2"/>
        <v>26</v>
      </c>
      <c r="S37" s="641"/>
    </row>
    <row r="38" spans="1:19">
      <c r="A38" s="325">
        <f t="shared" si="1"/>
        <v>27</v>
      </c>
      <c r="B38" s="55" t="s">
        <v>125</v>
      </c>
      <c r="C38" s="855">
        <f>C33/2</f>
        <v>76.463457805938432</v>
      </c>
      <c r="D38" s="856">
        <f>C33+(D33/2)</f>
        <v>229.39037341781528</v>
      </c>
      <c r="E38" s="856">
        <f>C33+D33+(E33/2)</f>
        <v>382.31728902969218</v>
      </c>
      <c r="F38" s="856">
        <f>F33/2</f>
        <v>76.463457805938432</v>
      </c>
      <c r="G38" s="857">
        <f>F33+(G33/2)</f>
        <v>229.39037341781528</v>
      </c>
      <c r="H38" s="855">
        <f>F33+G33+(H33/2)</f>
        <v>315.91121748150317</v>
      </c>
      <c r="I38" s="858">
        <f>I33/2</f>
        <v>10.057386257749428</v>
      </c>
      <c r="J38" s="858">
        <f>I33+(J33/2)</f>
        <v>30.172158773248285</v>
      </c>
      <c r="K38" s="858">
        <f>I33+J33+(K33/2)</f>
        <v>50.286931288747141</v>
      </c>
      <c r="L38" s="858">
        <f>L33/2</f>
        <v>10.057386257749428</v>
      </c>
      <c r="M38" s="858">
        <f>L33+(M33/2)</f>
        <v>30.172158773248285</v>
      </c>
      <c r="N38" s="857">
        <f>L33+M33+(N33/2)</f>
        <v>50.286931288747141</v>
      </c>
      <c r="O38" s="290"/>
      <c r="P38" s="641" t="s">
        <v>439</v>
      </c>
      <c r="Q38" s="54" t="s">
        <v>126</v>
      </c>
      <c r="R38" s="330">
        <f t="shared" si="2"/>
        <v>27</v>
      </c>
      <c r="S38" s="641"/>
    </row>
    <row r="39" spans="1:19">
      <c r="A39" s="325">
        <f t="shared" si="1"/>
        <v>28</v>
      </c>
      <c r="B39" s="55" t="s">
        <v>127</v>
      </c>
      <c r="C39" s="859">
        <f>SUM(C37:C38)</f>
        <v>76.463457805938432</v>
      </c>
      <c r="D39" s="860">
        <f t="shared" ref="D39:N39" si="8">SUM(D37:D38)</f>
        <v>229.39037341781528</v>
      </c>
      <c r="E39" s="860">
        <f t="shared" si="8"/>
        <v>382.31728902969218</v>
      </c>
      <c r="F39" s="860">
        <f t="shared" si="8"/>
        <v>537.65280356245614</v>
      </c>
      <c r="G39" s="861">
        <f t="shared" si="8"/>
        <v>690.57971917433292</v>
      </c>
      <c r="H39" s="859">
        <f t="shared" si="8"/>
        <v>777.10056323802087</v>
      </c>
      <c r="I39" s="860">
        <f t="shared" si="8"/>
        <v>804.70412614354393</v>
      </c>
      <c r="J39" s="860">
        <f t="shared" si="8"/>
        <v>824.81889865904282</v>
      </c>
      <c r="K39" s="860">
        <f t="shared" si="8"/>
        <v>844.9336711745417</v>
      </c>
      <c r="L39" s="860">
        <f t="shared" si="8"/>
        <v>874.8617771068316</v>
      </c>
      <c r="M39" s="860">
        <f t="shared" si="8"/>
        <v>894.97654962233048</v>
      </c>
      <c r="N39" s="861">
        <f t="shared" si="8"/>
        <v>915.09132213782937</v>
      </c>
      <c r="O39" s="290"/>
      <c r="P39" s="641" t="s">
        <v>439</v>
      </c>
      <c r="Q39" s="54" t="s">
        <v>623</v>
      </c>
      <c r="R39" s="330">
        <f t="shared" si="2"/>
        <v>28</v>
      </c>
      <c r="S39" s="641"/>
    </row>
    <row r="40" spans="1:19">
      <c r="A40" s="325">
        <f t="shared" si="1"/>
        <v>29</v>
      </c>
      <c r="B40" s="55" t="s">
        <v>128</v>
      </c>
      <c r="C40" s="284">
        <v>3.5999999999999999E-3</v>
      </c>
      <c r="D40" s="545">
        <v>3.3E-3</v>
      </c>
      <c r="E40" s="546">
        <v>3.5999999999999999E-3</v>
      </c>
      <c r="F40" s="546">
        <v>3.7000000000000002E-3</v>
      </c>
      <c r="G40" s="285">
        <v>3.8E-3</v>
      </c>
      <c r="H40" s="284">
        <v>3.7000000000000002E-3</v>
      </c>
      <c r="I40" s="546">
        <v>4.0000000000000001E-3</v>
      </c>
      <c r="J40" s="546">
        <v>4.0000000000000001E-3</v>
      </c>
      <c r="K40" s="546">
        <v>3.8999999999999998E-3</v>
      </c>
      <c r="L40" s="546">
        <v>4.1999999999999997E-3</v>
      </c>
      <c r="M40" s="546">
        <v>4.1000000000000003E-3</v>
      </c>
      <c r="N40" s="287">
        <v>4.1999999999999997E-3</v>
      </c>
      <c r="O40" s="290"/>
      <c r="Q40" s="54" t="s">
        <v>129</v>
      </c>
      <c r="R40" s="330">
        <f t="shared" si="2"/>
        <v>29</v>
      </c>
    </row>
    <row r="41" spans="1:19">
      <c r="A41" s="325">
        <f t="shared" si="1"/>
        <v>30</v>
      </c>
      <c r="B41" s="55" t="s">
        <v>130</v>
      </c>
      <c r="C41" s="547">
        <f>C39*C40</f>
        <v>0.27526844810137835</v>
      </c>
      <c r="D41" s="548">
        <f t="shared" ref="D41:N41" si="9">D39*D40</f>
        <v>0.75698823227879042</v>
      </c>
      <c r="E41" s="548">
        <f t="shared" si="9"/>
        <v>1.3763422405068917</v>
      </c>
      <c r="F41" s="548">
        <f t="shared" si="9"/>
        <v>1.9893153731810878</v>
      </c>
      <c r="G41" s="549">
        <f t="shared" si="9"/>
        <v>2.624202932862465</v>
      </c>
      <c r="H41" s="547">
        <f t="shared" si="9"/>
        <v>2.8752720839806774</v>
      </c>
      <c r="I41" s="548">
        <f t="shared" si="9"/>
        <v>3.2188165045741757</v>
      </c>
      <c r="J41" s="548">
        <f t="shared" si="9"/>
        <v>3.2992755946361711</v>
      </c>
      <c r="K41" s="548">
        <f t="shared" si="9"/>
        <v>3.2952413175807123</v>
      </c>
      <c r="L41" s="548">
        <f t="shared" si="9"/>
        <v>3.6744194638486927</v>
      </c>
      <c r="M41" s="548">
        <f t="shared" si="9"/>
        <v>3.6694038534515552</v>
      </c>
      <c r="N41" s="549">
        <f t="shared" si="9"/>
        <v>3.8433835529788829</v>
      </c>
      <c r="O41" s="550">
        <f>SUM(C41:N41)</f>
        <v>30.897929597981477</v>
      </c>
      <c r="Q41" s="54" t="s">
        <v>636</v>
      </c>
      <c r="R41" s="330">
        <f t="shared" si="2"/>
        <v>30</v>
      </c>
    </row>
    <row r="42" spans="1:19">
      <c r="A42" s="325">
        <f t="shared" si="1"/>
        <v>31</v>
      </c>
      <c r="B42" s="52"/>
      <c r="C42" s="281"/>
      <c r="D42" s="52"/>
      <c r="E42" s="52"/>
      <c r="F42" s="52"/>
      <c r="G42" s="270"/>
      <c r="H42" s="281"/>
      <c r="I42" s="52"/>
      <c r="J42" s="52"/>
      <c r="K42" s="52"/>
      <c r="L42" s="52"/>
      <c r="M42" s="52"/>
      <c r="N42" s="270"/>
      <c r="O42" s="290"/>
      <c r="Q42" s="52"/>
      <c r="R42" s="330">
        <f t="shared" si="2"/>
        <v>31</v>
      </c>
    </row>
    <row r="43" spans="1:19" ht="16" thickBot="1">
      <c r="A43" s="325">
        <f t="shared" si="1"/>
        <v>32</v>
      </c>
      <c r="B43" s="52" t="s">
        <v>131</v>
      </c>
      <c r="C43" s="302">
        <f t="shared" ref="C43:N43" si="10">C12+C33+C41</f>
        <v>153.20218405997824</v>
      </c>
      <c r="D43" s="551">
        <f t="shared" si="10"/>
        <v>306.88608790413389</v>
      </c>
      <c r="E43" s="551">
        <f t="shared" si="10"/>
        <v>461.1893457565177</v>
      </c>
      <c r="F43" s="551">
        <f t="shared" si="10"/>
        <v>616.10557674157565</v>
      </c>
      <c r="G43" s="303">
        <f t="shared" si="10"/>
        <v>771.65669528631497</v>
      </c>
      <c r="H43" s="302">
        <f t="shared" si="10"/>
        <v>794.64673988579455</v>
      </c>
      <c r="I43" s="551">
        <f t="shared" si="10"/>
        <v>817.98032890586762</v>
      </c>
      <c r="J43" s="551">
        <f t="shared" si="10"/>
        <v>841.39437701600264</v>
      </c>
      <c r="K43" s="551">
        <f t="shared" si="10"/>
        <v>864.80439084908221</v>
      </c>
      <c r="L43" s="551">
        <f t="shared" si="10"/>
        <v>888.59358282842982</v>
      </c>
      <c r="M43" s="551">
        <f t="shared" si="10"/>
        <v>912.37775919738021</v>
      </c>
      <c r="N43" s="303">
        <f t="shared" si="10"/>
        <v>936.33591526585803</v>
      </c>
      <c r="O43" s="304">
        <f>O33+O41</f>
        <v>936.33591526585872</v>
      </c>
      <c r="P43" s="641" t="s">
        <v>439</v>
      </c>
      <c r="Q43" s="54" t="s">
        <v>637</v>
      </c>
      <c r="R43" s="330">
        <f t="shared" si="2"/>
        <v>32</v>
      </c>
      <c r="S43" s="641"/>
    </row>
    <row r="44" spans="1:19" ht="16.5" thickTop="1" thickBot="1">
      <c r="A44" s="325">
        <f t="shared" si="1"/>
        <v>33</v>
      </c>
      <c r="B44" s="552"/>
      <c r="C44" s="286"/>
      <c r="D44" s="552"/>
      <c r="E44" s="552"/>
      <c r="F44" s="552"/>
      <c r="G44" s="271"/>
      <c r="H44" s="286"/>
      <c r="I44" s="552"/>
      <c r="J44" s="552"/>
      <c r="K44" s="552"/>
      <c r="L44" s="552"/>
      <c r="M44" s="552"/>
      <c r="N44" s="271"/>
      <c r="O44" s="291"/>
      <c r="P44" s="866"/>
      <c r="Q44" s="552"/>
      <c r="R44" s="330">
        <f t="shared" si="2"/>
        <v>33</v>
      </c>
    </row>
    <row r="45" spans="1:19">
      <c r="A45" s="326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312"/>
    </row>
    <row r="46" spans="1:19">
      <c r="A46" s="326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312"/>
    </row>
    <row r="47" spans="1:19">
      <c r="A47" s="641" t="s">
        <v>439</v>
      </c>
      <c r="B47" s="5" t="s">
        <v>709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312"/>
    </row>
    <row r="48" spans="1:19" ht="18">
      <c r="A48" s="327">
        <v>1</v>
      </c>
      <c r="B48" s="55" t="s">
        <v>132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965"/>
      <c r="P48" s="965"/>
      <c r="Q48" s="965"/>
      <c r="R48" s="312"/>
    </row>
    <row r="49" spans="1:18" ht="18">
      <c r="A49" s="327">
        <v>2</v>
      </c>
      <c r="B49" s="55" t="s">
        <v>133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12"/>
    </row>
    <row r="50" spans="1:18">
      <c r="A50" s="312"/>
      <c r="B50" s="55" t="str">
        <f>"a) 1st Month of Quarter = Column a, Line "&amp;A33&amp;" Divided by 2."</f>
        <v>a) 1st Month of Quarter = Column a, Line 22 Divided by 2.</v>
      </c>
      <c r="C50" s="51"/>
      <c r="D50" s="51"/>
      <c r="E50" s="51"/>
      <c r="F50" s="51"/>
      <c r="G50" s="51"/>
    </row>
    <row r="51" spans="1:18">
      <c r="A51" s="312"/>
      <c r="B51" s="55" t="str">
        <f>"b) 2nd Month of Quarter = Column a, Line "&amp;A33&amp;" + (Column b, Line "&amp;A33&amp;" Divided by 2)."</f>
        <v>b) 2nd Month of Quarter = Column a, Line 22 + (Column b, Line 22 Divided by 2).</v>
      </c>
      <c r="C51" s="51"/>
      <c r="D51" s="51"/>
      <c r="E51" s="51"/>
      <c r="F51" s="51"/>
      <c r="G51" s="56"/>
    </row>
    <row r="52" spans="1:18">
      <c r="A52" s="312"/>
      <c r="B52" s="55" t="str">
        <f>"c) 3rd Month of Quarter = Column a, Line "&amp;A33&amp;" + Column b, Line "&amp;A33&amp;" + (Column c, Line "&amp;A33&amp;" Divided by 2)."</f>
        <v>c) 3rd Month of Quarter = Column a, Line 22 + Column b, Line 22 + (Column c, Line 22 Divided by 2).</v>
      </c>
      <c r="C52" s="51"/>
      <c r="D52" s="51"/>
      <c r="E52" s="51"/>
      <c r="F52" s="51"/>
      <c r="G52" s="57"/>
    </row>
    <row r="53" spans="1:18">
      <c r="A53" s="312"/>
      <c r="B53" s="55" t="s">
        <v>134</v>
      </c>
      <c r="C53" s="51"/>
      <c r="D53" s="51"/>
      <c r="E53" s="51"/>
      <c r="F53" s="51"/>
      <c r="G53" s="58"/>
    </row>
    <row r="54" spans="1:18" ht="18">
      <c r="A54" s="327">
        <v>3</v>
      </c>
      <c r="B54" s="55" t="s">
        <v>135</v>
      </c>
      <c r="C54" s="51"/>
      <c r="D54" s="51"/>
      <c r="E54" s="51"/>
      <c r="F54" s="51"/>
      <c r="G54" s="51"/>
    </row>
  </sheetData>
  <mergeCells count="7">
    <mergeCell ref="O48:Q48"/>
    <mergeCell ref="B3:Q3"/>
    <mergeCell ref="B4:Q4"/>
    <mergeCell ref="B5:Q5"/>
    <mergeCell ref="B6:Q6"/>
    <mergeCell ref="C8:G8"/>
    <mergeCell ref="H8:N8"/>
  </mergeCells>
  <printOptions horizontalCentered="1"/>
  <pageMargins left="0.5" right="0.5" top="0.5" bottom="0.5" header="0.35" footer="0.25"/>
  <pageSetup scale="49" orientation="landscape" r:id="rId1"/>
  <headerFooter scaleWithDoc="0" alignWithMargins="0">
    <oddHeader>&amp;C&amp;"Times New Roman,Bold"&amp;6AS FILED SEC 4a-TU WITH COST ADJ INCL IN APPENDIX X CYCLE 12 (ER24-176)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AA2B-764A-4BE4-BDD4-575598C16AE0}">
  <sheetPr>
    <pageSetUpPr fitToPage="1"/>
  </sheetPr>
  <dimension ref="A2:J28"/>
  <sheetViews>
    <sheetView zoomScale="80" zoomScaleNormal="80" workbookViewId="0"/>
  </sheetViews>
  <sheetFormatPr defaultColWidth="8.81640625" defaultRowHeight="15.5"/>
  <cols>
    <col min="1" max="1" width="5.1796875" style="102" customWidth="1"/>
    <col min="2" max="2" width="83.453125" style="6" customWidth="1"/>
    <col min="3" max="3" width="1.54296875" style="6" customWidth="1"/>
    <col min="4" max="4" width="20.08984375" style="6" customWidth="1"/>
    <col min="5" max="5" width="1.54296875" style="6" customWidth="1"/>
    <col min="6" max="6" width="54" style="6" customWidth="1"/>
    <col min="7" max="7" width="5.1796875" style="102" customWidth="1"/>
    <col min="8" max="16384" width="8.81640625" style="6"/>
  </cols>
  <sheetData>
    <row r="2" spans="1:10">
      <c r="A2" s="312"/>
      <c r="B2" s="971" t="s">
        <v>20</v>
      </c>
      <c r="C2" s="971"/>
      <c r="D2" s="971"/>
      <c r="E2" s="971"/>
      <c r="F2" s="971"/>
      <c r="G2" s="312"/>
    </row>
    <row r="3" spans="1:10">
      <c r="A3" s="312"/>
      <c r="B3" s="971" t="s">
        <v>136</v>
      </c>
      <c r="C3" s="971"/>
      <c r="D3" s="971"/>
      <c r="E3" s="971"/>
      <c r="F3" s="971"/>
      <c r="G3" s="312"/>
    </row>
    <row r="4" spans="1:10">
      <c r="A4" s="312"/>
      <c r="B4" s="971" t="s">
        <v>495</v>
      </c>
      <c r="C4" s="971"/>
      <c r="D4" s="971"/>
      <c r="E4" s="971"/>
      <c r="F4" s="971"/>
      <c r="G4" s="312"/>
    </row>
    <row r="5" spans="1:10">
      <c r="A5" s="312"/>
      <c r="B5" s="972">
        <v>-1000</v>
      </c>
      <c r="C5" s="972"/>
      <c r="D5" s="972"/>
      <c r="E5" s="972"/>
      <c r="F5" s="972"/>
      <c r="G5" s="312"/>
    </row>
    <row r="7" spans="1:10">
      <c r="A7" s="331" t="s">
        <v>2</v>
      </c>
      <c r="B7" s="69"/>
      <c r="C7" s="69"/>
      <c r="D7" s="51"/>
      <c r="E7" s="51"/>
      <c r="F7" s="51"/>
      <c r="G7" s="331" t="s">
        <v>2</v>
      </c>
    </row>
    <row r="8" spans="1:10" ht="18.5">
      <c r="A8" s="331" t="s">
        <v>3</v>
      </c>
      <c r="B8" s="556" t="s">
        <v>113</v>
      </c>
      <c r="C8" s="69"/>
      <c r="D8" s="556" t="s">
        <v>32</v>
      </c>
      <c r="E8" s="66"/>
      <c r="F8" s="556" t="s">
        <v>137</v>
      </c>
      <c r="G8" s="331" t="s">
        <v>3</v>
      </c>
    </row>
    <row r="9" spans="1:10">
      <c r="A9" s="331"/>
      <c r="B9" s="67"/>
      <c r="C9" s="69"/>
      <c r="D9" s="68"/>
      <c r="E9" s="69"/>
      <c r="F9" s="69"/>
      <c r="G9" s="331"/>
    </row>
    <row r="10" spans="1:10">
      <c r="A10" s="331">
        <v>1</v>
      </c>
      <c r="B10" s="70" t="s">
        <v>138</v>
      </c>
      <c r="C10" s="70"/>
      <c r="D10" s="397">
        <v>62.686206898393017</v>
      </c>
      <c r="E10" s="69"/>
      <c r="F10" s="66" t="s">
        <v>638</v>
      </c>
      <c r="G10" s="331">
        <f>A10</f>
        <v>1</v>
      </c>
    </row>
    <row r="11" spans="1:10">
      <c r="A11" s="331">
        <f>A10+1</f>
        <v>2</v>
      </c>
      <c r="B11" s="65"/>
      <c r="C11" s="70"/>
      <c r="D11" s="450"/>
      <c r="E11" s="72"/>
      <c r="F11" s="66"/>
      <c r="G11" s="331">
        <f>G10+1</f>
        <v>2</v>
      </c>
    </row>
    <row r="12" spans="1:10">
      <c r="A12" s="331">
        <f t="shared" ref="A12:A23" si="0">A11+1</f>
        <v>3</v>
      </c>
      <c r="B12" s="70" t="s">
        <v>139</v>
      </c>
      <c r="C12" s="70"/>
      <c r="D12" s="849">
        <f>'Pg5 Rev Sec 2 Non-Dir Exp'!E41</f>
        <v>1587.5037552157478</v>
      </c>
      <c r="E12" s="641" t="s">
        <v>439</v>
      </c>
      <c r="F12" s="66" t="s">
        <v>688</v>
      </c>
      <c r="G12" s="331">
        <f t="shared" ref="G12:G23" si="1">G11+1</f>
        <v>3</v>
      </c>
    </row>
    <row r="13" spans="1:10">
      <c r="A13" s="331">
        <f t="shared" si="0"/>
        <v>4</v>
      </c>
      <c r="B13" s="65"/>
      <c r="C13" s="70"/>
      <c r="D13" s="450"/>
      <c r="E13" s="72"/>
      <c r="F13" s="66"/>
      <c r="G13" s="331">
        <f t="shared" si="1"/>
        <v>4</v>
      </c>
    </row>
    <row r="14" spans="1:10">
      <c r="A14" s="331">
        <f t="shared" si="0"/>
        <v>5</v>
      </c>
      <c r="B14" s="70" t="s">
        <v>140</v>
      </c>
      <c r="C14" s="70"/>
      <c r="D14" s="450"/>
      <c r="E14" s="72"/>
      <c r="F14" s="66"/>
      <c r="G14" s="331">
        <f t="shared" si="1"/>
        <v>5</v>
      </c>
    </row>
    <row r="15" spans="1:10">
      <c r="A15" s="331">
        <f t="shared" si="0"/>
        <v>6</v>
      </c>
      <c r="B15" s="65" t="s">
        <v>141</v>
      </c>
      <c r="C15" s="65"/>
      <c r="D15" s="475">
        <v>70.550928377471919</v>
      </c>
      <c r="E15" s="69"/>
      <c r="F15" s="66" t="s">
        <v>669</v>
      </c>
      <c r="G15" s="331">
        <f t="shared" si="1"/>
        <v>6</v>
      </c>
      <c r="J15" s="473"/>
    </row>
    <row r="16" spans="1:10">
      <c r="A16" s="331">
        <f t="shared" si="0"/>
        <v>7</v>
      </c>
      <c r="B16" s="65" t="s">
        <v>142</v>
      </c>
      <c r="C16" s="65"/>
      <c r="D16" s="475">
        <v>639.38199970667574</v>
      </c>
      <c r="E16" s="69"/>
      <c r="F16" s="66" t="s">
        <v>670</v>
      </c>
      <c r="G16" s="331">
        <f t="shared" si="1"/>
        <v>7</v>
      </c>
    </row>
    <row r="17" spans="1:7">
      <c r="A17" s="331">
        <f t="shared" si="0"/>
        <v>8</v>
      </c>
      <c r="B17" s="65" t="s">
        <v>143</v>
      </c>
      <c r="C17" s="65"/>
      <c r="D17" s="475">
        <v>76.67795653445603</v>
      </c>
      <c r="E17" s="69"/>
      <c r="F17" s="66" t="s">
        <v>671</v>
      </c>
      <c r="G17" s="331">
        <f t="shared" si="1"/>
        <v>8</v>
      </c>
    </row>
    <row r="18" spans="1:7">
      <c r="A18" s="331">
        <f t="shared" si="0"/>
        <v>9</v>
      </c>
      <c r="B18" s="65" t="s">
        <v>144</v>
      </c>
      <c r="C18" s="65"/>
      <c r="D18" s="450"/>
      <c r="E18" s="72"/>
      <c r="F18" s="66"/>
      <c r="G18" s="331">
        <f t="shared" si="1"/>
        <v>9</v>
      </c>
    </row>
    <row r="19" spans="1:7">
      <c r="A19" s="331">
        <f t="shared" si="0"/>
        <v>10</v>
      </c>
      <c r="B19" s="65" t="s">
        <v>145</v>
      </c>
      <c r="C19" s="65"/>
      <c r="D19" s="557">
        <v>0</v>
      </c>
      <c r="E19" s="69"/>
      <c r="F19" s="66" t="s">
        <v>639</v>
      </c>
      <c r="G19" s="331">
        <f t="shared" si="1"/>
        <v>10</v>
      </c>
    </row>
    <row r="20" spans="1:7">
      <c r="A20" s="331">
        <f t="shared" si="0"/>
        <v>11</v>
      </c>
      <c r="B20" s="70"/>
      <c r="C20" s="70"/>
      <c r="D20" s="450"/>
      <c r="E20" s="69"/>
      <c r="F20" s="66"/>
      <c r="G20" s="331">
        <f t="shared" si="1"/>
        <v>11</v>
      </c>
    </row>
    <row r="21" spans="1:7" ht="16" thickBot="1">
      <c r="A21" s="331">
        <f t="shared" si="0"/>
        <v>12</v>
      </c>
      <c r="B21" s="70" t="s">
        <v>146</v>
      </c>
      <c r="C21" s="70"/>
      <c r="D21" s="535">
        <f>SUM(D10:D19)</f>
        <v>2436.8008467327445</v>
      </c>
      <c r="E21" s="641" t="s">
        <v>439</v>
      </c>
      <c r="F21" s="66" t="s">
        <v>640</v>
      </c>
      <c r="G21" s="331">
        <f t="shared" si="1"/>
        <v>12</v>
      </c>
    </row>
    <row r="22" spans="1:7" ht="16" thickTop="1">
      <c r="A22" s="331">
        <f t="shared" si="0"/>
        <v>13</v>
      </c>
      <c r="B22" s="65"/>
      <c r="C22" s="70"/>
      <c r="D22" s="451"/>
      <c r="E22" s="73"/>
      <c r="F22" s="66"/>
      <c r="G22" s="331">
        <f t="shared" si="1"/>
        <v>13</v>
      </c>
    </row>
    <row r="23" spans="1:7" ht="16" thickBot="1">
      <c r="A23" s="331">
        <f t="shared" si="0"/>
        <v>14</v>
      </c>
      <c r="B23" s="65" t="s">
        <v>147</v>
      </c>
      <c r="C23" s="70"/>
      <c r="D23" s="558">
        <f>D21/12</f>
        <v>203.06673722772871</v>
      </c>
      <c r="E23" s="641"/>
      <c r="F23" s="66" t="s">
        <v>641</v>
      </c>
      <c r="G23" s="331">
        <f t="shared" si="1"/>
        <v>14</v>
      </c>
    </row>
    <row r="24" spans="1:7" ht="16" thickTop="1">
      <c r="A24" s="331"/>
      <c r="B24" s="70"/>
      <c r="C24" s="70"/>
      <c r="D24" s="70"/>
      <c r="E24" s="70"/>
      <c r="F24" s="69"/>
      <c r="G24" s="331"/>
    </row>
    <row r="25" spans="1:7">
      <c r="A25" s="331"/>
      <c r="B25" s="70"/>
      <c r="C25" s="70"/>
      <c r="D25" s="70"/>
      <c r="E25" s="70"/>
      <c r="F25" s="69"/>
      <c r="G25" s="331"/>
    </row>
    <row r="26" spans="1:7">
      <c r="A26" s="641" t="s">
        <v>439</v>
      </c>
      <c r="B26" s="5" t="str">
        <f>'Pg3 Rev App X C8 Summary'!B55</f>
        <v>Items in BOLD have changed to correct the over-allocation of "Duplicate Charges (Company Energy Use)" Credit in FERC Account no. 929.</v>
      </c>
      <c r="C26" s="70"/>
      <c r="D26" s="70"/>
      <c r="E26" s="70"/>
      <c r="F26" s="69"/>
      <c r="G26" s="331"/>
    </row>
    <row r="27" spans="1:7" ht="18">
      <c r="A27" s="332">
        <v>1</v>
      </c>
      <c r="B27" s="65" t="s">
        <v>660</v>
      </c>
      <c r="C27" s="65"/>
      <c r="D27" s="70"/>
      <c r="E27" s="70"/>
      <c r="F27" s="70"/>
      <c r="G27" s="333"/>
    </row>
    <row r="28" spans="1:7">
      <c r="A28" s="333"/>
      <c r="B28" s="51"/>
      <c r="C28" s="51"/>
      <c r="D28" s="70"/>
      <c r="E28" s="70"/>
      <c r="F28" s="70"/>
      <c r="G28" s="333"/>
    </row>
  </sheetData>
  <mergeCells count="4">
    <mergeCell ref="B2:F2"/>
    <mergeCell ref="B3:F3"/>
    <mergeCell ref="B4:F4"/>
    <mergeCell ref="B5:F5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45F31-A942-4ABD-AC66-C34279603C95}">
  <sheetPr>
    <pageSetUpPr fitToPage="1"/>
  </sheetPr>
  <dimension ref="A1:J29"/>
  <sheetViews>
    <sheetView zoomScale="80" zoomScaleNormal="80" workbookViewId="0"/>
  </sheetViews>
  <sheetFormatPr defaultColWidth="8.81640625" defaultRowHeight="15.5"/>
  <cols>
    <col min="1" max="1" width="5.1796875" style="102" customWidth="1"/>
    <col min="2" max="2" width="83.6328125" style="6" customWidth="1"/>
    <col min="3" max="3" width="1.54296875" style="6" customWidth="1"/>
    <col min="4" max="4" width="20.08984375" style="6" customWidth="1"/>
    <col min="5" max="5" width="1.54296875" style="6" customWidth="1"/>
    <col min="6" max="6" width="54" style="6" customWidth="1"/>
    <col min="7" max="7" width="5.1796875" style="102" customWidth="1"/>
    <col min="8" max="16384" width="8.81640625" style="6"/>
  </cols>
  <sheetData>
    <row r="1" spans="1:10">
      <c r="A1" s="926" t="s">
        <v>759</v>
      </c>
    </row>
    <row r="3" spans="1:10">
      <c r="A3" s="312"/>
      <c r="B3" s="971" t="s">
        <v>20</v>
      </c>
      <c r="C3" s="971"/>
      <c r="D3" s="971"/>
      <c r="E3" s="971"/>
      <c r="F3" s="971"/>
      <c r="G3" s="312"/>
    </row>
    <row r="4" spans="1:10">
      <c r="A4" s="312"/>
      <c r="B4" s="971" t="s">
        <v>136</v>
      </c>
      <c r="C4" s="971"/>
      <c r="D4" s="971"/>
      <c r="E4" s="971"/>
      <c r="F4" s="971"/>
      <c r="G4" s="312"/>
    </row>
    <row r="5" spans="1:10">
      <c r="A5" s="312"/>
      <c r="B5" s="971" t="s">
        <v>495</v>
      </c>
      <c r="C5" s="971"/>
      <c r="D5" s="971"/>
      <c r="E5" s="971"/>
      <c r="F5" s="971"/>
      <c r="G5" s="312"/>
    </row>
    <row r="6" spans="1:10">
      <c r="A6" s="312"/>
      <c r="B6" s="972">
        <v>-1000</v>
      </c>
      <c r="C6" s="972"/>
      <c r="D6" s="972"/>
      <c r="E6" s="972"/>
      <c r="F6" s="972"/>
      <c r="G6" s="312"/>
    </row>
    <row r="8" spans="1:10">
      <c r="A8" s="331" t="s">
        <v>2</v>
      </c>
      <c r="B8" s="69"/>
      <c r="C8" s="69"/>
      <c r="D8" s="51"/>
      <c r="E8" s="51"/>
      <c r="F8" s="51"/>
      <c r="G8" s="331" t="s">
        <v>2</v>
      </c>
    </row>
    <row r="9" spans="1:10" ht="18.5">
      <c r="A9" s="331" t="s">
        <v>3</v>
      </c>
      <c r="B9" s="556" t="s">
        <v>113</v>
      </c>
      <c r="C9" s="69"/>
      <c r="D9" s="556" t="s">
        <v>32</v>
      </c>
      <c r="E9" s="66"/>
      <c r="F9" s="556" t="s">
        <v>137</v>
      </c>
      <c r="G9" s="331" t="s">
        <v>3</v>
      </c>
    </row>
    <row r="10" spans="1:10">
      <c r="A10" s="331"/>
      <c r="B10" s="67"/>
      <c r="C10" s="69"/>
      <c r="D10" s="68"/>
      <c r="E10" s="69"/>
      <c r="F10" s="69"/>
      <c r="G10" s="331"/>
    </row>
    <row r="11" spans="1:10">
      <c r="A11" s="331">
        <v>1</v>
      </c>
      <c r="B11" s="70" t="s">
        <v>138</v>
      </c>
      <c r="C11" s="70"/>
      <c r="D11" s="397">
        <v>62.686206898393017</v>
      </c>
      <c r="E11" s="69"/>
      <c r="F11" s="66" t="s">
        <v>638</v>
      </c>
      <c r="G11" s="331">
        <f>A11</f>
        <v>1</v>
      </c>
    </row>
    <row r="12" spans="1:10">
      <c r="A12" s="331">
        <f>A11+1</f>
        <v>2</v>
      </c>
      <c r="B12" s="65"/>
      <c r="C12" s="70"/>
      <c r="D12" s="450"/>
      <c r="E12" s="72"/>
      <c r="F12" s="66"/>
      <c r="G12" s="331">
        <f>G11+1</f>
        <v>2</v>
      </c>
    </row>
    <row r="13" spans="1:10">
      <c r="A13" s="331">
        <f t="shared" ref="A13:A24" si="0">A12+1</f>
        <v>3</v>
      </c>
      <c r="B13" s="70" t="s">
        <v>139</v>
      </c>
      <c r="C13" s="70"/>
      <c r="D13" s="849">
        <f>'Pg6 As Filed Sec 2 Non Dir Exp '!E42</f>
        <v>1586.9401786689903</v>
      </c>
      <c r="E13" s="641" t="s">
        <v>439</v>
      </c>
      <c r="F13" s="66" t="s">
        <v>688</v>
      </c>
      <c r="G13" s="331">
        <f t="shared" ref="G13:G24" si="1">G12+1</f>
        <v>3</v>
      </c>
    </row>
    <row r="14" spans="1:10">
      <c r="A14" s="331">
        <f t="shared" si="0"/>
        <v>4</v>
      </c>
      <c r="B14" s="65"/>
      <c r="C14" s="70"/>
      <c r="D14" s="450"/>
      <c r="E14" s="72"/>
      <c r="F14" s="66"/>
      <c r="G14" s="331">
        <f t="shared" si="1"/>
        <v>4</v>
      </c>
    </row>
    <row r="15" spans="1:10">
      <c r="A15" s="331">
        <f t="shared" si="0"/>
        <v>5</v>
      </c>
      <c r="B15" s="70" t="s">
        <v>140</v>
      </c>
      <c r="C15" s="70"/>
      <c r="D15" s="450"/>
      <c r="E15" s="72"/>
      <c r="F15" s="66"/>
      <c r="G15" s="331">
        <f t="shared" si="1"/>
        <v>5</v>
      </c>
    </row>
    <row r="16" spans="1:10">
      <c r="A16" s="331">
        <f t="shared" si="0"/>
        <v>6</v>
      </c>
      <c r="B16" s="65" t="s">
        <v>141</v>
      </c>
      <c r="C16" s="65"/>
      <c r="D16" s="475">
        <v>70.550928377471919</v>
      </c>
      <c r="E16" s="69"/>
      <c r="F16" s="66" t="s">
        <v>669</v>
      </c>
      <c r="G16" s="331">
        <f t="shared" si="1"/>
        <v>6</v>
      </c>
      <c r="J16" s="473"/>
    </row>
    <row r="17" spans="1:7">
      <c r="A17" s="331">
        <f t="shared" si="0"/>
        <v>7</v>
      </c>
      <c r="B17" s="65" t="s">
        <v>142</v>
      </c>
      <c r="C17" s="65"/>
      <c r="D17" s="475">
        <v>639.38199970667574</v>
      </c>
      <c r="E17" s="69"/>
      <c r="F17" s="66" t="s">
        <v>670</v>
      </c>
      <c r="G17" s="331">
        <f t="shared" si="1"/>
        <v>7</v>
      </c>
    </row>
    <row r="18" spans="1:7">
      <c r="A18" s="331">
        <f t="shared" si="0"/>
        <v>8</v>
      </c>
      <c r="B18" s="65" t="s">
        <v>143</v>
      </c>
      <c r="C18" s="65"/>
      <c r="D18" s="475">
        <v>76.67795653445603</v>
      </c>
      <c r="E18" s="69"/>
      <c r="F18" s="66" t="s">
        <v>671</v>
      </c>
      <c r="G18" s="331">
        <f t="shared" si="1"/>
        <v>8</v>
      </c>
    </row>
    <row r="19" spans="1:7">
      <c r="A19" s="331">
        <f t="shared" si="0"/>
        <v>9</v>
      </c>
      <c r="B19" s="65" t="s">
        <v>144</v>
      </c>
      <c r="C19" s="65"/>
      <c r="D19" s="450"/>
      <c r="E19" s="72"/>
      <c r="F19" s="66"/>
      <c r="G19" s="331">
        <f t="shared" si="1"/>
        <v>9</v>
      </c>
    </row>
    <row r="20" spans="1:7">
      <c r="A20" s="331">
        <f t="shared" si="0"/>
        <v>10</v>
      </c>
      <c r="B20" s="65" t="s">
        <v>145</v>
      </c>
      <c r="C20" s="65"/>
      <c r="D20" s="557">
        <v>0</v>
      </c>
      <c r="E20" s="69"/>
      <c r="F20" s="66" t="s">
        <v>639</v>
      </c>
      <c r="G20" s="331">
        <f t="shared" si="1"/>
        <v>10</v>
      </c>
    </row>
    <row r="21" spans="1:7">
      <c r="A21" s="331">
        <f t="shared" si="0"/>
        <v>11</v>
      </c>
      <c r="B21" s="70"/>
      <c r="C21" s="70"/>
      <c r="D21" s="450"/>
      <c r="E21" s="69"/>
      <c r="F21" s="66"/>
      <c r="G21" s="331">
        <f t="shared" si="1"/>
        <v>11</v>
      </c>
    </row>
    <row r="22" spans="1:7" ht="16" thickBot="1">
      <c r="A22" s="331">
        <f t="shared" si="0"/>
        <v>12</v>
      </c>
      <c r="B22" s="70" t="s">
        <v>146</v>
      </c>
      <c r="C22" s="70"/>
      <c r="D22" s="535">
        <f>SUM(D11:D20)</f>
        <v>2436.2372701859867</v>
      </c>
      <c r="E22" s="641" t="s">
        <v>439</v>
      </c>
      <c r="F22" s="66" t="s">
        <v>640</v>
      </c>
      <c r="G22" s="331">
        <f t="shared" si="1"/>
        <v>12</v>
      </c>
    </row>
    <row r="23" spans="1:7" ht="16" thickTop="1">
      <c r="A23" s="331">
        <f t="shared" si="0"/>
        <v>13</v>
      </c>
      <c r="B23" s="65"/>
      <c r="C23" s="70"/>
      <c r="D23" s="451"/>
      <c r="E23" s="73"/>
      <c r="F23" s="66"/>
      <c r="G23" s="331">
        <f t="shared" si="1"/>
        <v>13</v>
      </c>
    </row>
    <row r="24" spans="1:7" ht="16" thickBot="1">
      <c r="A24" s="331">
        <f t="shared" si="0"/>
        <v>14</v>
      </c>
      <c r="B24" s="65" t="s">
        <v>147</v>
      </c>
      <c r="C24" s="70"/>
      <c r="D24" s="535">
        <f>D22/12</f>
        <v>203.01977251549889</v>
      </c>
      <c r="E24" s="641" t="s">
        <v>439</v>
      </c>
      <c r="F24" s="66" t="s">
        <v>641</v>
      </c>
      <c r="G24" s="331">
        <f t="shared" si="1"/>
        <v>14</v>
      </c>
    </row>
    <row r="25" spans="1:7" ht="16" thickTop="1">
      <c r="A25" s="331"/>
      <c r="B25" s="70"/>
      <c r="C25" s="70"/>
      <c r="D25" s="70"/>
      <c r="E25" s="70"/>
      <c r="F25" s="69"/>
      <c r="G25" s="331"/>
    </row>
    <row r="26" spans="1:7">
      <c r="A26" s="331"/>
      <c r="B26" s="70"/>
      <c r="C26" s="70"/>
      <c r="D26" s="70"/>
      <c r="E26" s="70"/>
      <c r="F26" s="69"/>
      <c r="G26" s="331"/>
    </row>
    <row r="27" spans="1:7">
      <c r="A27" s="641" t="s">
        <v>439</v>
      </c>
      <c r="B27" s="5" t="s">
        <v>709</v>
      </c>
      <c r="C27" s="70"/>
      <c r="D27" s="70"/>
      <c r="E27" s="70"/>
      <c r="F27" s="69"/>
      <c r="G27" s="331"/>
    </row>
    <row r="28" spans="1:7" ht="18">
      <c r="A28" s="332">
        <v>1</v>
      </c>
      <c r="B28" s="65" t="s">
        <v>660</v>
      </c>
      <c r="C28" s="65"/>
      <c r="D28" s="70"/>
      <c r="E28" s="70"/>
      <c r="F28" s="70"/>
      <c r="G28" s="333"/>
    </row>
    <row r="29" spans="1:7">
      <c r="A29" s="333"/>
      <c r="B29" s="51"/>
      <c r="C29" s="51"/>
      <c r="D29" s="70"/>
      <c r="E29" s="70"/>
      <c r="F29" s="70"/>
      <c r="G29" s="333"/>
    </row>
  </sheetData>
  <mergeCells count="4">
    <mergeCell ref="B3:F3"/>
    <mergeCell ref="B4:F4"/>
    <mergeCell ref="B5:F5"/>
    <mergeCell ref="B6:F6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 SEC 4B-TU WITH COST ADJ INCL IN APPENDIX X CYCLE 12 (ER24-176)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1C9C-61C9-49E3-BBBF-EFDE56065A78}">
  <sheetPr>
    <pageSetUpPr fitToPage="1"/>
  </sheetPr>
  <dimension ref="A1:K76"/>
  <sheetViews>
    <sheetView zoomScale="80" zoomScaleNormal="80" workbookViewId="0"/>
  </sheetViews>
  <sheetFormatPr defaultColWidth="8.81640625" defaultRowHeight="15.5"/>
  <cols>
    <col min="1" max="1" width="5.1796875" style="126" bestFit="1" customWidth="1"/>
    <col min="2" max="2" width="23.81640625" style="126" hidden="1" customWidth="1"/>
    <col min="3" max="3" width="82.81640625" style="122" customWidth="1"/>
    <col min="4" max="4" width="21.08984375" style="122" customWidth="1"/>
    <col min="5" max="5" width="1.6328125" style="122" customWidth="1"/>
    <col min="6" max="6" width="18.1796875" style="122" customWidth="1"/>
    <col min="7" max="7" width="1.6328125" style="122" customWidth="1"/>
    <col min="8" max="8" width="55.90625" style="122" customWidth="1"/>
    <col min="9" max="9" width="5.08984375" style="122" customWidth="1"/>
    <col min="10" max="10" width="8.81640625" style="122"/>
    <col min="11" max="11" width="20.36328125" style="122" bestFit="1" customWidth="1"/>
    <col min="12" max="16384" width="8.81640625" style="122"/>
  </cols>
  <sheetData>
    <row r="1" spans="1:9">
      <c r="A1" s="490"/>
      <c r="H1" s="707"/>
      <c r="I1" s="126"/>
    </row>
    <row r="2" spans="1:9">
      <c r="C2" s="973" t="s">
        <v>0</v>
      </c>
      <c r="D2" s="973"/>
      <c r="E2" s="973"/>
      <c r="F2" s="973"/>
      <c r="G2" s="973"/>
      <c r="H2" s="973"/>
      <c r="I2" s="126"/>
    </row>
    <row r="3" spans="1:9">
      <c r="C3" s="973" t="s">
        <v>162</v>
      </c>
      <c r="D3" s="973"/>
      <c r="E3" s="973"/>
      <c r="F3" s="973"/>
      <c r="G3" s="973"/>
      <c r="H3" s="973"/>
      <c r="I3" s="126"/>
    </row>
    <row r="4" spans="1:9">
      <c r="C4" s="973" t="s">
        <v>163</v>
      </c>
      <c r="D4" s="973"/>
      <c r="E4" s="973"/>
      <c r="F4" s="973"/>
      <c r="G4" s="973"/>
      <c r="H4" s="973"/>
      <c r="I4" s="126"/>
    </row>
    <row r="5" spans="1:9">
      <c r="C5" s="974" t="s">
        <v>464</v>
      </c>
      <c r="D5" s="974"/>
      <c r="E5" s="974"/>
      <c r="F5" s="974"/>
      <c r="G5" s="974"/>
      <c r="H5" s="974"/>
      <c r="I5" s="126"/>
    </row>
    <row r="6" spans="1:9">
      <c r="C6" s="975" t="s">
        <v>1</v>
      </c>
      <c r="D6" s="976"/>
      <c r="E6" s="976"/>
      <c r="F6" s="976"/>
      <c r="G6" s="976"/>
      <c r="H6" s="976"/>
      <c r="I6" s="126"/>
    </row>
    <row r="7" spans="1:9">
      <c r="C7" s="126"/>
      <c r="D7" s="126"/>
      <c r="E7" s="126"/>
      <c r="F7" s="207"/>
      <c r="G7" s="207"/>
      <c r="H7" s="126"/>
      <c r="I7" s="126"/>
    </row>
    <row r="8" spans="1:9">
      <c r="A8" s="126" t="s">
        <v>2</v>
      </c>
      <c r="C8" s="499"/>
      <c r="D8" s="126" t="s">
        <v>149</v>
      </c>
      <c r="E8" s="499"/>
      <c r="F8" s="208"/>
      <c r="G8" s="208"/>
      <c r="H8" s="126"/>
      <c r="I8" s="126" t="s">
        <v>2</v>
      </c>
    </row>
    <row r="9" spans="1:9">
      <c r="A9" s="126" t="s">
        <v>3</v>
      </c>
      <c r="B9" s="559" t="s">
        <v>160</v>
      </c>
      <c r="D9" s="559" t="s">
        <v>150</v>
      </c>
      <c r="E9" s="499"/>
      <c r="F9" s="566" t="s">
        <v>32</v>
      </c>
      <c r="G9" s="208"/>
      <c r="H9" s="559" t="s">
        <v>5</v>
      </c>
      <c r="I9" s="126" t="s">
        <v>3</v>
      </c>
    </row>
    <row r="10" spans="1:9">
      <c r="D10" s="499"/>
      <c r="E10" s="499"/>
      <c r="F10" s="208"/>
      <c r="G10" s="208"/>
      <c r="H10" s="126"/>
      <c r="I10" s="126"/>
    </row>
    <row r="11" spans="1:9">
      <c r="A11" s="126">
        <v>1</v>
      </c>
      <c r="C11" s="9" t="s">
        <v>164</v>
      </c>
      <c r="D11" s="499"/>
      <c r="E11" s="499"/>
      <c r="F11" s="208"/>
      <c r="G11" s="208"/>
      <c r="H11" s="126"/>
      <c r="I11" s="126">
        <f>A11</f>
        <v>1</v>
      </c>
    </row>
    <row r="12" spans="1:9">
      <c r="A12" s="126">
        <f>+A11+1</f>
        <v>2</v>
      </c>
      <c r="B12" s="204" t="s">
        <v>165</v>
      </c>
      <c r="C12" s="80" t="s">
        <v>166</v>
      </c>
      <c r="D12" s="499"/>
      <c r="E12" s="499"/>
      <c r="F12" s="205">
        <v>122.61631000000004</v>
      </c>
      <c r="G12" s="208"/>
      <c r="H12" s="126" t="s">
        <v>465</v>
      </c>
      <c r="I12" s="126">
        <f>I11+1</f>
        <v>2</v>
      </c>
    </row>
    <row r="13" spans="1:9">
      <c r="A13" s="126">
        <f t="shared" ref="A13:A71" si="0">+A12+1</f>
        <v>3</v>
      </c>
      <c r="D13" s="499"/>
      <c r="E13" s="499"/>
      <c r="F13" s="208"/>
      <c r="G13" s="208"/>
      <c r="H13" s="126"/>
      <c r="I13" s="126">
        <f t="shared" ref="I13:I71" si="1">I12+1</f>
        <v>3</v>
      </c>
    </row>
    <row r="14" spans="1:9">
      <c r="A14" s="126">
        <f t="shared" si="0"/>
        <v>4</v>
      </c>
      <c r="C14" s="9" t="s">
        <v>167</v>
      </c>
      <c r="H14" s="126"/>
      <c r="I14" s="126">
        <f t="shared" si="1"/>
        <v>4</v>
      </c>
    </row>
    <row r="15" spans="1:9">
      <c r="A15" s="126">
        <f t="shared" si="0"/>
        <v>5</v>
      </c>
      <c r="C15" s="1" t="s">
        <v>168</v>
      </c>
      <c r="D15" s="126"/>
      <c r="F15" s="205">
        <v>89266.053619999991</v>
      </c>
      <c r="H15" s="126" t="s">
        <v>466</v>
      </c>
      <c r="I15" s="126">
        <f t="shared" si="1"/>
        <v>5</v>
      </c>
    </row>
    <row r="16" spans="1:9">
      <c r="A16" s="126">
        <f t="shared" si="0"/>
        <v>6</v>
      </c>
      <c r="C16" s="1" t="s">
        <v>169</v>
      </c>
      <c r="F16" s="189"/>
      <c r="H16" s="126"/>
      <c r="I16" s="126">
        <f t="shared" si="1"/>
        <v>6</v>
      </c>
    </row>
    <row r="17" spans="1:9">
      <c r="A17" s="126">
        <f t="shared" si="0"/>
        <v>7</v>
      </c>
      <c r="C17" s="1" t="s">
        <v>170</v>
      </c>
      <c r="D17" s="193"/>
      <c r="F17" s="169">
        <v>-5877.8884600000001</v>
      </c>
      <c r="H17" s="126" t="s">
        <v>467</v>
      </c>
      <c r="I17" s="126">
        <f t="shared" si="1"/>
        <v>7</v>
      </c>
    </row>
    <row r="18" spans="1:9">
      <c r="A18" s="126">
        <f t="shared" si="0"/>
        <v>8</v>
      </c>
      <c r="C18" s="1" t="s">
        <v>171</v>
      </c>
      <c r="F18" s="169">
        <v>-2718.2313100000001</v>
      </c>
      <c r="H18" s="126" t="s">
        <v>468</v>
      </c>
      <c r="I18" s="126">
        <f t="shared" si="1"/>
        <v>8</v>
      </c>
    </row>
    <row r="19" spans="1:9">
      <c r="A19" s="126">
        <f t="shared" si="0"/>
        <v>9</v>
      </c>
      <c r="C19" s="80" t="s">
        <v>172</v>
      </c>
      <c r="F19" s="169">
        <v>-8343</v>
      </c>
      <c r="H19" s="126" t="s">
        <v>469</v>
      </c>
      <c r="I19" s="126">
        <f t="shared" si="1"/>
        <v>9</v>
      </c>
    </row>
    <row r="20" spans="1:9">
      <c r="A20" s="126">
        <f t="shared" si="0"/>
        <v>10</v>
      </c>
      <c r="C20" s="80" t="s">
        <v>173</v>
      </c>
      <c r="F20" s="169">
        <v>0</v>
      </c>
      <c r="H20" s="126" t="s">
        <v>470</v>
      </c>
      <c r="I20" s="126">
        <f t="shared" si="1"/>
        <v>10</v>
      </c>
    </row>
    <row r="21" spans="1:9">
      <c r="A21" s="126">
        <f t="shared" si="0"/>
        <v>11</v>
      </c>
      <c r="C21" s="1" t="s">
        <v>174</v>
      </c>
      <c r="F21" s="169">
        <v>0</v>
      </c>
      <c r="H21" s="126" t="s">
        <v>471</v>
      </c>
      <c r="I21" s="126">
        <f t="shared" si="1"/>
        <v>11</v>
      </c>
    </row>
    <row r="22" spans="1:9">
      <c r="A22" s="126">
        <f t="shared" si="0"/>
        <v>12</v>
      </c>
      <c r="C22" s="1" t="s">
        <v>175</v>
      </c>
      <c r="F22" s="169">
        <v>-3045.7638999999999</v>
      </c>
      <c r="H22" s="126" t="s">
        <v>472</v>
      </c>
      <c r="I22" s="126">
        <f t="shared" si="1"/>
        <v>12</v>
      </c>
    </row>
    <row r="23" spans="1:9">
      <c r="A23" s="126">
        <f t="shared" si="0"/>
        <v>13</v>
      </c>
      <c r="C23" s="80" t="s">
        <v>176</v>
      </c>
      <c r="F23" s="169">
        <v>-14934.723</v>
      </c>
      <c r="H23" s="126" t="s">
        <v>473</v>
      </c>
      <c r="I23" s="126">
        <f t="shared" si="1"/>
        <v>13</v>
      </c>
    </row>
    <row r="24" spans="1:9">
      <c r="A24" s="126">
        <f t="shared" si="0"/>
        <v>14</v>
      </c>
      <c r="C24" s="80" t="s">
        <v>177</v>
      </c>
      <c r="F24" s="169">
        <v>-14791.550999999999</v>
      </c>
      <c r="H24" s="126" t="s">
        <v>474</v>
      </c>
      <c r="I24" s="126">
        <f t="shared" si="1"/>
        <v>14</v>
      </c>
    </row>
    <row r="25" spans="1:9">
      <c r="A25" s="126">
        <f t="shared" si="0"/>
        <v>15</v>
      </c>
      <c r="C25" s="80" t="s">
        <v>178</v>
      </c>
      <c r="F25" s="169">
        <v>-671.30499999999995</v>
      </c>
      <c r="H25" s="126" t="s">
        <v>475</v>
      </c>
      <c r="I25" s="126">
        <f t="shared" si="1"/>
        <v>15</v>
      </c>
    </row>
    <row r="26" spans="1:9">
      <c r="A26" s="126">
        <f t="shared" si="0"/>
        <v>16</v>
      </c>
      <c r="C26" s="1" t="s">
        <v>179</v>
      </c>
      <c r="F26" s="169">
        <v>0</v>
      </c>
      <c r="H26" s="126" t="s">
        <v>476</v>
      </c>
      <c r="I26" s="126">
        <f t="shared" si="1"/>
        <v>16</v>
      </c>
    </row>
    <row r="27" spans="1:9">
      <c r="A27" s="126">
        <f t="shared" si="0"/>
        <v>17</v>
      </c>
      <c r="C27" s="1" t="s">
        <v>477</v>
      </c>
      <c r="F27" s="808">
        <v>-543.57100000000003</v>
      </c>
      <c r="G27" s="641"/>
      <c r="H27" s="126" t="s">
        <v>478</v>
      </c>
      <c r="I27" s="126">
        <f t="shared" si="1"/>
        <v>17</v>
      </c>
    </row>
    <row r="28" spans="1:9">
      <c r="A28" s="126">
        <f t="shared" si="0"/>
        <v>18</v>
      </c>
      <c r="C28" s="1" t="s">
        <v>589</v>
      </c>
      <c r="F28" s="808">
        <v>-692.92700000000002</v>
      </c>
      <c r="G28" s="641"/>
      <c r="H28" s="126" t="s">
        <v>677</v>
      </c>
      <c r="I28" s="126">
        <f t="shared" si="1"/>
        <v>18</v>
      </c>
    </row>
    <row r="29" spans="1:9" ht="16" thickBot="1">
      <c r="A29" s="126">
        <f t="shared" si="0"/>
        <v>19</v>
      </c>
      <c r="C29" s="1" t="s">
        <v>180</v>
      </c>
      <c r="F29" s="714">
        <f>SUM(F15:F28)</f>
        <v>37647.092949999977</v>
      </c>
      <c r="G29" s="641"/>
      <c r="H29" s="210" t="s">
        <v>588</v>
      </c>
      <c r="I29" s="126">
        <f t="shared" si="1"/>
        <v>19</v>
      </c>
    </row>
    <row r="30" spans="1:9" ht="16" thickTop="1">
      <c r="A30" s="126">
        <f t="shared" si="0"/>
        <v>20</v>
      </c>
      <c r="F30" s="118"/>
      <c r="I30" s="126">
        <f t="shared" si="1"/>
        <v>20</v>
      </c>
    </row>
    <row r="31" spans="1:9">
      <c r="A31" s="126">
        <f t="shared" si="0"/>
        <v>21</v>
      </c>
      <c r="C31" s="10" t="s">
        <v>181</v>
      </c>
      <c r="F31" s="211"/>
      <c r="H31" s="126"/>
      <c r="I31" s="126">
        <f t="shared" si="1"/>
        <v>21</v>
      </c>
    </row>
    <row r="32" spans="1:9">
      <c r="A32" s="126">
        <f t="shared" si="0"/>
        <v>22</v>
      </c>
      <c r="C32" s="3" t="s">
        <v>182</v>
      </c>
      <c r="D32" s="126"/>
      <c r="F32" s="205">
        <v>478358.91339000006</v>
      </c>
      <c r="H32" s="126" t="s">
        <v>757</v>
      </c>
      <c r="I32" s="126">
        <f t="shared" si="1"/>
        <v>22</v>
      </c>
    </row>
    <row r="33" spans="1:11">
      <c r="A33" s="126">
        <f t="shared" si="0"/>
        <v>23</v>
      </c>
      <c r="C33" s="3" t="s">
        <v>183</v>
      </c>
      <c r="F33" s="211" t="s">
        <v>6</v>
      </c>
      <c r="H33" s="126"/>
      <c r="I33" s="126">
        <f t="shared" si="1"/>
        <v>23</v>
      </c>
    </row>
    <row r="34" spans="1:11">
      <c r="A34" s="126">
        <f t="shared" si="0"/>
        <v>24</v>
      </c>
      <c r="C34" s="7" t="s">
        <v>184</v>
      </c>
      <c r="F34" s="169">
        <v>0</v>
      </c>
      <c r="H34" s="126" t="s">
        <v>748</v>
      </c>
      <c r="I34" s="126">
        <f t="shared" si="1"/>
        <v>24</v>
      </c>
      <c r="J34" s="212"/>
      <c r="K34" s="213"/>
    </row>
    <row r="35" spans="1:11" ht="15.75" customHeight="1">
      <c r="A35" s="126">
        <f t="shared" si="0"/>
        <v>25</v>
      </c>
      <c r="C35" s="8" t="s">
        <v>185</v>
      </c>
      <c r="F35" s="169">
        <v>0</v>
      </c>
      <c r="H35" s="126" t="s">
        <v>749</v>
      </c>
      <c r="I35" s="126">
        <f t="shared" si="1"/>
        <v>25</v>
      </c>
      <c r="J35" s="212"/>
      <c r="K35" s="214"/>
    </row>
    <row r="36" spans="1:11">
      <c r="A36" s="126">
        <f t="shared" si="0"/>
        <v>26</v>
      </c>
      <c r="C36" s="7" t="s">
        <v>186</v>
      </c>
      <c r="F36" s="169">
        <v>-1333.8680300000003</v>
      </c>
      <c r="H36" s="126" t="s">
        <v>750</v>
      </c>
      <c r="I36" s="126">
        <f t="shared" si="1"/>
        <v>26</v>
      </c>
    </row>
    <row r="37" spans="1:11">
      <c r="A37" s="126">
        <f t="shared" si="0"/>
        <v>27</v>
      </c>
      <c r="C37" s="7" t="s">
        <v>187</v>
      </c>
      <c r="F37" s="169">
        <v>-8601.3346500000007</v>
      </c>
      <c r="H37" s="126" t="s">
        <v>751</v>
      </c>
      <c r="I37" s="126">
        <f t="shared" si="1"/>
        <v>27</v>
      </c>
      <c r="K37" s="213"/>
    </row>
    <row r="38" spans="1:11">
      <c r="A38" s="126">
        <f t="shared" si="0"/>
        <v>28</v>
      </c>
      <c r="C38" s="7" t="s">
        <v>188</v>
      </c>
      <c r="F38" s="169">
        <v>-140.84690000000001</v>
      </c>
      <c r="H38" s="126" t="s">
        <v>752</v>
      </c>
      <c r="I38" s="126">
        <f t="shared" si="1"/>
        <v>28</v>
      </c>
      <c r="J38" s="212"/>
    </row>
    <row r="39" spans="1:11">
      <c r="A39" s="126">
        <f t="shared" si="0"/>
        <v>29</v>
      </c>
      <c r="C39" s="7" t="s">
        <v>189</v>
      </c>
      <c r="F39" s="169">
        <v>-242.68352000000002</v>
      </c>
      <c r="H39" s="126" t="s">
        <v>753</v>
      </c>
      <c r="I39" s="126">
        <f t="shared" si="1"/>
        <v>29</v>
      </c>
      <c r="J39" s="212"/>
      <c r="K39" s="213"/>
    </row>
    <row r="40" spans="1:11">
      <c r="A40" s="126">
        <f t="shared" si="0"/>
        <v>30</v>
      </c>
      <c r="C40" s="7" t="s">
        <v>190</v>
      </c>
      <c r="F40" s="169">
        <v>-446.61920875499993</v>
      </c>
      <c r="H40" s="215" t="s">
        <v>754</v>
      </c>
      <c r="I40" s="126">
        <f t="shared" si="1"/>
        <v>30</v>
      </c>
    </row>
    <row r="41" spans="1:11">
      <c r="A41" s="126">
        <f t="shared" si="0"/>
        <v>31</v>
      </c>
      <c r="C41" s="7" t="s">
        <v>191</v>
      </c>
      <c r="F41" s="169">
        <v>-65.000791141999997</v>
      </c>
      <c r="H41" s="126" t="s">
        <v>755</v>
      </c>
      <c r="I41" s="126">
        <f t="shared" si="1"/>
        <v>31</v>
      </c>
    </row>
    <row r="42" spans="1:11">
      <c r="A42" s="126">
        <f t="shared" si="0"/>
        <v>32</v>
      </c>
      <c r="C42" s="7" t="s">
        <v>192</v>
      </c>
      <c r="F42" s="169">
        <v>-134312.73308000001</v>
      </c>
      <c r="H42" s="126" t="s">
        <v>756</v>
      </c>
      <c r="I42" s="126">
        <f t="shared" si="1"/>
        <v>32</v>
      </c>
    </row>
    <row r="43" spans="1:11">
      <c r="A43" s="126">
        <f t="shared" si="0"/>
        <v>33</v>
      </c>
      <c r="C43" s="1" t="s">
        <v>762</v>
      </c>
      <c r="F43" s="169">
        <v>826.245</v>
      </c>
      <c r="H43" s="126" t="s">
        <v>747</v>
      </c>
      <c r="I43" s="126">
        <f t="shared" si="1"/>
        <v>33</v>
      </c>
    </row>
    <row r="44" spans="1:11">
      <c r="A44" s="126">
        <f t="shared" si="0"/>
        <v>34</v>
      </c>
      <c r="C44" s="1" t="s">
        <v>719</v>
      </c>
      <c r="F44" s="169">
        <f>'Pg9.3 As Filed AH-3 FERC Adj'!J31</f>
        <v>1984.1449999999998</v>
      </c>
      <c r="H44" s="126" t="s">
        <v>746</v>
      </c>
      <c r="I44" s="126">
        <f t="shared" si="1"/>
        <v>34</v>
      </c>
    </row>
    <row r="45" spans="1:11">
      <c r="A45" s="126">
        <f t="shared" si="0"/>
        <v>35</v>
      </c>
      <c r="C45" s="5" t="s">
        <v>477</v>
      </c>
      <c r="F45" s="709">
        <f>-'Pg9.2 Rev AH-3'!M30</f>
        <v>359.85032999999999</v>
      </c>
      <c r="G45" s="641" t="s">
        <v>439</v>
      </c>
      <c r="H45" s="215" t="s">
        <v>761</v>
      </c>
      <c r="I45" s="126">
        <f t="shared" si="1"/>
        <v>35</v>
      </c>
    </row>
    <row r="46" spans="1:11">
      <c r="A46" s="126">
        <f t="shared" si="0"/>
        <v>36</v>
      </c>
      <c r="C46" s="3" t="s">
        <v>193</v>
      </c>
      <c r="F46" s="710">
        <f>SUM(F32:F45)</f>
        <v>336386.06754010305</v>
      </c>
      <c r="G46" s="641" t="s">
        <v>439</v>
      </c>
      <c r="H46" s="126" t="s">
        <v>720</v>
      </c>
      <c r="I46" s="126">
        <f t="shared" si="1"/>
        <v>36</v>
      </c>
      <c r="K46" s="952"/>
    </row>
    <row r="47" spans="1:11">
      <c r="A47" s="126">
        <f t="shared" si="0"/>
        <v>37</v>
      </c>
      <c r="C47" s="3" t="s">
        <v>194</v>
      </c>
      <c r="F47" s="568">
        <v>-5523.0058700000009</v>
      </c>
      <c r="H47" s="126" t="s">
        <v>491</v>
      </c>
      <c r="I47" s="126">
        <f t="shared" si="1"/>
        <v>37</v>
      </c>
      <c r="K47" s="952"/>
    </row>
    <row r="48" spans="1:11">
      <c r="A48" s="126">
        <f t="shared" si="0"/>
        <v>38</v>
      </c>
      <c r="C48" s="3" t="s">
        <v>195</v>
      </c>
      <c r="F48" s="710">
        <f>SUM(F46:F47)</f>
        <v>330863.06167010305</v>
      </c>
      <c r="G48" s="641" t="s">
        <v>439</v>
      </c>
      <c r="H48" s="126" t="s">
        <v>721</v>
      </c>
      <c r="I48" s="126">
        <f t="shared" si="1"/>
        <v>38</v>
      </c>
    </row>
    <row r="49" spans="1:11">
      <c r="A49" s="126">
        <f t="shared" si="0"/>
        <v>39</v>
      </c>
      <c r="C49" s="1" t="s">
        <v>152</v>
      </c>
      <c r="F49" s="569">
        <v>0.10361330044910678</v>
      </c>
      <c r="H49" s="210" t="s">
        <v>493</v>
      </c>
      <c r="I49" s="126">
        <f t="shared" si="1"/>
        <v>39</v>
      </c>
    </row>
    <row r="50" spans="1:11">
      <c r="A50" s="126">
        <f t="shared" si="0"/>
        <v>40</v>
      </c>
      <c r="C50" s="3" t="s">
        <v>196</v>
      </c>
      <c r="F50" s="711">
        <f>F48*F49</f>
        <v>34281.813816335736</v>
      </c>
      <c r="G50" s="641" t="s">
        <v>439</v>
      </c>
      <c r="H50" s="126" t="s">
        <v>722</v>
      </c>
      <c r="I50" s="126">
        <f t="shared" si="1"/>
        <v>40</v>
      </c>
    </row>
    <row r="51" spans="1:11">
      <c r="A51" s="126">
        <f t="shared" si="0"/>
        <v>41</v>
      </c>
      <c r="C51" s="122" t="s">
        <v>197</v>
      </c>
      <c r="F51" s="951">
        <f>F71*(-F47)</f>
        <v>2191.4303773959796</v>
      </c>
      <c r="G51" s="641"/>
      <c r="H51" s="126" t="s">
        <v>590</v>
      </c>
      <c r="I51" s="126">
        <f t="shared" si="1"/>
        <v>41</v>
      </c>
    </row>
    <row r="52" spans="1:11" ht="16" thickBot="1">
      <c r="A52" s="126">
        <f t="shared" si="0"/>
        <v>42</v>
      </c>
      <c r="C52" s="204" t="s">
        <v>198</v>
      </c>
      <c r="F52" s="712">
        <f>F51+F50</f>
        <v>36473.244193731713</v>
      </c>
      <c r="G52" s="641" t="s">
        <v>439</v>
      </c>
      <c r="H52" s="126" t="s">
        <v>723</v>
      </c>
      <c r="I52" s="126">
        <f t="shared" si="1"/>
        <v>42</v>
      </c>
      <c r="J52" s="204"/>
      <c r="K52" s="214"/>
    </row>
    <row r="53" spans="1:11" ht="16" thickTop="1">
      <c r="A53" s="126">
        <f t="shared" si="0"/>
        <v>43</v>
      </c>
      <c r="C53" s="216"/>
      <c r="F53" s="217"/>
      <c r="H53" s="126"/>
      <c r="I53" s="126">
        <f t="shared" si="1"/>
        <v>43</v>
      </c>
    </row>
    <row r="54" spans="1:11">
      <c r="A54" s="126">
        <f t="shared" si="0"/>
        <v>44</v>
      </c>
      <c r="C54" s="4" t="s">
        <v>199</v>
      </c>
      <c r="F54" s="218"/>
      <c r="H54" s="126"/>
      <c r="I54" s="126">
        <f t="shared" si="1"/>
        <v>44</v>
      </c>
    </row>
    <row r="55" spans="1:11">
      <c r="A55" s="126">
        <f t="shared" si="0"/>
        <v>45</v>
      </c>
      <c r="C55" s="3" t="s">
        <v>200</v>
      </c>
      <c r="F55" s="219">
        <v>5762981.7698807688</v>
      </c>
      <c r="G55" s="641"/>
      <c r="H55" s="126" t="s">
        <v>690</v>
      </c>
      <c r="I55" s="126">
        <f t="shared" si="1"/>
        <v>45</v>
      </c>
    </row>
    <row r="56" spans="1:11">
      <c r="A56" s="126">
        <f t="shared" si="0"/>
        <v>46</v>
      </c>
      <c r="C56" s="3" t="s">
        <v>154</v>
      </c>
      <c r="F56" s="220">
        <v>0</v>
      </c>
      <c r="H56" s="126" t="s">
        <v>161</v>
      </c>
      <c r="I56" s="126">
        <f t="shared" si="1"/>
        <v>46</v>
      </c>
    </row>
    <row r="57" spans="1:11">
      <c r="A57" s="126">
        <f t="shared" si="0"/>
        <v>47</v>
      </c>
      <c r="C57" s="3" t="s">
        <v>155</v>
      </c>
      <c r="F57" s="221">
        <v>40640.98521124445</v>
      </c>
      <c r="G57" s="641"/>
      <c r="H57" s="222" t="s">
        <v>691</v>
      </c>
      <c r="I57" s="126">
        <f t="shared" si="1"/>
        <v>47</v>
      </c>
    </row>
    <row r="58" spans="1:11">
      <c r="A58" s="126">
        <f t="shared" si="0"/>
        <v>48</v>
      </c>
      <c r="C58" s="3" t="s">
        <v>156</v>
      </c>
      <c r="F58" s="570">
        <v>94758.172821047265</v>
      </c>
      <c r="G58" s="641"/>
      <c r="H58" s="222" t="s">
        <v>692</v>
      </c>
      <c r="I58" s="126">
        <f t="shared" si="1"/>
        <v>48</v>
      </c>
    </row>
    <row r="59" spans="1:11" ht="16" thickBot="1">
      <c r="A59" s="126">
        <f t="shared" si="0"/>
        <v>49</v>
      </c>
      <c r="C59" s="3" t="s">
        <v>201</v>
      </c>
      <c r="F59" s="713">
        <f>SUM(F55:F58)</f>
        <v>5898380.9279130613</v>
      </c>
      <c r="G59" s="641"/>
      <c r="H59" s="126" t="s">
        <v>724</v>
      </c>
      <c r="I59" s="126">
        <f t="shared" si="1"/>
        <v>49</v>
      </c>
      <c r="J59" s="112"/>
      <c r="K59" s="214"/>
    </row>
    <row r="60" spans="1:11" ht="16" thickTop="1">
      <c r="A60" s="126">
        <f t="shared" si="0"/>
        <v>50</v>
      </c>
      <c r="C60" s="216"/>
      <c r="F60" s="118"/>
      <c r="H60" s="126"/>
      <c r="I60" s="126">
        <f t="shared" si="1"/>
        <v>50</v>
      </c>
    </row>
    <row r="61" spans="1:11">
      <c r="A61" s="126">
        <f t="shared" si="0"/>
        <v>51</v>
      </c>
      <c r="C61" s="3" t="s">
        <v>153</v>
      </c>
      <c r="F61" s="223">
        <f>F55</f>
        <v>5762981.7698807688</v>
      </c>
      <c r="G61" s="641"/>
      <c r="H61" s="176" t="s">
        <v>725</v>
      </c>
      <c r="I61" s="126">
        <f t="shared" si="1"/>
        <v>51</v>
      </c>
    </row>
    <row r="62" spans="1:11">
      <c r="A62" s="126">
        <f t="shared" si="0"/>
        <v>52</v>
      </c>
      <c r="C62" s="3" t="s">
        <v>202</v>
      </c>
      <c r="F62" s="224">
        <v>545860.5006992307</v>
      </c>
      <c r="G62" s="641"/>
      <c r="H62" s="222" t="s">
        <v>693</v>
      </c>
      <c r="I62" s="126">
        <f t="shared" si="1"/>
        <v>52</v>
      </c>
    </row>
    <row r="63" spans="1:11">
      <c r="A63" s="126">
        <f t="shared" si="0"/>
        <v>53</v>
      </c>
      <c r="C63" s="3" t="s">
        <v>203</v>
      </c>
      <c r="F63" s="220">
        <v>0</v>
      </c>
      <c r="H63" s="126" t="s">
        <v>161</v>
      </c>
      <c r="I63" s="126">
        <f t="shared" si="1"/>
        <v>53</v>
      </c>
    </row>
    <row r="64" spans="1:11">
      <c r="A64" s="126">
        <f t="shared" si="0"/>
        <v>54</v>
      </c>
      <c r="C64" s="3" t="s">
        <v>204</v>
      </c>
      <c r="F64" s="224">
        <v>518891.12072000001</v>
      </c>
      <c r="G64" s="641"/>
      <c r="H64" s="222" t="s">
        <v>694</v>
      </c>
      <c r="I64" s="126">
        <f t="shared" si="1"/>
        <v>54</v>
      </c>
    </row>
    <row r="65" spans="1:10">
      <c r="A65" s="126">
        <f t="shared" si="0"/>
        <v>55</v>
      </c>
      <c r="C65" s="3" t="s">
        <v>205</v>
      </c>
      <c r="F65" s="224">
        <v>6731031.1244399995</v>
      </c>
      <c r="G65" s="641"/>
      <c r="H65" s="222" t="s">
        <v>695</v>
      </c>
      <c r="I65" s="126">
        <f t="shared" si="1"/>
        <v>55</v>
      </c>
    </row>
    <row r="66" spans="1:10">
      <c r="A66" s="126">
        <f t="shared" si="0"/>
        <v>56</v>
      </c>
      <c r="C66" s="204" t="s">
        <v>154</v>
      </c>
      <c r="F66" s="220">
        <v>0</v>
      </c>
      <c r="G66" s="641"/>
      <c r="H66" s="126" t="s">
        <v>161</v>
      </c>
      <c r="I66" s="126">
        <f t="shared" si="1"/>
        <v>56</v>
      </c>
    </row>
    <row r="67" spans="1:10">
      <c r="A67" s="126">
        <f t="shared" si="0"/>
        <v>57</v>
      </c>
      <c r="C67" s="3" t="s">
        <v>206</v>
      </c>
      <c r="F67" s="224">
        <v>392237.14557000005</v>
      </c>
      <c r="G67" s="641"/>
      <c r="H67" s="222" t="s">
        <v>683</v>
      </c>
      <c r="I67" s="126">
        <f t="shared" si="1"/>
        <v>57</v>
      </c>
    </row>
    <row r="68" spans="1:10">
      <c r="A68" s="126">
        <f t="shared" si="0"/>
        <v>58</v>
      </c>
      <c r="C68" s="3" t="s">
        <v>207</v>
      </c>
      <c r="F68" s="571">
        <v>914536.76709768525</v>
      </c>
      <c r="G68" s="641"/>
      <c r="H68" s="222" t="s">
        <v>682</v>
      </c>
      <c r="I68" s="126">
        <f t="shared" si="1"/>
        <v>58</v>
      </c>
    </row>
    <row r="69" spans="1:10" ht="16" thickBot="1">
      <c r="A69" s="126">
        <f t="shared" si="0"/>
        <v>59</v>
      </c>
      <c r="C69" s="3" t="s">
        <v>208</v>
      </c>
      <c r="F69" s="714">
        <f>SUM(F61:F68)</f>
        <v>14865538.428407686</v>
      </c>
      <c r="G69" s="641"/>
      <c r="H69" s="126" t="s">
        <v>726</v>
      </c>
      <c r="I69" s="126">
        <f t="shared" si="1"/>
        <v>59</v>
      </c>
      <c r="J69" s="112"/>
    </row>
    <row r="70" spans="1:10" ht="16" thickTop="1">
      <c r="A70" s="126">
        <f t="shared" si="0"/>
        <v>60</v>
      </c>
      <c r="F70" s="197"/>
      <c r="H70" s="126"/>
      <c r="I70" s="126">
        <f t="shared" si="1"/>
        <v>60</v>
      </c>
    </row>
    <row r="71" spans="1:10" ht="19" thickBot="1">
      <c r="A71" s="126">
        <f t="shared" si="0"/>
        <v>61</v>
      </c>
      <c r="C71" s="3" t="s">
        <v>209</v>
      </c>
      <c r="F71" s="572">
        <f>F59/F69</f>
        <v>0.39678219233831435</v>
      </c>
      <c r="G71" s="641"/>
      <c r="H71" s="126" t="s">
        <v>727</v>
      </c>
      <c r="I71" s="126">
        <f t="shared" si="1"/>
        <v>61</v>
      </c>
      <c r="J71" s="112"/>
    </row>
    <row r="72" spans="1:10" ht="16" thickTop="1">
      <c r="C72" s="3"/>
      <c r="F72" s="874"/>
      <c r="G72" s="641"/>
      <c r="H72" s="126"/>
      <c r="I72" s="126"/>
      <c r="J72" s="112"/>
    </row>
    <row r="73" spans="1:10">
      <c r="C73" s="204" t="s">
        <v>6</v>
      </c>
      <c r="F73" s="225"/>
      <c r="H73" s="126"/>
      <c r="I73" s="126"/>
    </row>
    <row r="74" spans="1:10">
      <c r="A74" s="641" t="s">
        <v>439</v>
      </c>
      <c r="B74" s="5" t="s">
        <v>461</v>
      </c>
      <c r="C74" s="5" t="str">
        <f>'Pg7 Rev Sec 4a-TU'!B46</f>
        <v>Items in BOLD have changed to correct the over-allocation of "Duplicate Charges (Company Energy Use)" Credit in FERC Account no. 929.</v>
      </c>
      <c r="F74" s="225"/>
      <c r="G74" s="225"/>
      <c r="H74" s="126"/>
      <c r="I74" s="126"/>
    </row>
    <row r="75" spans="1:10" ht="18">
      <c r="A75" s="226">
        <v>1</v>
      </c>
      <c r="B75" s="226"/>
      <c r="C75" s="3" t="s">
        <v>494</v>
      </c>
      <c r="I75" s="126"/>
    </row>
    <row r="76" spans="1:10">
      <c r="C76" s="204"/>
      <c r="F76" s="197"/>
      <c r="G76" s="197"/>
      <c r="H76" s="126"/>
      <c r="I76" s="126"/>
    </row>
  </sheetData>
  <mergeCells count="5">
    <mergeCell ref="C2:H2"/>
    <mergeCell ref="C3:H3"/>
    <mergeCell ref="C4:H4"/>
    <mergeCell ref="C5:H5"/>
    <mergeCell ref="C6:H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9DA5-8472-42AE-9FFD-E15560F2C24A}">
  <sheetPr>
    <pageSetUpPr fitToPage="1"/>
  </sheetPr>
  <dimension ref="A1:K76"/>
  <sheetViews>
    <sheetView zoomScale="80" zoomScaleNormal="80" workbookViewId="0"/>
  </sheetViews>
  <sheetFormatPr defaultColWidth="8.81640625" defaultRowHeight="15.5"/>
  <cols>
    <col min="1" max="1" width="5.1796875" style="126" bestFit="1" customWidth="1"/>
    <col min="2" max="2" width="23.81640625" style="126" hidden="1" customWidth="1"/>
    <col min="3" max="3" width="82.81640625" style="122" customWidth="1"/>
    <col min="4" max="4" width="21.08984375" style="122" customWidth="1"/>
    <col min="5" max="5" width="1.6328125" style="122" customWidth="1"/>
    <col min="6" max="6" width="18.1796875" style="122" customWidth="1"/>
    <col min="7" max="7" width="1.6328125" style="122" customWidth="1"/>
    <col min="8" max="8" width="55.90625" style="122" customWidth="1"/>
    <col min="9" max="9" width="5.08984375" style="122" customWidth="1"/>
    <col min="10" max="10" width="8.81640625" style="122"/>
    <col min="11" max="11" width="20.36328125" style="122" bestFit="1" customWidth="1"/>
    <col min="12" max="16384" width="8.81640625" style="122"/>
  </cols>
  <sheetData>
    <row r="1" spans="1:9">
      <c r="A1" s="926" t="s">
        <v>739</v>
      </c>
    </row>
    <row r="2" spans="1:9">
      <c r="A2" s="490"/>
      <c r="H2" s="707"/>
      <c r="I2" s="126"/>
    </row>
    <row r="3" spans="1:9">
      <c r="C3" s="973" t="s">
        <v>0</v>
      </c>
      <c r="D3" s="973"/>
      <c r="E3" s="973"/>
      <c r="F3" s="973"/>
      <c r="G3" s="973"/>
      <c r="H3" s="973"/>
      <c r="I3" s="126"/>
    </row>
    <row r="4" spans="1:9">
      <c r="C4" s="973" t="s">
        <v>162</v>
      </c>
      <c r="D4" s="973"/>
      <c r="E4" s="973"/>
      <c r="F4" s="973"/>
      <c r="G4" s="973"/>
      <c r="H4" s="973"/>
      <c r="I4" s="126"/>
    </row>
    <row r="5" spans="1:9">
      <c r="C5" s="973" t="s">
        <v>163</v>
      </c>
      <c r="D5" s="973"/>
      <c r="E5" s="973"/>
      <c r="F5" s="973"/>
      <c r="G5" s="973"/>
      <c r="H5" s="973"/>
      <c r="I5" s="126"/>
    </row>
    <row r="6" spans="1:9">
      <c r="C6" s="974" t="s">
        <v>464</v>
      </c>
      <c r="D6" s="974"/>
      <c r="E6" s="974"/>
      <c r="F6" s="974"/>
      <c r="G6" s="974"/>
      <c r="H6" s="974"/>
      <c r="I6" s="126"/>
    </row>
    <row r="7" spans="1:9">
      <c r="C7" s="975" t="s">
        <v>1</v>
      </c>
      <c r="D7" s="976"/>
      <c r="E7" s="976"/>
      <c r="F7" s="976"/>
      <c r="G7" s="976"/>
      <c r="H7" s="976"/>
      <c r="I7" s="126"/>
    </row>
    <row r="8" spans="1:9">
      <c r="C8" s="126"/>
      <c r="D8" s="126"/>
      <c r="E8" s="126"/>
      <c r="F8" s="207"/>
      <c r="G8" s="207"/>
      <c r="H8" s="126"/>
      <c r="I8" s="126"/>
    </row>
    <row r="9" spans="1:9">
      <c r="A9" s="126" t="s">
        <v>2</v>
      </c>
      <c r="C9" s="499"/>
      <c r="D9" s="126" t="s">
        <v>149</v>
      </c>
      <c r="E9" s="499"/>
      <c r="F9" s="208"/>
      <c r="G9" s="208"/>
      <c r="H9" s="126"/>
      <c r="I9" s="126" t="s">
        <v>2</v>
      </c>
    </row>
    <row r="10" spans="1:9">
      <c r="A10" s="126" t="s">
        <v>3</v>
      </c>
      <c r="B10" s="559" t="s">
        <v>160</v>
      </c>
      <c r="D10" s="559" t="s">
        <v>150</v>
      </c>
      <c r="E10" s="499"/>
      <c r="F10" s="566" t="s">
        <v>32</v>
      </c>
      <c r="G10" s="208"/>
      <c r="H10" s="559" t="s">
        <v>5</v>
      </c>
      <c r="I10" s="126" t="s">
        <v>3</v>
      </c>
    </row>
    <row r="11" spans="1:9">
      <c r="D11" s="499"/>
      <c r="E11" s="499"/>
      <c r="F11" s="208"/>
      <c r="G11" s="208"/>
      <c r="H11" s="126"/>
      <c r="I11" s="126"/>
    </row>
    <row r="12" spans="1:9">
      <c r="A12" s="126">
        <v>1</v>
      </c>
      <c r="C12" s="9" t="s">
        <v>164</v>
      </c>
      <c r="D12" s="499"/>
      <c r="E12" s="499"/>
      <c r="F12" s="208"/>
      <c r="G12" s="208"/>
      <c r="H12" s="126"/>
      <c r="I12" s="126">
        <f>A12</f>
        <v>1</v>
      </c>
    </row>
    <row r="13" spans="1:9">
      <c r="A13" s="126">
        <f>+A12+1</f>
        <v>2</v>
      </c>
      <c r="B13" s="204" t="s">
        <v>165</v>
      </c>
      <c r="C13" s="80" t="s">
        <v>166</v>
      </c>
      <c r="D13" s="499"/>
      <c r="E13" s="499"/>
      <c r="F13" s="205">
        <v>122.61631000000004</v>
      </c>
      <c r="G13" s="208"/>
      <c r="H13" s="126" t="s">
        <v>465</v>
      </c>
      <c r="I13" s="126">
        <f>I12+1</f>
        <v>2</v>
      </c>
    </row>
    <row r="14" spans="1:9">
      <c r="A14" s="126">
        <f t="shared" ref="A14:A71" si="0">+A13+1</f>
        <v>3</v>
      </c>
      <c r="D14" s="499"/>
      <c r="E14" s="499"/>
      <c r="F14" s="208"/>
      <c r="G14" s="208"/>
      <c r="H14" s="126"/>
      <c r="I14" s="126">
        <f t="shared" ref="I14:I71" si="1">I13+1</f>
        <v>3</v>
      </c>
    </row>
    <row r="15" spans="1:9">
      <c r="A15" s="126">
        <f t="shared" si="0"/>
        <v>4</v>
      </c>
      <c r="C15" s="9" t="s">
        <v>167</v>
      </c>
      <c r="H15" s="126"/>
      <c r="I15" s="126">
        <f t="shared" si="1"/>
        <v>4</v>
      </c>
    </row>
    <row r="16" spans="1:9">
      <c r="A16" s="126">
        <f t="shared" si="0"/>
        <v>5</v>
      </c>
      <c r="C16" s="1" t="s">
        <v>168</v>
      </c>
      <c r="D16" s="126"/>
      <c r="F16" s="205">
        <v>89266.053619999991</v>
      </c>
      <c r="H16" s="126" t="s">
        <v>466</v>
      </c>
      <c r="I16" s="126">
        <f t="shared" si="1"/>
        <v>5</v>
      </c>
    </row>
    <row r="17" spans="1:9">
      <c r="A17" s="126">
        <f t="shared" si="0"/>
        <v>6</v>
      </c>
      <c r="C17" s="1" t="s">
        <v>169</v>
      </c>
      <c r="F17" s="189"/>
      <c r="H17" s="126"/>
      <c r="I17" s="126">
        <f t="shared" si="1"/>
        <v>6</v>
      </c>
    </row>
    <row r="18" spans="1:9">
      <c r="A18" s="126">
        <f t="shared" si="0"/>
        <v>7</v>
      </c>
      <c r="C18" s="1" t="s">
        <v>170</v>
      </c>
      <c r="D18" s="193"/>
      <c r="F18" s="169">
        <v>-5877.8884600000001</v>
      </c>
      <c r="H18" s="126" t="s">
        <v>467</v>
      </c>
      <c r="I18" s="126">
        <f t="shared" si="1"/>
        <v>7</v>
      </c>
    </row>
    <row r="19" spans="1:9">
      <c r="A19" s="126">
        <f t="shared" si="0"/>
        <v>8</v>
      </c>
      <c r="C19" s="1" t="s">
        <v>171</v>
      </c>
      <c r="F19" s="169">
        <v>-2718.2313100000001</v>
      </c>
      <c r="H19" s="126" t="s">
        <v>468</v>
      </c>
      <c r="I19" s="126">
        <f t="shared" si="1"/>
        <v>8</v>
      </c>
    </row>
    <row r="20" spans="1:9">
      <c r="A20" s="126">
        <f t="shared" si="0"/>
        <v>9</v>
      </c>
      <c r="C20" s="80" t="s">
        <v>172</v>
      </c>
      <c r="F20" s="169">
        <v>-8343</v>
      </c>
      <c r="H20" s="126" t="s">
        <v>469</v>
      </c>
      <c r="I20" s="126">
        <f t="shared" si="1"/>
        <v>9</v>
      </c>
    </row>
    <row r="21" spans="1:9">
      <c r="A21" s="126">
        <f t="shared" si="0"/>
        <v>10</v>
      </c>
      <c r="C21" s="80" t="s">
        <v>173</v>
      </c>
      <c r="F21" s="169">
        <v>0</v>
      </c>
      <c r="H21" s="126" t="s">
        <v>470</v>
      </c>
      <c r="I21" s="126">
        <f t="shared" si="1"/>
        <v>10</v>
      </c>
    </row>
    <row r="22" spans="1:9">
      <c r="A22" s="126">
        <f t="shared" si="0"/>
        <v>11</v>
      </c>
      <c r="C22" s="1" t="s">
        <v>174</v>
      </c>
      <c r="F22" s="169">
        <v>0</v>
      </c>
      <c r="H22" s="126" t="s">
        <v>471</v>
      </c>
      <c r="I22" s="126">
        <f t="shared" si="1"/>
        <v>11</v>
      </c>
    </row>
    <row r="23" spans="1:9">
      <c r="A23" s="126">
        <f t="shared" si="0"/>
        <v>12</v>
      </c>
      <c r="C23" s="1" t="s">
        <v>175</v>
      </c>
      <c r="F23" s="169">
        <v>-3045.7638999999999</v>
      </c>
      <c r="H23" s="126" t="s">
        <v>472</v>
      </c>
      <c r="I23" s="126">
        <f t="shared" si="1"/>
        <v>12</v>
      </c>
    </row>
    <row r="24" spans="1:9">
      <c r="A24" s="126">
        <f t="shared" si="0"/>
        <v>13</v>
      </c>
      <c r="C24" s="80" t="s">
        <v>176</v>
      </c>
      <c r="F24" s="169">
        <v>-14934.723</v>
      </c>
      <c r="H24" s="126" t="s">
        <v>473</v>
      </c>
      <c r="I24" s="126">
        <f t="shared" si="1"/>
        <v>13</v>
      </c>
    </row>
    <row r="25" spans="1:9">
      <c r="A25" s="126">
        <f t="shared" si="0"/>
        <v>14</v>
      </c>
      <c r="C25" s="80" t="s">
        <v>177</v>
      </c>
      <c r="F25" s="169">
        <v>-14791.550999999999</v>
      </c>
      <c r="H25" s="126" t="s">
        <v>474</v>
      </c>
      <c r="I25" s="126">
        <f t="shared" si="1"/>
        <v>14</v>
      </c>
    </row>
    <row r="26" spans="1:9">
      <c r="A26" s="126">
        <f t="shared" si="0"/>
        <v>15</v>
      </c>
      <c r="C26" s="80" t="s">
        <v>178</v>
      </c>
      <c r="F26" s="169">
        <v>-671.30499999999995</v>
      </c>
      <c r="H26" s="126" t="s">
        <v>475</v>
      </c>
      <c r="I26" s="126">
        <f t="shared" si="1"/>
        <v>15</v>
      </c>
    </row>
    <row r="27" spans="1:9">
      <c r="A27" s="126">
        <f t="shared" si="0"/>
        <v>16</v>
      </c>
      <c r="C27" s="1" t="s">
        <v>179</v>
      </c>
      <c r="F27" s="169">
        <v>0</v>
      </c>
      <c r="H27" s="126" t="s">
        <v>476</v>
      </c>
      <c r="I27" s="126">
        <f t="shared" si="1"/>
        <v>16</v>
      </c>
    </row>
    <row r="28" spans="1:9">
      <c r="A28" s="126">
        <f t="shared" si="0"/>
        <v>17</v>
      </c>
      <c r="C28" s="1" t="s">
        <v>477</v>
      </c>
      <c r="F28" s="808">
        <v>-543.57100000000003</v>
      </c>
      <c r="G28" s="641"/>
      <c r="H28" s="126" t="s">
        <v>478</v>
      </c>
      <c r="I28" s="126">
        <f t="shared" si="1"/>
        <v>17</v>
      </c>
    </row>
    <row r="29" spans="1:9">
      <c r="A29" s="126">
        <f t="shared" si="0"/>
        <v>18</v>
      </c>
      <c r="C29" s="5" t="s">
        <v>589</v>
      </c>
      <c r="F29" s="809">
        <v>-692.92700000000002</v>
      </c>
      <c r="G29" s="641" t="s">
        <v>439</v>
      </c>
      <c r="H29" s="126" t="s">
        <v>677</v>
      </c>
      <c r="I29" s="126">
        <f t="shared" si="1"/>
        <v>18</v>
      </c>
    </row>
    <row r="30" spans="1:9" ht="16" thickBot="1">
      <c r="A30" s="126">
        <f t="shared" si="0"/>
        <v>19</v>
      </c>
      <c r="C30" s="1" t="s">
        <v>180</v>
      </c>
      <c r="F30" s="817">
        <f>SUM(F16:F29)</f>
        <v>37647.092949999977</v>
      </c>
      <c r="G30" s="641" t="s">
        <v>439</v>
      </c>
      <c r="H30" s="210" t="s">
        <v>588</v>
      </c>
      <c r="I30" s="126">
        <f t="shared" si="1"/>
        <v>19</v>
      </c>
    </row>
    <row r="31" spans="1:9" ht="16" thickTop="1">
      <c r="A31" s="126">
        <f t="shared" si="0"/>
        <v>20</v>
      </c>
      <c r="F31" s="118"/>
      <c r="I31" s="126">
        <f t="shared" si="1"/>
        <v>20</v>
      </c>
    </row>
    <row r="32" spans="1:9">
      <c r="A32" s="126">
        <f t="shared" si="0"/>
        <v>21</v>
      </c>
      <c r="C32" s="10" t="s">
        <v>181</v>
      </c>
      <c r="F32" s="211"/>
      <c r="H32" s="126"/>
      <c r="I32" s="126">
        <f t="shared" si="1"/>
        <v>21</v>
      </c>
    </row>
    <row r="33" spans="1:11">
      <c r="A33" s="126">
        <f t="shared" si="0"/>
        <v>22</v>
      </c>
      <c r="C33" s="3" t="s">
        <v>182</v>
      </c>
      <c r="D33" s="126"/>
      <c r="F33" s="205">
        <v>478358.91339000006</v>
      </c>
      <c r="H33" s="126" t="s">
        <v>479</v>
      </c>
      <c r="I33" s="126">
        <f t="shared" si="1"/>
        <v>22</v>
      </c>
    </row>
    <row r="34" spans="1:11">
      <c r="A34" s="126">
        <f t="shared" si="0"/>
        <v>23</v>
      </c>
      <c r="C34" s="3" t="s">
        <v>183</v>
      </c>
      <c r="F34" s="211" t="s">
        <v>6</v>
      </c>
      <c r="H34" s="126"/>
      <c r="I34" s="126">
        <f t="shared" si="1"/>
        <v>23</v>
      </c>
    </row>
    <row r="35" spans="1:11">
      <c r="A35" s="126">
        <f t="shared" si="0"/>
        <v>24</v>
      </c>
      <c r="C35" s="7" t="s">
        <v>184</v>
      </c>
      <c r="F35" s="169">
        <v>0</v>
      </c>
      <c r="H35" s="126" t="s">
        <v>480</v>
      </c>
      <c r="I35" s="126">
        <f t="shared" si="1"/>
        <v>24</v>
      </c>
      <c r="J35" s="212"/>
      <c r="K35" s="213"/>
    </row>
    <row r="36" spans="1:11" ht="15.75" customHeight="1">
      <c r="A36" s="126">
        <f t="shared" si="0"/>
        <v>25</v>
      </c>
      <c r="C36" s="8" t="s">
        <v>185</v>
      </c>
      <c r="F36" s="169">
        <v>0</v>
      </c>
      <c r="H36" s="126" t="s">
        <v>481</v>
      </c>
      <c r="I36" s="126">
        <f t="shared" si="1"/>
        <v>25</v>
      </c>
      <c r="J36" s="212"/>
      <c r="K36" s="214"/>
    </row>
    <row r="37" spans="1:11">
      <c r="A37" s="126">
        <f t="shared" si="0"/>
        <v>26</v>
      </c>
      <c r="C37" s="7" t="s">
        <v>186</v>
      </c>
      <c r="F37" s="169">
        <v>-1333.8680300000003</v>
      </c>
      <c r="H37" s="126" t="s">
        <v>482</v>
      </c>
      <c r="I37" s="126">
        <f t="shared" si="1"/>
        <v>26</v>
      </c>
    </row>
    <row r="38" spans="1:11">
      <c r="A38" s="126">
        <f t="shared" si="0"/>
        <v>27</v>
      </c>
      <c r="C38" s="7" t="s">
        <v>187</v>
      </c>
      <c r="F38" s="169">
        <v>-8601.3346500000007</v>
      </c>
      <c r="H38" s="126" t="s">
        <v>483</v>
      </c>
      <c r="I38" s="126">
        <f t="shared" si="1"/>
        <v>27</v>
      </c>
      <c r="K38" s="213"/>
    </row>
    <row r="39" spans="1:11">
      <c r="A39" s="126">
        <f t="shared" si="0"/>
        <v>28</v>
      </c>
      <c r="C39" s="7" t="s">
        <v>188</v>
      </c>
      <c r="F39" s="169">
        <v>-140.84690000000001</v>
      </c>
      <c r="H39" s="126" t="s">
        <v>484</v>
      </c>
      <c r="I39" s="126">
        <f t="shared" si="1"/>
        <v>28</v>
      </c>
      <c r="J39" s="212"/>
    </row>
    <row r="40" spans="1:11">
      <c r="A40" s="126">
        <f t="shared" si="0"/>
        <v>29</v>
      </c>
      <c r="C40" s="7" t="s">
        <v>189</v>
      </c>
      <c r="F40" s="169">
        <v>-242.68352000000002</v>
      </c>
      <c r="H40" s="126" t="s">
        <v>485</v>
      </c>
      <c r="I40" s="126">
        <f t="shared" si="1"/>
        <v>29</v>
      </c>
      <c r="J40" s="212"/>
      <c r="K40" s="213"/>
    </row>
    <row r="41" spans="1:11">
      <c r="A41" s="126">
        <f t="shared" si="0"/>
        <v>30</v>
      </c>
      <c r="C41" s="7" t="s">
        <v>190</v>
      </c>
      <c r="F41" s="169">
        <v>-446.61920875499993</v>
      </c>
      <c r="H41" s="215" t="s">
        <v>486</v>
      </c>
      <c r="I41" s="126">
        <f t="shared" si="1"/>
        <v>30</v>
      </c>
    </row>
    <row r="42" spans="1:11">
      <c r="A42" s="126">
        <f t="shared" si="0"/>
        <v>31</v>
      </c>
      <c r="C42" s="7" t="s">
        <v>191</v>
      </c>
      <c r="F42" s="169">
        <v>-65.000791141999997</v>
      </c>
      <c r="H42" s="126" t="s">
        <v>487</v>
      </c>
      <c r="I42" s="126">
        <f t="shared" si="1"/>
        <v>31</v>
      </c>
    </row>
    <row r="43" spans="1:11">
      <c r="A43" s="126">
        <f t="shared" si="0"/>
        <v>32</v>
      </c>
      <c r="C43" s="7" t="s">
        <v>192</v>
      </c>
      <c r="F43" s="169">
        <v>-134312.73308000001</v>
      </c>
      <c r="H43" s="126" t="s">
        <v>488</v>
      </c>
      <c r="I43" s="126">
        <f t="shared" si="1"/>
        <v>32</v>
      </c>
    </row>
    <row r="44" spans="1:11">
      <c r="A44" s="126">
        <f t="shared" si="0"/>
        <v>33</v>
      </c>
      <c r="C44" s="1" t="s">
        <v>489</v>
      </c>
      <c r="F44" s="169">
        <v>826.245</v>
      </c>
      <c r="H44" s="126" t="s">
        <v>490</v>
      </c>
      <c r="I44" s="126">
        <f t="shared" si="1"/>
        <v>33</v>
      </c>
    </row>
    <row r="45" spans="1:11">
      <c r="A45" s="126">
        <f t="shared" si="0"/>
        <v>34</v>
      </c>
      <c r="C45" s="125" t="s">
        <v>589</v>
      </c>
      <c r="F45" s="709">
        <f>'Pg9.3 As Filed AH-3 FERC Adj'!J31</f>
        <v>1984.1449999999998</v>
      </c>
      <c r="G45" s="641" t="s">
        <v>439</v>
      </c>
      <c r="H45" s="126" t="s">
        <v>689</v>
      </c>
      <c r="I45" s="126">
        <f t="shared" si="1"/>
        <v>34</v>
      </c>
    </row>
    <row r="46" spans="1:11">
      <c r="A46" s="126">
        <f t="shared" si="0"/>
        <v>35</v>
      </c>
      <c r="C46" s="3" t="s">
        <v>193</v>
      </c>
      <c r="F46" s="710">
        <f>SUM(F33:F45)</f>
        <v>336026.21721010306</v>
      </c>
      <c r="G46" s="641" t="s">
        <v>439</v>
      </c>
      <c r="H46" s="126" t="s">
        <v>662</v>
      </c>
      <c r="I46" s="126">
        <f t="shared" si="1"/>
        <v>35</v>
      </c>
    </row>
    <row r="47" spans="1:11">
      <c r="A47" s="126">
        <f t="shared" si="0"/>
        <v>36</v>
      </c>
      <c r="C47" s="3" t="s">
        <v>194</v>
      </c>
      <c r="F47" s="568">
        <v>-5523.0058700000009</v>
      </c>
      <c r="H47" s="126" t="s">
        <v>491</v>
      </c>
      <c r="I47" s="126">
        <f t="shared" si="1"/>
        <v>36</v>
      </c>
    </row>
    <row r="48" spans="1:11">
      <c r="A48" s="126">
        <f t="shared" si="0"/>
        <v>37</v>
      </c>
      <c r="C48" s="3" t="s">
        <v>195</v>
      </c>
      <c r="F48" s="710">
        <f>SUM(F46:F47)</f>
        <v>330503.21134010307</v>
      </c>
      <c r="G48" s="641" t="s">
        <v>439</v>
      </c>
      <c r="H48" s="126" t="s">
        <v>586</v>
      </c>
      <c r="I48" s="126">
        <f t="shared" si="1"/>
        <v>37</v>
      </c>
    </row>
    <row r="49" spans="1:11">
      <c r="A49" s="126">
        <f t="shared" si="0"/>
        <v>38</v>
      </c>
      <c r="C49" s="1" t="s">
        <v>152</v>
      </c>
      <c r="F49" s="569">
        <v>0.10361330044910678</v>
      </c>
      <c r="H49" s="210" t="s">
        <v>493</v>
      </c>
      <c r="I49" s="126">
        <f t="shared" si="1"/>
        <v>38</v>
      </c>
    </row>
    <row r="50" spans="1:11">
      <c r="A50" s="126">
        <f t="shared" si="0"/>
        <v>39</v>
      </c>
      <c r="C50" s="3" t="s">
        <v>196</v>
      </c>
      <c r="F50" s="711">
        <f>F48*F49</f>
        <v>34244.528535976737</v>
      </c>
      <c r="G50" s="641" t="s">
        <v>439</v>
      </c>
      <c r="H50" s="126" t="s">
        <v>663</v>
      </c>
      <c r="I50" s="126">
        <f t="shared" si="1"/>
        <v>39</v>
      </c>
    </row>
    <row r="51" spans="1:11">
      <c r="A51" s="126">
        <f t="shared" si="0"/>
        <v>40</v>
      </c>
      <c r="C51" s="122" t="s">
        <v>197</v>
      </c>
      <c r="F51" s="820">
        <f>F71*(-F47)</f>
        <v>2191.4303773959796</v>
      </c>
      <c r="G51" s="641" t="s">
        <v>439</v>
      </c>
      <c r="H51" s="126" t="s">
        <v>590</v>
      </c>
      <c r="I51" s="126">
        <f t="shared" si="1"/>
        <v>40</v>
      </c>
    </row>
    <row r="52" spans="1:11" ht="16" thickBot="1">
      <c r="A52" s="126">
        <f t="shared" si="0"/>
        <v>41</v>
      </c>
      <c r="C52" s="204" t="s">
        <v>198</v>
      </c>
      <c r="F52" s="712">
        <f>F51+F50</f>
        <v>36435.958913372713</v>
      </c>
      <c r="G52" s="641" t="s">
        <v>439</v>
      </c>
      <c r="H52" s="126" t="s">
        <v>664</v>
      </c>
      <c r="I52" s="126">
        <f t="shared" si="1"/>
        <v>41</v>
      </c>
      <c r="J52" s="204"/>
    </row>
    <row r="53" spans="1:11" ht="16" thickTop="1">
      <c r="A53" s="126">
        <f t="shared" si="0"/>
        <v>42</v>
      </c>
      <c r="C53" s="216"/>
      <c r="F53" s="217"/>
      <c r="H53" s="126"/>
      <c r="I53" s="126">
        <f t="shared" si="1"/>
        <v>42</v>
      </c>
    </row>
    <row r="54" spans="1:11">
      <c r="A54" s="126">
        <f t="shared" si="0"/>
        <v>43</v>
      </c>
      <c r="C54" s="4" t="s">
        <v>199</v>
      </c>
      <c r="F54" s="218"/>
      <c r="H54" s="126"/>
      <c r="I54" s="126">
        <f t="shared" si="1"/>
        <v>43</v>
      </c>
    </row>
    <row r="55" spans="1:11">
      <c r="A55" s="126">
        <f t="shared" si="0"/>
        <v>44</v>
      </c>
      <c r="C55" s="3" t="s">
        <v>200</v>
      </c>
      <c r="F55" s="781">
        <v>5762981.7698807688</v>
      </c>
      <c r="G55" s="641" t="s">
        <v>439</v>
      </c>
      <c r="H55" s="126" t="s">
        <v>690</v>
      </c>
      <c r="I55" s="126">
        <f t="shared" si="1"/>
        <v>44</v>
      </c>
    </row>
    <row r="56" spans="1:11">
      <c r="A56" s="126">
        <f t="shared" si="0"/>
        <v>45</v>
      </c>
      <c r="C56" s="3" t="s">
        <v>154</v>
      </c>
      <c r="F56" s="810">
        <v>0</v>
      </c>
      <c r="H56" s="126" t="s">
        <v>161</v>
      </c>
      <c r="I56" s="126">
        <f t="shared" si="1"/>
        <v>45</v>
      </c>
    </row>
    <row r="57" spans="1:11">
      <c r="A57" s="126">
        <f t="shared" si="0"/>
        <v>46</v>
      </c>
      <c r="C57" s="3" t="s">
        <v>155</v>
      </c>
      <c r="F57" s="811">
        <v>40640.98521124445</v>
      </c>
      <c r="G57" s="641" t="s">
        <v>439</v>
      </c>
      <c r="H57" s="222" t="s">
        <v>691</v>
      </c>
      <c r="I57" s="126">
        <f t="shared" si="1"/>
        <v>46</v>
      </c>
    </row>
    <row r="58" spans="1:11">
      <c r="A58" s="126">
        <f t="shared" si="0"/>
        <v>47</v>
      </c>
      <c r="C58" s="3" t="s">
        <v>156</v>
      </c>
      <c r="F58" s="812">
        <v>94758.172821047265</v>
      </c>
      <c r="G58" s="641" t="s">
        <v>439</v>
      </c>
      <c r="H58" s="222" t="s">
        <v>692</v>
      </c>
      <c r="I58" s="126">
        <f t="shared" si="1"/>
        <v>47</v>
      </c>
    </row>
    <row r="59" spans="1:11" ht="16" thickBot="1">
      <c r="A59" s="126">
        <f t="shared" si="0"/>
        <v>48</v>
      </c>
      <c r="C59" s="3" t="s">
        <v>201</v>
      </c>
      <c r="F59" s="813">
        <f>SUM(F55:F58)</f>
        <v>5898380.9279130613</v>
      </c>
      <c r="G59" s="641" t="s">
        <v>439</v>
      </c>
      <c r="H59" s="126" t="s">
        <v>665</v>
      </c>
      <c r="I59" s="126">
        <f t="shared" si="1"/>
        <v>48</v>
      </c>
      <c r="J59" s="112"/>
      <c r="K59" s="214"/>
    </row>
    <row r="60" spans="1:11" ht="16" thickTop="1">
      <c r="A60" s="126">
        <f t="shared" si="0"/>
        <v>49</v>
      </c>
      <c r="C60" s="216"/>
      <c r="F60" s="203"/>
      <c r="H60" s="126"/>
      <c r="I60" s="126">
        <f t="shared" si="1"/>
        <v>49</v>
      </c>
    </row>
    <row r="61" spans="1:11">
      <c r="A61" s="126">
        <f t="shared" si="0"/>
        <v>50</v>
      </c>
      <c r="C61" s="3" t="s">
        <v>153</v>
      </c>
      <c r="F61" s="814">
        <f>F55</f>
        <v>5762981.7698807688</v>
      </c>
      <c r="G61" s="641" t="s">
        <v>439</v>
      </c>
      <c r="H61" s="176" t="s">
        <v>666</v>
      </c>
      <c r="I61" s="126">
        <f t="shared" si="1"/>
        <v>50</v>
      </c>
    </row>
    <row r="62" spans="1:11">
      <c r="A62" s="126">
        <f t="shared" si="0"/>
        <v>51</v>
      </c>
      <c r="C62" s="3" t="s">
        <v>202</v>
      </c>
      <c r="F62" s="815">
        <v>545860.5006992307</v>
      </c>
      <c r="G62" s="641" t="s">
        <v>439</v>
      </c>
      <c r="H62" s="222" t="s">
        <v>693</v>
      </c>
      <c r="I62" s="126">
        <f t="shared" si="1"/>
        <v>51</v>
      </c>
    </row>
    <row r="63" spans="1:11">
      <c r="A63" s="126">
        <f t="shared" si="0"/>
        <v>52</v>
      </c>
      <c r="C63" s="3" t="s">
        <v>203</v>
      </c>
      <c r="F63" s="810">
        <v>0</v>
      </c>
      <c r="H63" s="126" t="s">
        <v>161</v>
      </c>
      <c r="I63" s="126">
        <f t="shared" si="1"/>
        <v>52</v>
      </c>
    </row>
    <row r="64" spans="1:11">
      <c r="A64" s="126">
        <f t="shared" si="0"/>
        <v>53</v>
      </c>
      <c r="C64" s="3" t="s">
        <v>204</v>
      </c>
      <c r="F64" s="815">
        <v>518891.12072000001</v>
      </c>
      <c r="G64" s="641" t="s">
        <v>439</v>
      </c>
      <c r="H64" s="222" t="s">
        <v>694</v>
      </c>
      <c r="I64" s="126">
        <f t="shared" si="1"/>
        <v>53</v>
      </c>
    </row>
    <row r="65" spans="1:10">
      <c r="A65" s="126">
        <f t="shared" si="0"/>
        <v>54</v>
      </c>
      <c r="C65" s="3" t="s">
        <v>205</v>
      </c>
      <c r="F65" s="815">
        <v>6731031.1244399995</v>
      </c>
      <c r="G65" s="641" t="s">
        <v>439</v>
      </c>
      <c r="H65" s="222" t="s">
        <v>695</v>
      </c>
      <c r="I65" s="126">
        <f t="shared" si="1"/>
        <v>54</v>
      </c>
    </row>
    <row r="66" spans="1:10">
      <c r="A66" s="126">
        <f t="shared" si="0"/>
        <v>55</v>
      </c>
      <c r="C66" s="204" t="s">
        <v>154</v>
      </c>
      <c r="F66" s="810">
        <v>0</v>
      </c>
      <c r="G66" s="641" t="s">
        <v>439</v>
      </c>
      <c r="H66" s="126" t="s">
        <v>161</v>
      </c>
      <c r="I66" s="126">
        <f t="shared" si="1"/>
        <v>55</v>
      </c>
    </row>
    <row r="67" spans="1:10">
      <c r="A67" s="126">
        <f t="shared" si="0"/>
        <v>56</v>
      </c>
      <c r="C67" s="3" t="s">
        <v>206</v>
      </c>
      <c r="F67" s="815">
        <v>392237.14557000005</v>
      </c>
      <c r="G67" s="641" t="s">
        <v>439</v>
      </c>
      <c r="H67" s="222" t="s">
        <v>683</v>
      </c>
      <c r="I67" s="126">
        <f t="shared" si="1"/>
        <v>56</v>
      </c>
    </row>
    <row r="68" spans="1:10">
      <c r="A68" s="126">
        <f t="shared" si="0"/>
        <v>57</v>
      </c>
      <c r="C68" s="3" t="s">
        <v>207</v>
      </c>
      <c r="F68" s="816">
        <v>914536.76709768525</v>
      </c>
      <c r="G68" s="641" t="s">
        <v>439</v>
      </c>
      <c r="H68" s="222" t="s">
        <v>682</v>
      </c>
      <c r="I68" s="126">
        <f t="shared" si="1"/>
        <v>57</v>
      </c>
    </row>
    <row r="69" spans="1:10" ht="16" thickBot="1">
      <c r="A69" s="126">
        <f t="shared" si="0"/>
        <v>58</v>
      </c>
      <c r="C69" s="3" t="s">
        <v>208</v>
      </c>
      <c r="F69" s="817">
        <f>SUM(F61:F68)</f>
        <v>14865538.428407686</v>
      </c>
      <c r="G69" s="641" t="s">
        <v>439</v>
      </c>
      <c r="H69" s="126" t="s">
        <v>667</v>
      </c>
      <c r="I69" s="126">
        <f t="shared" si="1"/>
        <v>58</v>
      </c>
      <c r="J69" s="112"/>
    </row>
    <row r="70" spans="1:10" ht="16" thickTop="1">
      <c r="A70" s="126">
        <f t="shared" si="0"/>
        <v>59</v>
      </c>
      <c r="F70" s="818"/>
      <c r="H70" s="126"/>
      <c r="I70" s="126">
        <f t="shared" si="1"/>
        <v>59</v>
      </c>
    </row>
    <row r="71" spans="1:10" ht="19" thickBot="1">
      <c r="A71" s="126">
        <f t="shared" si="0"/>
        <v>60</v>
      </c>
      <c r="C71" s="3" t="s">
        <v>209</v>
      </c>
      <c r="F71" s="819">
        <f>F59/F69</f>
        <v>0.39678219233831435</v>
      </c>
      <c r="G71" s="641" t="s">
        <v>439</v>
      </c>
      <c r="H71" s="126" t="s">
        <v>668</v>
      </c>
      <c r="I71" s="126">
        <f t="shared" si="1"/>
        <v>60</v>
      </c>
      <c r="J71" s="112"/>
    </row>
    <row r="72" spans="1:10" ht="16" thickTop="1">
      <c r="C72" s="3"/>
      <c r="F72" s="874"/>
      <c r="G72" s="641"/>
      <c r="H72" s="126"/>
      <c r="I72" s="126"/>
      <c r="J72" s="112"/>
    </row>
    <row r="73" spans="1:10">
      <c r="C73" s="204" t="s">
        <v>6</v>
      </c>
      <c r="F73" s="225"/>
      <c r="H73" s="126"/>
      <c r="I73" s="126"/>
    </row>
    <row r="74" spans="1:10">
      <c r="A74" s="641" t="s">
        <v>439</v>
      </c>
      <c r="B74" s="5" t="s">
        <v>461</v>
      </c>
      <c r="C74" s="5" t="s">
        <v>709</v>
      </c>
      <c r="F74" s="225"/>
      <c r="G74" s="225"/>
      <c r="H74" s="126"/>
      <c r="I74" s="126"/>
    </row>
    <row r="75" spans="1:10" ht="18">
      <c r="A75" s="226">
        <v>1</v>
      </c>
      <c r="B75" s="226"/>
      <c r="C75" s="3" t="s">
        <v>494</v>
      </c>
      <c r="I75" s="126"/>
    </row>
    <row r="76" spans="1:10">
      <c r="C76" s="204"/>
      <c r="F76" s="197"/>
      <c r="G76" s="197"/>
      <c r="H76" s="126"/>
      <c r="I76" s="126"/>
    </row>
  </sheetData>
  <mergeCells count="5">
    <mergeCell ref="C3:H3"/>
    <mergeCell ref="C4:H4"/>
    <mergeCell ref="C5:H5"/>
    <mergeCell ref="C6:H6"/>
    <mergeCell ref="C7:H7"/>
  </mergeCells>
  <printOptions horizontalCentered="1"/>
  <pageMargins left="0.5" right="0.5" top="0.5" bottom="0.5" header="0.35" footer="0.25"/>
  <pageSetup scale="49" orientation="portrait" r:id="rId1"/>
  <headerFooter scaleWithDoc="0" alignWithMargins="0">
    <oddHeader>&amp;C&amp;"Times New Roman,Bold"&amp;6AS FILED REV STMT AH WITH COST ADJ INCL IN APPENDIX X CYCLE 8 (ER24-176)</oddHeader>
    <oddFooter>&amp;L&amp;F&amp;CPage 9.1&amp;R&amp;A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9911-D157-4B1A-BDAC-50B6B47F58A5}">
  <sheetPr>
    <pageSetUpPr fitToPage="1"/>
  </sheetPr>
  <dimension ref="A1:T81"/>
  <sheetViews>
    <sheetView zoomScale="80" zoomScaleNormal="80" workbookViewId="0"/>
  </sheetViews>
  <sheetFormatPr defaultColWidth="9.08984375" defaultRowHeight="15.5"/>
  <cols>
    <col min="1" max="1" width="6.81640625" style="133" bestFit="1" customWidth="1"/>
    <col min="2" max="2" width="7.6328125" style="131" customWidth="1"/>
    <col min="3" max="3" width="69.08984375" style="131" customWidth="1"/>
    <col min="4" max="6" width="12.6328125" style="131" customWidth="1"/>
    <col min="7" max="7" width="14.90625" style="131" bestFit="1" customWidth="1"/>
    <col min="8" max="8" width="12.6328125" style="131" customWidth="1"/>
    <col min="9" max="9" width="2" style="131" bestFit="1" customWidth="1"/>
    <col min="10" max="10" width="12.6328125" style="131" bestFit="1" customWidth="1"/>
    <col min="11" max="11" width="3.81640625" style="131" bestFit="1" customWidth="1"/>
    <col min="12" max="12" width="16.6328125" style="131" bestFit="1" customWidth="1"/>
    <col min="13" max="13" width="15.1796875" style="131" bestFit="1" customWidth="1"/>
    <col min="14" max="14" width="2" style="131" bestFit="1" customWidth="1"/>
    <col min="15" max="15" width="15.1796875" style="131" customWidth="1"/>
    <col min="16" max="16" width="34.6328125" style="131" customWidth="1"/>
    <col min="17" max="17" width="4.81640625" style="133" bestFit="1" customWidth="1"/>
    <col min="18" max="18" width="4" style="131" customWidth="1"/>
    <col min="19" max="19" width="13.08984375" style="131" bestFit="1" customWidth="1"/>
    <col min="20" max="20" width="9.08984375" style="131"/>
    <col min="21" max="21" width="9.81640625" style="131" customWidth="1"/>
    <col min="22" max="22" width="10" style="131" customWidth="1"/>
    <col min="23" max="16384" width="9.08984375" style="131"/>
  </cols>
  <sheetData>
    <row r="1" spans="1:20">
      <c r="P1" s="261"/>
    </row>
    <row r="2" spans="1:20">
      <c r="B2" s="977" t="s">
        <v>0</v>
      </c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132"/>
    </row>
    <row r="3" spans="1:20">
      <c r="B3" s="977" t="s">
        <v>219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  <c r="Q3" s="132"/>
    </row>
    <row r="4" spans="1:20">
      <c r="B4" s="977" t="s">
        <v>495</v>
      </c>
      <c r="C4" s="977"/>
      <c r="D4" s="977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132"/>
    </row>
    <row r="5" spans="1:20">
      <c r="B5" s="978" t="s">
        <v>1</v>
      </c>
      <c r="C5" s="978"/>
      <c r="D5" s="978"/>
      <c r="E5" s="978"/>
      <c r="F5" s="978"/>
      <c r="G5" s="978"/>
      <c r="H5" s="978"/>
      <c r="I5" s="978"/>
      <c r="J5" s="978"/>
      <c r="K5" s="978"/>
      <c r="L5" s="978"/>
      <c r="M5" s="978"/>
      <c r="N5" s="978"/>
      <c r="O5" s="978"/>
      <c r="P5" s="978"/>
      <c r="Q5" s="132"/>
    </row>
    <row r="6" spans="1:20" ht="16" thickBot="1"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S6" s="122"/>
    </row>
    <row r="7" spans="1:20" ht="18">
      <c r="A7" s="132"/>
      <c r="B7" s="574"/>
      <c r="C7" s="727"/>
      <c r="D7" s="575" t="s">
        <v>7</v>
      </c>
      <c r="E7" s="728" t="s">
        <v>8</v>
      </c>
      <c r="F7" s="575" t="s">
        <v>211</v>
      </c>
      <c r="G7" s="729" t="s">
        <v>499</v>
      </c>
      <c r="H7" s="729" t="s">
        <v>496</v>
      </c>
      <c r="I7" s="715"/>
      <c r="J7" s="715" t="s">
        <v>12</v>
      </c>
      <c r="K7" s="729"/>
      <c r="L7" s="729" t="s">
        <v>500</v>
      </c>
      <c r="M7" s="715" t="s">
        <v>716</v>
      </c>
      <c r="N7" s="715"/>
      <c r="O7" s="716" t="s">
        <v>715</v>
      </c>
      <c r="P7" s="576"/>
      <c r="Q7" s="132"/>
    </row>
    <row r="8" spans="1:20">
      <c r="A8" s="133" t="s">
        <v>2</v>
      </c>
      <c r="B8" s="134" t="s">
        <v>210</v>
      </c>
      <c r="C8" s="135"/>
      <c r="D8" s="730" t="s">
        <v>4</v>
      </c>
      <c r="E8" s="132" t="s">
        <v>212</v>
      </c>
      <c r="F8" s="730" t="s">
        <v>4</v>
      </c>
      <c r="G8" s="731" t="s">
        <v>497</v>
      </c>
      <c r="H8" s="731" t="s">
        <v>498</v>
      </c>
      <c r="I8" s="633"/>
      <c r="J8" s="732" t="s">
        <v>501</v>
      </c>
      <c r="K8" s="733"/>
      <c r="L8" s="731" t="s">
        <v>711</v>
      </c>
      <c r="M8" s="499" t="s">
        <v>497</v>
      </c>
      <c r="N8" s="499"/>
      <c r="O8" s="896" t="s">
        <v>498</v>
      </c>
      <c r="P8" s="136"/>
      <c r="Q8" s="133" t="s">
        <v>2</v>
      </c>
    </row>
    <row r="9" spans="1:20" ht="16" thickBot="1">
      <c r="A9" s="133" t="s">
        <v>3</v>
      </c>
      <c r="B9" s="137" t="s">
        <v>213</v>
      </c>
      <c r="C9" s="734" t="s">
        <v>113</v>
      </c>
      <c r="D9" s="138" t="s">
        <v>214</v>
      </c>
      <c r="E9" s="734" t="s">
        <v>215</v>
      </c>
      <c r="F9" s="138" t="s">
        <v>216</v>
      </c>
      <c r="G9" s="735" t="s">
        <v>502</v>
      </c>
      <c r="H9" s="736" t="s">
        <v>503</v>
      </c>
      <c r="I9" s="737"/>
      <c r="J9" s="738" t="s">
        <v>587</v>
      </c>
      <c r="K9" s="736"/>
      <c r="L9" s="736" t="s">
        <v>710</v>
      </c>
      <c r="M9" s="756" t="s">
        <v>502</v>
      </c>
      <c r="N9" s="756"/>
      <c r="O9" s="897" t="s">
        <v>94</v>
      </c>
      <c r="P9" s="139" t="s">
        <v>5</v>
      </c>
      <c r="Q9" s="133" t="s">
        <v>3</v>
      </c>
      <c r="R9" s="133"/>
    </row>
    <row r="10" spans="1:20">
      <c r="B10" s="140"/>
      <c r="C10" s="141" t="s">
        <v>220</v>
      </c>
      <c r="D10" s="739"/>
      <c r="E10" s="739"/>
      <c r="F10" s="740"/>
      <c r="G10" s="741"/>
      <c r="H10" s="742"/>
      <c r="I10" s="743"/>
      <c r="J10" s="743"/>
      <c r="K10" s="741"/>
      <c r="L10" s="742"/>
      <c r="M10" s="743"/>
      <c r="N10" s="743"/>
      <c r="O10" s="742"/>
      <c r="P10" s="142"/>
    </row>
    <row r="11" spans="1:20">
      <c r="A11" s="133">
        <v>1</v>
      </c>
      <c r="B11" s="140">
        <v>920</v>
      </c>
      <c r="C11" s="143" t="s">
        <v>221</v>
      </c>
      <c r="D11" s="717">
        <v>38528.063410000002</v>
      </c>
      <c r="E11" s="717">
        <v>0</v>
      </c>
      <c r="F11" s="717">
        <f>D11-E11</f>
        <v>38528.063410000002</v>
      </c>
      <c r="G11" s="744"/>
      <c r="H11" s="717">
        <f>F11+G11</f>
        <v>38528.063410000002</v>
      </c>
      <c r="I11" s="336"/>
      <c r="J11" s="336"/>
      <c r="K11" s="744"/>
      <c r="L11" s="119">
        <f>H11+J11</f>
        <v>38528.063410000002</v>
      </c>
      <c r="M11" s="336"/>
      <c r="N11" s="336"/>
      <c r="O11" s="119">
        <f>L11-M11</f>
        <v>38528.063410000002</v>
      </c>
      <c r="P11" s="127" t="s">
        <v>222</v>
      </c>
      <c r="Q11" s="133">
        <f>A11</f>
        <v>1</v>
      </c>
      <c r="R11" s="131" t="s">
        <v>6</v>
      </c>
      <c r="S11" s="117"/>
    </row>
    <row r="12" spans="1:20" ht="16.5">
      <c r="A12" s="133">
        <f t="shared" ref="A12:A31" si="0">A11+1</f>
        <v>2</v>
      </c>
      <c r="B12" s="140">
        <v>921</v>
      </c>
      <c r="C12" s="143" t="s">
        <v>223</v>
      </c>
      <c r="D12" s="720">
        <v>8714.1837200000009</v>
      </c>
      <c r="E12" s="128">
        <v>0.75301000000000207</v>
      </c>
      <c r="F12" s="720">
        <f>D12-E12</f>
        <v>8713.4307100000005</v>
      </c>
      <c r="G12" s="745"/>
      <c r="H12" s="720">
        <f>F12+G12</f>
        <v>8713.4307100000005</v>
      </c>
      <c r="I12" s="890" t="s">
        <v>439</v>
      </c>
      <c r="J12" s="128">
        <f>-660.505-691.842</f>
        <v>-1352.347</v>
      </c>
      <c r="K12" s="746">
        <v>6</v>
      </c>
      <c r="L12" s="120">
        <f>H12+J12</f>
        <v>7361.0837100000008</v>
      </c>
      <c r="M12" s="495"/>
      <c r="N12" s="495"/>
      <c r="O12" s="120">
        <f>L12-M12</f>
        <v>7361.0837100000008</v>
      </c>
      <c r="P12" s="127" t="s">
        <v>224</v>
      </c>
      <c r="Q12" s="133">
        <f t="shared" ref="Q12:Q32" si="1">Q11+1</f>
        <v>2</v>
      </c>
      <c r="S12" s="117"/>
      <c r="T12" s="144"/>
    </row>
    <row r="13" spans="1:20" ht="16.5">
      <c r="A13" s="133">
        <f t="shared" si="0"/>
        <v>3</v>
      </c>
      <c r="B13" s="140">
        <v>922</v>
      </c>
      <c r="C13" s="143" t="s">
        <v>225</v>
      </c>
      <c r="D13" s="720">
        <v>-10239.58124</v>
      </c>
      <c r="E13" s="128">
        <v>0</v>
      </c>
      <c r="F13" s="720">
        <f>D13-E13</f>
        <v>-10239.58124</v>
      </c>
      <c r="G13" s="745"/>
      <c r="H13" s="720">
        <f t="shared" ref="H13:H24" si="2">F13+G13</f>
        <v>-10239.58124</v>
      </c>
      <c r="I13" s="890" t="s">
        <v>439</v>
      </c>
      <c r="J13" s="128">
        <v>2720</v>
      </c>
      <c r="K13" s="746">
        <v>3</v>
      </c>
      <c r="L13" s="120">
        <f t="shared" ref="L13:L24" si="3">H13+J13</f>
        <v>-7519.5812399999995</v>
      </c>
      <c r="M13" s="495"/>
      <c r="N13" s="495"/>
      <c r="O13" s="120">
        <f t="shared" ref="O13:O24" si="4">L13-M13</f>
        <v>-7519.5812399999995</v>
      </c>
      <c r="P13" s="127" t="s">
        <v>226</v>
      </c>
      <c r="Q13" s="133">
        <f t="shared" si="1"/>
        <v>3</v>
      </c>
      <c r="S13" s="117"/>
    </row>
    <row r="14" spans="1:20" ht="16.5">
      <c r="A14" s="133">
        <f t="shared" si="0"/>
        <v>4</v>
      </c>
      <c r="B14" s="140">
        <v>923</v>
      </c>
      <c r="C14" s="143" t="s">
        <v>227</v>
      </c>
      <c r="D14" s="720">
        <v>93646.322090000001</v>
      </c>
      <c r="E14" s="128">
        <v>333.74215999999996</v>
      </c>
      <c r="F14" s="720">
        <f>D14-E14</f>
        <v>93312.579930000007</v>
      </c>
      <c r="G14" s="480">
        <f>543.571+282.674</f>
        <v>826.245</v>
      </c>
      <c r="H14" s="720">
        <f t="shared" si="2"/>
        <v>94138.824930000002</v>
      </c>
      <c r="I14" s="890" t="s">
        <v>439</v>
      </c>
      <c r="J14" s="480">
        <f>1.202-3.611</f>
        <v>-2.4090000000000003</v>
      </c>
      <c r="K14" s="748" t="s">
        <v>504</v>
      </c>
      <c r="L14" s="120">
        <f t="shared" si="3"/>
        <v>94136.415930000003</v>
      </c>
      <c r="M14" s="495"/>
      <c r="N14" s="495"/>
      <c r="O14" s="120">
        <f t="shared" si="4"/>
        <v>94136.415930000003</v>
      </c>
      <c r="P14" s="127" t="s">
        <v>228</v>
      </c>
      <c r="Q14" s="133">
        <f t="shared" si="1"/>
        <v>4</v>
      </c>
      <c r="R14" s="749"/>
      <c r="S14" s="5"/>
      <c r="T14" s="476"/>
    </row>
    <row r="15" spans="1:20">
      <c r="A15" s="133">
        <f t="shared" si="0"/>
        <v>5</v>
      </c>
      <c r="B15" s="140">
        <v>924</v>
      </c>
      <c r="C15" s="143" t="s">
        <v>229</v>
      </c>
      <c r="D15" s="720">
        <v>5523.0058700000009</v>
      </c>
      <c r="E15" s="128">
        <v>0</v>
      </c>
      <c r="F15" s="720">
        <f t="shared" ref="F15:F16" si="5">D15-E15</f>
        <v>5523.0058700000009</v>
      </c>
      <c r="G15" s="745"/>
      <c r="H15" s="720">
        <f t="shared" si="2"/>
        <v>5523.0058700000009</v>
      </c>
      <c r="I15" s="128"/>
      <c r="J15" s="128"/>
      <c r="K15" s="898"/>
      <c r="L15" s="120">
        <f t="shared" si="3"/>
        <v>5523.0058700000009</v>
      </c>
      <c r="M15" s="128"/>
      <c r="N15" s="128"/>
      <c r="O15" s="120">
        <f t="shared" si="4"/>
        <v>5523.0058700000009</v>
      </c>
      <c r="P15" s="127" t="s">
        <v>230</v>
      </c>
      <c r="Q15" s="133">
        <f t="shared" si="1"/>
        <v>5</v>
      </c>
      <c r="S15" s="5"/>
      <c r="T15" s="750"/>
    </row>
    <row r="16" spans="1:20">
      <c r="A16" s="133">
        <f t="shared" si="0"/>
        <v>6</v>
      </c>
      <c r="B16" s="140">
        <v>925</v>
      </c>
      <c r="C16" s="143" t="s">
        <v>231</v>
      </c>
      <c r="D16" s="720">
        <v>112646.05174</v>
      </c>
      <c r="E16" s="128">
        <v>102.631419228</v>
      </c>
      <c r="F16" s="720">
        <f t="shared" si="5"/>
        <v>112543.420320772</v>
      </c>
      <c r="G16" s="745"/>
      <c r="H16" s="720">
        <f t="shared" si="2"/>
        <v>112543.420320772</v>
      </c>
      <c r="I16" s="128"/>
      <c r="J16" s="128"/>
      <c r="K16" s="898"/>
      <c r="L16" s="120">
        <f t="shared" si="3"/>
        <v>112543.420320772</v>
      </c>
      <c r="M16" s="128"/>
      <c r="N16" s="128"/>
      <c r="O16" s="120">
        <f t="shared" si="4"/>
        <v>112543.420320772</v>
      </c>
      <c r="P16" s="127" t="s">
        <v>232</v>
      </c>
      <c r="Q16" s="133">
        <f t="shared" si="1"/>
        <v>6</v>
      </c>
      <c r="S16" s="5"/>
      <c r="T16" s="750"/>
    </row>
    <row r="17" spans="1:19" ht="18.5">
      <c r="A17" s="133">
        <f>A16+1</f>
        <v>7</v>
      </c>
      <c r="B17" s="140">
        <v>926</v>
      </c>
      <c r="C17" s="143" t="s">
        <v>505</v>
      </c>
      <c r="D17" s="720">
        <v>48997.417150000008</v>
      </c>
      <c r="E17" s="128">
        <v>343.98778952699996</v>
      </c>
      <c r="F17" s="720">
        <f>D17-E17</f>
        <v>48653.429360473012</v>
      </c>
      <c r="G17" s="745"/>
      <c r="H17" s="720">
        <f t="shared" si="2"/>
        <v>48653.429360473012</v>
      </c>
      <c r="I17" s="128"/>
      <c r="J17" s="128"/>
      <c r="K17" s="898"/>
      <c r="L17" s="120">
        <f t="shared" si="3"/>
        <v>48653.429360473012</v>
      </c>
      <c r="M17" s="128"/>
      <c r="N17" s="128"/>
      <c r="O17" s="120">
        <f t="shared" si="4"/>
        <v>48653.429360473012</v>
      </c>
      <c r="P17" s="127" t="s">
        <v>233</v>
      </c>
      <c r="Q17" s="133">
        <f>A16+1</f>
        <v>7</v>
      </c>
      <c r="S17" s="145"/>
    </row>
    <row r="18" spans="1:19">
      <c r="A18" s="133">
        <f>A17+1</f>
        <v>8</v>
      </c>
      <c r="B18" s="140">
        <v>927</v>
      </c>
      <c r="C18" s="143" t="s">
        <v>234</v>
      </c>
      <c r="D18" s="751">
        <v>131978.20225999999</v>
      </c>
      <c r="E18" s="720">
        <v>131978.20225999999</v>
      </c>
      <c r="F18" s="720">
        <f t="shared" ref="F18:F20" si="6">D18-E18</f>
        <v>0</v>
      </c>
      <c r="G18" s="745"/>
      <c r="H18" s="720">
        <f t="shared" si="2"/>
        <v>0</v>
      </c>
      <c r="I18" s="128"/>
      <c r="J18" s="128"/>
      <c r="K18" s="898"/>
      <c r="L18" s="120">
        <f t="shared" si="3"/>
        <v>0</v>
      </c>
      <c r="M18" s="495"/>
      <c r="N18" s="495"/>
      <c r="O18" s="120">
        <f t="shared" si="4"/>
        <v>0</v>
      </c>
      <c r="P18" s="127" t="s">
        <v>235</v>
      </c>
      <c r="Q18" s="133">
        <f>A17+1</f>
        <v>8</v>
      </c>
      <c r="S18" s="145"/>
    </row>
    <row r="19" spans="1:19" ht="18.5">
      <c r="A19" s="133">
        <f t="shared" si="0"/>
        <v>9</v>
      </c>
      <c r="B19" s="140">
        <v>928</v>
      </c>
      <c r="C19" s="143" t="s">
        <v>506</v>
      </c>
      <c r="D19" s="720">
        <v>20960.245720000003</v>
      </c>
      <c r="E19" s="128">
        <v>10076.049580000001</v>
      </c>
      <c r="F19" s="720">
        <f t="shared" si="6"/>
        <v>10884.196140000002</v>
      </c>
      <c r="G19" s="480"/>
      <c r="H19" s="720">
        <f t="shared" si="2"/>
        <v>10884.196140000002</v>
      </c>
      <c r="I19" s="890" t="s">
        <v>439</v>
      </c>
      <c r="J19" s="480">
        <v>692.92700000000002</v>
      </c>
      <c r="K19" s="746">
        <v>5</v>
      </c>
      <c r="L19" s="120">
        <f t="shared" si="3"/>
        <v>11577.123140000002</v>
      </c>
      <c r="M19" s="495"/>
      <c r="N19" s="495"/>
      <c r="O19" s="120">
        <f t="shared" si="4"/>
        <v>11577.123140000002</v>
      </c>
      <c r="P19" s="127" t="s">
        <v>236</v>
      </c>
      <c r="Q19" s="133">
        <f t="shared" si="1"/>
        <v>9</v>
      </c>
      <c r="S19" s="145"/>
    </row>
    <row r="20" spans="1:19">
      <c r="A20" s="133">
        <f t="shared" si="0"/>
        <v>10</v>
      </c>
      <c r="B20" s="134">
        <v>929</v>
      </c>
      <c r="C20" s="143" t="s">
        <v>237</v>
      </c>
      <c r="D20" s="720">
        <v>-1622.2648800000004</v>
      </c>
      <c r="E20" s="128">
        <v>0</v>
      </c>
      <c r="F20" s="720">
        <f t="shared" si="6"/>
        <v>-1622.2648800000004</v>
      </c>
      <c r="G20" s="745"/>
      <c r="H20" s="720">
        <f t="shared" si="2"/>
        <v>-1622.2648800000004</v>
      </c>
      <c r="I20" s="128"/>
      <c r="J20" s="128"/>
      <c r="K20" s="898"/>
      <c r="L20" s="120">
        <f t="shared" si="3"/>
        <v>-1622.2648800000004</v>
      </c>
      <c r="M20" s="495">
        <v>-359.85032999999999</v>
      </c>
      <c r="N20" s="641" t="s">
        <v>439</v>
      </c>
      <c r="O20" s="867">
        <f t="shared" si="4"/>
        <v>-1262.4145500000004</v>
      </c>
      <c r="P20" s="127" t="s">
        <v>238</v>
      </c>
      <c r="Q20" s="133">
        <f t="shared" si="1"/>
        <v>10</v>
      </c>
      <c r="S20" s="117"/>
    </row>
    <row r="21" spans="1:19">
      <c r="A21" s="133">
        <f>A20+1</f>
        <v>11</v>
      </c>
      <c r="B21" s="146">
        <v>930.1</v>
      </c>
      <c r="C21" s="143" t="s">
        <v>239</v>
      </c>
      <c r="D21" s="720">
        <v>242.68352000000002</v>
      </c>
      <c r="E21" s="128">
        <v>242.68352000000002</v>
      </c>
      <c r="F21" s="720">
        <f>D21-E21</f>
        <v>0</v>
      </c>
      <c r="G21" s="745"/>
      <c r="H21" s="720">
        <f t="shared" si="2"/>
        <v>0</v>
      </c>
      <c r="I21" s="128"/>
      <c r="J21" s="128"/>
      <c r="K21" s="898"/>
      <c r="L21" s="120">
        <f t="shared" si="3"/>
        <v>0</v>
      </c>
      <c r="M21" s="495"/>
      <c r="N21" s="495"/>
      <c r="O21" s="120">
        <f t="shared" si="4"/>
        <v>0</v>
      </c>
      <c r="P21" s="127" t="s">
        <v>240</v>
      </c>
      <c r="Q21" s="133">
        <f>Q20+1</f>
        <v>11</v>
      </c>
      <c r="S21" s="117"/>
    </row>
    <row r="22" spans="1:19" ht="16.5">
      <c r="A22" s="133">
        <f>A21+1</f>
        <v>12</v>
      </c>
      <c r="B22" s="146">
        <v>930.2</v>
      </c>
      <c r="C22" s="143" t="s">
        <v>241</v>
      </c>
      <c r="D22" s="720">
        <v>7563.7374500000005</v>
      </c>
      <c r="E22" s="128">
        <v>2000.03565</v>
      </c>
      <c r="F22" s="720">
        <f t="shared" ref="F22" si="7">D22-E22</f>
        <v>5563.7018000000007</v>
      </c>
      <c r="G22" s="745"/>
      <c r="H22" s="720">
        <f t="shared" si="2"/>
        <v>5563.7018000000007</v>
      </c>
      <c r="I22" s="890" t="s">
        <v>439</v>
      </c>
      <c r="J22" s="128">
        <v>-74.025999999999996</v>
      </c>
      <c r="K22" s="746">
        <v>6</v>
      </c>
      <c r="L22" s="120">
        <f t="shared" si="3"/>
        <v>5489.6758000000009</v>
      </c>
      <c r="M22" s="495"/>
      <c r="N22" s="495"/>
      <c r="O22" s="120">
        <f t="shared" si="4"/>
        <v>5489.6758000000009</v>
      </c>
      <c r="P22" s="127" t="s">
        <v>242</v>
      </c>
      <c r="Q22" s="133">
        <f>Q21+1</f>
        <v>12</v>
      </c>
      <c r="S22" s="147"/>
    </row>
    <row r="23" spans="1:19">
      <c r="A23" s="133">
        <f t="shared" si="0"/>
        <v>13</v>
      </c>
      <c r="B23" s="140">
        <v>931</v>
      </c>
      <c r="C23" s="143" t="s">
        <v>217</v>
      </c>
      <c r="D23" s="720">
        <v>11844.36429</v>
      </c>
      <c r="E23" s="128">
        <v>0</v>
      </c>
      <c r="F23" s="720">
        <f>D23-E23</f>
        <v>11844.36429</v>
      </c>
      <c r="G23" s="745"/>
      <c r="H23" s="720">
        <f t="shared" si="2"/>
        <v>11844.36429</v>
      </c>
      <c r="I23" s="128"/>
      <c r="J23" s="128"/>
      <c r="K23" s="745"/>
      <c r="L23" s="120">
        <f t="shared" si="3"/>
        <v>11844.36429</v>
      </c>
      <c r="M23" s="128"/>
      <c r="N23" s="128"/>
      <c r="O23" s="120">
        <f t="shared" si="4"/>
        <v>11844.36429</v>
      </c>
      <c r="P23" s="127" t="s">
        <v>243</v>
      </c>
      <c r="Q23" s="133">
        <f t="shared" si="1"/>
        <v>13</v>
      </c>
      <c r="S23" s="117"/>
    </row>
    <row r="24" spans="1:19">
      <c r="A24" s="133">
        <f t="shared" si="0"/>
        <v>14</v>
      </c>
      <c r="B24" s="140">
        <v>935</v>
      </c>
      <c r="C24" s="143" t="s">
        <v>244</v>
      </c>
      <c r="D24" s="342">
        <v>9056.059220000001</v>
      </c>
      <c r="E24" s="524">
        <v>65.000791141999997</v>
      </c>
      <c r="F24" s="342">
        <f>D24-E24</f>
        <v>8991.0584288580012</v>
      </c>
      <c r="G24" s="297"/>
      <c r="H24" s="342">
        <f t="shared" si="2"/>
        <v>8991.0584288580012</v>
      </c>
      <c r="I24" s="721"/>
      <c r="J24" s="524"/>
      <c r="K24" s="297"/>
      <c r="L24" s="342">
        <f t="shared" si="3"/>
        <v>8991.0584288580012</v>
      </c>
      <c r="M24" s="899"/>
      <c r="N24" s="524"/>
      <c r="O24" s="342">
        <f t="shared" si="4"/>
        <v>8991.0584288580012</v>
      </c>
      <c r="P24" s="127" t="s">
        <v>245</v>
      </c>
      <c r="Q24" s="133">
        <f t="shared" si="1"/>
        <v>14</v>
      </c>
      <c r="R24" s="131" t="s">
        <v>6</v>
      </c>
      <c r="S24" s="117"/>
    </row>
    <row r="25" spans="1:19">
      <c r="A25" s="133">
        <f>A24+1</f>
        <v>15</v>
      </c>
      <c r="B25" s="140"/>
      <c r="D25" s="752"/>
      <c r="F25" s="752"/>
      <c r="G25" s="753"/>
      <c r="H25" s="752"/>
      <c r="K25" s="753"/>
      <c r="L25" s="148"/>
      <c r="O25" s="148"/>
      <c r="P25" s="149"/>
      <c r="Q25" s="133">
        <f>Q24+1</f>
        <v>15</v>
      </c>
    </row>
    <row r="26" spans="1:19" ht="16" thickBot="1">
      <c r="A26" s="133">
        <f t="shared" si="0"/>
        <v>16</v>
      </c>
      <c r="B26" s="140"/>
      <c r="C26" s="135" t="s">
        <v>246</v>
      </c>
      <c r="D26" s="150">
        <f>SUM(D11:D24)</f>
        <v>477838.49032000004</v>
      </c>
      <c r="E26" s="577">
        <f>SUM(E11:E24)</f>
        <v>145143.08617989699</v>
      </c>
      <c r="F26" s="129">
        <f>SUM(F11:F24)</f>
        <v>332695.40414010303</v>
      </c>
      <c r="G26" s="577">
        <f>SUM(G11:G24)</f>
        <v>826.245</v>
      </c>
      <c r="H26" s="129">
        <f>SUM(H11:H24)</f>
        <v>333521.64914010302</v>
      </c>
      <c r="I26" s="892" t="s">
        <v>439</v>
      </c>
      <c r="J26" s="723">
        <f>SUM(J11:J24)</f>
        <v>1984.1449999999998</v>
      </c>
      <c r="K26" s="577"/>
      <c r="L26" s="129">
        <f>SUM(L11:L24)</f>
        <v>335505.79414010304</v>
      </c>
      <c r="M26" s="771">
        <f t="shared" ref="M26" si="8">SUM(M11:M24)</f>
        <v>-359.85032999999999</v>
      </c>
      <c r="N26" s="900" t="s">
        <v>439</v>
      </c>
      <c r="O26" s="129">
        <f>SUM(O11:O24)</f>
        <v>335865.64447010303</v>
      </c>
      <c r="P26" s="151" t="s">
        <v>661</v>
      </c>
      <c r="Q26" s="133">
        <f t="shared" si="1"/>
        <v>16</v>
      </c>
    </row>
    <row r="27" spans="1:19" ht="16" thickTop="1">
      <c r="A27" s="133">
        <f t="shared" si="0"/>
        <v>17</v>
      </c>
      <c r="B27" s="140"/>
      <c r="C27" s="135"/>
      <c r="D27" s="754"/>
      <c r="E27" s="115"/>
      <c r="F27" s="719"/>
      <c r="G27" s="718"/>
      <c r="H27" s="755"/>
      <c r="I27" s="718"/>
      <c r="J27" s="718"/>
      <c r="K27" s="115"/>
      <c r="L27" s="130"/>
      <c r="M27" s="718"/>
      <c r="N27" s="115"/>
      <c r="O27" s="130"/>
      <c r="P27" s="151"/>
      <c r="Q27" s="133">
        <f t="shared" si="1"/>
        <v>17</v>
      </c>
    </row>
    <row r="28" spans="1:19" ht="18">
      <c r="A28" s="133">
        <f t="shared" si="0"/>
        <v>18</v>
      </c>
      <c r="B28" s="140">
        <v>413</v>
      </c>
      <c r="C28" s="131" t="s">
        <v>247</v>
      </c>
      <c r="D28" s="563">
        <v>520.42307000000005</v>
      </c>
      <c r="E28" s="297">
        <v>0</v>
      </c>
      <c r="F28" s="342">
        <f>D28-E28</f>
        <v>520.42307000000005</v>
      </c>
      <c r="G28" s="524"/>
      <c r="H28" s="342">
        <f t="shared" ref="H28" si="9">F28+G28</f>
        <v>520.42307000000005</v>
      </c>
      <c r="I28" s="721"/>
      <c r="J28" s="524"/>
      <c r="K28" s="297"/>
      <c r="L28" s="342">
        <f t="shared" ref="L28" si="10">H28+J28</f>
        <v>520.42307000000005</v>
      </c>
      <c r="M28" s="899"/>
      <c r="N28" s="868"/>
      <c r="O28" s="342">
        <f t="shared" ref="O28" si="11">L28-M28</f>
        <v>520.42307000000005</v>
      </c>
      <c r="P28" s="151" t="s">
        <v>507</v>
      </c>
      <c r="Q28" s="133">
        <f t="shared" si="1"/>
        <v>18</v>
      </c>
    </row>
    <row r="29" spans="1:19">
      <c r="A29" s="133">
        <f t="shared" si="0"/>
        <v>19</v>
      </c>
      <c r="B29" s="140"/>
      <c r="C29" s="135"/>
      <c r="D29" s="754"/>
      <c r="E29" s="115"/>
      <c r="F29" s="719"/>
      <c r="G29" s="718"/>
      <c r="H29" s="719"/>
      <c r="I29" s="718"/>
      <c r="J29" s="718"/>
      <c r="K29" s="115"/>
      <c r="L29" s="130"/>
      <c r="M29" s="718"/>
      <c r="N29" s="115"/>
      <c r="O29" s="130"/>
      <c r="P29" s="151"/>
      <c r="Q29" s="133">
        <f t="shared" si="1"/>
        <v>19</v>
      </c>
    </row>
    <row r="30" spans="1:19" ht="16" thickBot="1">
      <c r="A30" s="133">
        <f t="shared" si="0"/>
        <v>20</v>
      </c>
      <c r="B30" s="140"/>
      <c r="C30" s="135" t="s">
        <v>248</v>
      </c>
      <c r="D30" s="150">
        <f>D26+D28</f>
        <v>478358.91339000006</v>
      </c>
      <c r="E30" s="115">
        <f>E26+E28</f>
        <v>145143.08617989699</v>
      </c>
      <c r="F30" s="719">
        <f>F26+F28</f>
        <v>333215.82721010305</v>
      </c>
      <c r="G30" s="723">
        <f>G26+G28</f>
        <v>826.245</v>
      </c>
      <c r="H30" s="129">
        <f>H26+H28</f>
        <v>334042.07221010304</v>
      </c>
      <c r="I30" s="892" t="s">
        <v>439</v>
      </c>
      <c r="J30" s="723">
        <f>J26+J28</f>
        <v>1984.1449999999998</v>
      </c>
      <c r="K30" s="577"/>
      <c r="L30" s="129">
        <f>L26+L28</f>
        <v>336026.21721010306</v>
      </c>
      <c r="M30" s="129">
        <f t="shared" ref="M30" si="12">M26+M28</f>
        <v>-359.85032999999999</v>
      </c>
      <c r="N30" s="900" t="s">
        <v>439</v>
      </c>
      <c r="O30" s="129">
        <f>O26+O28</f>
        <v>336386.06754010305</v>
      </c>
      <c r="P30" s="151" t="s">
        <v>508</v>
      </c>
      <c r="Q30" s="133">
        <f t="shared" si="1"/>
        <v>20</v>
      </c>
    </row>
    <row r="31" spans="1:19" ht="16.5" thickTop="1" thickBot="1">
      <c r="A31" s="133">
        <f t="shared" si="0"/>
        <v>21</v>
      </c>
      <c r="B31" s="152"/>
      <c r="C31" s="726"/>
      <c r="D31" s="153"/>
      <c r="E31" s="154"/>
      <c r="F31" s="154"/>
      <c r="G31" s="756"/>
      <c r="H31" s="756"/>
      <c r="I31" s="756"/>
      <c r="J31" s="756"/>
      <c r="K31" s="757"/>
      <c r="L31" s="772"/>
      <c r="M31" s="756"/>
      <c r="N31" s="756"/>
      <c r="O31" s="772"/>
      <c r="P31" s="155"/>
      <c r="Q31" s="133">
        <f t="shared" si="1"/>
        <v>21</v>
      </c>
    </row>
    <row r="32" spans="1:19">
      <c r="A32" s="133">
        <f>A31+1</f>
        <v>22</v>
      </c>
      <c r="B32" s="758"/>
      <c r="C32" s="759"/>
      <c r="D32" s="760"/>
      <c r="E32" s="761"/>
      <c r="F32" s="760"/>
      <c r="G32" s="760"/>
      <c r="H32" s="760"/>
      <c r="I32" s="760"/>
      <c r="J32" s="760"/>
      <c r="K32" s="760"/>
      <c r="L32" s="760"/>
      <c r="M32" s="760"/>
      <c r="N32" s="760"/>
      <c r="O32" s="760"/>
      <c r="P32" s="762"/>
      <c r="Q32" s="133">
        <f t="shared" si="1"/>
        <v>22</v>
      </c>
    </row>
    <row r="33" spans="1:17">
      <c r="A33" s="133">
        <f t="shared" ref="A33" si="13">A32+1</f>
        <v>23</v>
      </c>
      <c r="B33" s="157" t="s">
        <v>249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49"/>
      <c r="Q33" s="133">
        <f>Q32+1</f>
        <v>23</v>
      </c>
    </row>
    <row r="34" spans="1:17">
      <c r="A34" s="133">
        <f>A33+1</f>
        <v>24</v>
      </c>
      <c r="B34" s="478">
        <v>921</v>
      </c>
      <c r="C34" s="483" t="s">
        <v>250</v>
      </c>
      <c r="D34" s="482"/>
      <c r="E34" s="481">
        <v>0.75301000000000207</v>
      </c>
      <c r="P34" s="149"/>
      <c r="Q34" s="133">
        <f>Q33+1</f>
        <v>24</v>
      </c>
    </row>
    <row r="35" spans="1:17">
      <c r="A35" s="133">
        <f>A34+1</f>
        <v>25</v>
      </c>
      <c r="B35" s="478">
        <v>923</v>
      </c>
      <c r="C35" s="483" t="s">
        <v>250</v>
      </c>
      <c r="D35" s="482"/>
      <c r="E35" s="480">
        <v>333.74215999999996</v>
      </c>
      <c r="P35" s="149"/>
      <c r="Q35" s="133">
        <f>Q34+1</f>
        <v>25</v>
      </c>
    </row>
    <row r="36" spans="1:17">
      <c r="A36" s="133">
        <f t="shared" ref="A36:A62" si="14">A35+1</f>
        <v>26</v>
      </c>
      <c r="B36" s="478">
        <v>925</v>
      </c>
      <c r="C36" s="484" t="s">
        <v>251</v>
      </c>
      <c r="D36" s="480">
        <v>102.631419228</v>
      </c>
      <c r="P36" s="149"/>
      <c r="Q36" s="133">
        <f t="shared" ref="Q36:Q41" si="15">Q35+1</f>
        <v>26</v>
      </c>
    </row>
    <row r="37" spans="1:17">
      <c r="A37" s="133">
        <f t="shared" si="14"/>
        <v>27</v>
      </c>
      <c r="B37" s="478"/>
      <c r="C37" s="484" t="s">
        <v>231</v>
      </c>
      <c r="D37" s="573">
        <v>0</v>
      </c>
      <c r="E37" s="131">
        <f>SUM(D36:D37)</f>
        <v>102.631419228</v>
      </c>
      <c r="P37" s="149"/>
      <c r="Q37" s="133">
        <f t="shared" si="15"/>
        <v>27</v>
      </c>
    </row>
    <row r="38" spans="1:17">
      <c r="A38" s="133">
        <f t="shared" si="14"/>
        <v>28</v>
      </c>
      <c r="B38" s="478">
        <v>926</v>
      </c>
      <c r="C38" s="484" t="s">
        <v>251</v>
      </c>
      <c r="D38" s="487"/>
      <c r="E38" s="480">
        <v>343.98778952699996</v>
      </c>
      <c r="P38" s="149"/>
      <c r="Q38" s="133">
        <f t="shared" si="15"/>
        <v>28</v>
      </c>
    </row>
    <row r="39" spans="1:17">
      <c r="A39" s="133">
        <f t="shared" si="14"/>
        <v>29</v>
      </c>
      <c r="B39" s="478">
        <v>927</v>
      </c>
      <c r="C39" s="484" t="s">
        <v>234</v>
      </c>
      <c r="D39" s="487"/>
      <c r="E39" s="480">
        <v>131978.20225999999</v>
      </c>
      <c r="P39" s="149"/>
      <c r="Q39" s="133">
        <f t="shared" si="15"/>
        <v>29</v>
      </c>
    </row>
    <row r="40" spans="1:17">
      <c r="A40" s="133">
        <f t="shared" si="14"/>
        <v>30</v>
      </c>
      <c r="B40" s="478">
        <v>928</v>
      </c>
      <c r="C40" s="484" t="s">
        <v>251</v>
      </c>
      <c r="D40" s="480">
        <v>0</v>
      </c>
      <c r="E40" s="480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33">
        <f t="shared" si="15"/>
        <v>30</v>
      </c>
    </row>
    <row r="41" spans="1:17">
      <c r="A41" s="133">
        <f t="shared" si="14"/>
        <v>31</v>
      </c>
      <c r="B41" s="478"/>
      <c r="C41" s="483" t="s">
        <v>252</v>
      </c>
      <c r="D41" s="480">
        <v>0</v>
      </c>
      <c r="E41" s="480"/>
      <c r="P41" s="149"/>
      <c r="Q41" s="133">
        <f t="shared" si="15"/>
        <v>31</v>
      </c>
    </row>
    <row r="42" spans="1:17">
      <c r="A42" s="133">
        <f t="shared" si="14"/>
        <v>32</v>
      </c>
      <c r="B42" s="478"/>
      <c r="C42" s="483" t="s">
        <v>253</v>
      </c>
      <c r="D42" s="480">
        <v>1333.8680300000003</v>
      </c>
      <c r="E42" s="763"/>
      <c r="P42" s="149"/>
      <c r="Q42" s="133">
        <f>A41+1</f>
        <v>32</v>
      </c>
    </row>
    <row r="43" spans="1:17">
      <c r="A43" s="133">
        <f t="shared" si="14"/>
        <v>33</v>
      </c>
      <c r="B43" s="478"/>
      <c r="C43" s="483" t="s">
        <v>254</v>
      </c>
      <c r="D43" s="480">
        <v>8601.3346500000007</v>
      </c>
      <c r="E43" s="764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  <c r="Q43" s="133">
        <f>A42+1</f>
        <v>33</v>
      </c>
    </row>
    <row r="44" spans="1:17">
      <c r="A44" s="133">
        <f t="shared" si="14"/>
        <v>34</v>
      </c>
      <c r="B44" s="479"/>
      <c r="C44" s="484" t="s">
        <v>255</v>
      </c>
      <c r="D44" s="578">
        <v>140.84690000000001</v>
      </c>
      <c r="E44" s="486">
        <f>SUM(D40:D44)</f>
        <v>10076.049580000001</v>
      </c>
      <c r="P44" s="149"/>
      <c r="Q44" s="133">
        <f>A43+1</f>
        <v>34</v>
      </c>
    </row>
    <row r="45" spans="1:17" ht="18">
      <c r="A45" s="133">
        <f t="shared" si="14"/>
        <v>35</v>
      </c>
      <c r="B45" s="902">
        <v>929</v>
      </c>
      <c r="C45" s="160" t="s">
        <v>717</v>
      </c>
      <c r="D45" s="901"/>
      <c r="E45" s="486"/>
      <c r="P45" s="149"/>
      <c r="Q45" s="133">
        <f t="shared" ref="Q45:Q48" si="16">A44+1</f>
        <v>35</v>
      </c>
    </row>
    <row r="46" spans="1:17">
      <c r="A46" s="133">
        <f t="shared" si="14"/>
        <v>36</v>
      </c>
      <c r="B46" s="477">
        <v>930.1</v>
      </c>
      <c r="C46" s="483" t="s">
        <v>239</v>
      </c>
      <c r="D46" s="487"/>
      <c r="E46" s="480">
        <v>242.68352000000002</v>
      </c>
      <c r="P46" s="149"/>
      <c r="Q46" s="133">
        <f t="shared" si="16"/>
        <v>36</v>
      </c>
    </row>
    <row r="47" spans="1:17">
      <c r="A47" s="133">
        <f t="shared" si="14"/>
        <v>37</v>
      </c>
      <c r="B47" s="477">
        <v>930.2</v>
      </c>
      <c r="C47" s="484" t="s">
        <v>256</v>
      </c>
      <c r="D47" s="486">
        <v>0</v>
      </c>
      <c r="E47" s="488"/>
      <c r="P47" s="149"/>
      <c r="Q47" s="133">
        <f t="shared" si="16"/>
        <v>37</v>
      </c>
    </row>
    <row r="48" spans="1:17">
      <c r="A48" s="133">
        <f t="shared" si="14"/>
        <v>38</v>
      </c>
      <c r="B48" s="477"/>
      <c r="C48" s="484" t="s">
        <v>257</v>
      </c>
      <c r="D48" s="579">
        <v>2000.03565</v>
      </c>
      <c r="E48" s="486">
        <f>SUM(D47:D48)</f>
        <v>2000.03565</v>
      </c>
      <c r="P48" s="149"/>
      <c r="Q48" s="133">
        <f t="shared" si="16"/>
        <v>38</v>
      </c>
    </row>
    <row r="49" spans="1:17">
      <c r="A49" s="133">
        <f t="shared" si="14"/>
        <v>39</v>
      </c>
      <c r="B49" s="478">
        <v>935</v>
      </c>
      <c r="C49" s="485" t="s">
        <v>258</v>
      </c>
      <c r="D49" s="489"/>
      <c r="E49" s="573">
        <v>65.000791141999997</v>
      </c>
      <c r="P49" s="149"/>
      <c r="Q49" s="133">
        <f t="shared" ref="Q49:Q62" si="17">Q48+1</f>
        <v>39</v>
      </c>
    </row>
    <row r="50" spans="1:17">
      <c r="A50" s="133">
        <f t="shared" si="14"/>
        <v>40</v>
      </c>
      <c r="B50" s="765"/>
      <c r="C50" s="766"/>
      <c r="D50" s="767"/>
      <c r="E50" s="128"/>
      <c r="P50" s="149"/>
      <c r="Q50" s="133">
        <f t="shared" si="17"/>
        <v>40</v>
      </c>
    </row>
    <row r="51" spans="1:17" ht="16" thickBot="1">
      <c r="A51" s="133">
        <f t="shared" si="14"/>
        <v>41</v>
      </c>
      <c r="B51" s="156"/>
      <c r="C51" s="160" t="s">
        <v>218</v>
      </c>
      <c r="D51" s="158"/>
      <c r="E51" s="723">
        <f>SUM(E34:E49)</f>
        <v>145143.08617989699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49"/>
      <c r="Q51" s="133">
        <f t="shared" si="17"/>
        <v>41</v>
      </c>
    </row>
    <row r="52" spans="1:17" ht="16" thickTop="1">
      <c r="A52" s="133">
        <f t="shared" si="14"/>
        <v>42</v>
      </c>
      <c r="B52" s="156"/>
      <c r="C52" s="160"/>
      <c r="E52" s="162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49"/>
      <c r="Q52" s="133">
        <f t="shared" si="17"/>
        <v>42</v>
      </c>
    </row>
    <row r="53" spans="1:17">
      <c r="A53" s="133">
        <f t="shared" si="14"/>
        <v>43</v>
      </c>
      <c r="B53" s="725" t="s">
        <v>439</v>
      </c>
      <c r="C53" s="160" t="str">
        <f>'Pg9 Rev Stmt AH'!C74</f>
        <v>Items in BOLD have changed to correct the over-allocation of "Duplicate Charges (Company Energy Use)" Credit in FERC Account no. 929.</v>
      </c>
      <c r="E53" s="162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49"/>
      <c r="Q53" s="133">
        <f t="shared" si="17"/>
        <v>43</v>
      </c>
    </row>
    <row r="54" spans="1:17" ht="16.5">
      <c r="A54" s="133">
        <f>A53+1</f>
        <v>44</v>
      </c>
      <c r="B54" s="768">
        <v>1</v>
      </c>
      <c r="C54" s="143" t="s">
        <v>509</v>
      </c>
      <c r="E54" s="202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49"/>
      <c r="Q54" s="133">
        <f>Q53+1</f>
        <v>44</v>
      </c>
    </row>
    <row r="55" spans="1:17" ht="16.5">
      <c r="A55" s="133">
        <f t="shared" si="14"/>
        <v>45</v>
      </c>
      <c r="B55" s="768">
        <v>2</v>
      </c>
      <c r="C55" s="122" t="s">
        <v>510</v>
      </c>
      <c r="E55" s="202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49"/>
      <c r="Q55" s="133">
        <f t="shared" si="17"/>
        <v>45</v>
      </c>
    </row>
    <row r="56" spans="1:17" ht="16.5">
      <c r="A56" s="133">
        <f t="shared" si="14"/>
        <v>46</v>
      </c>
      <c r="B56" s="768"/>
      <c r="C56" s="122" t="s">
        <v>511</v>
      </c>
      <c r="E56" s="202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49"/>
      <c r="Q56" s="133">
        <f t="shared" si="17"/>
        <v>46</v>
      </c>
    </row>
    <row r="57" spans="1:17" ht="16.5">
      <c r="A57" s="133">
        <f t="shared" si="14"/>
        <v>47</v>
      </c>
      <c r="B57" s="768">
        <v>3</v>
      </c>
      <c r="C57" s="1" t="s">
        <v>512</v>
      </c>
      <c r="E57" s="202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49"/>
      <c r="Q57" s="133">
        <f t="shared" si="17"/>
        <v>47</v>
      </c>
    </row>
    <row r="58" spans="1:17" ht="17">
      <c r="A58" s="133">
        <f t="shared" si="14"/>
        <v>48</v>
      </c>
      <c r="B58" s="769">
        <v>4</v>
      </c>
      <c r="C58" s="1" t="s">
        <v>513</v>
      </c>
      <c r="E58" s="202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49"/>
      <c r="Q58" s="133">
        <f t="shared" si="17"/>
        <v>48</v>
      </c>
    </row>
    <row r="59" spans="1:17" ht="16.5">
      <c r="A59" s="133">
        <f t="shared" si="14"/>
        <v>49</v>
      </c>
      <c r="B59" s="768">
        <v>5</v>
      </c>
      <c r="C59" s="1" t="s">
        <v>514</v>
      </c>
      <c r="E59" s="202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49"/>
      <c r="Q59" s="133">
        <f t="shared" si="17"/>
        <v>49</v>
      </c>
    </row>
    <row r="60" spans="1:17" ht="16.5">
      <c r="A60" s="133">
        <f t="shared" si="14"/>
        <v>50</v>
      </c>
      <c r="B60" s="768">
        <v>6</v>
      </c>
      <c r="C60" s="1" t="s">
        <v>515</v>
      </c>
      <c r="E60" s="202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49"/>
      <c r="Q60" s="133">
        <f t="shared" si="17"/>
        <v>50</v>
      </c>
    </row>
    <row r="61" spans="1:17" ht="16.5">
      <c r="A61" s="133">
        <f t="shared" si="14"/>
        <v>51</v>
      </c>
      <c r="B61" s="768">
        <v>7</v>
      </c>
      <c r="C61" s="75" t="s">
        <v>718</v>
      </c>
      <c r="E61" s="202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49"/>
      <c r="Q61" s="133">
        <f t="shared" si="17"/>
        <v>51</v>
      </c>
    </row>
    <row r="62" spans="1:17" ht="16" thickBot="1">
      <c r="A62" s="133">
        <f t="shared" si="14"/>
        <v>52</v>
      </c>
      <c r="B62" s="163"/>
      <c r="C62" s="770"/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155"/>
      <c r="Q62" s="133">
        <f t="shared" si="17"/>
        <v>52</v>
      </c>
    </row>
    <row r="63" spans="1:17">
      <c r="A63" s="132"/>
      <c r="C63" s="143"/>
      <c r="D63" s="164"/>
      <c r="E63" s="164"/>
    </row>
    <row r="64" spans="1:17" ht="18">
      <c r="A64" s="165"/>
      <c r="C64" s="143"/>
    </row>
    <row r="65" spans="1:3" ht="18">
      <c r="A65" s="165"/>
      <c r="C65" s="143"/>
    </row>
    <row r="66" spans="1:3" ht="18">
      <c r="A66" s="165"/>
      <c r="C66" s="143"/>
    </row>
    <row r="67" spans="1:3" ht="18">
      <c r="A67" s="165"/>
      <c r="C67" s="143"/>
    </row>
    <row r="68" spans="1:3" ht="18">
      <c r="A68" s="165"/>
      <c r="C68" s="143"/>
    </row>
    <row r="69" spans="1:3" ht="18">
      <c r="A69" s="165"/>
      <c r="C69" s="143"/>
    </row>
    <row r="70" spans="1:3">
      <c r="A70" s="132"/>
      <c r="C70" s="143"/>
    </row>
    <row r="71" spans="1:3" ht="18">
      <c r="A71" s="165"/>
      <c r="C71" s="143"/>
    </row>
    <row r="72" spans="1:3">
      <c r="A72" s="132"/>
      <c r="C72" s="143"/>
    </row>
    <row r="73" spans="1:3" ht="18">
      <c r="A73" s="165"/>
      <c r="C73" s="143"/>
    </row>
    <row r="74" spans="1:3">
      <c r="A74" s="132"/>
      <c r="C74" s="143"/>
    </row>
    <row r="75" spans="1:3" ht="18">
      <c r="A75" s="165"/>
      <c r="C75" s="143"/>
    </row>
    <row r="76" spans="1:3" ht="18">
      <c r="A76" s="165"/>
      <c r="B76" s="143"/>
    </row>
    <row r="77" spans="1:3" ht="18">
      <c r="A77" s="165"/>
      <c r="B77" s="143"/>
    </row>
    <row r="78" spans="1:3">
      <c r="B78" s="143"/>
    </row>
    <row r="79" spans="1:3" ht="18">
      <c r="A79" s="165"/>
      <c r="B79" s="143"/>
    </row>
    <row r="80" spans="1:3">
      <c r="A80" s="166"/>
      <c r="B80" s="167"/>
    </row>
    <row r="81" spans="2:2">
      <c r="B81" s="143"/>
    </row>
  </sheetData>
  <mergeCells count="4">
    <mergeCell ref="B2:P2"/>
    <mergeCell ref="B3:P3"/>
    <mergeCell ref="B4:P4"/>
    <mergeCell ref="B5:P5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Roman,Bold"&amp;6REVISED</oddHeader>
    <oddFooter>&amp;L&amp;F&amp;CPage 9.2&amp;R&amp;A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AEA4-4440-4729-A0D3-736B9C44BA04}">
  <sheetPr>
    <pageSetUpPr fitToPage="1"/>
  </sheetPr>
  <dimension ref="A1:Q80"/>
  <sheetViews>
    <sheetView zoomScale="80" zoomScaleNormal="80" workbookViewId="0"/>
  </sheetViews>
  <sheetFormatPr defaultColWidth="9.08984375" defaultRowHeight="15.5"/>
  <cols>
    <col min="1" max="1" width="6.81640625" style="133" bestFit="1" customWidth="1"/>
    <col min="2" max="2" width="7.6328125" style="131" customWidth="1"/>
    <col min="3" max="3" width="69.08984375" style="131" customWidth="1"/>
    <col min="4" max="6" width="12.6328125" style="131" customWidth="1"/>
    <col min="7" max="7" width="14.90625" style="131" bestFit="1" customWidth="1"/>
    <col min="8" max="8" width="12.6328125" style="131" customWidth="1"/>
    <col min="9" max="9" width="2" style="131" bestFit="1" customWidth="1"/>
    <col min="10" max="10" width="12.6328125" style="131" bestFit="1" customWidth="1"/>
    <col min="11" max="11" width="3.81640625" style="131" bestFit="1" customWidth="1"/>
    <col min="12" max="12" width="16.6328125" style="131" bestFit="1" customWidth="1"/>
    <col min="13" max="13" width="34.6328125" style="131" customWidth="1"/>
    <col min="14" max="14" width="4.81640625" style="133" bestFit="1" customWidth="1"/>
    <col min="15" max="15" width="4" style="131" customWidth="1"/>
    <col min="16" max="16" width="13.08984375" style="131" bestFit="1" customWidth="1"/>
    <col min="17" max="17" width="9.08984375" style="131"/>
    <col min="18" max="18" width="9.81640625" style="131" customWidth="1"/>
    <col min="19" max="19" width="10" style="131" customWidth="1"/>
    <col min="20" max="16384" width="9.08984375" style="131"/>
  </cols>
  <sheetData>
    <row r="1" spans="1:17">
      <c r="A1" s="926" t="s">
        <v>740</v>
      </c>
    </row>
    <row r="2" spans="1:17">
      <c r="M2" s="261"/>
    </row>
    <row r="3" spans="1:17">
      <c r="B3" s="977" t="s">
        <v>0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132"/>
    </row>
    <row r="4" spans="1:17">
      <c r="B4" s="977" t="s">
        <v>219</v>
      </c>
      <c r="C4" s="977"/>
      <c r="D4" s="977"/>
      <c r="E4" s="977"/>
      <c r="F4" s="977"/>
      <c r="G4" s="977"/>
      <c r="H4" s="977"/>
      <c r="I4" s="977"/>
      <c r="J4" s="977"/>
      <c r="K4" s="977"/>
      <c r="L4" s="977"/>
      <c r="M4" s="977"/>
      <c r="N4" s="132"/>
    </row>
    <row r="5" spans="1:17">
      <c r="B5" s="977" t="s">
        <v>495</v>
      </c>
      <c r="C5" s="977"/>
      <c r="D5" s="977"/>
      <c r="E5" s="977"/>
      <c r="F5" s="977"/>
      <c r="G5" s="977"/>
      <c r="H5" s="977"/>
      <c r="I5" s="977"/>
      <c r="J5" s="977"/>
      <c r="K5" s="977"/>
      <c r="L5" s="977"/>
      <c r="M5" s="977"/>
      <c r="N5" s="132"/>
    </row>
    <row r="6" spans="1:17">
      <c r="B6" s="978" t="s">
        <v>1</v>
      </c>
      <c r="C6" s="978"/>
      <c r="D6" s="978"/>
      <c r="E6" s="978"/>
      <c r="F6" s="978"/>
      <c r="G6" s="978"/>
      <c r="H6" s="978"/>
      <c r="I6" s="978"/>
      <c r="J6" s="978"/>
      <c r="K6" s="978"/>
      <c r="L6" s="978"/>
      <c r="M6" s="978"/>
      <c r="N6" s="132"/>
    </row>
    <row r="7" spans="1:17" ht="16" thickBot="1">
      <c r="D7" s="726"/>
      <c r="E7" s="726"/>
      <c r="F7" s="726"/>
      <c r="G7" s="726"/>
      <c r="H7" s="726"/>
      <c r="I7" s="726"/>
      <c r="J7" s="726"/>
      <c r="K7" s="726"/>
      <c r="L7" s="726"/>
      <c r="M7" s="726"/>
      <c r="P7" s="122"/>
    </row>
    <row r="8" spans="1:17" ht="18">
      <c r="A8" s="132"/>
      <c r="B8" s="574"/>
      <c r="C8" s="727"/>
      <c r="D8" s="575" t="s">
        <v>7</v>
      </c>
      <c r="E8" s="728" t="s">
        <v>8</v>
      </c>
      <c r="F8" s="575" t="s">
        <v>211</v>
      </c>
      <c r="G8" s="729" t="s">
        <v>499</v>
      </c>
      <c r="H8" s="729" t="s">
        <v>496</v>
      </c>
      <c r="I8" s="715"/>
      <c r="J8" s="715" t="s">
        <v>12</v>
      </c>
      <c r="K8" s="729"/>
      <c r="L8" s="729" t="s">
        <v>500</v>
      </c>
      <c r="M8" s="576"/>
      <c r="N8" s="132"/>
    </row>
    <row r="9" spans="1:17">
      <c r="A9" s="133" t="s">
        <v>2</v>
      </c>
      <c r="B9" s="134" t="s">
        <v>210</v>
      </c>
      <c r="C9" s="135"/>
      <c r="D9" s="730" t="s">
        <v>4</v>
      </c>
      <c r="E9" s="132" t="s">
        <v>212</v>
      </c>
      <c r="F9" s="730" t="s">
        <v>4</v>
      </c>
      <c r="G9" s="731" t="s">
        <v>497</v>
      </c>
      <c r="H9" s="731" t="s">
        <v>498</v>
      </c>
      <c r="I9" s="633"/>
      <c r="J9" s="732" t="s">
        <v>501</v>
      </c>
      <c r="K9" s="733"/>
      <c r="L9" s="731" t="s">
        <v>711</v>
      </c>
      <c r="M9" s="136"/>
      <c r="N9" s="133" t="s">
        <v>2</v>
      </c>
    </row>
    <row r="10" spans="1:17" ht="16" thickBot="1">
      <c r="A10" s="133" t="s">
        <v>3</v>
      </c>
      <c r="B10" s="137" t="s">
        <v>213</v>
      </c>
      <c r="C10" s="734" t="s">
        <v>113</v>
      </c>
      <c r="D10" s="138" t="s">
        <v>214</v>
      </c>
      <c r="E10" s="734" t="s">
        <v>215</v>
      </c>
      <c r="F10" s="138" t="s">
        <v>216</v>
      </c>
      <c r="G10" s="735" t="s">
        <v>502</v>
      </c>
      <c r="H10" s="736" t="s">
        <v>503</v>
      </c>
      <c r="I10" s="737"/>
      <c r="J10" s="738" t="s">
        <v>587</v>
      </c>
      <c r="K10" s="736"/>
      <c r="L10" s="736" t="s">
        <v>710</v>
      </c>
      <c r="M10" s="139" t="s">
        <v>5</v>
      </c>
      <c r="N10" s="133" t="s">
        <v>3</v>
      </c>
      <c r="O10" s="133"/>
    </row>
    <row r="11" spans="1:17">
      <c r="B11" s="140"/>
      <c r="C11" s="141" t="s">
        <v>220</v>
      </c>
      <c r="D11" s="739"/>
      <c r="E11" s="739"/>
      <c r="F11" s="740"/>
      <c r="G11" s="741"/>
      <c r="H11" s="742"/>
      <c r="I11" s="743"/>
      <c r="J11" s="743"/>
      <c r="K11" s="741"/>
      <c r="L11" s="742"/>
      <c r="M11" s="142"/>
    </row>
    <row r="12" spans="1:17">
      <c r="A12" s="133">
        <v>1</v>
      </c>
      <c r="B12" s="140">
        <v>920</v>
      </c>
      <c r="C12" s="143" t="s">
        <v>221</v>
      </c>
      <c r="D12" s="717">
        <v>38528.063410000002</v>
      </c>
      <c r="E12" s="717">
        <v>0</v>
      </c>
      <c r="F12" s="717">
        <f>D12-E12</f>
        <v>38528.063410000002</v>
      </c>
      <c r="G12" s="744"/>
      <c r="H12" s="717">
        <f>F12+G12</f>
        <v>38528.063410000002</v>
      </c>
      <c r="I12" s="336"/>
      <c r="J12" s="336"/>
      <c r="K12" s="744"/>
      <c r="L12" s="119">
        <f>H12+J12</f>
        <v>38528.063410000002</v>
      </c>
      <c r="M12" s="127" t="s">
        <v>222</v>
      </c>
      <c r="N12" s="133">
        <f>A12</f>
        <v>1</v>
      </c>
      <c r="O12" s="131" t="s">
        <v>6</v>
      </c>
      <c r="P12" s="117"/>
    </row>
    <row r="13" spans="1:17" ht="16.5">
      <c r="A13" s="133">
        <f t="shared" ref="A13:A32" si="0">A12+1</f>
        <v>2</v>
      </c>
      <c r="B13" s="134">
        <v>921</v>
      </c>
      <c r="C13" s="143" t="s">
        <v>223</v>
      </c>
      <c r="D13" s="720">
        <v>8714.1837200000009</v>
      </c>
      <c r="E13" s="128">
        <v>0.75301000000000207</v>
      </c>
      <c r="F13" s="720">
        <f>D13-E13</f>
        <v>8713.4307100000005</v>
      </c>
      <c r="G13" s="745"/>
      <c r="H13" s="720">
        <f>F13+G13</f>
        <v>8713.4307100000005</v>
      </c>
      <c r="I13" s="641" t="s">
        <v>439</v>
      </c>
      <c r="J13" s="495">
        <f>-660.505-691.842</f>
        <v>-1352.347</v>
      </c>
      <c r="K13" s="746">
        <v>6</v>
      </c>
      <c r="L13" s="867">
        <f>H13+J13</f>
        <v>7361.0837100000008</v>
      </c>
      <c r="M13" s="127" t="s">
        <v>224</v>
      </c>
      <c r="N13" s="133">
        <f t="shared" ref="N13:N33" si="1">N12+1</f>
        <v>2</v>
      </c>
      <c r="P13" s="117"/>
      <c r="Q13" s="144"/>
    </row>
    <row r="14" spans="1:17" ht="16.5">
      <c r="A14" s="133">
        <f t="shared" si="0"/>
        <v>3</v>
      </c>
      <c r="B14" s="134">
        <v>922</v>
      </c>
      <c r="C14" s="143" t="s">
        <v>225</v>
      </c>
      <c r="D14" s="720">
        <v>-10239.58124</v>
      </c>
      <c r="E14" s="128">
        <v>0</v>
      </c>
      <c r="F14" s="720">
        <f>D14-E14</f>
        <v>-10239.58124</v>
      </c>
      <c r="G14" s="745"/>
      <c r="H14" s="720">
        <f t="shared" ref="H14:H25" si="2">F14+G14</f>
        <v>-10239.58124</v>
      </c>
      <c r="I14" s="641" t="s">
        <v>439</v>
      </c>
      <c r="J14" s="495">
        <v>2720</v>
      </c>
      <c r="K14" s="746">
        <v>3</v>
      </c>
      <c r="L14" s="867">
        <f t="shared" ref="L14:L25" si="3">H14+J14</f>
        <v>-7519.5812399999995</v>
      </c>
      <c r="M14" s="127" t="s">
        <v>226</v>
      </c>
      <c r="N14" s="133">
        <f t="shared" si="1"/>
        <v>3</v>
      </c>
      <c r="P14" s="117"/>
    </row>
    <row r="15" spans="1:17" ht="16.5">
      <c r="A15" s="133">
        <f t="shared" si="0"/>
        <v>4</v>
      </c>
      <c r="B15" s="134">
        <v>923</v>
      </c>
      <c r="C15" s="143" t="s">
        <v>227</v>
      </c>
      <c r="D15" s="720">
        <v>93646.322090000001</v>
      </c>
      <c r="E15" s="128">
        <v>333.74215999999996</v>
      </c>
      <c r="F15" s="720">
        <f>D15-E15</f>
        <v>93312.579930000007</v>
      </c>
      <c r="G15" s="480">
        <f>543.571+282.674</f>
        <v>826.245</v>
      </c>
      <c r="H15" s="720">
        <f t="shared" si="2"/>
        <v>94138.824930000002</v>
      </c>
      <c r="I15" s="641" t="s">
        <v>439</v>
      </c>
      <c r="J15" s="747">
        <f>1.202-3.611</f>
        <v>-2.4090000000000003</v>
      </c>
      <c r="K15" s="748" t="s">
        <v>504</v>
      </c>
      <c r="L15" s="867">
        <f t="shared" si="3"/>
        <v>94136.415930000003</v>
      </c>
      <c r="M15" s="127" t="s">
        <v>228</v>
      </c>
      <c r="N15" s="133">
        <f t="shared" si="1"/>
        <v>4</v>
      </c>
      <c r="O15" s="749"/>
      <c r="P15" s="5"/>
      <c r="Q15" s="476"/>
    </row>
    <row r="16" spans="1:17">
      <c r="A16" s="133">
        <f t="shared" si="0"/>
        <v>5</v>
      </c>
      <c r="B16" s="140">
        <v>924</v>
      </c>
      <c r="C16" s="143" t="s">
        <v>229</v>
      </c>
      <c r="D16" s="720">
        <v>5523.0058700000009</v>
      </c>
      <c r="E16" s="128">
        <v>0</v>
      </c>
      <c r="F16" s="720">
        <f t="shared" ref="F16:F17" si="4">D16-E16</f>
        <v>5523.0058700000009</v>
      </c>
      <c r="G16" s="745"/>
      <c r="H16" s="720">
        <f t="shared" si="2"/>
        <v>5523.0058700000009</v>
      </c>
      <c r="I16" s="128"/>
      <c r="J16" s="128"/>
      <c r="K16" s="745"/>
      <c r="L16" s="120">
        <f t="shared" si="3"/>
        <v>5523.0058700000009</v>
      </c>
      <c r="M16" s="127" t="s">
        <v>230</v>
      </c>
      <c r="N16" s="133">
        <f t="shared" si="1"/>
        <v>5</v>
      </c>
      <c r="P16" s="5"/>
      <c r="Q16" s="750"/>
    </row>
    <row r="17" spans="1:17">
      <c r="A17" s="133">
        <f t="shared" si="0"/>
        <v>6</v>
      </c>
      <c r="B17" s="140">
        <v>925</v>
      </c>
      <c r="C17" s="143" t="s">
        <v>231</v>
      </c>
      <c r="D17" s="720">
        <v>112646.05174</v>
      </c>
      <c r="E17" s="128">
        <v>102.631419228</v>
      </c>
      <c r="F17" s="720">
        <f t="shared" si="4"/>
        <v>112543.420320772</v>
      </c>
      <c r="G17" s="745"/>
      <c r="H17" s="720">
        <f t="shared" si="2"/>
        <v>112543.420320772</v>
      </c>
      <c r="I17" s="128"/>
      <c r="J17" s="128"/>
      <c r="K17" s="745"/>
      <c r="L17" s="120">
        <f t="shared" si="3"/>
        <v>112543.420320772</v>
      </c>
      <c r="M17" s="127" t="s">
        <v>232</v>
      </c>
      <c r="N17" s="133">
        <f t="shared" si="1"/>
        <v>6</v>
      </c>
      <c r="P17" s="5"/>
      <c r="Q17" s="750"/>
    </row>
    <row r="18" spans="1:17" ht="18.5">
      <c r="A18" s="133">
        <f>A17+1</f>
        <v>7</v>
      </c>
      <c r="B18" s="140">
        <v>926</v>
      </c>
      <c r="C18" s="143" t="s">
        <v>505</v>
      </c>
      <c r="D18" s="720">
        <v>48997.417150000008</v>
      </c>
      <c r="E18" s="128">
        <v>343.98778952699996</v>
      </c>
      <c r="F18" s="720">
        <f>D18-E18</f>
        <v>48653.429360473012</v>
      </c>
      <c r="G18" s="745"/>
      <c r="H18" s="720">
        <f t="shared" si="2"/>
        <v>48653.429360473012</v>
      </c>
      <c r="I18" s="128"/>
      <c r="J18" s="128"/>
      <c r="K18" s="745"/>
      <c r="L18" s="120">
        <f t="shared" si="3"/>
        <v>48653.429360473012</v>
      </c>
      <c r="M18" s="127" t="s">
        <v>233</v>
      </c>
      <c r="N18" s="133">
        <f>A17+1</f>
        <v>7</v>
      </c>
      <c r="P18" s="145"/>
    </row>
    <row r="19" spans="1:17">
      <c r="A19" s="133">
        <f>A18+1</f>
        <v>8</v>
      </c>
      <c r="B19" s="140">
        <v>927</v>
      </c>
      <c r="C19" s="143" t="s">
        <v>234</v>
      </c>
      <c r="D19" s="751">
        <v>131978.20225999999</v>
      </c>
      <c r="E19" s="720">
        <v>131978.20225999999</v>
      </c>
      <c r="F19" s="720">
        <f t="shared" ref="F19:F21" si="5">D19-E19</f>
        <v>0</v>
      </c>
      <c r="G19" s="745"/>
      <c r="H19" s="720">
        <f t="shared" si="2"/>
        <v>0</v>
      </c>
      <c r="I19" s="128"/>
      <c r="J19" s="128"/>
      <c r="K19" s="745"/>
      <c r="L19" s="867">
        <f t="shared" si="3"/>
        <v>0</v>
      </c>
      <c r="M19" s="127" t="s">
        <v>235</v>
      </c>
      <c r="N19" s="133">
        <f>A18+1</f>
        <v>8</v>
      </c>
      <c r="P19" s="145"/>
    </row>
    <row r="20" spans="1:17" ht="18.5">
      <c r="A20" s="133">
        <f t="shared" si="0"/>
        <v>9</v>
      </c>
      <c r="B20" s="134">
        <v>928</v>
      </c>
      <c r="C20" s="143" t="s">
        <v>506</v>
      </c>
      <c r="D20" s="720">
        <v>20960.245720000003</v>
      </c>
      <c r="E20" s="128">
        <v>10076.049580000001</v>
      </c>
      <c r="F20" s="720">
        <f t="shared" si="5"/>
        <v>10884.196140000002</v>
      </c>
      <c r="G20" s="747"/>
      <c r="H20" s="720">
        <f t="shared" si="2"/>
        <v>10884.196140000002</v>
      </c>
      <c r="I20" s="641" t="s">
        <v>439</v>
      </c>
      <c r="J20" s="747">
        <v>692.92700000000002</v>
      </c>
      <c r="K20" s="746">
        <v>5</v>
      </c>
      <c r="L20" s="867">
        <f t="shared" si="3"/>
        <v>11577.123140000002</v>
      </c>
      <c r="M20" s="127" t="s">
        <v>236</v>
      </c>
      <c r="N20" s="133">
        <f t="shared" si="1"/>
        <v>9</v>
      </c>
      <c r="P20" s="145"/>
    </row>
    <row r="21" spans="1:17">
      <c r="A21" s="133">
        <f t="shared" si="0"/>
        <v>10</v>
      </c>
      <c r="B21" s="140">
        <v>929</v>
      </c>
      <c r="C21" s="143" t="s">
        <v>237</v>
      </c>
      <c r="D21" s="720">
        <v>-1622.2648800000004</v>
      </c>
      <c r="E21" s="128">
        <v>0</v>
      </c>
      <c r="F21" s="720">
        <f t="shared" si="5"/>
        <v>-1622.2648800000004</v>
      </c>
      <c r="G21" s="745"/>
      <c r="H21" s="720">
        <f t="shared" si="2"/>
        <v>-1622.2648800000004</v>
      </c>
      <c r="I21" s="128"/>
      <c r="J21" s="128"/>
      <c r="K21" s="745"/>
      <c r="L21" s="120">
        <f t="shared" si="3"/>
        <v>-1622.2648800000004</v>
      </c>
      <c r="M21" s="127" t="s">
        <v>238</v>
      </c>
      <c r="N21" s="133">
        <f t="shared" si="1"/>
        <v>10</v>
      </c>
      <c r="P21" s="117"/>
    </row>
    <row r="22" spans="1:17">
      <c r="A22" s="133">
        <f>A21+1</f>
        <v>11</v>
      </c>
      <c r="B22" s="146">
        <v>930.1</v>
      </c>
      <c r="C22" s="143" t="s">
        <v>239</v>
      </c>
      <c r="D22" s="720">
        <v>242.68352000000002</v>
      </c>
      <c r="E22" s="128">
        <v>242.68352000000002</v>
      </c>
      <c r="F22" s="720">
        <f>D22-E22</f>
        <v>0</v>
      </c>
      <c r="G22" s="745"/>
      <c r="H22" s="720">
        <f t="shared" si="2"/>
        <v>0</v>
      </c>
      <c r="I22" s="128"/>
      <c r="J22" s="128"/>
      <c r="K22" s="745"/>
      <c r="L22" s="867">
        <f t="shared" si="3"/>
        <v>0</v>
      </c>
      <c r="M22" s="127" t="s">
        <v>240</v>
      </c>
      <c r="N22" s="133">
        <f>N21+1</f>
        <v>11</v>
      </c>
      <c r="P22" s="117"/>
    </row>
    <row r="23" spans="1:17" ht="16.5">
      <c r="A23" s="133">
        <f>A22+1</f>
        <v>12</v>
      </c>
      <c r="B23" s="891">
        <v>930.2</v>
      </c>
      <c r="C23" s="143" t="s">
        <v>241</v>
      </c>
      <c r="D23" s="720">
        <v>7563.7374500000005</v>
      </c>
      <c r="E23" s="128">
        <v>2000.03565</v>
      </c>
      <c r="F23" s="720">
        <f t="shared" ref="F23" si="6">D23-E23</f>
        <v>5563.7018000000007</v>
      </c>
      <c r="G23" s="745"/>
      <c r="H23" s="720">
        <f t="shared" si="2"/>
        <v>5563.7018000000007</v>
      </c>
      <c r="I23" s="641" t="s">
        <v>439</v>
      </c>
      <c r="J23" s="495">
        <v>-74.025999999999996</v>
      </c>
      <c r="K23" s="746">
        <v>6</v>
      </c>
      <c r="L23" s="867">
        <f t="shared" si="3"/>
        <v>5489.6758000000009</v>
      </c>
      <c r="M23" s="127" t="s">
        <v>242</v>
      </c>
      <c r="N23" s="133">
        <f>N22+1</f>
        <v>12</v>
      </c>
      <c r="P23" s="147"/>
    </row>
    <row r="24" spans="1:17">
      <c r="A24" s="133">
        <f t="shared" si="0"/>
        <v>13</v>
      </c>
      <c r="B24" s="140">
        <v>931</v>
      </c>
      <c r="C24" s="143" t="s">
        <v>217</v>
      </c>
      <c r="D24" s="720">
        <v>11844.36429</v>
      </c>
      <c r="E24" s="128">
        <v>0</v>
      </c>
      <c r="F24" s="720">
        <f>D24-E24</f>
        <v>11844.36429</v>
      </c>
      <c r="G24" s="745"/>
      <c r="H24" s="720">
        <f t="shared" si="2"/>
        <v>11844.36429</v>
      </c>
      <c r="I24" s="128"/>
      <c r="J24" s="128"/>
      <c r="K24" s="745"/>
      <c r="L24" s="120">
        <f t="shared" si="3"/>
        <v>11844.36429</v>
      </c>
      <c r="M24" s="127" t="s">
        <v>243</v>
      </c>
      <c r="N24" s="133">
        <f t="shared" si="1"/>
        <v>13</v>
      </c>
      <c r="P24" s="117"/>
    </row>
    <row r="25" spans="1:17">
      <c r="A25" s="133">
        <f t="shared" si="0"/>
        <v>14</v>
      </c>
      <c r="B25" s="140">
        <v>935</v>
      </c>
      <c r="C25" s="143" t="s">
        <v>244</v>
      </c>
      <c r="D25" s="342">
        <v>9056.059220000001</v>
      </c>
      <c r="E25" s="524">
        <v>65.000791141999997</v>
      </c>
      <c r="F25" s="342">
        <f>D25-E25</f>
        <v>8991.0584288580012</v>
      </c>
      <c r="G25" s="297"/>
      <c r="H25" s="342">
        <f t="shared" si="2"/>
        <v>8991.0584288580012</v>
      </c>
      <c r="I25" s="721"/>
      <c r="J25" s="524"/>
      <c r="K25" s="297"/>
      <c r="L25" s="342">
        <f t="shared" si="3"/>
        <v>8991.0584288580012</v>
      </c>
      <c r="M25" s="127" t="s">
        <v>245</v>
      </c>
      <c r="N25" s="133">
        <f t="shared" si="1"/>
        <v>14</v>
      </c>
      <c r="O25" s="131" t="s">
        <v>6</v>
      </c>
      <c r="P25" s="117"/>
    </row>
    <row r="26" spans="1:17">
      <c r="A26" s="133">
        <f>A25+1</f>
        <v>15</v>
      </c>
      <c r="B26" s="140"/>
      <c r="D26" s="752"/>
      <c r="F26" s="752"/>
      <c r="G26" s="753"/>
      <c r="H26" s="752"/>
      <c r="K26" s="753"/>
      <c r="L26" s="148"/>
      <c r="M26" s="149"/>
      <c r="N26" s="133">
        <f>N25+1</f>
        <v>15</v>
      </c>
    </row>
    <row r="27" spans="1:17" ht="16" thickBot="1">
      <c r="A27" s="133">
        <f t="shared" si="0"/>
        <v>16</v>
      </c>
      <c r="B27" s="140"/>
      <c r="C27" s="135" t="s">
        <v>246</v>
      </c>
      <c r="D27" s="150">
        <f>SUM(D12:D25)</f>
        <v>477838.49032000004</v>
      </c>
      <c r="E27" s="577">
        <f>SUM(E12:E25)</f>
        <v>145143.08617989699</v>
      </c>
      <c r="F27" s="129">
        <f>SUM(F12:F25)</f>
        <v>332695.40414010303</v>
      </c>
      <c r="G27" s="577">
        <f>SUM(G12:G25)</f>
        <v>826.245</v>
      </c>
      <c r="H27" s="129">
        <f>SUM(H12:H25)</f>
        <v>333521.64914010302</v>
      </c>
      <c r="I27" s="722" t="s">
        <v>439</v>
      </c>
      <c r="J27" s="723">
        <f>SUM(J12:J25)</f>
        <v>1984.1449999999998</v>
      </c>
      <c r="K27" s="577"/>
      <c r="L27" s="129">
        <f>SUM(L12:L25)</f>
        <v>335505.79414010304</v>
      </c>
      <c r="M27" s="151" t="s">
        <v>661</v>
      </c>
      <c r="N27" s="133">
        <f t="shared" si="1"/>
        <v>16</v>
      </c>
    </row>
    <row r="28" spans="1:17" ht="16" thickTop="1">
      <c r="A28" s="133">
        <f t="shared" si="0"/>
        <v>17</v>
      </c>
      <c r="B28" s="140"/>
      <c r="C28" s="135"/>
      <c r="D28" s="754"/>
      <c r="E28" s="115"/>
      <c r="F28" s="719"/>
      <c r="G28" s="718"/>
      <c r="H28" s="755"/>
      <c r="I28" s="718"/>
      <c r="J28" s="718"/>
      <c r="K28" s="115"/>
      <c r="L28" s="130"/>
      <c r="M28" s="151"/>
      <c r="N28" s="133">
        <f t="shared" si="1"/>
        <v>17</v>
      </c>
    </row>
    <row r="29" spans="1:17" ht="18">
      <c r="A29" s="133">
        <f t="shared" si="0"/>
        <v>18</v>
      </c>
      <c r="B29" s="140">
        <v>413</v>
      </c>
      <c r="C29" s="131" t="s">
        <v>247</v>
      </c>
      <c r="D29" s="563">
        <v>520.42307000000005</v>
      </c>
      <c r="E29" s="297">
        <v>0</v>
      </c>
      <c r="F29" s="342">
        <f>D29-E29</f>
        <v>520.42307000000005</v>
      </c>
      <c r="G29" s="524"/>
      <c r="H29" s="342">
        <f t="shared" ref="H29" si="7">F29+G29</f>
        <v>520.42307000000005</v>
      </c>
      <c r="I29" s="721"/>
      <c r="J29" s="524"/>
      <c r="K29" s="297"/>
      <c r="L29" s="342">
        <f t="shared" ref="L29" si="8">H29+J29</f>
        <v>520.42307000000005</v>
      </c>
      <c r="M29" s="151" t="s">
        <v>507</v>
      </c>
      <c r="N29" s="133">
        <f t="shared" si="1"/>
        <v>18</v>
      </c>
    </row>
    <row r="30" spans="1:17">
      <c r="A30" s="133">
        <f t="shared" si="0"/>
        <v>19</v>
      </c>
      <c r="B30" s="140"/>
      <c r="C30" s="135"/>
      <c r="D30" s="754"/>
      <c r="E30" s="115"/>
      <c r="F30" s="719"/>
      <c r="G30" s="718"/>
      <c r="H30" s="719"/>
      <c r="I30" s="718"/>
      <c r="J30" s="718"/>
      <c r="K30" s="115"/>
      <c r="L30" s="130"/>
      <c r="M30" s="151"/>
      <c r="N30" s="133">
        <f t="shared" si="1"/>
        <v>19</v>
      </c>
    </row>
    <row r="31" spans="1:17" ht="16" thickBot="1">
      <c r="A31" s="133">
        <f t="shared" si="0"/>
        <v>20</v>
      </c>
      <c r="B31" s="140"/>
      <c r="C31" s="135" t="s">
        <v>248</v>
      </c>
      <c r="D31" s="150">
        <f>D27+D29</f>
        <v>478358.91339000006</v>
      </c>
      <c r="E31" s="115">
        <f>E27+E29</f>
        <v>145143.08617989699</v>
      </c>
      <c r="F31" s="719">
        <f>F27+F29</f>
        <v>333215.82721010305</v>
      </c>
      <c r="G31" s="723">
        <f>G27+G29</f>
        <v>826.245</v>
      </c>
      <c r="H31" s="129">
        <f>H27+H29</f>
        <v>334042.07221010304</v>
      </c>
      <c r="I31" s="722" t="s">
        <v>439</v>
      </c>
      <c r="J31" s="723">
        <f>J27+J29</f>
        <v>1984.1449999999998</v>
      </c>
      <c r="K31" s="577"/>
      <c r="L31" s="129">
        <f>L27+L29</f>
        <v>336026.21721010306</v>
      </c>
      <c r="M31" s="151" t="s">
        <v>508</v>
      </c>
      <c r="N31" s="133">
        <f t="shared" si="1"/>
        <v>20</v>
      </c>
    </row>
    <row r="32" spans="1:17" ht="16.5" thickTop="1" thickBot="1">
      <c r="A32" s="133">
        <f t="shared" si="0"/>
        <v>21</v>
      </c>
      <c r="B32" s="152"/>
      <c r="C32" s="726"/>
      <c r="D32" s="153"/>
      <c r="E32" s="154"/>
      <c r="F32" s="154"/>
      <c r="G32" s="756"/>
      <c r="H32" s="756"/>
      <c r="I32" s="756"/>
      <c r="J32" s="756"/>
      <c r="K32" s="757"/>
      <c r="L32" s="772"/>
      <c r="M32" s="155"/>
      <c r="N32" s="133">
        <f t="shared" si="1"/>
        <v>21</v>
      </c>
    </row>
    <row r="33" spans="1:14">
      <c r="A33" s="133">
        <f>A32+1</f>
        <v>22</v>
      </c>
      <c r="B33" s="758"/>
      <c r="C33" s="759"/>
      <c r="D33" s="760"/>
      <c r="E33" s="761"/>
      <c r="F33" s="760"/>
      <c r="G33" s="760"/>
      <c r="H33" s="760"/>
      <c r="I33" s="760"/>
      <c r="J33" s="760"/>
      <c r="K33" s="760"/>
      <c r="L33" s="760"/>
      <c r="M33" s="762"/>
      <c r="N33" s="133">
        <f t="shared" si="1"/>
        <v>22</v>
      </c>
    </row>
    <row r="34" spans="1:14">
      <c r="A34" s="133">
        <f t="shared" ref="A34" si="9">A33+1</f>
        <v>23</v>
      </c>
      <c r="B34" s="157" t="s">
        <v>249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49"/>
      <c r="N34" s="133">
        <f>N33+1</f>
        <v>23</v>
      </c>
    </row>
    <row r="35" spans="1:14">
      <c r="A35" s="133">
        <f>A34+1</f>
        <v>24</v>
      </c>
      <c r="B35" s="478">
        <v>921</v>
      </c>
      <c r="C35" s="483" t="s">
        <v>250</v>
      </c>
      <c r="D35" s="482"/>
      <c r="E35" s="481">
        <v>0.75301000000000207</v>
      </c>
      <c r="M35" s="149"/>
      <c r="N35" s="133">
        <f>N34+1</f>
        <v>24</v>
      </c>
    </row>
    <row r="36" spans="1:14">
      <c r="A36" s="133">
        <f>A35+1</f>
        <v>25</v>
      </c>
      <c r="B36" s="478">
        <v>923</v>
      </c>
      <c r="C36" s="483" t="s">
        <v>250</v>
      </c>
      <c r="D36" s="482"/>
      <c r="E36" s="480">
        <v>333.74215999999996</v>
      </c>
      <c r="M36" s="149"/>
      <c r="N36" s="133">
        <f>N35+1</f>
        <v>25</v>
      </c>
    </row>
    <row r="37" spans="1:14">
      <c r="A37" s="133">
        <f t="shared" ref="A37:A61" si="10">A36+1</f>
        <v>26</v>
      </c>
      <c r="B37" s="478">
        <v>925</v>
      </c>
      <c r="C37" s="484" t="s">
        <v>251</v>
      </c>
      <c r="D37" s="480">
        <v>102.631419228</v>
      </c>
      <c r="M37" s="149"/>
      <c r="N37" s="133">
        <f t="shared" ref="N37:N42" si="11">N36+1</f>
        <v>26</v>
      </c>
    </row>
    <row r="38" spans="1:14">
      <c r="A38" s="133">
        <f t="shared" si="10"/>
        <v>27</v>
      </c>
      <c r="B38" s="478"/>
      <c r="C38" s="484" t="s">
        <v>231</v>
      </c>
      <c r="D38" s="573">
        <v>0</v>
      </c>
      <c r="E38" s="131">
        <f>SUM(D37:D38)</f>
        <v>102.631419228</v>
      </c>
      <c r="M38" s="149"/>
      <c r="N38" s="133">
        <f t="shared" si="11"/>
        <v>27</v>
      </c>
    </row>
    <row r="39" spans="1:14">
      <c r="A39" s="133">
        <f t="shared" si="10"/>
        <v>28</v>
      </c>
      <c r="B39" s="478">
        <v>926</v>
      </c>
      <c r="C39" s="484" t="s">
        <v>251</v>
      </c>
      <c r="D39" s="487"/>
      <c r="E39" s="480">
        <v>343.98778952699996</v>
      </c>
      <c r="M39" s="149"/>
      <c r="N39" s="133">
        <f t="shared" si="11"/>
        <v>28</v>
      </c>
    </row>
    <row r="40" spans="1:14">
      <c r="A40" s="133">
        <f t="shared" si="10"/>
        <v>29</v>
      </c>
      <c r="B40" s="478">
        <v>927</v>
      </c>
      <c r="C40" s="484" t="s">
        <v>234</v>
      </c>
      <c r="D40" s="487"/>
      <c r="E40" s="480">
        <v>131978.20225999999</v>
      </c>
      <c r="M40" s="149"/>
      <c r="N40" s="133">
        <f t="shared" si="11"/>
        <v>29</v>
      </c>
    </row>
    <row r="41" spans="1:14">
      <c r="A41" s="133">
        <f t="shared" si="10"/>
        <v>30</v>
      </c>
      <c r="B41" s="478">
        <v>928</v>
      </c>
      <c r="C41" s="484" t="s">
        <v>251</v>
      </c>
      <c r="D41" s="480">
        <v>0</v>
      </c>
      <c r="E41" s="480"/>
      <c r="F41" s="158"/>
      <c r="G41" s="158"/>
      <c r="H41" s="158"/>
      <c r="I41" s="158"/>
      <c r="J41" s="158"/>
      <c r="K41" s="158"/>
      <c r="L41" s="158"/>
      <c r="M41" s="159"/>
      <c r="N41" s="133">
        <f t="shared" si="11"/>
        <v>30</v>
      </c>
    </row>
    <row r="42" spans="1:14">
      <c r="A42" s="133">
        <f t="shared" si="10"/>
        <v>31</v>
      </c>
      <c r="B42" s="478"/>
      <c r="C42" s="483" t="s">
        <v>252</v>
      </c>
      <c r="D42" s="480">
        <v>0</v>
      </c>
      <c r="E42" s="480"/>
      <c r="M42" s="149"/>
      <c r="N42" s="133">
        <f t="shared" si="11"/>
        <v>31</v>
      </c>
    </row>
    <row r="43" spans="1:14">
      <c r="A43" s="133">
        <f t="shared" si="10"/>
        <v>32</v>
      </c>
      <c r="B43" s="478"/>
      <c r="C43" s="483" t="s">
        <v>253</v>
      </c>
      <c r="D43" s="480">
        <v>1333.8680300000003</v>
      </c>
      <c r="E43" s="763"/>
      <c r="M43" s="149"/>
      <c r="N43" s="133">
        <f>A42+1</f>
        <v>32</v>
      </c>
    </row>
    <row r="44" spans="1:14">
      <c r="A44" s="133">
        <f t="shared" si="10"/>
        <v>33</v>
      </c>
      <c r="B44" s="478"/>
      <c r="C44" s="483" t="s">
        <v>254</v>
      </c>
      <c r="D44" s="480">
        <v>8601.3346500000007</v>
      </c>
      <c r="E44" s="764"/>
      <c r="F44" s="158"/>
      <c r="G44" s="158"/>
      <c r="H44" s="158"/>
      <c r="I44" s="158"/>
      <c r="J44" s="158"/>
      <c r="K44" s="158"/>
      <c r="L44" s="158"/>
      <c r="M44" s="159"/>
      <c r="N44" s="133">
        <f>A43+1</f>
        <v>33</v>
      </c>
    </row>
    <row r="45" spans="1:14">
      <c r="A45" s="133">
        <f t="shared" si="10"/>
        <v>34</v>
      </c>
      <c r="B45" s="479"/>
      <c r="C45" s="484" t="s">
        <v>255</v>
      </c>
      <c r="D45" s="578">
        <v>140.84690000000001</v>
      </c>
      <c r="E45" s="486">
        <f>SUM(D41:D45)</f>
        <v>10076.049580000001</v>
      </c>
      <c r="M45" s="149"/>
      <c r="N45" s="133">
        <f>A44+1</f>
        <v>34</v>
      </c>
    </row>
    <row r="46" spans="1:14">
      <c r="A46" s="133">
        <f t="shared" si="10"/>
        <v>35</v>
      </c>
      <c r="B46" s="477">
        <v>930.1</v>
      </c>
      <c r="C46" s="483" t="s">
        <v>239</v>
      </c>
      <c r="D46" s="487"/>
      <c r="E46" s="480">
        <v>242.68352000000002</v>
      </c>
      <c r="M46" s="149"/>
      <c r="N46" s="133">
        <f>A45+1</f>
        <v>35</v>
      </c>
    </row>
    <row r="47" spans="1:14">
      <c r="A47" s="133">
        <f>A46+1</f>
        <v>36</v>
      </c>
      <c r="B47" s="477">
        <v>930.2</v>
      </c>
      <c r="C47" s="484" t="s">
        <v>256</v>
      </c>
      <c r="D47" s="486">
        <v>0</v>
      </c>
      <c r="E47" s="488"/>
      <c r="M47" s="149"/>
      <c r="N47" s="133">
        <f>A46+1</f>
        <v>36</v>
      </c>
    </row>
    <row r="48" spans="1:14">
      <c r="A48" s="133">
        <f t="shared" si="10"/>
        <v>37</v>
      </c>
      <c r="B48" s="477"/>
      <c r="C48" s="484" t="s">
        <v>257</v>
      </c>
      <c r="D48" s="579">
        <v>2000.03565</v>
      </c>
      <c r="E48" s="486">
        <f>SUM(D47:D48)</f>
        <v>2000.03565</v>
      </c>
      <c r="M48" s="149"/>
      <c r="N48" s="133">
        <f t="shared" ref="N48:N61" si="12">N47+1</f>
        <v>37</v>
      </c>
    </row>
    <row r="49" spans="1:14">
      <c r="A49" s="133">
        <f t="shared" si="10"/>
        <v>38</v>
      </c>
      <c r="B49" s="478">
        <v>935</v>
      </c>
      <c r="C49" s="485" t="s">
        <v>258</v>
      </c>
      <c r="D49" s="489"/>
      <c r="E49" s="573">
        <v>65.000791141999997</v>
      </c>
      <c r="M49" s="149"/>
      <c r="N49" s="133">
        <f t="shared" si="12"/>
        <v>38</v>
      </c>
    </row>
    <row r="50" spans="1:14">
      <c r="A50" s="133">
        <f t="shared" si="10"/>
        <v>39</v>
      </c>
      <c r="B50" s="765"/>
      <c r="C50" s="766"/>
      <c r="D50" s="767"/>
      <c r="E50" s="128"/>
      <c r="M50" s="149"/>
      <c r="N50" s="133">
        <f t="shared" si="12"/>
        <v>39</v>
      </c>
    </row>
    <row r="51" spans="1:14" ht="16" thickBot="1">
      <c r="A51" s="133">
        <f t="shared" si="10"/>
        <v>40</v>
      </c>
      <c r="B51" s="156"/>
      <c r="C51" s="160" t="s">
        <v>218</v>
      </c>
      <c r="D51" s="158"/>
      <c r="E51" s="723">
        <f>SUM(E35:E49)</f>
        <v>145143.08617989699</v>
      </c>
      <c r="F51" s="161"/>
      <c r="G51" s="161"/>
      <c r="H51" s="161"/>
      <c r="I51" s="161"/>
      <c r="J51" s="161"/>
      <c r="K51" s="161"/>
      <c r="L51" s="161"/>
      <c r="M51" s="149"/>
      <c r="N51" s="133">
        <f t="shared" si="12"/>
        <v>40</v>
      </c>
    </row>
    <row r="52" spans="1:14" ht="16" thickTop="1">
      <c r="A52" s="133">
        <f t="shared" si="10"/>
        <v>41</v>
      </c>
      <c r="B52" s="156"/>
      <c r="C52" s="160"/>
      <c r="E52" s="162"/>
      <c r="F52" s="125"/>
      <c r="G52" s="125"/>
      <c r="H52" s="125"/>
      <c r="I52" s="125"/>
      <c r="J52" s="125"/>
      <c r="K52" s="125"/>
      <c r="L52" s="125"/>
      <c r="M52" s="149"/>
      <c r="N52" s="133">
        <f t="shared" si="12"/>
        <v>41</v>
      </c>
    </row>
    <row r="53" spans="1:14">
      <c r="A53" s="133">
        <f t="shared" si="10"/>
        <v>42</v>
      </c>
      <c r="B53" s="725" t="s">
        <v>439</v>
      </c>
      <c r="C53" s="5" t="str">
        <f>'Pg9.1 As Filed Stmt AH FERC Adj'!C74</f>
        <v>Items in bold have changed due to various FERC Audit adj. compared to Appendix X Cycle 8 filing per ER19-2017 and cost adj. incl. in Appendix X Cycle 10 per ER22-139.</v>
      </c>
      <c r="E53" s="162"/>
      <c r="F53" s="125"/>
      <c r="G53" s="125"/>
      <c r="H53" s="125"/>
      <c r="I53" s="125"/>
      <c r="J53" s="125"/>
      <c r="K53" s="125"/>
      <c r="L53" s="125"/>
      <c r="M53" s="149"/>
      <c r="N53" s="133">
        <f t="shared" si="12"/>
        <v>42</v>
      </c>
    </row>
    <row r="54" spans="1:14" ht="16.5">
      <c r="A54" s="133">
        <f>A53+1</f>
        <v>43</v>
      </c>
      <c r="B54" s="768">
        <v>1</v>
      </c>
      <c r="C54" s="143" t="s">
        <v>509</v>
      </c>
      <c r="E54" s="202"/>
      <c r="F54" s="125"/>
      <c r="G54" s="125"/>
      <c r="H54" s="125"/>
      <c r="I54" s="125"/>
      <c r="J54" s="125"/>
      <c r="K54" s="125"/>
      <c r="L54" s="125"/>
      <c r="M54" s="149"/>
      <c r="N54" s="133">
        <f>N53+1</f>
        <v>43</v>
      </c>
    </row>
    <row r="55" spans="1:14" ht="16.5">
      <c r="A55" s="133">
        <f t="shared" si="10"/>
        <v>44</v>
      </c>
      <c r="B55" s="768">
        <v>2</v>
      </c>
      <c r="C55" s="122" t="s">
        <v>510</v>
      </c>
      <c r="E55" s="202"/>
      <c r="F55" s="125"/>
      <c r="G55" s="125"/>
      <c r="H55" s="125"/>
      <c r="I55" s="125"/>
      <c r="J55" s="125"/>
      <c r="K55" s="125"/>
      <c r="L55" s="125"/>
      <c r="M55" s="149"/>
      <c r="N55" s="133">
        <f t="shared" si="12"/>
        <v>44</v>
      </c>
    </row>
    <row r="56" spans="1:14" ht="16.5">
      <c r="A56" s="133">
        <f t="shared" si="10"/>
        <v>45</v>
      </c>
      <c r="B56" s="768"/>
      <c r="C56" s="122" t="s">
        <v>511</v>
      </c>
      <c r="E56" s="202"/>
      <c r="F56" s="125"/>
      <c r="G56" s="125"/>
      <c r="H56" s="125"/>
      <c r="I56" s="125"/>
      <c r="J56" s="125"/>
      <c r="K56" s="125"/>
      <c r="L56" s="125"/>
      <c r="M56" s="149"/>
      <c r="N56" s="133">
        <f t="shared" si="12"/>
        <v>45</v>
      </c>
    </row>
    <row r="57" spans="1:14" ht="16.5">
      <c r="A57" s="133">
        <f t="shared" si="10"/>
        <v>46</v>
      </c>
      <c r="B57" s="768">
        <v>3</v>
      </c>
      <c r="C57" s="1" t="s">
        <v>512</v>
      </c>
      <c r="E57" s="202"/>
      <c r="F57" s="125"/>
      <c r="G57" s="125"/>
      <c r="H57" s="125"/>
      <c r="I57" s="125"/>
      <c r="J57" s="125"/>
      <c r="K57" s="125"/>
      <c r="L57" s="125"/>
      <c r="M57" s="149"/>
      <c r="N57" s="133">
        <f t="shared" si="12"/>
        <v>46</v>
      </c>
    </row>
    <row r="58" spans="1:14" ht="17">
      <c r="A58" s="133">
        <f t="shared" si="10"/>
        <v>47</v>
      </c>
      <c r="B58" s="769">
        <v>4</v>
      </c>
      <c r="C58" s="1" t="s">
        <v>513</v>
      </c>
      <c r="E58" s="202"/>
      <c r="F58" s="125"/>
      <c r="G58" s="125"/>
      <c r="H58" s="125"/>
      <c r="I58" s="125"/>
      <c r="J58" s="125"/>
      <c r="K58" s="125"/>
      <c r="L58" s="125"/>
      <c r="M58" s="149"/>
      <c r="N58" s="133">
        <f t="shared" si="12"/>
        <v>47</v>
      </c>
    </row>
    <row r="59" spans="1:14" ht="16.5">
      <c r="A59" s="133">
        <f t="shared" si="10"/>
        <v>48</v>
      </c>
      <c r="B59" s="768">
        <v>5</v>
      </c>
      <c r="C59" s="1" t="s">
        <v>514</v>
      </c>
      <c r="E59" s="202"/>
      <c r="F59" s="125"/>
      <c r="G59" s="125"/>
      <c r="H59" s="125"/>
      <c r="I59" s="125"/>
      <c r="J59" s="125"/>
      <c r="K59" s="125"/>
      <c r="L59" s="125"/>
      <c r="M59" s="149"/>
      <c r="N59" s="133">
        <f t="shared" si="12"/>
        <v>48</v>
      </c>
    </row>
    <row r="60" spans="1:14" ht="16.5">
      <c r="A60" s="133">
        <f t="shared" si="10"/>
        <v>49</v>
      </c>
      <c r="B60" s="768">
        <v>6</v>
      </c>
      <c r="C60" s="1" t="s">
        <v>515</v>
      </c>
      <c r="E60" s="202"/>
      <c r="F60" s="125"/>
      <c r="G60" s="125"/>
      <c r="H60" s="125"/>
      <c r="I60" s="125"/>
      <c r="J60" s="125"/>
      <c r="K60" s="125"/>
      <c r="L60" s="125"/>
      <c r="M60" s="149"/>
      <c r="N60" s="133">
        <f t="shared" si="12"/>
        <v>49</v>
      </c>
    </row>
    <row r="61" spans="1:14" ht="16" thickBot="1">
      <c r="A61" s="133">
        <f t="shared" si="10"/>
        <v>50</v>
      </c>
      <c r="B61" s="163"/>
      <c r="C61" s="770"/>
      <c r="D61" s="726"/>
      <c r="E61" s="726"/>
      <c r="F61" s="726"/>
      <c r="G61" s="726"/>
      <c r="H61" s="726"/>
      <c r="I61" s="726"/>
      <c r="J61" s="726"/>
      <c r="K61" s="726"/>
      <c r="L61" s="726"/>
      <c r="M61" s="155"/>
      <c r="N61" s="133">
        <f t="shared" si="12"/>
        <v>50</v>
      </c>
    </row>
    <row r="62" spans="1:14">
      <c r="A62" s="132"/>
      <c r="C62" s="143"/>
      <c r="D62" s="164"/>
      <c r="E62" s="164"/>
    </row>
    <row r="63" spans="1:14" ht="18">
      <c r="A63" s="165"/>
      <c r="C63" s="143"/>
    </row>
    <row r="64" spans="1:14" ht="18">
      <c r="A64" s="165"/>
      <c r="C64" s="143"/>
    </row>
    <row r="65" spans="1:3" ht="18">
      <c r="A65" s="165"/>
      <c r="C65" s="143"/>
    </row>
    <row r="66" spans="1:3" ht="18">
      <c r="A66" s="165"/>
      <c r="C66" s="143"/>
    </row>
    <row r="67" spans="1:3" ht="18">
      <c r="A67" s="165"/>
      <c r="C67" s="143"/>
    </row>
    <row r="68" spans="1:3" ht="18">
      <c r="A68" s="165"/>
      <c r="C68" s="143"/>
    </row>
    <row r="69" spans="1:3">
      <c r="A69" s="132"/>
      <c r="C69" s="143"/>
    </row>
    <row r="70" spans="1:3" ht="18">
      <c r="A70" s="165"/>
      <c r="C70" s="143"/>
    </row>
    <row r="71" spans="1:3">
      <c r="A71" s="132"/>
      <c r="C71" s="143"/>
    </row>
    <row r="72" spans="1:3" ht="18">
      <c r="A72" s="165"/>
      <c r="C72" s="143"/>
    </row>
    <row r="73" spans="1:3">
      <c r="A73" s="132"/>
      <c r="C73" s="143"/>
    </row>
    <row r="74" spans="1:3" ht="18">
      <c r="A74" s="165"/>
      <c r="C74" s="143"/>
    </row>
    <row r="75" spans="1:3" ht="18">
      <c r="A75" s="165"/>
      <c r="B75" s="143"/>
    </row>
    <row r="76" spans="1:3" ht="18">
      <c r="A76" s="165"/>
      <c r="B76" s="143"/>
    </row>
    <row r="77" spans="1:3">
      <c r="B77" s="143"/>
    </row>
    <row r="78" spans="1:3" ht="18">
      <c r="A78" s="165"/>
      <c r="B78" s="143"/>
    </row>
    <row r="79" spans="1:3">
      <c r="A79" s="166"/>
      <c r="B79" s="167"/>
    </row>
    <row r="80" spans="1:3">
      <c r="B80" s="143"/>
    </row>
  </sheetData>
  <mergeCells count="4">
    <mergeCell ref="B3:M3"/>
    <mergeCell ref="B4:M4"/>
    <mergeCell ref="B5:M5"/>
    <mergeCell ref="B6:M6"/>
  </mergeCells>
  <printOptions horizontalCentered="1"/>
  <pageMargins left="0.5" right="0.5" top="0.5" bottom="0.5" header="0.35" footer="0.25"/>
  <pageSetup scale="56" orientation="landscape" r:id="rId1"/>
  <headerFooter scaleWithDoc="0" alignWithMargins="0">
    <oddHeader>&amp;C&amp;"Times New Roman,Bold"&amp;6AS FILED AH-3 WITH COST ADJ INCL IN APPENDIX X CYCLE 12 (ER24-176)</oddHeader>
    <oddFooter>&amp;L&amp;F&amp;CPage 9.3&amp;R&amp;A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0D494-6A79-43F4-B966-6E75315301E8}">
  <sheetPr>
    <pageSetUpPr fitToPage="1"/>
  </sheetPr>
  <dimension ref="A1:L35"/>
  <sheetViews>
    <sheetView zoomScale="80" zoomScaleNormal="80" workbookViewId="0"/>
  </sheetViews>
  <sheetFormatPr defaultColWidth="8.81640625" defaultRowHeight="15.5"/>
  <cols>
    <col min="1" max="1" width="5.1796875" style="108" bestFit="1" customWidth="1"/>
    <col min="2" max="2" width="73.453125" style="110" customWidth="1"/>
    <col min="3" max="3" width="24" style="172" customWidth="1"/>
    <col min="4" max="4" width="1.6328125" style="110" customWidth="1"/>
    <col min="5" max="5" width="16.81640625" style="110" customWidth="1"/>
    <col min="6" max="6" width="1.6328125" style="110" customWidth="1"/>
    <col min="7" max="7" width="16.81640625" style="110" customWidth="1"/>
    <col min="8" max="8" width="1.6328125" style="110" customWidth="1"/>
    <col min="9" max="9" width="45.08984375" style="110" customWidth="1"/>
    <col min="10" max="10" width="5.1796875" style="110" customWidth="1"/>
    <col min="11" max="16384" width="8.81640625" style="110"/>
  </cols>
  <sheetData>
    <row r="1" spans="1:10">
      <c r="H1" s="108"/>
      <c r="I1" s="707"/>
      <c r="J1" s="108"/>
    </row>
    <row r="2" spans="1:10">
      <c r="B2" s="979" t="s">
        <v>0</v>
      </c>
      <c r="C2" s="980"/>
      <c r="D2" s="980"/>
      <c r="E2" s="980"/>
      <c r="F2" s="980"/>
      <c r="G2" s="980"/>
      <c r="H2" s="980"/>
      <c r="I2" s="980"/>
      <c r="J2" s="106"/>
    </row>
    <row r="3" spans="1:10">
      <c r="B3" s="979" t="s">
        <v>260</v>
      </c>
      <c r="C3" s="980"/>
      <c r="D3" s="980"/>
      <c r="E3" s="980"/>
      <c r="F3" s="980"/>
      <c r="G3" s="980"/>
      <c r="H3" s="980"/>
      <c r="I3" s="980"/>
      <c r="J3" s="106"/>
    </row>
    <row r="4" spans="1:10">
      <c r="B4" s="979" t="s">
        <v>98</v>
      </c>
      <c r="C4" s="980"/>
      <c r="D4" s="980"/>
      <c r="E4" s="980"/>
      <c r="F4" s="980"/>
      <c r="G4" s="980"/>
      <c r="H4" s="980"/>
      <c r="I4" s="980"/>
      <c r="J4" s="106"/>
    </row>
    <row r="5" spans="1:10">
      <c r="B5" s="981" t="s">
        <v>464</v>
      </c>
      <c r="C5" s="981"/>
      <c r="D5" s="981"/>
      <c r="E5" s="981"/>
      <c r="F5" s="981"/>
      <c r="G5" s="981"/>
      <c r="H5" s="981"/>
      <c r="I5" s="981"/>
      <c r="J5" s="106"/>
    </row>
    <row r="6" spans="1:10">
      <c r="B6" s="982" t="s">
        <v>1</v>
      </c>
      <c r="C6" s="982"/>
      <c r="D6" s="982"/>
      <c r="E6" s="982"/>
      <c r="F6" s="982"/>
      <c r="G6" s="982"/>
      <c r="H6" s="982"/>
      <c r="I6" s="982"/>
      <c r="J6" s="107"/>
    </row>
    <row r="7" spans="1:10">
      <c r="B7" s="108"/>
      <c r="D7" s="108"/>
      <c r="E7" s="108"/>
      <c r="F7" s="108"/>
      <c r="G7" s="108"/>
      <c r="H7" s="106"/>
      <c r="I7" s="106"/>
      <c r="J7" s="106"/>
    </row>
    <row r="8" spans="1:10">
      <c r="A8" s="108" t="s">
        <v>2</v>
      </c>
      <c r="B8" s="106"/>
      <c r="C8" s="126" t="s">
        <v>149</v>
      </c>
      <c r="D8" s="108"/>
      <c r="E8" s="108" t="s">
        <v>261</v>
      </c>
      <c r="F8" s="108"/>
      <c r="G8" s="108" t="s">
        <v>262</v>
      </c>
      <c r="H8" s="106"/>
      <c r="I8" s="106"/>
      <c r="J8" s="108" t="s">
        <v>2</v>
      </c>
    </row>
    <row r="9" spans="1:10">
      <c r="A9" s="108" t="s">
        <v>3</v>
      </c>
      <c r="B9" s="106"/>
      <c r="C9" s="559" t="s">
        <v>150</v>
      </c>
      <c r="D9" s="106"/>
      <c r="E9" s="560" t="s">
        <v>263</v>
      </c>
      <c r="F9" s="106"/>
      <c r="G9" s="560" t="s">
        <v>151</v>
      </c>
      <c r="H9" s="106"/>
      <c r="I9" s="561" t="s">
        <v>5</v>
      </c>
      <c r="J9" s="108" t="s">
        <v>3</v>
      </c>
    </row>
    <row r="10" spans="1:10">
      <c r="B10" s="108"/>
      <c r="D10" s="108"/>
      <c r="E10" s="108"/>
      <c r="F10" s="108"/>
      <c r="G10" s="108"/>
      <c r="H10" s="108"/>
      <c r="I10" s="108"/>
      <c r="J10" s="108"/>
    </row>
    <row r="11" spans="1:10" ht="18">
      <c r="A11" s="108">
        <v>1</v>
      </c>
      <c r="B11" s="110" t="s">
        <v>264</v>
      </c>
      <c r="C11" s="108" t="s">
        <v>265</v>
      </c>
      <c r="E11" s="173"/>
      <c r="F11" s="174"/>
      <c r="G11" s="175">
        <v>133751.8893076923</v>
      </c>
      <c r="H11" s="174"/>
      <c r="I11" s="176" t="s">
        <v>516</v>
      </c>
      <c r="J11" s="108">
        <f>A11</f>
        <v>1</v>
      </c>
    </row>
    <row r="12" spans="1:10">
      <c r="A12" s="108">
        <f>+A11+1</f>
        <v>2</v>
      </c>
      <c r="C12" s="108"/>
      <c r="E12" s="168"/>
      <c r="F12" s="177"/>
      <c r="G12" s="177"/>
      <c r="H12" s="177"/>
      <c r="I12" s="176"/>
      <c r="J12" s="108">
        <f>+J11+1</f>
        <v>2</v>
      </c>
    </row>
    <row r="13" spans="1:10">
      <c r="A13" s="108">
        <f t="shared" ref="A13:A29" si="0">+A12+1</f>
        <v>3</v>
      </c>
      <c r="B13" s="110" t="s">
        <v>266</v>
      </c>
      <c r="C13" s="108"/>
      <c r="E13" s="178"/>
      <c r="F13" s="179"/>
      <c r="G13" s="564">
        <v>0.39332791139374751</v>
      </c>
      <c r="H13" s="641"/>
      <c r="I13" s="176" t="s">
        <v>696</v>
      </c>
      <c r="J13" s="108">
        <f t="shared" ref="J13:J29" si="1">+J12+1</f>
        <v>3</v>
      </c>
    </row>
    <row r="14" spans="1:10">
      <c r="A14" s="108">
        <f t="shared" si="0"/>
        <v>4</v>
      </c>
      <c r="C14" s="108"/>
      <c r="E14" s="168"/>
      <c r="F14" s="177"/>
      <c r="G14" s="168"/>
      <c r="H14" s="177"/>
      <c r="I14" s="176"/>
      <c r="J14" s="108">
        <f t="shared" si="1"/>
        <v>4</v>
      </c>
    </row>
    <row r="15" spans="1:10" ht="16" thickBot="1">
      <c r="A15" s="108">
        <f t="shared" si="0"/>
        <v>5</v>
      </c>
      <c r="B15" s="110" t="s">
        <v>267</v>
      </c>
      <c r="C15" s="108"/>
      <c r="E15" s="180"/>
      <c r="F15" s="177"/>
      <c r="G15" s="565">
        <f>G11*G13</f>
        <v>52608.351266362319</v>
      </c>
      <c r="H15" s="641"/>
      <c r="I15" s="176" t="s">
        <v>517</v>
      </c>
      <c r="J15" s="108">
        <f t="shared" si="1"/>
        <v>5</v>
      </c>
    </row>
    <row r="16" spans="1:10" ht="16" thickTop="1">
      <c r="A16" s="108">
        <f t="shared" si="0"/>
        <v>6</v>
      </c>
      <c r="C16" s="108"/>
      <c r="E16" s="121"/>
      <c r="F16" s="108"/>
      <c r="G16" s="108"/>
      <c r="H16" s="108"/>
      <c r="I16" s="176"/>
      <c r="J16" s="108">
        <f t="shared" si="1"/>
        <v>6</v>
      </c>
    </row>
    <row r="17" spans="1:12" ht="18">
      <c r="A17" s="108">
        <f t="shared" si="0"/>
        <v>7</v>
      </c>
      <c r="B17" s="110" t="s">
        <v>268</v>
      </c>
      <c r="C17" s="108" t="s">
        <v>269</v>
      </c>
      <c r="D17" s="171"/>
      <c r="E17" s="173"/>
      <c r="F17" s="177"/>
      <c r="G17" s="580">
        <v>50549.307692307695</v>
      </c>
      <c r="H17" s="174"/>
      <c r="I17" s="176" t="s">
        <v>518</v>
      </c>
      <c r="J17" s="108">
        <f t="shared" si="1"/>
        <v>7</v>
      </c>
    </row>
    <row r="18" spans="1:12">
      <c r="A18" s="108">
        <f t="shared" si="0"/>
        <v>8</v>
      </c>
      <c r="C18" s="108"/>
      <c r="E18" s="181"/>
      <c r="F18" s="177"/>
      <c r="G18" s="177"/>
      <c r="H18" s="177"/>
      <c r="I18" s="176"/>
      <c r="J18" s="108">
        <f t="shared" si="1"/>
        <v>8</v>
      </c>
    </row>
    <row r="19" spans="1:12" ht="16" thickBot="1">
      <c r="A19" s="108">
        <f t="shared" si="0"/>
        <v>9</v>
      </c>
      <c r="B19" s="110" t="s">
        <v>270</v>
      </c>
      <c r="E19" s="173"/>
      <c r="F19" s="177"/>
      <c r="G19" s="565">
        <f>G13*G17</f>
        <v>19882.453617015279</v>
      </c>
      <c r="H19" s="641"/>
      <c r="I19" s="176" t="s">
        <v>519</v>
      </c>
      <c r="J19" s="108">
        <f t="shared" si="1"/>
        <v>9</v>
      </c>
    </row>
    <row r="20" spans="1:12" ht="16" thickTop="1">
      <c r="A20" s="108">
        <f t="shared" si="0"/>
        <v>10</v>
      </c>
      <c r="E20" s="182"/>
      <c r="F20" s="177"/>
      <c r="G20" s="177"/>
      <c r="H20" s="177"/>
      <c r="I20" s="176"/>
      <c r="J20" s="108">
        <f t="shared" si="1"/>
        <v>10</v>
      </c>
    </row>
    <row r="21" spans="1:12">
      <c r="A21" s="108">
        <f t="shared" si="0"/>
        <v>11</v>
      </c>
      <c r="B21" s="183" t="s">
        <v>271</v>
      </c>
      <c r="E21" s="182"/>
      <c r="F21" s="177"/>
      <c r="G21" s="177"/>
      <c r="H21" s="177"/>
      <c r="I21" s="176"/>
      <c r="J21" s="108">
        <f t="shared" si="1"/>
        <v>11</v>
      </c>
    </row>
    <row r="22" spans="1:12">
      <c r="A22" s="108">
        <f t="shared" si="0"/>
        <v>12</v>
      </c>
      <c r="B22" s="110" t="s">
        <v>272</v>
      </c>
      <c r="E22" s="184">
        <v>37647.092949999977</v>
      </c>
      <c r="F22" s="641"/>
      <c r="G22" s="185"/>
      <c r="H22" s="177"/>
      <c r="I22" s="176" t="s">
        <v>729</v>
      </c>
      <c r="J22" s="108">
        <f t="shared" si="1"/>
        <v>12</v>
      </c>
    </row>
    <row r="23" spans="1:12">
      <c r="A23" s="108">
        <f t="shared" si="0"/>
        <v>13</v>
      </c>
      <c r="B23" s="110" t="s">
        <v>273</v>
      </c>
      <c r="E23" s="774">
        <f>'Pg9 Rev Stmt AH'!F52</f>
        <v>36473.244193731713</v>
      </c>
      <c r="F23" s="641" t="s">
        <v>439</v>
      </c>
      <c r="G23" s="187"/>
      <c r="H23" s="177"/>
      <c r="I23" s="176" t="s">
        <v>728</v>
      </c>
      <c r="J23" s="108">
        <f t="shared" si="1"/>
        <v>13</v>
      </c>
    </row>
    <row r="24" spans="1:12">
      <c r="A24" s="108">
        <f t="shared" si="0"/>
        <v>14</v>
      </c>
      <c r="B24" s="110" t="s">
        <v>185</v>
      </c>
      <c r="E24" s="581">
        <v>0</v>
      </c>
      <c r="F24" s="177"/>
      <c r="G24" s="187"/>
      <c r="H24" s="177"/>
      <c r="I24" s="176" t="s">
        <v>520</v>
      </c>
      <c r="J24" s="108">
        <f t="shared" si="1"/>
        <v>14</v>
      </c>
    </row>
    <row r="25" spans="1:12">
      <c r="A25" s="108">
        <f t="shared" si="0"/>
        <v>15</v>
      </c>
      <c r="B25" s="110" t="s">
        <v>49</v>
      </c>
      <c r="E25" s="775">
        <f>SUM(E22:E24)</f>
        <v>74120.337143731682</v>
      </c>
      <c r="F25" s="641" t="s">
        <v>439</v>
      </c>
      <c r="G25" s="171"/>
      <c r="H25" s="176"/>
      <c r="I25" s="176" t="s">
        <v>521</v>
      </c>
      <c r="J25" s="108">
        <f t="shared" si="1"/>
        <v>15</v>
      </c>
    </row>
    <row r="26" spans="1:12">
      <c r="A26" s="108">
        <f t="shared" si="0"/>
        <v>16</v>
      </c>
      <c r="F26" s="108"/>
      <c r="H26" s="108"/>
      <c r="I26" s="176"/>
      <c r="J26" s="108">
        <f t="shared" si="1"/>
        <v>16</v>
      </c>
    </row>
    <row r="27" spans="1:12">
      <c r="A27" s="108">
        <f t="shared" si="0"/>
        <v>17</v>
      </c>
      <c r="B27" s="110" t="s">
        <v>274</v>
      </c>
      <c r="E27" s="582">
        <f>1/8</f>
        <v>0.125</v>
      </c>
      <c r="F27" s="108"/>
      <c r="G27" s="188"/>
      <c r="H27" s="108"/>
      <c r="I27" s="176" t="s">
        <v>33</v>
      </c>
      <c r="J27" s="108">
        <f t="shared" si="1"/>
        <v>17</v>
      </c>
    </row>
    <row r="28" spans="1:12">
      <c r="A28" s="108">
        <f t="shared" si="0"/>
        <v>18</v>
      </c>
      <c r="E28" s="168" t="s">
        <v>6</v>
      </c>
      <c r="F28" s="177"/>
      <c r="G28" s="168"/>
      <c r="H28" s="177"/>
      <c r="I28" s="176"/>
      <c r="J28" s="108">
        <f t="shared" si="1"/>
        <v>18</v>
      </c>
    </row>
    <row r="29" spans="1:12" ht="16" thickBot="1">
      <c r="A29" s="108">
        <f t="shared" si="0"/>
        <v>19</v>
      </c>
      <c r="B29" s="110" t="s">
        <v>275</v>
      </c>
      <c r="E29" s="706">
        <f>E25*E27</f>
        <v>9265.0421429664602</v>
      </c>
      <c r="F29" s="641" t="s">
        <v>439</v>
      </c>
      <c r="G29" s="180"/>
      <c r="H29" s="177"/>
      <c r="I29" s="108" t="s">
        <v>522</v>
      </c>
      <c r="J29" s="108">
        <f t="shared" si="1"/>
        <v>19</v>
      </c>
      <c r="L29" s="116"/>
    </row>
    <row r="30" spans="1:12" ht="16" thickTop="1">
      <c r="B30" s="191"/>
    </row>
    <row r="31" spans="1:12">
      <c r="B31" s="191"/>
    </row>
    <row r="32" spans="1:12">
      <c r="A32" s="641" t="s">
        <v>439</v>
      </c>
      <c r="B32" s="954" t="str">
        <f>'Pg9.2 Rev AH-3'!C53</f>
        <v>Items in BOLD have changed to correct the over-allocation of "Duplicate Charges (Company Energy Use)" Credit in FERC Account no. 929.</v>
      </c>
      <c r="C32" s="5"/>
    </row>
    <row r="33" spans="1:2" ht="18">
      <c r="A33" s="192">
        <v>1</v>
      </c>
      <c r="B33" s="110" t="s">
        <v>276</v>
      </c>
    </row>
    <row r="34" spans="1:2" ht="18">
      <c r="A34" s="192"/>
    </row>
    <row r="35" spans="1:2">
      <c r="A35" s="106"/>
      <c r="B35" s="107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10&amp;R&amp;A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2754-8589-45F3-BE88-796764F86ED4}">
  <sheetPr>
    <pageSetUpPr fitToPage="1"/>
  </sheetPr>
  <dimension ref="A1:J36"/>
  <sheetViews>
    <sheetView zoomScale="80" zoomScaleNormal="80" workbookViewId="0"/>
  </sheetViews>
  <sheetFormatPr defaultColWidth="8.81640625" defaultRowHeight="15.5"/>
  <cols>
    <col min="1" max="1" width="5.1796875" style="108" bestFit="1" customWidth="1"/>
    <col min="2" max="2" width="73.453125" style="110" customWidth="1"/>
    <col min="3" max="3" width="24" style="172" customWidth="1"/>
    <col min="4" max="4" width="1.6328125" style="110" customWidth="1"/>
    <col min="5" max="5" width="16.81640625" style="110" customWidth="1"/>
    <col min="6" max="6" width="1.6328125" style="110" customWidth="1"/>
    <col min="7" max="7" width="16.81640625" style="110" customWidth="1"/>
    <col min="8" max="8" width="1.6328125" style="110" customWidth="1"/>
    <col min="9" max="9" width="45.08984375" style="110" customWidth="1"/>
    <col min="10" max="10" width="5.1796875" style="110" customWidth="1"/>
    <col min="11" max="16384" width="8.81640625" style="110"/>
  </cols>
  <sheetData>
    <row r="1" spans="1:10">
      <c r="A1" s="926" t="s">
        <v>745</v>
      </c>
    </row>
    <row r="2" spans="1:10">
      <c r="H2" s="108"/>
      <c r="I2" s="707"/>
      <c r="J2" s="108"/>
    </row>
    <row r="3" spans="1:10">
      <c r="B3" s="979" t="s">
        <v>0</v>
      </c>
      <c r="C3" s="980"/>
      <c r="D3" s="980"/>
      <c r="E3" s="980"/>
      <c r="F3" s="980"/>
      <c r="G3" s="980"/>
      <c r="H3" s="980"/>
      <c r="I3" s="980"/>
      <c r="J3" s="106"/>
    </row>
    <row r="4" spans="1:10">
      <c r="B4" s="979" t="s">
        <v>260</v>
      </c>
      <c r="C4" s="980"/>
      <c r="D4" s="980"/>
      <c r="E4" s="980"/>
      <c r="F4" s="980"/>
      <c r="G4" s="980"/>
      <c r="H4" s="980"/>
      <c r="I4" s="980"/>
      <c r="J4" s="106"/>
    </row>
    <row r="5" spans="1:10">
      <c r="B5" s="979" t="s">
        <v>98</v>
      </c>
      <c r="C5" s="980"/>
      <c r="D5" s="980"/>
      <c r="E5" s="980"/>
      <c r="F5" s="980"/>
      <c r="G5" s="980"/>
      <c r="H5" s="980"/>
      <c r="I5" s="980"/>
      <c r="J5" s="106"/>
    </row>
    <row r="6" spans="1:10">
      <c r="B6" s="981" t="s">
        <v>464</v>
      </c>
      <c r="C6" s="981"/>
      <c r="D6" s="981"/>
      <c r="E6" s="981"/>
      <c r="F6" s="981"/>
      <c r="G6" s="981"/>
      <c r="H6" s="981"/>
      <c r="I6" s="981"/>
      <c r="J6" s="106"/>
    </row>
    <row r="7" spans="1:10">
      <c r="B7" s="982" t="s">
        <v>1</v>
      </c>
      <c r="C7" s="982"/>
      <c r="D7" s="982"/>
      <c r="E7" s="982"/>
      <c r="F7" s="982"/>
      <c r="G7" s="982"/>
      <c r="H7" s="982"/>
      <c r="I7" s="982"/>
      <c r="J7" s="107"/>
    </row>
    <row r="8" spans="1:10">
      <c r="B8" s="108"/>
      <c r="D8" s="108"/>
      <c r="E8" s="108"/>
      <c r="F8" s="108"/>
      <c r="G8" s="108"/>
      <c r="H8" s="106"/>
      <c r="I8" s="106"/>
      <c r="J8" s="106"/>
    </row>
    <row r="9" spans="1:10">
      <c r="A9" s="108" t="s">
        <v>2</v>
      </c>
      <c r="B9" s="106"/>
      <c r="C9" s="126" t="s">
        <v>149</v>
      </c>
      <c r="D9" s="108"/>
      <c r="E9" s="108" t="s">
        <v>261</v>
      </c>
      <c r="F9" s="108"/>
      <c r="G9" s="108" t="s">
        <v>262</v>
      </c>
      <c r="H9" s="106"/>
      <c r="I9" s="106"/>
      <c r="J9" s="108" t="s">
        <v>2</v>
      </c>
    </row>
    <row r="10" spans="1:10">
      <c r="A10" s="108" t="s">
        <v>3</v>
      </c>
      <c r="B10" s="106"/>
      <c r="C10" s="559" t="s">
        <v>150</v>
      </c>
      <c r="D10" s="106"/>
      <c r="E10" s="560" t="s">
        <v>263</v>
      </c>
      <c r="F10" s="106"/>
      <c r="G10" s="560" t="s">
        <v>151</v>
      </c>
      <c r="H10" s="106"/>
      <c r="I10" s="561" t="s">
        <v>5</v>
      </c>
      <c r="J10" s="108" t="s">
        <v>3</v>
      </c>
    </row>
    <row r="11" spans="1:10">
      <c r="B11" s="108"/>
      <c r="D11" s="108"/>
      <c r="E11" s="108"/>
      <c r="F11" s="108"/>
      <c r="G11" s="108"/>
      <c r="H11" s="108"/>
      <c r="I11" s="108"/>
      <c r="J11" s="108"/>
    </row>
    <row r="12" spans="1:10" ht="18">
      <c r="A12" s="108">
        <v>1</v>
      </c>
      <c r="B12" s="110" t="s">
        <v>264</v>
      </c>
      <c r="C12" s="108" t="s">
        <v>265</v>
      </c>
      <c r="E12" s="173"/>
      <c r="F12" s="174"/>
      <c r="G12" s="175">
        <v>133751.8893076923</v>
      </c>
      <c r="H12" s="174"/>
      <c r="I12" s="176" t="s">
        <v>516</v>
      </c>
      <c r="J12" s="108">
        <f>A12</f>
        <v>1</v>
      </c>
    </row>
    <row r="13" spans="1:10">
      <c r="A13" s="108">
        <f>+A12+1</f>
        <v>2</v>
      </c>
      <c r="C13" s="108"/>
      <c r="E13" s="168"/>
      <c r="F13" s="177"/>
      <c r="G13" s="177"/>
      <c r="H13" s="177"/>
      <c r="I13" s="176"/>
      <c r="J13" s="108">
        <f>+J12+1</f>
        <v>2</v>
      </c>
    </row>
    <row r="14" spans="1:10">
      <c r="A14" s="108">
        <f t="shared" ref="A14:A30" si="0">+A13+1</f>
        <v>3</v>
      </c>
      <c r="B14" s="110" t="s">
        <v>266</v>
      </c>
      <c r="C14" s="108"/>
      <c r="E14" s="178"/>
      <c r="F14" s="179"/>
      <c r="G14" s="869">
        <v>0.39332791139374751</v>
      </c>
      <c r="H14" s="641" t="s">
        <v>439</v>
      </c>
      <c r="I14" s="176" t="s">
        <v>696</v>
      </c>
      <c r="J14" s="108">
        <f t="shared" ref="J14:J30" si="1">+J13+1</f>
        <v>3</v>
      </c>
    </row>
    <row r="15" spans="1:10">
      <c r="A15" s="108">
        <f t="shared" si="0"/>
        <v>4</v>
      </c>
      <c r="C15" s="108"/>
      <c r="E15" s="168"/>
      <c r="F15" s="177"/>
      <c r="G15" s="168"/>
      <c r="H15" s="177"/>
      <c r="I15" s="176"/>
      <c r="J15" s="108">
        <f t="shared" si="1"/>
        <v>4</v>
      </c>
    </row>
    <row r="16" spans="1:10" ht="16" thickBot="1">
      <c r="A16" s="108">
        <f t="shared" si="0"/>
        <v>5</v>
      </c>
      <c r="B16" s="110" t="s">
        <v>267</v>
      </c>
      <c r="C16" s="108"/>
      <c r="E16" s="180"/>
      <c r="F16" s="177"/>
      <c r="G16" s="706">
        <f>G12*G14</f>
        <v>52608.351266362319</v>
      </c>
      <c r="H16" s="641" t="s">
        <v>439</v>
      </c>
      <c r="I16" s="176" t="s">
        <v>517</v>
      </c>
      <c r="J16" s="108">
        <f t="shared" si="1"/>
        <v>5</v>
      </c>
    </row>
    <row r="17" spans="1:10" ht="16" thickTop="1">
      <c r="A17" s="108">
        <f t="shared" si="0"/>
        <v>6</v>
      </c>
      <c r="C17" s="108"/>
      <c r="E17" s="121"/>
      <c r="F17" s="108"/>
      <c r="G17" s="108"/>
      <c r="H17" s="108"/>
      <c r="I17" s="176"/>
      <c r="J17" s="108">
        <f t="shared" si="1"/>
        <v>6</v>
      </c>
    </row>
    <row r="18" spans="1:10" ht="18">
      <c r="A18" s="108">
        <f t="shared" si="0"/>
        <v>7</v>
      </c>
      <c r="B18" s="110" t="s">
        <v>268</v>
      </c>
      <c r="C18" s="108" t="s">
        <v>269</v>
      </c>
      <c r="D18" s="171"/>
      <c r="E18" s="173"/>
      <c r="F18" s="177"/>
      <c r="G18" s="580">
        <v>50549.307692307695</v>
      </c>
      <c r="H18" s="174"/>
      <c r="I18" s="176" t="s">
        <v>518</v>
      </c>
      <c r="J18" s="108">
        <f t="shared" si="1"/>
        <v>7</v>
      </c>
    </row>
    <row r="19" spans="1:10">
      <c r="A19" s="108">
        <f t="shared" si="0"/>
        <v>8</v>
      </c>
      <c r="C19" s="108"/>
      <c r="E19" s="181"/>
      <c r="F19" s="177"/>
      <c r="G19" s="177"/>
      <c r="H19" s="177"/>
      <c r="I19" s="176"/>
      <c r="J19" s="108">
        <f t="shared" si="1"/>
        <v>8</v>
      </c>
    </row>
    <row r="20" spans="1:10" ht="16" thickBot="1">
      <c r="A20" s="108">
        <f t="shared" si="0"/>
        <v>9</v>
      </c>
      <c r="B20" s="110" t="s">
        <v>270</v>
      </c>
      <c r="E20" s="173"/>
      <c r="F20" s="177"/>
      <c r="G20" s="706">
        <f>G14*G18</f>
        <v>19882.453617015279</v>
      </c>
      <c r="H20" s="641" t="s">
        <v>439</v>
      </c>
      <c r="I20" s="176" t="s">
        <v>519</v>
      </c>
      <c r="J20" s="108">
        <f t="shared" si="1"/>
        <v>9</v>
      </c>
    </row>
    <row r="21" spans="1:10" ht="16" thickTop="1">
      <c r="A21" s="108">
        <f t="shared" si="0"/>
        <v>10</v>
      </c>
      <c r="E21" s="182"/>
      <c r="F21" s="177"/>
      <c r="G21" s="177"/>
      <c r="H21" s="177"/>
      <c r="I21" s="176"/>
      <c r="J21" s="108">
        <f t="shared" si="1"/>
        <v>10</v>
      </c>
    </row>
    <row r="22" spans="1:10">
      <c r="A22" s="108">
        <f t="shared" si="0"/>
        <v>11</v>
      </c>
      <c r="B22" s="183" t="s">
        <v>271</v>
      </c>
      <c r="E22" s="182"/>
      <c r="F22" s="177"/>
      <c r="G22" s="177"/>
      <c r="H22" s="177"/>
      <c r="I22" s="176"/>
      <c r="J22" s="108">
        <f t="shared" si="1"/>
        <v>11</v>
      </c>
    </row>
    <row r="23" spans="1:10">
      <c r="A23" s="108">
        <f t="shared" si="0"/>
        <v>12</v>
      </c>
      <c r="B23" s="110" t="s">
        <v>272</v>
      </c>
      <c r="E23" s="773">
        <v>37647.092949999977</v>
      </c>
      <c r="F23" s="641" t="s">
        <v>439</v>
      </c>
      <c r="G23" s="185"/>
      <c r="H23" s="177"/>
      <c r="I23" s="176" t="s">
        <v>697</v>
      </c>
      <c r="J23" s="108">
        <f t="shared" si="1"/>
        <v>12</v>
      </c>
    </row>
    <row r="24" spans="1:10">
      <c r="A24" s="108">
        <f t="shared" si="0"/>
        <v>13</v>
      </c>
      <c r="B24" s="110" t="s">
        <v>273</v>
      </c>
      <c r="E24" s="774">
        <v>36435.958913372713</v>
      </c>
      <c r="F24" s="641" t="s">
        <v>439</v>
      </c>
      <c r="G24" s="187"/>
      <c r="H24" s="177"/>
      <c r="I24" s="176" t="s">
        <v>676</v>
      </c>
      <c r="J24" s="108">
        <f t="shared" si="1"/>
        <v>13</v>
      </c>
    </row>
    <row r="25" spans="1:10">
      <c r="A25" s="108">
        <f t="shared" si="0"/>
        <v>14</v>
      </c>
      <c r="B25" s="110" t="s">
        <v>185</v>
      </c>
      <c r="E25" s="581">
        <v>0</v>
      </c>
      <c r="F25" s="177"/>
      <c r="G25" s="187"/>
      <c r="H25" s="177"/>
      <c r="I25" s="176" t="s">
        <v>520</v>
      </c>
      <c r="J25" s="108">
        <f t="shared" si="1"/>
        <v>14</v>
      </c>
    </row>
    <row r="26" spans="1:10">
      <c r="A26" s="108">
        <f t="shared" si="0"/>
        <v>15</v>
      </c>
      <c r="B26" s="110" t="s">
        <v>49</v>
      </c>
      <c r="E26" s="775">
        <f>SUM(E23:E25)</f>
        <v>74083.05186337269</v>
      </c>
      <c r="F26" s="641" t="s">
        <v>439</v>
      </c>
      <c r="G26" s="171"/>
      <c r="H26" s="176"/>
      <c r="I26" s="176" t="s">
        <v>521</v>
      </c>
      <c r="J26" s="108">
        <f t="shared" si="1"/>
        <v>15</v>
      </c>
    </row>
    <row r="27" spans="1:10">
      <c r="A27" s="108">
        <f t="shared" si="0"/>
        <v>16</v>
      </c>
      <c r="F27" s="108"/>
      <c r="H27" s="108"/>
      <c r="I27" s="176"/>
      <c r="J27" s="108">
        <f t="shared" si="1"/>
        <v>16</v>
      </c>
    </row>
    <row r="28" spans="1:10">
      <c r="A28" s="108">
        <f t="shared" si="0"/>
        <v>17</v>
      </c>
      <c r="B28" s="110" t="s">
        <v>274</v>
      </c>
      <c r="E28" s="582">
        <f>1/8</f>
        <v>0.125</v>
      </c>
      <c r="F28" s="108"/>
      <c r="G28" s="188"/>
      <c r="H28" s="108"/>
      <c r="I28" s="176" t="s">
        <v>33</v>
      </c>
      <c r="J28" s="108">
        <f t="shared" si="1"/>
        <v>17</v>
      </c>
    </row>
    <row r="29" spans="1:10">
      <c r="A29" s="108">
        <f t="shared" si="0"/>
        <v>18</v>
      </c>
      <c r="E29" s="168" t="s">
        <v>6</v>
      </c>
      <c r="F29" s="177"/>
      <c r="G29" s="168"/>
      <c r="H29" s="177"/>
      <c r="I29" s="176"/>
      <c r="J29" s="108">
        <f t="shared" si="1"/>
        <v>18</v>
      </c>
    </row>
    <row r="30" spans="1:10" ht="16" thickBot="1">
      <c r="A30" s="108">
        <f t="shared" si="0"/>
        <v>19</v>
      </c>
      <c r="B30" s="110" t="s">
        <v>275</v>
      </c>
      <c r="E30" s="706">
        <f>E26*E28</f>
        <v>9260.3814829215862</v>
      </c>
      <c r="F30" s="641" t="s">
        <v>439</v>
      </c>
      <c r="G30" s="180"/>
      <c r="H30" s="177"/>
      <c r="I30" s="108" t="s">
        <v>522</v>
      </c>
      <c r="J30" s="108">
        <f t="shared" si="1"/>
        <v>19</v>
      </c>
    </row>
    <row r="31" spans="1:10" ht="16" thickTop="1">
      <c r="B31" s="191"/>
    </row>
    <row r="32" spans="1:10">
      <c r="B32" s="191"/>
    </row>
    <row r="33" spans="1:3">
      <c r="A33" s="641" t="s">
        <v>439</v>
      </c>
      <c r="B33" s="5" t="s">
        <v>709</v>
      </c>
      <c r="C33" s="5"/>
    </row>
    <row r="34" spans="1:3" ht="18">
      <c r="A34" s="192">
        <v>1</v>
      </c>
      <c r="B34" s="110" t="s">
        <v>276</v>
      </c>
    </row>
    <row r="35" spans="1:3" ht="18">
      <c r="A35" s="192"/>
    </row>
    <row r="36" spans="1:3">
      <c r="A36" s="106"/>
      <c r="B36" s="107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49" orientation="portrait" r:id="rId1"/>
  <headerFooter scaleWithDoc="0" alignWithMargins="0">
    <oddHeader>&amp;C&amp;"Times New Roman,Bold"&amp;6AS FILED STMT AL WITH COST ADJ INCL IN APPENDIX X CYCLE 12 (ER24-176)</oddHeader>
    <oddFooter>&amp;L&amp;F&amp;CPage 10.1&amp;R&amp;A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6123-4630-4484-98BA-ABF8C826BAD4}">
  <dimension ref="A1:M162"/>
  <sheetViews>
    <sheetView zoomScale="80" zoomScaleNormal="80" workbookViewId="0"/>
  </sheetViews>
  <sheetFormatPr defaultColWidth="8.81640625" defaultRowHeight="15.5"/>
  <cols>
    <col min="1" max="1" width="5.1796875" style="126" customWidth="1"/>
    <col min="2" max="2" width="65" style="122" customWidth="1"/>
    <col min="3" max="5" width="15.6328125" style="122" customWidth="1"/>
    <col min="6" max="6" width="1.6328125" style="122" customWidth="1"/>
    <col min="7" max="7" width="18.90625" style="122" customWidth="1"/>
    <col min="8" max="8" width="1.6328125" style="122" customWidth="1"/>
    <col min="9" max="9" width="47.1796875" style="206" customWidth="1"/>
    <col min="10" max="10" width="5.1796875" style="122" customWidth="1"/>
    <col min="11" max="11" width="27" style="122" bestFit="1" customWidth="1"/>
    <col min="12" max="12" width="15" style="122" bestFit="1" customWidth="1"/>
    <col min="13" max="13" width="10.36328125" style="122" bestFit="1" customWidth="1"/>
    <col min="14" max="16384" width="8.81640625" style="122"/>
  </cols>
  <sheetData>
    <row r="1" spans="1:10">
      <c r="A1" s="227"/>
      <c r="G1" s="197"/>
      <c r="H1" s="197"/>
      <c r="I1" s="228"/>
      <c r="J1" s="126"/>
    </row>
    <row r="2" spans="1:10">
      <c r="B2" s="973" t="s">
        <v>277</v>
      </c>
      <c r="C2" s="973"/>
      <c r="D2" s="973"/>
      <c r="E2" s="973"/>
      <c r="F2" s="973"/>
      <c r="G2" s="973"/>
      <c r="H2" s="973"/>
      <c r="I2" s="973"/>
      <c r="J2" s="126"/>
    </row>
    <row r="3" spans="1:10">
      <c r="B3" s="973" t="s">
        <v>278</v>
      </c>
      <c r="C3" s="973"/>
      <c r="D3" s="973"/>
      <c r="E3" s="973"/>
      <c r="F3" s="973"/>
      <c r="G3" s="973"/>
      <c r="H3" s="973"/>
      <c r="I3" s="973"/>
      <c r="J3" s="126"/>
    </row>
    <row r="4" spans="1:10">
      <c r="B4" s="973" t="s">
        <v>279</v>
      </c>
      <c r="C4" s="973"/>
      <c r="D4" s="973"/>
      <c r="E4" s="973"/>
      <c r="F4" s="973"/>
      <c r="G4" s="973"/>
      <c r="H4" s="973"/>
      <c r="I4" s="973"/>
      <c r="J4" s="126"/>
    </row>
    <row r="5" spans="1:10">
      <c r="B5" s="974" t="s">
        <v>464</v>
      </c>
      <c r="C5" s="974"/>
      <c r="D5" s="974"/>
      <c r="E5" s="974"/>
      <c r="F5" s="974"/>
      <c r="G5" s="974"/>
      <c r="H5" s="974"/>
      <c r="I5" s="974"/>
      <c r="J5" s="126"/>
    </row>
    <row r="6" spans="1:10">
      <c r="B6" s="975" t="s">
        <v>1</v>
      </c>
      <c r="C6" s="976"/>
      <c r="D6" s="976"/>
      <c r="E6" s="976"/>
      <c r="F6" s="976"/>
      <c r="G6" s="976"/>
      <c r="H6" s="976"/>
      <c r="I6" s="976"/>
      <c r="J6" s="126"/>
    </row>
    <row r="7" spans="1:10">
      <c r="B7" s="126"/>
      <c r="C7" s="126"/>
      <c r="D7" s="126"/>
      <c r="E7" s="126"/>
      <c r="F7" s="126"/>
      <c r="G7" s="126"/>
      <c r="H7" s="126"/>
      <c r="I7" s="215"/>
      <c r="J7" s="126"/>
    </row>
    <row r="8" spans="1:10">
      <c r="A8" s="126" t="s">
        <v>2</v>
      </c>
      <c r="B8" s="499"/>
      <c r="C8" s="499"/>
      <c r="D8" s="499"/>
      <c r="E8" s="126" t="s">
        <v>149</v>
      </c>
      <c r="F8" s="499"/>
      <c r="G8" s="499"/>
      <c r="H8" s="499"/>
      <c r="I8" s="215"/>
      <c r="J8" s="126" t="s">
        <v>2</v>
      </c>
    </row>
    <row r="9" spans="1:10">
      <c r="A9" s="126" t="s">
        <v>3</v>
      </c>
      <c r="B9" s="126"/>
      <c r="C9" s="126"/>
      <c r="D9" s="126"/>
      <c r="E9" s="559" t="s">
        <v>150</v>
      </c>
      <c r="F9" s="126"/>
      <c r="G9" s="566" t="s">
        <v>32</v>
      </c>
      <c r="H9" s="499"/>
      <c r="I9" s="583" t="s">
        <v>5</v>
      </c>
      <c r="J9" s="126" t="s">
        <v>3</v>
      </c>
    </row>
    <row r="10" spans="1:10">
      <c r="B10" s="126"/>
      <c r="C10" s="126"/>
      <c r="D10" s="126"/>
      <c r="E10" s="126"/>
      <c r="F10" s="126"/>
      <c r="G10" s="126"/>
      <c r="H10" s="126"/>
      <c r="I10" s="215"/>
      <c r="J10" s="126"/>
    </row>
    <row r="11" spans="1:10">
      <c r="A11" s="126">
        <v>1</v>
      </c>
      <c r="B11" s="209" t="s">
        <v>280</v>
      </c>
      <c r="I11" s="215"/>
      <c r="J11" s="126">
        <f>A11</f>
        <v>1</v>
      </c>
    </row>
    <row r="12" spans="1:10">
      <c r="A12" s="126">
        <f>A11+1</f>
        <v>2</v>
      </c>
      <c r="B12" s="122" t="s">
        <v>281</v>
      </c>
      <c r="E12" s="126" t="s">
        <v>282</v>
      </c>
      <c r="F12" s="111"/>
      <c r="G12" s="195">
        <v>4776266</v>
      </c>
      <c r="H12" s="499"/>
      <c r="I12" s="229"/>
      <c r="J12" s="126">
        <f>J11+1</f>
        <v>2</v>
      </c>
    </row>
    <row r="13" spans="1:10">
      <c r="A13" s="126">
        <f t="shared" ref="A13:A52" si="0">A12+1</f>
        <v>3</v>
      </c>
      <c r="B13" s="122" t="s">
        <v>283</v>
      </c>
      <c r="E13" s="126" t="s">
        <v>284</v>
      </c>
      <c r="F13" s="111"/>
      <c r="G13" s="198">
        <v>0</v>
      </c>
      <c r="H13" s="499"/>
      <c r="I13" s="229"/>
      <c r="J13" s="126">
        <f t="shared" ref="J13:J52" si="1">J12+1</f>
        <v>3</v>
      </c>
    </row>
    <row r="14" spans="1:10">
      <c r="A14" s="126">
        <f t="shared" si="0"/>
        <v>4</v>
      </c>
      <c r="B14" s="122" t="s">
        <v>285</v>
      </c>
      <c r="E14" s="126" t="s">
        <v>286</v>
      </c>
      <c r="F14" s="111"/>
      <c r="G14" s="198">
        <v>0</v>
      </c>
      <c r="H14" s="499"/>
      <c r="I14" s="229"/>
      <c r="J14" s="126">
        <f t="shared" si="1"/>
        <v>4</v>
      </c>
    </row>
    <row r="15" spans="1:10">
      <c r="A15" s="126">
        <f t="shared" si="0"/>
        <v>5</v>
      </c>
      <c r="B15" s="122" t="s">
        <v>287</v>
      </c>
      <c r="E15" s="126" t="s">
        <v>288</v>
      </c>
      <c r="F15" s="111"/>
      <c r="G15" s="198">
        <v>0</v>
      </c>
      <c r="H15" s="499"/>
      <c r="I15" s="229"/>
      <c r="J15" s="126">
        <f t="shared" si="1"/>
        <v>5</v>
      </c>
    </row>
    <row r="16" spans="1:10">
      <c r="A16" s="126">
        <f t="shared" si="0"/>
        <v>6</v>
      </c>
      <c r="B16" s="122" t="s">
        <v>289</v>
      </c>
      <c r="E16" s="126" t="s">
        <v>290</v>
      </c>
      <c r="F16" s="111"/>
      <c r="G16" s="198">
        <v>-12609.584859999999</v>
      </c>
      <c r="H16" s="499"/>
      <c r="I16" s="229"/>
      <c r="J16" s="126">
        <f t="shared" si="1"/>
        <v>6</v>
      </c>
    </row>
    <row r="17" spans="1:10">
      <c r="A17" s="126">
        <f t="shared" si="0"/>
        <v>7</v>
      </c>
      <c r="B17" s="122" t="s">
        <v>291</v>
      </c>
      <c r="G17" s="708">
        <f>SUM(G12:G16)</f>
        <v>4763656.4151400002</v>
      </c>
      <c r="H17" s="190"/>
      <c r="I17" s="215" t="str">
        <f>"Sum Lines "&amp;A12&amp;" thru "&amp;A16</f>
        <v>Sum Lines 2 thru 6</v>
      </c>
      <c r="J17" s="126">
        <f t="shared" si="1"/>
        <v>7</v>
      </c>
    </row>
    <row r="18" spans="1:10">
      <c r="A18" s="126">
        <f t="shared" si="0"/>
        <v>8</v>
      </c>
      <c r="I18" s="215"/>
      <c r="J18" s="126">
        <f t="shared" si="1"/>
        <v>8</v>
      </c>
    </row>
    <row r="19" spans="1:10">
      <c r="A19" s="126">
        <f t="shared" si="0"/>
        <v>9</v>
      </c>
      <c r="B19" s="209" t="s">
        <v>292</v>
      </c>
      <c r="G19" s="118"/>
      <c r="H19" s="118"/>
      <c r="I19" s="215"/>
      <c r="J19" s="126">
        <f t="shared" si="1"/>
        <v>9</v>
      </c>
    </row>
    <row r="20" spans="1:10">
      <c r="A20" s="126">
        <f t="shared" si="0"/>
        <v>10</v>
      </c>
      <c r="B20" s="122" t="s">
        <v>293</v>
      </c>
      <c r="E20" s="126" t="s">
        <v>294</v>
      </c>
      <c r="F20" s="111"/>
      <c r="G20" s="195">
        <v>200012.28902</v>
      </c>
      <c r="H20" s="499"/>
      <c r="I20" s="230"/>
      <c r="J20" s="126">
        <f t="shared" si="1"/>
        <v>10</v>
      </c>
    </row>
    <row r="21" spans="1:10">
      <c r="A21" s="126">
        <f t="shared" si="0"/>
        <v>11</v>
      </c>
      <c r="B21" s="122" t="s">
        <v>295</v>
      </c>
      <c r="E21" s="126" t="s">
        <v>296</v>
      </c>
      <c r="F21" s="111"/>
      <c r="G21" s="198">
        <v>3450.8071800000002</v>
      </c>
      <c r="H21" s="499"/>
      <c r="I21" s="230"/>
      <c r="J21" s="126">
        <f t="shared" si="1"/>
        <v>11</v>
      </c>
    </row>
    <row r="22" spans="1:10">
      <c r="A22" s="126">
        <f t="shared" si="0"/>
        <v>12</v>
      </c>
      <c r="B22" s="122" t="s">
        <v>297</v>
      </c>
      <c r="E22" s="126" t="s">
        <v>298</v>
      </c>
      <c r="F22" s="111"/>
      <c r="G22" s="198">
        <v>2799.42463</v>
      </c>
      <c r="H22" s="499"/>
      <c r="I22" s="230"/>
      <c r="J22" s="126">
        <f t="shared" si="1"/>
        <v>12</v>
      </c>
    </row>
    <row r="23" spans="1:10">
      <c r="A23" s="126">
        <f t="shared" si="0"/>
        <v>13</v>
      </c>
      <c r="B23" s="122" t="s">
        <v>299</v>
      </c>
      <c r="E23" s="126" t="s">
        <v>300</v>
      </c>
      <c r="F23" s="111"/>
      <c r="G23" s="198">
        <v>0</v>
      </c>
      <c r="H23" s="499"/>
      <c r="I23" s="230"/>
      <c r="J23" s="126">
        <f t="shared" si="1"/>
        <v>13</v>
      </c>
    </row>
    <row r="24" spans="1:10">
      <c r="A24" s="126">
        <f t="shared" si="0"/>
        <v>14</v>
      </c>
      <c r="B24" s="122" t="s">
        <v>301</v>
      </c>
      <c r="E24" s="126" t="s">
        <v>302</v>
      </c>
      <c r="F24" s="111"/>
      <c r="G24" s="198">
        <v>0</v>
      </c>
      <c r="H24" s="499"/>
      <c r="I24" s="230"/>
      <c r="J24" s="126">
        <f t="shared" si="1"/>
        <v>14</v>
      </c>
    </row>
    <row r="25" spans="1:10">
      <c r="A25" s="126">
        <f t="shared" si="0"/>
        <v>15</v>
      </c>
      <c r="B25" s="122" t="s">
        <v>303</v>
      </c>
      <c r="G25" s="776">
        <f>SUM(G20:G24)</f>
        <v>206262.52082999999</v>
      </c>
      <c r="H25" s="199"/>
      <c r="I25" s="215" t="str">
        <f>"Sum Lines "&amp;A20&amp;" thru "&amp;A24</f>
        <v>Sum Lines 10 thru 14</v>
      </c>
      <c r="J25" s="126">
        <f t="shared" si="1"/>
        <v>15</v>
      </c>
    </row>
    <row r="26" spans="1:10">
      <c r="A26" s="126">
        <f t="shared" si="0"/>
        <v>16</v>
      </c>
      <c r="I26" s="215"/>
      <c r="J26" s="126">
        <f t="shared" si="1"/>
        <v>16</v>
      </c>
    </row>
    <row r="27" spans="1:10" ht="16" thickBot="1">
      <c r="A27" s="126">
        <f t="shared" si="0"/>
        <v>17</v>
      </c>
      <c r="B27" s="209" t="s">
        <v>304</v>
      </c>
      <c r="G27" s="584">
        <f>G25/G17</f>
        <v>4.329920188501632E-2</v>
      </c>
      <c r="H27" s="231"/>
      <c r="I27" s="215" t="str">
        <f>"Line "&amp;A25&amp;" / Line "&amp;A17</f>
        <v>Line 15 / Line 7</v>
      </c>
      <c r="J27" s="126">
        <f t="shared" si="1"/>
        <v>17</v>
      </c>
    </row>
    <row r="28" spans="1:10" ht="16" thickTop="1">
      <c r="A28" s="126">
        <f t="shared" si="0"/>
        <v>18</v>
      </c>
      <c r="I28" s="215"/>
      <c r="J28" s="126">
        <f t="shared" si="1"/>
        <v>18</v>
      </c>
    </row>
    <row r="29" spans="1:10">
      <c r="A29" s="126">
        <f t="shared" si="0"/>
        <v>19</v>
      </c>
      <c r="B29" s="209" t="s">
        <v>305</v>
      </c>
      <c r="I29" s="215"/>
      <c r="J29" s="126">
        <f t="shared" si="1"/>
        <v>19</v>
      </c>
    </row>
    <row r="30" spans="1:10">
      <c r="A30" s="126">
        <f t="shared" si="0"/>
        <v>20</v>
      </c>
      <c r="B30" s="122" t="s">
        <v>306</v>
      </c>
      <c r="E30" s="126" t="s">
        <v>307</v>
      </c>
      <c r="F30" s="111"/>
      <c r="G30" s="195">
        <v>0</v>
      </c>
      <c r="H30" s="499"/>
      <c r="I30" s="230"/>
      <c r="J30" s="126">
        <f t="shared" si="1"/>
        <v>20</v>
      </c>
    </row>
    <row r="31" spans="1:10">
      <c r="A31" s="126">
        <f t="shared" si="0"/>
        <v>21</v>
      </c>
      <c r="B31" s="122" t="s">
        <v>308</v>
      </c>
      <c r="E31" s="126" t="s">
        <v>309</v>
      </c>
      <c r="F31" s="111"/>
      <c r="G31" s="585">
        <v>0</v>
      </c>
      <c r="H31" s="499"/>
      <c r="I31" s="230"/>
      <c r="J31" s="126">
        <f t="shared" si="1"/>
        <v>21</v>
      </c>
    </row>
    <row r="32" spans="1:10" ht="16" thickBot="1">
      <c r="A32" s="126">
        <f t="shared" si="0"/>
        <v>22</v>
      </c>
      <c r="B32" s="122" t="s">
        <v>310</v>
      </c>
      <c r="G32" s="584">
        <f>IFERROR((G31/G30),0)</f>
        <v>0</v>
      </c>
      <c r="H32" s="231"/>
      <c r="I32" s="215" t="str">
        <f>"Line "&amp;A31&amp;" / Line "&amp;A30</f>
        <v>Line 21 / Line 20</v>
      </c>
      <c r="J32" s="126">
        <f t="shared" si="1"/>
        <v>22</v>
      </c>
    </row>
    <row r="33" spans="1:12" ht="16" thickTop="1">
      <c r="A33" s="126">
        <f t="shared" si="0"/>
        <v>23</v>
      </c>
      <c r="I33" s="215"/>
      <c r="J33" s="126">
        <f t="shared" si="1"/>
        <v>23</v>
      </c>
    </row>
    <row r="34" spans="1:12">
      <c r="A34" s="126">
        <f t="shared" si="0"/>
        <v>24</v>
      </c>
      <c r="B34" s="209" t="s">
        <v>311</v>
      </c>
      <c r="I34" s="215"/>
      <c r="J34" s="126">
        <f t="shared" si="1"/>
        <v>24</v>
      </c>
    </row>
    <row r="35" spans="1:12">
      <c r="A35" s="126">
        <f t="shared" si="0"/>
        <v>25</v>
      </c>
      <c r="B35" s="122" t="s">
        <v>312</v>
      </c>
      <c r="E35" s="126" t="s">
        <v>313</v>
      </c>
      <c r="F35" s="111"/>
      <c r="G35" s="195">
        <v>6011923.3266400006</v>
      </c>
      <c r="H35" s="499"/>
      <c r="I35" s="230"/>
      <c r="J35" s="126">
        <f t="shared" si="1"/>
        <v>25</v>
      </c>
      <c r="K35" s="189"/>
      <c r="L35" s="472"/>
    </row>
    <row r="36" spans="1:12">
      <c r="A36" s="126">
        <f t="shared" si="0"/>
        <v>26</v>
      </c>
      <c r="B36" s="122" t="s">
        <v>314</v>
      </c>
      <c r="E36" s="126" t="s">
        <v>307</v>
      </c>
      <c r="G36" s="232">
        <f>-G30</f>
        <v>0</v>
      </c>
      <c r="H36" s="232"/>
      <c r="I36" s="215" t="str">
        <f>"Negative of Line "&amp;A30&amp;" Above"</f>
        <v>Negative of Line 20 Above</v>
      </c>
      <c r="J36" s="126">
        <f t="shared" si="1"/>
        <v>26</v>
      </c>
    </row>
    <row r="37" spans="1:12">
      <c r="A37" s="126">
        <f t="shared" si="0"/>
        <v>27</v>
      </c>
      <c r="B37" s="122" t="s">
        <v>315</v>
      </c>
      <c r="E37" s="126" t="s">
        <v>316</v>
      </c>
      <c r="G37" s="198">
        <v>0</v>
      </c>
      <c r="H37" s="499"/>
      <c r="I37" s="230"/>
      <c r="J37" s="126">
        <f t="shared" si="1"/>
        <v>27</v>
      </c>
    </row>
    <row r="38" spans="1:12">
      <c r="A38" s="126">
        <f t="shared" si="0"/>
        <v>28</v>
      </c>
      <c r="B38" s="122" t="s">
        <v>317</v>
      </c>
      <c r="E38" s="126" t="s">
        <v>318</v>
      </c>
      <c r="G38" s="198">
        <v>9578.0788499999999</v>
      </c>
      <c r="H38" s="499"/>
      <c r="I38" s="230"/>
      <c r="J38" s="126">
        <f t="shared" si="1"/>
        <v>28</v>
      </c>
    </row>
    <row r="39" spans="1:12" ht="16" thickBot="1">
      <c r="A39" s="126">
        <f t="shared" si="0"/>
        <v>29</v>
      </c>
      <c r="B39" s="122" t="s">
        <v>319</v>
      </c>
      <c r="G39" s="777">
        <f>SUM(G35:G38)</f>
        <v>6021501.4054900007</v>
      </c>
      <c r="H39" s="233"/>
      <c r="I39" s="215" t="str">
        <f>"Sum Lines "&amp;A35&amp;" thru "&amp;A38</f>
        <v>Sum Lines 25 thru 28</v>
      </c>
      <c r="J39" s="126">
        <f t="shared" si="1"/>
        <v>29</v>
      </c>
    </row>
    <row r="40" spans="1:12" ht="16.5" thickTop="1" thickBot="1">
      <c r="A40" s="778">
        <f t="shared" si="0"/>
        <v>30</v>
      </c>
      <c r="B40" s="724"/>
      <c r="C40" s="724"/>
      <c r="D40" s="724"/>
      <c r="E40" s="724"/>
      <c r="F40" s="724"/>
      <c r="G40" s="724"/>
      <c r="H40" s="724"/>
      <c r="I40" s="779"/>
      <c r="J40" s="778">
        <f t="shared" si="1"/>
        <v>30</v>
      </c>
    </row>
    <row r="41" spans="1:12">
      <c r="A41" s="126">
        <f>A40+1</f>
        <v>31</v>
      </c>
      <c r="I41" s="215"/>
      <c r="J41" s="126">
        <f>J40+1</f>
        <v>31</v>
      </c>
    </row>
    <row r="42" spans="1:12" ht="18.5" thickBot="1">
      <c r="A42" s="126">
        <f>A41+1</f>
        <v>32</v>
      </c>
      <c r="B42" s="209" t="s">
        <v>320</v>
      </c>
      <c r="G42" s="586">
        <v>0.10050000000000001</v>
      </c>
      <c r="H42" s="499"/>
      <c r="I42" s="215" t="s">
        <v>321</v>
      </c>
      <c r="J42" s="126">
        <f>J41+1</f>
        <v>32</v>
      </c>
    </row>
    <row r="43" spans="1:12" ht="16" thickTop="1">
      <c r="A43" s="126">
        <f t="shared" si="0"/>
        <v>33</v>
      </c>
      <c r="C43" s="201" t="s">
        <v>7</v>
      </c>
      <c r="D43" s="201" t="s">
        <v>8</v>
      </c>
      <c r="E43" s="201" t="s">
        <v>9</v>
      </c>
      <c r="F43" s="201"/>
      <c r="G43" s="201" t="s">
        <v>322</v>
      </c>
      <c r="H43" s="201"/>
      <c r="I43" s="215"/>
      <c r="J43" s="126">
        <f t="shared" si="1"/>
        <v>33</v>
      </c>
    </row>
    <row r="44" spans="1:12">
      <c r="A44" s="126">
        <f t="shared" si="0"/>
        <v>34</v>
      </c>
      <c r="D44" s="126" t="s">
        <v>323</v>
      </c>
      <c r="E44" s="126" t="s">
        <v>324</v>
      </c>
      <c r="F44" s="126"/>
      <c r="G44" s="126" t="s">
        <v>325</v>
      </c>
      <c r="H44" s="126"/>
      <c r="I44" s="215"/>
      <c r="J44" s="126">
        <f t="shared" si="1"/>
        <v>34</v>
      </c>
    </row>
    <row r="45" spans="1:12" ht="18">
      <c r="A45" s="126">
        <f t="shared" si="0"/>
        <v>35</v>
      </c>
      <c r="B45" s="209" t="s">
        <v>326</v>
      </c>
      <c r="C45" s="559" t="s">
        <v>259</v>
      </c>
      <c r="D45" s="559" t="s">
        <v>327</v>
      </c>
      <c r="E45" s="559" t="s">
        <v>328</v>
      </c>
      <c r="F45" s="559"/>
      <c r="G45" s="559" t="s">
        <v>329</v>
      </c>
      <c r="H45" s="126"/>
      <c r="I45" s="215"/>
      <c r="J45" s="126">
        <f t="shared" si="1"/>
        <v>35</v>
      </c>
    </row>
    <row r="46" spans="1:12">
      <c r="A46" s="126">
        <f t="shared" si="0"/>
        <v>36</v>
      </c>
      <c r="I46" s="215"/>
      <c r="J46" s="126">
        <f t="shared" si="1"/>
        <v>36</v>
      </c>
    </row>
    <row r="47" spans="1:12">
      <c r="A47" s="126">
        <f t="shared" si="0"/>
        <v>37</v>
      </c>
      <c r="B47" s="122" t="s">
        <v>330</v>
      </c>
      <c r="C47" s="223">
        <f>G17</f>
        <v>4763656.4151400002</v>
      </c>
      <c r="D47" s="234">
        <f>C47/C$50</f>
        <v>0.4416862965164971</v>
      </c>
      <c r="E47" s="235">
        <f>G27</f>
        <v>4.329920188501632E-2</v>
      </c>
      <c r="G47" s="236">
        <f>D47*E47</f>
        <v>1.9124664122712989E-2</v>
      </c>
      <c r="H47" s="236"/>
      <c r="I47" s="215" t="str">
        <f>"Col. c = Line "&amp;A27&amp;" Above"</f>
        <v>Col. c = Line 17 Above</v>
      </c>
      <c r="J47" s="126">
        <f t="shared" si="1"/>
        <v>37</v>
      </c>
    </row>
    <row r="48" spans="1:12">
      <c r="A48" s="126">
        <f t="shared" si="0"/>
        <v>38</v>
      </c>
      <c r="B48" s="122" t="s">
        <v>331</v>
      </c>
      <c r="C48" s="237">
        <f>G30</f>
        <v>0</v>
      </c>
      <c r="D48" s="234">
        <f>C48/C$50</f>
        <v>0</v>
      </c>
      <c r="E48" s="235">
        <f>G32</f>
        <v>0</v>
      </c>
      <c r="G48" s="236">
        <f>D48*E48</f>
        <v>0</v>
      </c>
      <c r="H48" s="236"/>
      <c r="I48" s="215" t="str">
        <f>"Col. c = Line "&amp;A32&amp;" Above"</f>
        <v>Col. c = Line 22 Above</v>
      </c>
      <c r="J48" s="126">
        <f t="shared" si="1"/>
        <v>38</v>
      </c>
    </row>
    <row r="49" spans="1:10">
      <c r="A49" s="126">
        <f t="shared" si="0"/>
        <v>39</v>
      </c>
      <c r="B49" s="122" t="s">
        <v>332</v>
      </c>
      <c r="C49" s="237">
        <f>G39</f>
        <v>6021501.4054900007</v>
      </c>
      <c r="D49" s="587">
        <f>C49/C$50</f>
        <v>0.55831370348350295</v>
      </c>
      <c r="E49" s="238">
        <f>G42</f>
        <v>0.10050000000000001</v>
      </c>
      <c r="G49" s="588">
        <f>D49*E49</f>
        <v>5.6110527200092047E-2</v>
      </c>
      <c r="H49" s="231"/>
      <c r="I49" s="215" t="str">
        <f>"Col. c = Line "&amp;A42&amp;" Above"</f>
        <v>Col. c = Line 32 Above</v>
      </c>
      <c r="J49" s="126">
        <f t="shared" si="1"/>
        <v>39</v>
      </c>
    </row>
    <row r="50" spans="1:10" ht="16" thickBot="1">
      <c r="A50" s="126">
        <f t="shared" si="0"/>
        <v>40</v>
      </c>
      <c r="B50" s="122" t="s">
        <v>333</v>
      </c>
      <c r="C50" s="780">
        <f>SUM(C47:C49)</f>
        <v>10785157.820630001</v>
      </c>
      <c r="D50" s="589">
        <f>SUM(D47:D49)</f>
        <v>1</v>
      </c>
      <c r="G50" s="584">
        <f>SUM(G47:G49)</f>
        <v>7.523519132280504E-2</v>
      </c>
      <c r="H50" s="231"/>
      <c r="I50" s="215" t="str">
        <f>"Sum Lines "&amp;A47&amp;" thru "&amp;A49</f>
        <v>Sum Lines 37 thru 39</v>
      </c>
      <c r="J50" s="126">
        <f t="shared" si="1"/>
        <v>40</v>
      </c>
    </row>
    <row r="51" spans="1:10" ht="16" thickTop="1">
      <c r="A51" s="126">
        <f t="shared" si="0"/>
        <v>41</v>
      </c>
      <c r="I51" s="215"/>
      <c r="J51" s="126">
        <f t="shared" si="1"/>
        <v>41</v>
      </c>
    </row>
    <row r="52" spans="1:10" ht="16" thickBot="1">
      <c r="A52" s="126">
        <f t="shared" si="0"/>
        <v>42</v>
      </c>
      <c r="B52" s="209" t="s">
        <v>334</v>
      </c>
      <c r="G52" s="584">
        <f>G48+G49</f>
        <v>5.6110527200092047E-2</v>
      </c>
      <c r="H52" s="231"/>
      <c r="I52" s="215" t="str">
        <f>"Line "&amp;A48&amp;" + Line "&amp;A49&amp;"; Col. d"</f>
        <v>Line 38 + Line 39; Col. d</v>
      </c>
      <c r="J52" s="126">
        <f t="shared" si="1"/>
        <v>42</v>
      </c>
    </row>
    <row r="53" spans="1:10" ht="16.5" thickTop="1" thickBot="1">
      <c r="A53" s="778">
        <f>A52+1</f>
        <v>43</v>
      </c>
      <c r="B53" s="724"/>
      <c r="C53" s="724"/>
      <c r="D53" s="724"/>
      <c r="E53" s="724"/>
      <c r="F53" s="724"/>
      <c r="G53" s="724"/>
      <c r="H53" s="724"/>
      <c r="I53" s="779"/>
      <c r="J53" s="778">
        <f>J52+1</f>
        <v>43</v>
      </c>
    </row>
    <row r="54" spans="1:10">
      <c r="A54" s="126">
        <f>A53+1</f>
        <v>44</v>
      </c>
      <c r="I54" s="215"/>
      <c r="J54" s="126">
        <f>J53+1</f>
        <v>44</v>
      </c>
    </row>
    <row r="55" spans="1:10" ht="18.5" thickBot="1">
      <c r="A55" s="126">
        <f t="shared" ref="A55:A65" si="2">A54+1</f>
        <v>45</v>
      </c>
      <c r="B55" s="209" t="s">
        <v>335</v>
      </c>
      <c r="G55" s="586">
        <v>0</v>
      </c>
      <c r="H55" s="499"/>
      <c r="I55" s="228"/>
      <c r="J55" s="126">
        <f t="shared" ref="J55:J65" si="3">J54+1</f>
        <v>45</v>
      </c>
    </row>
    <row r="56" spans="1:10" ht="16" thickTop="1">
      <c r="A56" s="126">
        <f t="shared" si="2"/>
        <v>46</v>
      </c>
      <c r="C56" s="201" t="s">
        <v>7</v>
      </c>
      <c r="D56" s="201" t="s">
        <v>8</v>
      </c>
      <c r="E56" s="201" t="s">
        <v>9</v>
      </c>
      <c r="F56" s="201"/>
      <c r="G56" s="201" t="s">
        <v>322</v>
      </c>
      <c r="H56" s="201"/>
      <c r="I56" s="215"/>
      <c r="J56" s="126">
        <f t="shared" si="3"/>
        <v>46</v>
      </c>
    </row>
    <row r="57" spans="1:10">
      <c r="A57" s="126">
        <f t="shared" si="2"/>
        <v>47</v>
      </c>
      <c r="D57" s="126" t="s">
        <v>323</v>
      </c>
      <c r="E57" s="126" t="s">
        <v>324</v>
      </c>
      <c r="F57" s="126"/>
      <c r="G57" s="126" t="s">
        <v>325</v>
      </c>
      <c r="H57" s="126"/>
      <c r="I57" s="215"/>
      <c r="J57" s="126">
        <f t="shared" si="3"/>
        <v>47</v>
      </c>
    </row>
    <row r="58" spans="1:10" ht="18">
      <c r="A58" s="126">
        <f t="shared" si="2"/>
        <v>48</v>
      </c>
      <c r="B58" s="209" t="s">
        <v>336</v>
      </c>
      <c r="C58" s="559" t="s">
        <v>259</v>
      </c>
      <c r="D58" s="559" t="s">
        <v>327</v>
      </c>
      <c r="E58" s="559" t="s">
        <v>328</v>
      </c>
      <c r="F58" s="559"/>
      <c r="G58" s="559" t="s">
        <v>329</v>
      </c>
      <c r="H58" s="126"/>
      <c r="I58" s="215"/>
      <c r="J58" s="126">
        <f t="shared" si="3"/>
        <v>48</v>
      </c>
    </row>
    <row r="59" spans="1:10">
      <c r="A59" s="126">
        <f t="shared" si="2"/>
        <v>49</v>
      </c>
      <c r="I59" s="215"/>
      <c r="J59" s="126">
        <f t="shared" si="3"/>
        <v>49</v>
      </c>
    </row>
    <row r="60" spans="1:10">
      <c r="A60" s="126">
        <f t="shared" si="2"/>
        <v>50</v>
      </c>
      <c r="B60" s="122" t="s">
        <v>330</v>
      </c>
      <c r="C60" s="223">
        <f>G17</f>
        <v>4763656.4151400002</v>
      </c>
      <c r="D60" s="234">
        <f>C60/C$50</f>
        <v>0.4416862965164971</v>
      </c>
      <c r="E60" s="235">
        <f>G27</f>
        <v>4.329920188501632E-2</v>
      </c>
      <c r="G60" s="236">
        <f>D60*E60</f>
        <v>1.9124664122712989E-2</v>
      </c>
      <c r="H60" s="236"/>
      <c r="I60" s="215" t="str">
        <f>"Col. c = Line "&amp;A27&amp;" Above"</f>
        <v>Col. c = Line 17 Above</v>
      </c>
      <c r="J60" s="126">
        <f t="shared" si="3"/>
        <v>50</v>
      </c>
    </row>
    <row r="61" spans="1:10">
      <c r="A61" s="126">
        <f t="shared" si="2"/>
        <v>51</v>
      </c>
      <c r="B61" s="122" t="s">
        <v>331</v>
      </c>
      <c r="C61" s="237">
        <f>G30</f>
        <v>0</v>
      </c>
      <c r="D61" s="234">
        <f>C61/C$50</f>
        <v>0</v>
      </c>
      <c r="E61" s="235">
        <f>G32</f>
        <v>0</v>
      </c>
      <c r="G61" s="236">
        <f>D61*E61</f>
        <v>0</v>
      </c>
      <c r="H61" s="236"/>
      <c r="I61" s="215" t="str">
        <f>"Col. c = Line "&amp;A32&amp;" Above"</f>
        <v>Col. c = Line 22 Above</v>
      </c>
      <c r="J61" s="126">
        <f t="shared" si="3"/>
        <v>51</v>
      </c>
    </row>
    <row r="62" spans="1:10">
      <c r="A62" s="126">
        <f t="shared" si="2"/>
        <v>52</v>
      </c>
      <c r="B62" s="122" t="s">
        <v>332</v>
      </c>
      <c r="C62" s="237">
        <f>G39</f>
        <v>6021501.4054900007</v>
      </c>
      <c r="D62" s="587">
        <f>C62/C$50</f>
        <v>0.55831370348350295</v>
      </c>
      <c r="E62" s="238">
        <f>G55</f>
        <v>0</v>
      </c>
      <c r="G62" s="588">
        <f>D62*E62</f>
        <v>0</v>
      </c>
      <c r="H62" s="231"/>
      <c r="I62" s="215" t="str">
        <f>"Col. c = Line "&amp;A55&amp;" Above"</f>
        <v>Col. c = Line 45 Above</v>
      </c>
      <c r="J62" s="126">
        <f t="shared" si="3"/>
        <v>52</v>
      </c>
    </row>
    <row r="63" spans="1:10" ht="16" thickBot="1">
      <c r="A63" s="126">
        <f t="shared" si="2"/>
        <v>53</v>
      </c>
      <c r="B63" s="122" t="s">
        <v>333</v>
      </c>
      <c r="C63" s="780">
        <f>SUM(C60:C62)</f>
        <v>10785157.820630001</v>
      </c>
      <c r="D63" s="584">
        <f>SUM(D60:D62)</f>
        <v>1</v>
      </c>
      <c r="G63" s="584">
        <f>SUM(G60:G62)</f>
        <v>1.9124664122712989E-2</v>
      </c>
      <c r="H63" s="231"/>
      <c r="I63" s="215" t="str">
        <f>"Sum Lines "&amp;A60&amp;" thru "&amp;A62</f>
        <v>Sum Lines 50 thru 52</v>
      </c>
      <c r="J63" s="126">
        <f t="shared" si="3"/>
        <v>53</v>
      </c>
    </row>
    <row r="64" spans="1:10" ht="16" thickTop="1">
      <c r="A64" s="126">
        <f t="shared" si="2"/>
        <v>54</v>
      </c>
      <c r="I64" s="215"/>
      <c r="J64" s="126">
        <f t="shared" si="3"/>
        <v>54</v>
      </c>
    </row>
    <row r="65" spans="1:10" ht="16" thickBot="1">
      <c r="A65" s="126">
        <f t="shared" si="2"/>
        <v>55</v>
      </c>
      <c r="B65" s="209" t="s">
        <v>337</v>
      </c>
      <c r="G65" s="584">
        <f>G61+G62</f>
        <v>0</v>
      </c>
      <c r="H65" s="231"/>
      <c r="I65" s="215" t="str">
        <f>"Line "&amp;A61&amp;" + Line "&amp;A62&amp;"; Col. d"</f>
        <v>Line 51 + Line 52; Col. d</v>
      </c>
      <c r="J65" s="126">
        <f t="shared" si="3"/>
        <v>55</v>
      </c>
    </row>
    <row r="66" spans="1:10" ht="16" thickTop="1">
      <c r="B66" s="209"/>
      <c r="G66" s="231"/>
      <c r="H66" s="231"/>
      <c r="I66" s="215"/>
      <c r="J66" s="126"/>
    </row>
    <row r="67" spans="1:10">
      <c r="B67" s="209"/>
      <c r="G67" s="239"/>
      <c r="H67" s="239"/>
      <c r="I67" s="215"/>
      <c r="J67" s="126"/>
    </row>
    <row r="68" spans="1:10" ht="18">
      <c r="A68" s="226">
        <v>1</v>
      </c>
      <c r="B68" s="1" t="s">
        <v>338</v>
      </c>
      <c r="G68" s="197"/>
      <c r="H68" s="197"/>
      <c r="J68" s="126" t="s">
        <v>6</v>
      </c>
    </row>
    <row r="69" spans="1:10" ht="18">
      <c r="A69" s="226">
        <v>2</v>
      </c>
      <c r="B69" s="1" t="str">
        <f>"The Incentive Return on Common Equity will be tracked and shown separately for each project. As a result, lines "&amp;A55&amp;" through "&amp;A65&amp;" will be repeated for each project."</f>
        <v>The Incentive Return on Common Equity will be tracked and shown separately for each project. As a result, lines 45 through 55 will be repeated for each project.</v>
      </c>
      <c r="G69" s="197"/>
      <c r="H69" s="197"/>
      <c r="J69" s="126"/>
    </row>
    <row r="70" spans="1:10" ht="18">
      <c r="A70" s="226">
        <v>3</v>
      </c>
      <c r="B70" s="1" t="s">
        <v>339</v>
      </c>
      <c r="G70" s="197"/>
      <c r="H70" s="197"/>
      <c r="J70" s="126"/>
    </row>
    <row r="71" spans="1:10" ht="18">
      <c r="A71" s="226"/>
      <c r="B71" s="1"/>
      <c r="G71" s="197"/>
      <c r="H71" s="197"/>
      <c r="J71" s="126"/>
    </row>
    <row r="72" spans="1:10" ht="18">
      <c r="A72" s="226"/>
      <c r="D72" s="126"/>
      <c r="G72" s="197"/>
      <c r="H72" s="197"/>
      <c r="J72" s="126"/>
    </row>
    <row r="73" spans="1:10">
      <c r="B73" s="973" t="s">
        <v>277</v>
      </c>
      <c r="C73" s="973"/>
      <c r="D73" s="973"/>
      <c r="E73" s="973"/>
      <c r="F73" s="973"/>
      <c r="G73" s="973"/>
      <c r="H73" s="973"/>
      <c r="I73" s="973"/>
      <c r="J73" s="126"/>
    </row>
    <row r="74" spans="1:10">
      <c r="B74" s="973" t="s">
        <v>340</v>
      </c>
      <c r="C74" s="973"/>
      <c r="D74" s="973"/>
      <c r="E74" s="973"/>
      <c r="F74" s="973"/>
      <c r="G74" s="973"/>
      <c r="H74" s="973"/>
      <c r="I74" s="973"/>
      <c r="J74" s="126"/>
    </row>
    <row r="75" spans="1:10">
      <c r="B75" s="973" t="s">
        <v>279</v>
      </c>
      <c r="C75" s="973"/>
      <c r="D75" s="973"/>
      <c r="E75" s="973"/>
      <c r="F75" s="973"/>
      <c r="G75" s="973"/>
      <c r="H75" s="973"/>
      <c r="I75" s="973"/>
      <c r="J75" s="126"/>
    </row>
    <row r="76" spans="1:10">
      <c r="B76" s="974" t="str">
        <f>B5</f>
        <v>Base Period &amp; True-Up Period 12 - Months Ending December 31, 2018</v>
      </c>
      <c r="C76" s="974"/>
      <c r="D76" s="974"/>
      <c r="E76" s="974"/>
      <c r="F76" s="974"/>
      <c r="G76" s="974"/>
      <c r="H76" s="974"/>
      <c r="I76" s="974"/>
      <c r="J76" s="126"/>
    </row>
    <row r="77" spans="1:10">
      <c r="B77" s="975" t="s">
        <v>1</v>
      </c>
      <c r="C77" s="976"/>
      <c r="D77" s="976"/>
      <c r="E77" s="976"/>
      <c r="F77" s="976"/>
      <c r="G77" s="976"/>
      <c r="H77" s="976"/>
      <c r="I77" s="976"/>
      <c r="J77" s="126"/>
    </row>
    <row r="78" spans="1:10">
      <c r="B78" s="126"/>
      <c r="C78" s="126"/>
      <c r="D78" s="126"/>
      <c r="E78" s="126"/>
      <c r="F78" s="126"/>
      <c r="G78" s="126"/>
      <c r="H78" s="126"/>
      <c r="I78" s="215"/>
      <c r="J78" s="126"/>
    </row>
    <row r="79" spans="1:10">
      <c r="A79" s="126" t="s">
        <v>2</v>
      </c>
      <c r="B79" s="499"/>
      <c r="C79" s="499"/>
      <c r="D79" s="499"/>
      <c r="E79" s="499"/>
      <c r="F79" s="499"/>
      <c r="G79" s="499"/>
      <c r="H79" s="499"/>
      <c r="I79" s="215"/>
      <c r="J79" s="126" t="s">
        <v>2</v>
      </c>
    </row>
    <row r="80" spans="1:10">
      <c r="A80" s="126" t="s">
        <v>3</v>
      </c>
      <c r="B80" s="126"/>
      <c r="C80" s="126"/>
      <c r="D80" s="126"/>
      <c r="E80" s="126"/>
      <c r="F80" s="126"/>
      <c r="G80" s="559" t="s">
        <v>32</v>
      </c>
      <c r="H80" s="499"/>
      <c r="I80" s="583" t="s">
        <v>5</v>
      </c>
      <c r="J80" s="126" t="s">
        <v>3</v>
      </c>
    </row>
    <row r="81" spans="1:13">
      <c r="G81" s="126"/>
      <c r="H81" s="126"/>
      <c r="I81" s="215"/>
      <c r="J81" s="126"/>
    </row>
    <row r="82" spans="1:13" ht="17.5">
      <c r="A82" s="126">
        <v>1</v>
      </c>
      <c r="B82" s="209" t="s">
        <v>341</v>
      </c>
      <c r="E82" s="499"/>
      <c r="F82" s="499"/>
      <c r="G82" s="196"/>
      <c r="H82" s="196"/>
      <c r="I82" s="215"/>
      <c r="J82" s="126">
        <v>1</v>
      </c>
    </row>
    <row r="83" spans="1:13">
      <c r="A83" s="126">
        <f>A82+1</f>
        <v>2</v>
      </c>
      <c r="B83" s="240"/>
      <c r="E83" s="499"/>
      <c r="F83" s="499"/>
      <c r="G83" s="196"/>
      <c r="H83" s="196"/>
      <c r="I83" s="215"/>
      <c r="J83" s="126">
        <f>J82+1</f>
        <v>2</v>
      </c>
    </row>
    <row r="84" spans="1:13">
      <c r="A84" s="126">
        <f>A83+1</f>
        <v>3</v>
      </c>
      <c r="B84" s="209" t="s">
        <v>342</v>
      </c>
      <c r="E84" s="499"/>
      <c r="F84" s="499"/>
      <c r="G84" s="196"/>
      <c r="H84" s="196"/>
      <c r="I84" s="215"/>
      <c r="J84" s="126">
        <f>J83+1</f>
        <v>3</v>
      </c>
    </row>
    <row r="85" spans="1:13">
      <c r="A85" s="126">
        <f>A84+1</f>
        <v>4</v>
      </c>
      <c r="B85" s="499"/>
      <c r="C85" s="499"/>
      <c r="D85" s="499"/>
      <c r="E85" s="499"/>
      <c r="F85" s="499"/>
      <c r="G85" s="196"/>
      <c r="H85" s="196"/>
      <c r="I85" s="215"/>
      <c r="J85" s="126">
        <f>J84+1</f>
        <v>4</v>
      </c>
    </row>
    <row r="86" spans="1:13">
      <c r="A86" s="126">
        <f t="shared" ref="A86:A112" si="4">A85+1</f>
        <v>5</v>
      </c>
      <c r="B86" s="204" t="s">
        <v>343</v>
      </c>
      <c r="C86" s="499"/>
      <c r="D86" s="499"/>
      <c r="E86" s="499"/>
      <c r="F86" s="499"/>
      <c r="G86" s="196"/>
      <c r="H86" s="196"/>
      <c r="I86" s="241"/>
      <c r="J86" s="126">
        <f t="shared" ref="J86:J112" si="5">J85+1</f>
        <v>5</v>
      </c>
    </row>
    <row r="87" spans="1:13">
      <c r="A87" s="126">
        <f t="shared" si="4"/>
        <v>6</v>
      </c>
      <c r="B87" s="122" t="s">
        <v>344</v>
      </c>
      <c r="D87" s="499"/>
      <c r="E87" s="499"/>
      <c r="F87" s="499"/>
      <c r="G87" s="242">
        <f>G52</f>
        <v>5.6110527200092047E-2</v>
      </c>
      <c r="H87" s="499"/>
      <c r="I87" s="215" t="str">
        <f>"AV1; Line "&amp;A52</f>
        <v>AV1; Line 42</v>
      </c>
      <c r="J87" s="126">
        <f t="shared" si="5"/>
        <v>6</v>
      </c>
      <c r="L87" s="126"/>
    </row>
    <row r="88" spans="1:13">
      <c r="A88" s="126">
        <f t="shared" si="4"/>
        <v>7</v>
      </c>
      <c r="B88" s="122" t="s">
        <v>345</v>
      </c>
      <c r="D88" s="499"/>
      <c r="E88" s="499"/>
      <c r="F88" s="499"/>
      <c r="G88" s="243">
        <v>3056.4627012818864</v>
      </c>
      <c r="H88" s="499"/>
      <c r="I88" s="215" t="s">
        <v>523</v>
      </c>
      <c r="J88" s="126">
        <f t="shared" si="5"/>
        <v>7</v>
      </c>
      <c r="L88" s="126"/>
    </row>
    <row r="89" spans="1:13" ht="18">
      <c r="A89" s="126">
        <f t="shared" si="4"/>
        <v>8</v>
      </c>
      <c r="B89" s="122" t="s">
        <v>346</v>
      </c>
      <c r="D89" s="499"/>
      <c r="E89" s="499"/>
      <c r="F89" s="499"/>
      <c r="G89" s="244">
        <v>6529.0768399999997</v>
      </c>
      <c r="H89" s="499"/>
      <c r="I89" s="228" t="s">
        <v>524</v>
      </c>
      <c r="J89" s="126">
        <f t="shared" si="5"/>
        <v>8</v>
      </c>
      <c r="L89" s="499"/>
    </row>
    <row r="90" spans="1:13">
      <c r="A90" s="126">
        <f t="shared" si="4"/>
        <v>9</v>
      </c>
      <c r="B90" s="122" t="s">
        <v>347</v>
      </c>
      <c r="D90" s="499"/>
      <c r="E90" s="245"/>
      <c r="F90" s="499"/>
      <c r="G90" s="781">
        <f>'Pg13 Rev AV-4'!C36</f>
        <v>3992787.7976254732</v>
      </c>
      <c r="H90" s="641" t="s">
        <v>439</v>
      </c>
      <c r="I90" s="228" t="s">
        <v>741</v>
      </c>
      <c r="J90" s="126">
        <f t="shared" si="5"/>
        <v>9</v>
      </c>
    </row>
    <row r="91" spans="1:13">
      <c r="A91" s="126">
        <f t="shared" si="4"/>
        <v>10</v>
      </c>
      <c r="B91" s="122" t="s">
        <v>348</v>
      </c>
      <c r="D91" s="246"/>
      <c r="E91" s="499"/>
      <c r="F91" s="499"/>
      <c r="G91" s="590">
        <v>0.21</v>
      </c>
      <c r="H91" s="499"/>
      <c r="I91" s="215" t="s">
        <v>349</v>
      </c>
      <c r="J91" s="126">
        <f t="shared" si="5"/>
        <v>10</v>
      </c>
      <c r="M91" s="247"/>
    </row>
    <row r="92" spans="1:13">
      <c r="A92" s="126">
        <f t="shared" si="4"/>
        <v>11</v>
      </c>
      <c r="G92" s="126"/>
      <c r="H92" s="126"/>
      <c r="J92" s="126">
        <f t="shared" si="5"/>
        <v>11</v>
      </c>
    </row>
    <row r="93" spans="1:13">
      <c r="A93" s="126">
        <f t="shared" si="4"/>
        <v>12</v>
      </c>
      <c r="B93" s="122" t="s">
        <v>350</v>
      </c>
      <c r="D93" s="499"/>
      <c r="E93" s="499"/>
      <c r="F93" s="499"/>
      <c r="G93" s="248">
        <f>(((G87)+(G89/G90))*G91-(G88/G90))/(1-G91)</f>
        <v>1.4381152535146824E-2</v>
      </c>
      <c r="H93" s="248"/>
      <c r="I93" s="215" t="s">
        <v>351</v>
      </c>
      <c r="J93" s="126">
        <f t="shared" si="5"/>
        <v>12</v>
      </c>
      <c r="M93" s="249"/>
    </row>
    <row r="94" spans="1:13">
      <c r="A94" s="126">
        <f t="shared" si="4"/>
        <v>13</v>
      </c>
      <c r="B94" s="250" t="s">
        <v>352</v>
      </c>
      <c r="G94" s="126"/>
      <c r="H94" s="126"/>
      <c r="J94" s="126">
        <f t="shared" si="5"/>
        <v>13</v>
      </c>
    </row>
    <row r="95" spans="1:13">
      <c r="A95" s="126">
        <f t="shared" si="4"/>
        <v>14</v>
      </c>
      <c r="G95" s="126"/>
      <c r="H95" s="126"/>
      <c r="J95" s="126">
        <f t="shared" si="5"/>
        <v>14</v>
      </c>
    </row>
    <row r="96" spans="1:13">
      <c r="A96" s="126">
        <f t="shared" si="4"/>
        <v>15</v>
      </c>
      <c r="B96" s="209" t="s">
        <v>353</v>
      </c>
      <c r="C96" s="499"/>
      <c r="D96" s="499"/>
      <c r="E96" s="499"/>
      <c r="F96" s="499"/>
      <c r="G96" s="251"/>
      <c r="H96" s="251"/>
      <c r="I96" s="252"/>
      <c r="J96" s="126">
        <f t="shared" si="5"/>
        <v>15</v>
      </c>
      <c r="L96" s="253"/>
    </row>
    <row r="97" spans="1:13">
      <c r="A97" s="126">
        <f t="shared" si="4"/>
        <v>16</v>
      </c>
      <c r="B97" s="216"/>
      <c r="C97" s="499"/>
      <c r="D97" s="499"/>
      <c r="E97" s="499"/>
      <c r="F97" s="499"/>
      <c r="G97" s="251"/>
      <c r="H97" s="251"/>
      <c r="I97" s="254"/>
      <c r="J97" s="126">
        <f t="shared" si="5"/>
        <v>16</v>
      </c>
      <c r="L97" s="499"/>
    </row>
    <row r="98" spans="1:13">
      <c r="A98" s="126">
        <f t="shared" si="4"/>
        <v>17</v>
      </c>
      <c r="B98" s="204" t="s">
        <v>343</v>
      </c>
      <c r="C98" s="499"/>
      <c r="D98" s="499"/>
      <c r="E98" s="499"/>
      <c r="F98" s="499"/>
      <c r="G98" s="251"/>
      <c r="H98" s="251"/>
      <c r="I98" s="254"/>
      <c r="J98" s="126">
        <f t="shared" si="5"/>
        <v>17</v>
      </c>
      <c r="L98" s="499"/>
    </row>
    <row r="99" spans="1:13">
      <c r="A99" s="126">
        <f t="shared" si="4"/>
        <v>18</v>
      </c>
      <c r="B99" s="122" t="s">
        <v>344</v>
      </c>
      <c r="D99" s="499"/>
      <c r="E99" s="499"/>
      <c r="F99" s="499"/>
      <c r="G99" s="234">
        <f>G87</f>
        <v>5.6110527200092047E-2</v>
      </c>
      <c r="H99" s="234"/>
      <c r="I99" s="215" t="str">
        <f>"Line "&amp;A87&amp;" Above"</f>
        <v>Line 6 Above</v>
      </c>
      <c r="J99" s="126">
        <f t="shared" si="5"/>
        <v>18</v>
      </c>
      <c r="L99" s="126"/>
    </row>
    <row r="100" spans="1:13">
      <c r="A100" s="126">
        <f t="shared" si="4"/>
        <v>19</v>
      </c>
      <c r="B100" s="122" t="s">
        <v>354</v>
      </c>
      <c r="D100" s="499"/>
      <c r="E100" s="499"/>
      <c r="F100" s="499"/>
      <c r="G100" s="170">
        <f>G89</f>
        <v>6529.0768399999997</v>
      </c>
      <c r="H100" s="170"/>
      <c r="I100" s="215" t="str">
        <f>"Line "&amp;A89&amp;" Above"</f>
        <v>Line 8 Above</v>
      </c>
      <c r="J100" s="126">
        <f t="shared" si="5"/>
        <v>19</v>
      </c>
      <c r="L100" s="126"/>
    </row>
    <row r="101" spans="1:13">
      <c r="A101" s="126">
        <f t="shared" si="4"/>
        <v>20</v>
      </c>
      <c r="B101" s="122" t="s">
        <v>355</v>
      </c>
      <c r="D101" s="499"/>
      <c r="E101" s="499"/>
      <c r="F101" s="499"/>
      <c r="G101" s="782">
        <f>G90</f>
        <v>3992787.7976254732</v>
      </c>
      <c r="H101" s="641" t="s">
        <v>439</v>
      </c>
      <c r="I101" s="215" t="str">
        <f>"Line "&amp;A90&amp;" Above"</f>
        <v>Line 9 Above</v>
      </c>
      <c r="J101" s="126">
        <f t="shared" si="5"/>
        <v>20</v>
      </c>
      <c r="L101" s="126"/>
    </row>
    <row r="102" spans="1:13">
      <c r="A102" s="126">
        <f t="shared" si="4"/>
        <v>21</v>
      </c>
      <c r="B102" s="122" t="s">
        <v>356</v>
      </c>
      <c r="D102" s="499"/>
      <c r="E102" s="499"/>
      <c r="F102" s="499"/>
      <c r="G102" s="255">
        <f>G93</f>
        <v>1.4381152535146824E-2</v>
      </c>
      <c r="H102" s="255"/>
      <c r="I102" s="215" t="str">
        <f>"Line "&amp;A93&amp;" Above"</f>
        <v>Line 12 Above</v>
      </c>
      <c r="J102" s="126">
        <f t="shared" si="5"/>
        <v>21</v>
      </c>
    </row>
    <row r="103" spans="1:13">
      <c r="A103" s="126">
        <f t="shared" si="4"/>
        <v>22</v>
      </c>
      <c r="B103" s="122" t="s">
        <v>357</v>
      </c>
      <c r="D103" s="499"/>
      <c r="E103" s="499"/>
      <c r="F103" s="499"/>
      <c r="G103" s="591" t="s">
        <v>358</v>
      </c>
      <c r="H103" s="499"/>
      <c r="I103" s="215" t="s">
        <v>359</v>
      </c>
      <c r="J103" s="126">
        <f t="shared" si="5"/>
        <v>22</v>
      </c>
    </row>
    <row r="104" spans="1:13">
      <c r="A104" s="126">
        <f t="shared" si="4"/>
        <v>23</v>
      </c>
      <c r="B104" s="125"/>
      <c r="D104" s="499"/>
      <c r="E104" s="499"/>
      <c r="F104" s="499"/>
      <c r="G104" s="256"/>
      <c r="H104" s="256"/>
      <c r="I104" s="254"/>
      <c r="J104" s="126">
        <f t="shared" si="5"/>
        <v>23</v>
      </c>
    </row>
    <row r="105" spans="1:13">
      <c r="A105" s="126">
        <f t="shared" si="4"/>
        <v>24</v>
      </c>
      <c r="B105" s="122" t="s">
        <v>360</v>
      </c>
      <c r="C105" s="126"/>
      <c r="D105" s="126"/>
      <c r="E105" s="499"/>
      <c r="F105" s="499"/>
      <c r="G105" s="592">
        <f>((G99)+(G100/G101)+G93)*G103/(1-G103)</f>
        <v>6.9943151859973929E-3</v>
      </c>
      <c r="H105" s="257"/>
      <c r="I105" s="215" t="s">
        <v>361</v>
      </c>
      <c r="J105" s="126">
        <f t="shared" si="5"/>
        <v>24</v>
      </c>
    </row>
    <row r="106" spans="1:13">
      <c r="A106" s="126">
        <f t="shared" si="4"/>
        <v>25</v>
      </c>
      <c r="B106" s="250" t="s">
        <v>362</v>
      </c>
      <c r="G106" s="126"/>
      <c r="H106" s="126"/>
      <c r="I106" s="215"/>
      <c r="J106" s="126">
        <f t="shared" si="5"/>
        <v>25</v>
      </c>
      <c r="L106" s="126"/>
    </row>
    <row r="107" spans="1:13">
      <c r="A107" s="126">
        <f t="shared" si="4"/>
        <v>26</v>
      </c>
      <c r="G107" s="126"/>
      <c r="H107" s="126"/>
      <c r="I107" s="215"/>
      <c r="J107" s="126">
        <f t="shared" si="5"/>
        <v>26</v>
      </c>
      <c r="L107" s="126"/>
    </row>
    <row r="108" spans="1:13">
      <c r="A108" s="126">
        <f t="shared" si="4"/>
        <v>27</v>
      </c>
      <c r="B108" s="209" t="s">
        <v>363</v>
      </c>
      <c r="G108" s="248">
        <f>G105+G93</f>
        <v>2.1375467721144216E-2</v>
      </c>
      <c r="H108" s="641"/>
      <c r="I108" s="215" t="str">
        <f>"Line "&amp;A93&amp;" + Line "&amp;A105</f>
        <v>Line 12 + Line 24</v>
      </c>
      <c r="J108" s="126">
        <f t="shared" si="5"/>
        <v>27</v>
      </c>
      <c r="L108" s="126"/>
    </row>
    <row r="109" spans="1:13">
      <c r="A109" s="126">
        <f t="shared" si="4"/>
        <v>28</v>
      </c>
      <c r="G109" s="126"/>
      <c r="H109" s="126"/>
      <c r="I109" s="215"/>
      <c r="J109" s="126">
        <f t="shared" si="5"/>
        <v>28</v>
      </c>
      <c r="L109" s="126"/>
    </row>
    <row r="110" spans="1:13">
      <c r="A110" s="126">
        <f t="shared" si="4"/>
        <v>29</v>
      </c>
      <c r="B110" s="209" t="s">
        <v>364</v>
      </c>
      <c r="G110" s="593">
        <f>G50</f>
        <v>7.523519132280504E-2</v>
      </c>
      <c r="H110" s="499"/>
      <c r="I110" s="215" t="str">
        <f>"AV1; Line "&amp;A50</f>
        <v>AV1; Line 40</v>
      </c>
      <c r="J110" s="126">
        <f t="shared" si="5"/>
        <v>29</v>
      </c>
      <c r="L110" s="126"/>
    </row>
    <row r="111" spans="1:13">
      <c r="A111" s="126">
        <f t="shared" si="4"/>
        <v>30</v>
      </c>
      <c r="G111" s="234"/>
      <c r="H111" s="234"/>
      <c r="I111" s="215"/>
      <c r="J111" s="126">
        <f t="shared" si="5"/>
        <v>30</v>
      </c>
      <c r="L111" s="126"/>
    </row>
    <row r="112" spans="1:13" ht="18" thickBot="1">
      <c r="A112" s="126">
        <f t="shared" si="4"/>
        <v>31</v>
      </c>
      <c r="B112" s="209" t="s">
        <v>365</v>
      </c>
      <c r="G112" s="594">
        <f>G108+G110</f>
        <v>9.6610659043949249E-2</v>
      </c>
      <c r="H112" s="257"/>
      <c r="I112" s="215" t="str">
        <f>"Line "&amp;A108&amp;" + Line "&amp;A110</f>
        <v>Line 27 + Line 29</v>
      </c>
      <c r="J112" s="126">
        <f t="shared" si="5"/>
        <v>31</v>
      </c>
      <c r="L112" s="258"/>
      <c r="M112" s="249"/>
    </row>
    <row r="113" spans="1:13" ht="16" thickTop="1">
      <c r="B113" s="209"/>
      <c r="G113" s="259"/>
      <c r="H113" s="259"/>
      <c r="I113" s="215"/>
      <c r="J113" s="126"/>
      <c r="L113" s="258"/>
      <c r="M113" s="249"/>
    </row>
    <row r="114" spans="1:13">
      <c r="B114" s="209"/>
      <c r="G114" s="259"/>
      <c r="H114" s="259"/>
      <c r="I114" s="215"/>
      <c r="J114" s="126"/>
      <c r="L114" s="258"/>
      <c r="M114" s="249"/>
    </row>
    <row r="115" spans="1:13">
      <c r="A115" s="641" t="s">
        <v>439</v>
      </c>
      <c r="B115" s="954" t="str">
        <f>'Pg10 Rev Stmt AL'!B32</f>
        <v>Items in BOLD have changed to correct the over-allocation of "Duplicate Charges (Company Energy Use)" Credit in FERC Account no. 929.</v>
      </c>
      <c r="G115" s="259"/>
      <c r="H115" s="259"/>
      <c r="I115" s="215"/>
      <c r="J115" s="126"/>
      <c r="L115" s="258"/>
      <c r="M115" s="249"/>
    </row>
    <row r="116" spans="1:13" ht="18.5">
      <c r="A116" s="200">
        <v>1</v>
      </c>
      <c r="B116" s="1" t="s">
        <v>366</v>
      </c>
      <c r="G116" s="259"/>
      <c r="H116" s="259"/>
      <c r="I116" s="215"/>
      <c r="J116" s="126"/>
      <c r="L116" s="258"/>
      <c r="M116" s="249"/>
    </row>
    <row r="117" spans="1:13" ht="18.5">
      <c r="A117" s="200"/>
      <c r="B117" s="1"/>
      <c r="G117" s="259"/>
      <c r="H117" s="259"/>
      <c r="I117" s="215"/>
      <c r="J117" s="126"/>
      <c r="L117" s="258"/>
      <c r="M117" s="249"/>
    </row>
    <row r="118" spans="1:13">
      <c r="A118" s="260"/>
      <c r="B118" s="125"/>
      <c r="C118" s="261"/>
      <c r="D118" s="261"/>
      <c r="E118" s="261"/>
      <c r="F118" s="261"/>
      <c r="G118" s="262"/>
      <c r="H118" s="262"/>
      <c r="I118" s="263"/>
      <c r="J118" s="126"/>
    </row>
    <row r="119" spans="1:13">
      <c r="B119" s="973" t="s">
        <v>0</v>
      </c>
      <c r="C119" s="973"/>
      <c r="D119" s="973"/>
      <c r="E119" s="973"/>
      <c r="F119" s="973"/>
      <c r="G119" s="973"/>
      <c r="H119" s="973"/>
      <c r="I119" s="973"/>
      <c r="J119" s="126"/>
    </row>
    <row r="120" spans="1:13">
      <c r="B120" s="973" t="s">
        <v>340</v>
      </c>
      <c r="C120" s="973"/>
      <c r="D120" s="973"/>
      <c r="E120" s="973"/>
      <c r="F120" s="973"/>
      <c r="G120" s="973"/>
      <c r="H120" s="973"/>
      <c r="I120" s="973"/>
      <c r="J120" s="126"/>
    </row>
    <row r="121" spans="1:13">
      <c r="B121" s="973" t="s">
        <v>279</v>
      </c>
      <c r="C121" s="973"/>
      <c r="D121" s="973"/>
      <c r="E121" s="973"/>
      <c r="F121" s="973"/>
      <c r="G121" s="973"/>
      <c r="H121" s="973"/>
      <c r="I121" s="973"/>
      <c r="J121" s="126"/>
    </row>
    <row r="122" spans="1:13">
      <c r="B122" s="974" t="str">
        <f>B5</f>
        <v>Base Period &amp; True-Up Period 12 - Months Ending December 31, 2018</v>
      </c>
      <c r="C122" s="974"/>
      <c r="D122" s="974"/>
      <c r="E122" s="974"/>
      <c r="F122" s="974"/>
      <c r="G122" s="974"/>
      <c r="H122" s="974"/>
      <c r="I122" s="974"/>
      <c r="J122" s="126"/>
    </row>
    <row r="123" spans="1:13">
      <c r="B123" s="975" t="s">
        <v>1</v>
      </c>
      <c r="C123" s="976"/>
      <c r="D123" s="976"/>
      <c r="E123" s="976"/>
      <c r="F123" s="976"/>
      <c r="G123" s="976"/>
      <c r="H123" s="976"/>
      <c r="I123" s="976"/>
      <c r="J123" s="126"/>
    </row>
    <row r="124" spans="1:13">
      <c r="B124" s="126"/>
      <c r="C124" s="126"/>
      <c r="D124" s="126"/>
      <c r="E124" s="126"/>
      <c r="F124" s="126"/>
      <c r="G124" s="499"/>
      <c r="H124" s="499"/>
      <c r="I124" s="215"/>
      <c r="J124" s="126"/>
    </row>
    <row r="125" spans="1:13">
      <c r="A125" s="126" t="s">
        <v>2</v>
      </c>
      <c r="B125" s="499"/>
      <c r="C125" s="499"/>
      <c r="D125" s="499"/>
      <c r="E125" s="499"/>
      <c r="F125" s="499"/>
      <c r="G125" s="499"/>
      <c r="H125" s="499"/>
      <c r="I125" s="215"/>
      <c r="J125" s="126" t="s">
        <v>2</v>
      </c>
    </row>
    <row r="126" spans="1:13">
      <c r="A126" s="126" t="s">
        <v>3</v>
      </c>
      <c r="B126" s="126"/>
      <c r="C126" s="126"/>
      <c r="D126" s="126"/>
      <c r="E126" s="126"/>
      <c r="F126" s="126"/>
      <c r="G126" s="559" t="s">
        <v>32</v>
      </c>
      <c r="H126" s="499"/>
      <c r="I126" s="583" t="s">
        <v>5</v>
      </c>
      <c r="J126" s="126" t="s">
        <v>3</v>
      </c>
    </row>
    <row r="127" spans="1:13">
      <c r="G127" s="126"/>
      <c r="H127" s="126"/>
      <c r="I127" s="215"/>
      <c r="J127" s="126"/>
    </row>
    <row r="128" spans="1:13" ht="18">
      <c r="A128" s="126">
        <v>1</v>
      </c>
      <c r="B128" s="209" t="s">
        <v>367</v>
      </c>
      <c r="E128" s="499"/>
      <c r="F128" s="499"/>
      <c r="G128" s="196"/>
      <c r="H128" s="196"/>
      <c r="I128" s="215"/>
      <c r="J128" s="126">
        <v>1</v>
      </c>
    </row>
    <row r="129" spans="1:10">
      <c r="A129" s="126">
        <f>A128+1</f>
        <v>2</v>
      </c>
      <c r="B129" s="240"/>
      <c r="E129" s="499"/>
      <c r="F129" s="499"/>
      <c r="G129" s="196"/>
      <c r="H129" s="196"/>
      <c r="I129" s="215"/>
      <c r="J129" s="126">
        <f>J128+1</f>
        <v>2</v>
      </c>
    </row>
    <row r="130" spans="1:10">
      <c r="A130" s="126">
        <f>A129+1</f>
        <v>3</v>
      </c>
      <c r="B130" s="209" t="s">
        <v>342</v>
      </c>
      <c r="E130" s="499"/>
      <c r="F130" s="499"/>
      <c r="G130" s="196"/>
      <c r="H130" s="196"/>
      <c r="I130" s="215"/>
      <c r="J130" s="126">
        <f>J129+1</f>
        <v>3</v>
      </c>
    </row>
    <row r="131" spans="1:10">
      <c r="A131" s="126">
        <f>A130+1</f>
        <v>4</v>
      </c>
      <c r="B131" s="499"/>
      <c r="C131" s="499"/>
      <c r="D131" s="499"/>
      <c r="E131" s="499"/>
      <c r="F131" s="499"/>
      <c r="G131" s="196"/>
      <c r="H131" s="196"/>
      <c r="I131" s="215"/>
      <c r="J131" s="126">
        <f>J130+1</f>
        <v>4</v>
      </c>
    </row>
    <row r="132" spans="1:10">
      <c r="A132" s="126">
        <f t="shared" ref="A132:A158" si="6">A131+1</f>
        <v>5</v>
      </c>
      <c r="B132" s="204" t="s">
        <v>343</v>
      </c>
      <c r="C132" s="499"/>
      <c r="D132" s="499"/>
      <c r="E132" s="499"/>
      <c r="F132" s="499"/>
      <c r="G132" s="196"/>
      <c r="H132" s="196"/>
      <c r="I132" s="241"/>
      <c r="J132" s="126">
        <f t="shared" ref="J132:J158" si="7">J131+1</f>
        <v>5</v>
      </c>
    </row>
    <row r="133" spans="1:10">
      <c r="A133" s="126">
        <f t="shared" si="6"/>
        <v>6</v>
      </c>
      <c r="B133" s="122" t="str">
        <f>B87</f>
        <v xml:space="preserve">     A = Sum of Preferred Stock and Return on Equity Component</v>
      </c>
      <c r="D133" s="499"/>
      <c r="E133" s="499"/>
      <c r="F133" s="499"/>
      <c r="G133" s="242">
        <f>G65</f>
        <v>0</v>
      </c>
      <c r="H133" s="499"/>
      <c r="I133" s="215" t="str">
        <f>"AV1; Line "&amp;A65</f>
        <v>AV1; Line 55</v>
      </c>
      <c r="J133" s="126">
        <f t="shared" si="7"/>
        <v>6</v>
      </c>
    </row>
    <row r="134" spans="1:10">
      <c r="A134" s="126">
        <f t="shared" si="6"/>
        <v>7</v>
      </c>
      <c r="B134" s="122" t="str">
        <f>B88</f>
        <v xml:space="preserve">     B = Transmission Total Federal Tax Adjustments</v>
      </c>
      <c r="D134" s="499"/>
      <c r="E134" s="499"/>
      <c r="F134" s="499"/>
      <c r="G134" s="264">
        <v>0</v>
      </c>
      <c r="H134" s="499"/>
      <c r="I134" s="215" t="s">
        <v>368</v>
      </c>
      <c r="J134" s="126">
        <f t="shared" si="7"/>
        <v>7</v>
      </c>
    </row>
    <row r="135" spans="1:10" ht="18">
      <c r="A135" s="126">
        <f t="shared" si="6"/>
        <v>8</v>
      </c>
      <c r="B135" s="122" t="s">
        <v>346</v>
      </c>
      <c r="D135" s="499"/>
      <c r="E135" s="499"/>
      <c r="F135" s="499"/>
      <c r="G135" s="244">
        <v>0</v>
      </c>
      <c r="H135" s="499"/>
      <c r="I135" s="228"/>
      <c r="J135" s="126">
        <f t="shared" si="7"/>
        <v>8</v>
      </c>
    </row>
    <row r="136" spans="1:10">
      <c r="A136" s="126">
        <f t="shared" si="6"/>
        <v>9</v>
      </c>
      <c r="B136" s="122" t="s">
        <v>369</v>
      </c>
      <c r="D136" s="499"/>
      <c r="E136" s="499"/>
      <c r="F136" s="499"/>
      <c r="G136" s="243">
        <v>0</v>
      </c>
      <c r="H136" s="499"/>
      <c r="I136" s="215" t="str">
        <f>"AV-4; Page 1; Line "&amp;A46</f>
        <v>AV-4; Page 1; Line 36</v>
      </c>
      <c r="J136" s="126">
        <f t="shared" si="7"/>
        <v>9</v>
      </c>
    </row>
    <row r="137" spans="1:10">
      <c r="A137" s="126">
        <f t="shared" si="6"/>
        <v>10</v>
      </c>
      <c r="B137" s="122" t="str">
        <f>B91</f>
        <v xml:space="preserve">     FT = Federal Income Tax Rate for Rate Effective Period</v>
      </c>
      <c r="D137" s="499"/>
      <c r="E137" s="499"/>
      <c r="F137" s="499"/>
      <c r="G137" s="595">
        <f>G91</f>
        <v>0.21</v>
      </c>
      <c r="H137" s="499"/>
      <c r="I137" s="215" t="str">
        <f>"AV2; Line "&amp;A91</f>
        <v>AV2; Line 10</v>
      </c>
      <c r="J137" s="126">
        <f t="shared" si="7"/>
        <v>10</v>
      </c>
    </row>
    <row r="138" spans="1:10">
      <c r="A138" s="126">
        <f t="shared" si="6"/>
        <v>11</v>
      </c>
      <c r="G138" s="126"/>
      <c r="H138" s="126"/>
      <c r="J138" s="126">
        <f t="shared" si="7"/>
        <v>11</v>
      </c>
    </row>
    <row r="139" spans="1:10">
      <c r="A139" s="126">
        <f t="shared" si="6"/>
        <v>12</v>
      </c>
      <c r="B139" s="122" t="s">
        <v>370</v>
      </c>
      <c r="D139" s="499"/>
      <c r="E139" s="499"/>
      <c r="F139" s="499"/>
      <c r="G139" s="248">
        <f>IFERROR((((G133)+(G135/G136))*G137-(G134/G136))/(1-G137),0)</f>
        <v>0</v>
      </c>
      <c r="H139" s="248"/>
      <c r="I139" s="215" t="s">
        <v>371</v>
      </c>
      <c r="J139" s="126">
        <f t="shared" si="7"/>
        <v>12</v>
      </c>
    </row>
    <row r="140" spans="1:10">
      <c r="A140" s="126">
        <f t="shared" si="6"/>
        <v>13</v>
      </c>
      <c r="B140" s="250" t="s">
        <v>352</v>
      </c>
      <c r="D140" s="250"/>
      <c r="G140" s="265"/>
      <c r="H140" s="265"/>
      <c r="J140" s="126">
        <f t="shared" si="7"/>
        <v>13</v>
      </c>
    </row>
    <row r="141" spans="1:10">
      <c r="A141" s="126">
        <f t="shared" si="6"/>
        <v>14</v>
      </c>
      <c r="G141" s="126"/>
      <c r="H141" s="126"/>
      <c r="J141" s="126">
        <f t="shared" si="7"/>
        <v>14</v>
      </c>
    </row>
    <row r="142" spans="1:10">
      <c r="A142" s="126">
        <f t="shared" si="6"/>
        <v>15</v>
      </c>
      <c r="B142" s="209" t="s">
        <v>353</v>
      </c>
      <c r="C142" s="499"/>
      <c r="D142" s="499"/>
      <c r="E142" s="499"/>
      <c r="F142" s="499"/>
      <c r="G142" s="251"/>
      <c r="H142" s="251"/>
      <c r="I142" s="252"/>
      <c r="J142" s="126">
        <f t="shared" si="7"/>
        <v>15</v>
      </c>
    </row>
    <row r="143" spans="1:10">
      <c r="A143" s="126">
        <f t="shared" si="6"/>
        <v>16</v>
      </c>
      <c r="B143" s="216"/>
      <c r="C143" s="499"/>
      <c r="D143" s="499"/>
      <c r="E143" s="499"/>
      <c r="F143" s="499"/>
      <c r="G143" s="251"/>
      <c r="H143" s="251"/>
      <c r="I143" s="241"/>
      <c r="J143" s="126">
        <f t="shared" si="7"/>
        <v>16</v>
      </c>
    </row>
    <row r="144" spans="1:10">
      <c r="A144" s="126">
        <f t="shared" si="6"/>
        <v>17</v>
      </c>
      <c r="B144" s="204" t="s">
        <v>343</v>
      </c>
      <c r="C144" s="499"/>
      <c r="D144" s="499"/>
      <c r="E144" s="499"/>
      <c r="F144" s="499"/>
      <c r="G144" s="251"/>
      <c r="H144" s="251"/>
      <c r="I144" s="241"/>
      <c r="J144" s="126">
        <f t="shared" si="7"/>
        <v>17</v>
      </c>
    </row>
    <row r="145" spans="1:10">
      <c r="A145" s="126">
        <f t="shared" si="6"/>
        <v>18</v>
      </c>
      <c r="B145" s="122" t="str">
        <f>B99</f>
        <v xml:space="preserve">     A = Sum of Preferred Stock and Return on Equity Component</v>
      </c>
      <c r="D145" s="499"/>
      <c r="E145" s="499"/>
      <c r="F145" s="499"/>
      <c r="G145" s="234">
        <f>G133</f>
        <v>0</v>
      </c>
      <c r="H145" s="234"/>
      <c r="I145" s="215" t="str">
        <f>"Line "&amp;A133&amp;" Above"</f>
        <v>Line 6 Above</v>
      </c>
      <c r="J145" s="126">
        <f t="shared" si="7"/>
        <v>18</v>
      </c>
    </row>
    <row r="146" spans="1:10">
      <c r="A146" s="126">
        <f t="shared" si="6"/>
        <v>19</v>
      </c>
      <c r="B146" s="122" t="str">
        <f>B100</f>
        <v xml:space="preserve">     B = Equity AFUDC Component of Transmission Depreciation Expense</v>
      </c>
      <c r="D146" s="499"/>
      <c r="E146" s="499"/>
      <c r="F146" s="499"/>
      <c r="G146" s="170">
        <f>G135</f>
        <v>0</v>
      </c>
      <c r="H146" s="170"/>
      <c r="I146" s="215" t="str">
        <f>"Line "&amp;A135&amp;" Above"</f>
        <v>Line 8 Above</v>
      </c>
      <c r="J146" s="126">
        <f t="shared" si="7"/>
        <v>19</v>
      </c>
    </row>
    <row r="147" spans="1:10">
      <c r="A147" s="126">
        <f t="shared" si="6"/>
        <v>20</v>
      </c>
      <c r="B147" s="122" t="s">
        <v>372</v>
      </c>
      <c r="D147" s="499"/>
      <c r="E147" s="499"/>
      <c r="F147" s="499"/>
      <c r="G147" s="170">
        <f>G136</f>
        <v>0</v>
      </c>
      <c r="H147" s="170"/>
      <c r="I147" s="215" t="str">
        <f>"Line "&amp;A136&amp;" Above"</f>
        <v>Line 9 Above</v>
      </c>
      <c r="J147" s="126">
        <f t="shared" si="7"/>
        <v>20</v>
      </c>
    </row>
    <row r="148" spans="1:10">
      <c r="A148" s="126">
        <f t="shared" si="6"/>
        <v>21</v>
      </c>
      <c r="B148" s="122" t="str">
        <f>B102</f>
        <v xml:space="preserve">     FT = Federal Income Tax Expense</v>
      </c>
      <c r="D148" s="499"/>
      <c r="E148" s="499"/>
      <c r="F148" s="499"/>
      <c r="G148" s="255">
        <f>G139</f>
        <v>0</v>
      </c>
      <c r="H148" s="255"/>
      <c r="I148" s="215" t="str">
        <f>"Line "&amp;A139&amp;" Above"</f>
        <v>Line 12 Above</v>
      </c>
      <c r="J148" s="126">
        <f t="shared" si="7"/>
        <v>21</v>
      </c>
    </row>
    <row r="149" spans="1:10">
      <c r="A149" s="126">
        <f t="shared" si="6"/>
        <v>22</v>
      </c>
      <c r="B149" s="122" t="str">
        <f>B103</f>
        <v xml:space="preserve">     ST = State Income Tax Rate for Rate Effective Period</v>
      </c>
      <c r="D149" s="499"/>
      <c r="E149" s="499"/>
      <c r="F149" s="499"/>
      <c r="G149" s="596" t="str">
        <f>G103</f>
        <v>8.84%</v>
      </c>
      <c r="H149" s="499"/>
      <c r="I149" s="215" t="str">
        <f>"AV2; Line "&amp;A103</f>
        <v>AV2; Line 22</v>
      </c>
      <c r="J149" s="126">
        <f t="shared" si="7"/>
        <v>22</v>
      </c>
    </row>
    <row r="150" spans="1:10">
      <c r="A150" s="126">
        <f t="shared" si="6"/>
        <v>23</v>
      </c>
      <c r="B150" s="125"/>
      <c r="D150" s="499"/>
      <c r="E150" s="499"/>
      <c r="F150" s="499"/>
      <c r="G150" s="256"/>
      <c r="H150" s="256"/>
      <c r="I150" s="254"/>
      <c r="J150" s="126">
        <f t="shared" si="7"/>
        <v>23</v>
      </c>
    </row>
    <row r="151" spans="1:10">
      <c r="A151" s="126">
        <f t="shared" si="6"/>
        <v>24</v>
      </c>
      <c r="B151" s="122" t="s">
        <v>360</v>
      </c>
      <c r="C151" s="126"/>
      <c r="D151" s="126"/>
      <c r="E151" s="499"/>
      <c r="F151" s="499"/>
      <c r="G151" s="592">
        <f>IFERROR(((G145)+(G146/G147)+G139)*G149/(1-G149),0)</f>
        <v>0</v>
      </c>
      <c r="H151" s="257"/>
      <c r="I151" s="215" t="s">
        <v>361</v>
      </c>
      <c r="J151" s="126">
        <f t="shared" si="7"/>
        <v>24</v>
      </c>
    </row>
    <row r="152" spans="1:10">
      <c r="A152" s="126">
        <f t="shared" si="6"/>
        <v>25</v>
      </c>
      <c r="B152" s="250" t="s">
        <v>362</v>
      </c>
      <c r="D152" s="250"/>
      <c r="G152" s="126"/>
      <c r="H152" s="126"/>
      <c r="I152" s="215"/>
      <c r="J152" s="126">
        <f t="shared" si="7"/>
        <v>25</v>
      </c>
    </row>
    <row r="153" spans="1:10">
      <c r="A153" s="126">
        <f t="shared" si="6"/>
        <v>26</v>
      </c>
      <c r="G153" s="126"/>
      <c r="H153" s="126"/>
      <c r="I153" s="215"/>
      <c r="J153" s="126">
        <f t="shared" si="7"/>
        <v>26</v>
      </c>
    </row>
    <row r="154" spans="1:10">
      <c r="A154" s="126">
        <f t="shared" si="6"/>
        <v>27</v>
      </c>
      <c r="B154" s="209" t="s">
        <v>363</v>
      </c>
      <c r="G154" s="248">
        <f>G151+G139</f>
        <v>0</v>
      </c>
      <c r="H154" s="248"/>
      <c r="I154" s="215" t="str">
        <f>"Line "&amp;A139&amp;" + Line "&amp;A151</f>
        <v>Line 12 + Line 24</v>
      </c>
      <c r="J154" s="126">
        <f t="shared" si="7"/>
        <v>27</v>
      </c>
    </row>
    <row r="155" spans="1:10">
      <c r="A155" s="126">
        <f t="shared" si="6"/>
        <v>28</v>
      </c>
      <c r="G155" s="126"/>
      <c r="H155" s="126"/>
      <c r="I155" s="215"/>
      <c r="J155" s="126">
        <f t="shared" si="7"/>
        <v>28</v>
      </c>
    </row>
    <row r="156" spans="1:10">
      <c r="A156" s="126">
        <f t="shared" si="6"/>
        <v>29</v>
      </c>
      <c r="B156" s="209" t="s">
        <v>373</v>
      </c>
      <c r="G156" s="597">
        <f>G63</f>
        <v>1.9124664122712989E-2</v>
      </c>
      <c r="H156" s="499"/>
      <c r="I156" s="215" t="str">
        <f>"AV1; Line "&amp;A63</f>
        <v>AV1; Line 53</v>
      </c>
      <c r="J156" s="126">
        <f t="shared" si="7"/>
        <v>29</v>
      </c>
    </row>
    <row r="157" spans="1:10">
      <c r="A157" s="126">
        <f t="shared" si="6"/>
        <v>30</v>
      </c>
      <c r="G157" s="126"/>
      <c r="H157" s="126"/>
      <c r="I157" s="215"/>
      <c r="J157" s="126">
        <f t="shared" si="7"/>
        <v>30</v>
      </c>
    </row>
    <row r="158" spans="1:10" ht="18" thickBot="1">
      <c r="A158" s="126">
        <f t="shared" si="6"/>
        <v>31</v>
      </c>
      <c r="B158" s="209" t="s">
        <v>374</v>
      </c>
      <c r="G158" s="598">
        <f>G154+G156</f>
        <v>1.9124664122712989E-2</v>
      </c>
      <c r="H158" s="266"/>
      <c r="I158" s="215" t="str">
        <f>"Line "&amp;A154&amp;" + Line "&amp;A156</f>
        <v>Line 27 + Line 29</v>
      </c>
      <c r="J158" s="126">
        <f t="shared" si="7"/>
        <v>31</v>
      </c>
    </row>
    <row r="159" spans="1:10" ht="16" thickTop="1">
      <c r="B159" s="209"/>
      <c r="G159" s="266"/>
      <c r="H159" s="266"/>
      <c r="I159" s="215"/>
      <c r="J159" s="126"/>
    </row>
    <row r="161" spans="1:2" ht="18">
      <c r="A161" s="226">
        <v>1</v>
      </c>
      <c r="B161" s="1" t="str">
        <f>"The Incentive Cost of Capital Rate Calculation will be tracked and shown separately for each project. As a result, lines "&amp;A128&amp;" through "&amp;A158&amp;" will be repeated for each project."</f>
        <v>The Incentive Cost of Capital Rate Calculation will be tracked and shown separately for each project. As a result, lines 1 through 31 will be repeated for each project.</v>
      </c>
    </row>
    <row r="162" spans="1:2" ht="18">
      <c r="A162" s="226"/>
      <c r="B162" s="1"/>
    </row>
  </sheetData>
  <mergeCells count="15">
    <mergeCell ref="B73:I73"/>
    <mergeCell ref="B2:I2"/>
    <mergeCell ref="B3:I3"/>
    <mergeCell ref="B4:I4"/>
    <mergeCell ref="B5:I5"/>
    <mergeCell ref="B6:I6"/>
    <mergeCell ref="B121:I121"/>
    <mergeCell ref="B122:I122"/>
    <mergeCell ref="B123:I123"/>
    <mergeCell ref="B74:I74"/>
    <mergeCell ref="B75:I75"/>
    <mergeCell ref="B76:I76"/>
    <mergeCell ref="B77:I77"/>
    <mergeCell ref="B119:I119"/>
    <mergeCell ref="B120:I120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Roman,Bold"&amp;7REVISED</oddHeader>
    <oddFooter>&amp;L&amp;F&amp;CPage 11.&amp;P&amp;R&amp;A</oddFooter>
  </headerFooter>
  <rowBreaks count="2" manualBreakCount="2">
    <brk id="71" max="16383" man="1"/>
    <brk id="117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0318-54FC-4CD0-87A7-612CABFE8C25}">
  <dimension ref="A1:M163"/>
  <sheetViews>
    <sheetView zoomScale="80" zoomScaleNormal="80" workbookViewId="0"/>
  </sheetViews>
  <sheetFormatPr defaultColWidth="8.81640625" defaultRowHeight="15.5"/>
  <cols>
    <col min="1" max="1" width="5.1796875" style="126" customWidth="1"/>
    <col min="2" max="2" width="65" style="122" customWidth="1"/>
    <col min="3" max="5" width="15.6328125" style="122" customWidth="1"/>
    <col min="6" max="6" width="1.6328125" style="122" customWidth="1"/>
    <col min="7" max="7" width="18.90625" style="122" customWidth="1"/>
    <col min="8" max="8" width="1.6328125" style="122" customWidth="1"/>
    <col min="9" max="9" width="47.1796875" style="206" customWidth="1"/>
    <col min="10" max="10" width="5.1796875" style="122" customWidth="1"/>
    <col min="11" max="11" width="27" style="122" bestFit="1" customWidth="1"/>
    <col min="12" max="12" width="15" style="122" bestFit="1" customWidth="1"/>
    <col min="13" max="13" width="10.36328125" style="122" bestFit="1" customWidth="1"/>
    <col min="14" max="16384" width="8.81640625" style="122"/>
  </cols>
  <sheetData>
    <row r="1" spans="1:10">
      <c r="A1" s="926" t="s">
        <v>742</v>
      </c>
    </row>
    <row r="2" spans="1:10">
      <c r="A2" s="227"/>
      <c r="G2" s="197"/>
      <c r="H2" s="197"/>
      <c r="I2" s="228"/>
      <c r="J2" s="126"/>
    </row>
    <row r="3" spans="1:10">
      <c r="B3" s="973" t="s">
        <v>277</v>
      </c>
      <c r="C3" s="973"/>
      <c r="D3" s="973"/>
      <c r="E3" s="973"/>
      <c r="F3" s="973"/>
      <c r="G3" s="973"/>
      <c r="H3" s="973"/>
      <c r="I3" s="973"/>
      <c r="J3" s="126"/>
    </row>
    <row r="4" spans="1:10">
      <c r="B4" s="973" t="s">
        <v>278</v>
      </c>
      <c r="C4" s="973"/>
      <c r="D4" s="973"/>
      <c r="E4" s="973"/>
      <c r="F4" s="973"/>
      <c r="G4" s="973"/>
      <c r="H4" s="973"/>
      <c r="I4" s="973"/>
      <c r="J4" s="126"/>
    </row>
    <row r="5" spans="1:10">
      <c r="B5" s="973" t="s">
        <v>279</v>
      </c>
      <c r="C5" s="973"/>
      <c r="D5" s="973"/>
      <c r="E5" s="973"/>
      <c r="F5" s="973"/>
      <c r="G5" s="973"/>
      <c r="H5" s="973"/>
      <c r="I5" s="973"/>
      <c r="J5" s="126"/>
    </row>
    <row r="6" spans="1:10">
      <c r="B6" s="974" t="s">
        <v>464</v>
      </c>
      <c r="C6" s="974"/>
      <c r="D6" s="974"/>
      <c r="E6" s="974"/>
      <c r="F6" s="974"/>
      <c r="G6" s="974"/>
      <c r="H6" s="974"/>
      <c r="I6" s="974"/>
      <c r="J6" s="126"/>
    </row>
    <row r="7" spans="1:10">
      <c r="B7" s="975" t="s">
        <v>1</v>
      </c>
      <c r="C7" s="976"/>
      <c r="D7" s="976"/>
      <c r="E7" s="976"/>
      <c r="F7" s="976"/>
      <c r="G7" s="976"/>
      <c r="H7" s="976"/>
      <c r="I7" s="976"/>
      <c r="J7" s="126"/>
    </row>
    <row r="8" spans="1:10">
      <c r="B8" s="126"/>
      <c r="C8" s="126"/>
      <c r="D8" s="126"/>
      <c r="E8" s="126"/>
      <c r="F8" s="126"/>
      <c r="G8" s="126"/>
      <c r="H8" s="126"/>
      <c r="I8" s="215"/>
      <c r="J8" s="126"/>
    </row>
    <row r="9" spans="1:10">
      <c r="A9" s="126" t="s">
        <v>2</v>
      </c>
      <c r="B9" s="499"/>
      <c r="C9" s="499"/>
      <c r="D9" s="499"/>
      <c r="E9" s="126" t="s">
        <v>149</v>
      </c>
      <c r="F9" s="499"/>
      <c r="G9" s="499"/>
      <c r="H9" s="499"/>
      <c r="I9" s="215"/>
      <c r="J9" s="126" t="s">
        <v>2</v>
      </c>
    </row>
    <row r="10" spans="1:10">
      <c r="A10" s="126" t="s">
        <v>3</v>
      </c>
      <c r="B10" s="126"/>
      <c r="C10" s="126"/>
      <c r="D10" s="126"/>
      <c r="E10" s="559" t="s">
        <v>150</v>
      </c>
      <c r="F10" s="126"/>
      <c r="G10" s="566" t="s">
        <v>32</v>
      </c>
      <c r="H10" s="499"/>
      <c r="I10" s="583" t="s">
        <v>5</v>
      </c>
      <c r="J10" s="126" t="s">
        <v>3</v>
      </c>
    </row>
    <row r="11" spans="1:10">
      <c r="B11" s="126"/>
      <c r="C11" s="126"/>
      <c r="D11" s="126"/>
      <c r="E11" s="126"/>
      <c r="F11" s="126"/>
      <c r="G11" s="126"/>
      <c r="H11" s="126"/>
      <c r="I11" s="215"/>
      <c r="J11" s="126"/>
    </row>
    <row r="12" spans="1:10">
      <c r="A12" s="126">
        <v>1</v>
      </c>
      <c r="B12" s="209" t="s">
        <v>280</v>
      </c>
      <c r="I12" s="215"/>
      <c r="J12" s="126">
        <f>A12</f>
        <v>1</v>
      </c>
    </row>
    <row r="13" spans="1:10">
      <c r="A13" s="126">
        <f>A12+1</f>
        <v>2</v>
      </c>
      <c r="B13" s="122" t="s">
        <v>281</v>
      </c>
      <c r="E13" s="126" t="s">
        <v>282</v>
      </c>
      <c r="F13" s="111"/>
      <c r="G13" s="195">
        <v>4776266</v>
      </c>
      <c r="H13" s="499"/>
      <c r="I13" s="229"/>
      <c r="J13" s="126">
        <f>J12+1</f>
        <v>2</v>
      </c>
    </row>
    <row r="14" spans="1:10">
      <c r="A14" s="126">
        <f t="shared" ref="A14:A53" si="0">A13+1</f>
        <v>3</v>
      </c>
      <c r="B14" s="122" t="s">
        <v>283</v>
      </c>
      <c r="E14" s="126" t="s">
        <v>284</v>
      </c>
      <c r="F14" s="111"/>
      <c r="G14" s="198">
        <v>0</v>
      </c>
      <c r="H14" s="499"/>
      <c r="I14" s="229"/>
      <c r="J14" s="126">
        <f t="shared" ref="J14:J53" si="1">J13+1</f>
        <v>3</v>
      </c>
    </row>
    <row r="15" spans="1:10">
      <c r="A15" s="126">
        <f t="shared" si="0"/>
        <v>4</v>
      </c>
      <c r="B15" s="122" t="s">
        <v>285</v>
      </c>
      <c r="E15" s="126" t="s">
        <v>286</v>
      </c>
      <c r="F15" s="111"/>
      <c r="G15" s="198">
        <v>0</v>
      </c>
      <c r="H15" s="499"/>
      <c r="I15" s="229"/>
      <c r="J15" s="126">
        <f t="shared" si="1"/>
        <v>4</v>
      </c>
    </row>
    <row r="16" spans="1:10">
      <c r="A16" s="126">
        <f t="shared" si="0"/>
        <v>5</v>
      </c>
      <c r="B16" s="122" t="s">
        <v>287</v>
      </c>
      <c r="E16" s="126" t="s">
        <v>288</v>
      </c>
      <c r="F16" s="111"/>
      <c r="G16" s="198">
        <v>0</v>
      </c>
      <c r="H16" s="499"/>
      <c r="I16" s="229"/>
      <c r="J16" s="126">
        <f t="shared" si="1"/>
        <v>5</v>
      </c>
    </row>
    <row r="17" spans="1:10">
      <c r="A17" s="126">
        <f t="shared" si="0"/>
        <v>6</v>
      </c>
      <c r="B17" s="122" t="s">
        <v>289</v>
      </c>
      <c r="E17" s="126" t="s">
        <v>290</v>
      </c>
      <c r="F17" s="111"/>
      <c r="G17" s="198">
        <v>-12609.584859999999</v>
      </c>
      <c r="H17" s="499"/>
      <c r="I17" s="229"/>
      <c r="J17" s="126">
        <f t="shared" si="1"/>
        <v>6</v>
      </c>
    </row>
    <row r="18" spans="1:10">
      <c r="A18" s="126">
        <f t="shared" si="0"/>
        <v>7</v>
      </c>
      <c r="B18" s="122" t="s">
        <v>291</v>
      </c>
      <c r="G18" s="708">
        <f>SUM(G13:G17)</f>
        <v>4763656.4151400002</v>
      </c>
      <c r="H18" s="190"/>
      <c r="I18" s="215" t="str">
        <f>"Sum Lines "&amp;A13&amp;" thru "&amp;A17</f>
        <v>Sum Lines 2 thru 6</v>
      </c>
      <c r="J18" s="126">
        <f t="shared" si="1"/>
        <v>7</v>
      </c>
    </row>
    <row r="19" spans="1:10">
      <c r="A19" s="126">
        <f t="shared" si="0"/>
        <v>8</v>
      </c>
      <c r="I19" s="215"/>
      <c r="J19" s="126">
        <f t="shared" si="1"/>
        <v>8</v>
      </c>
    </row>
    <row r="20" spans="1:10">
      <c r="A20" s="126">
        <f t="shared" si="0"/>
        <v>9</v>
      </c>
      <c r="B20" s="209" t="s">
        <v>292</v>
      </c>
      <c r="G20" s="118"/>
      <c r="H20" s="118"/>
      <c r="I20" s="215"/>
      <c r="J20" s="126">
        <f t="shared" si="1"/>
        <v>9</v>
      </c>
    </row>
    <row r="21" spans="1:10">
      <c r="A21" s="126">
        <f t="shared" si="0"/>
        <v>10</v>
      </c>
      <c r="B21" s="122" t="s">
        <v>293</v>
      </c>
      <c r="E21" s="126" t="s">
        <v>294</v>
      </c>
      <c r="F21" s="111"/>
      <c r="G21" s="195">
        <v>200012.28902</v>
      </c>
      <c r="H21" s="499"/>
      <c r="I21" s="230"/>
      <c r="J21" s="126">
        <f t="shared" si="1"/>
        <v>10</v>
      </c>
    </row>
    <row r="22" spans="1:10">
      <c r="A22" s="126">
        <f t="shared" si="0"/>
        <v>11</v>
      </c>
      <c r="B22" s="122" t="s">
        <v>295</v>
      </c>
      <c r="E22" s="126" t="s">
        <v>296</v>
      </c>
      <c r="F22" s="111"/>
      <c r="G22" s="198">
        <v>3450.8071800000002</v>
      </c>
      <c r="H22" s="499"/>
      <c r="I22" s="230"/>
      <c r="J22" s="126">
        <f t="shared" si="1"/>
        <v>11</v>
      </c>
    </row>
    <row r="23" spans="1:10">
      <c r="A23" s="126">
        <f t="shared" si="0"/>
        <v>12</v>
      </c>
      <c r="B23" s="122" t="s">
        <v>297</v>
      </c>
      <c r="E23" s="126" t="s">
        <v>298</v>
      </c>
      <c r="F23" s="111"/>
      <c r="G23" s="198">
        <v>2799.42463</v>
      </c>
      <c r="H23" s="499"/>
      <c r="I23" s="230"/>
      <c r="J23" s="126">
        <f t="shared" si="1"/>
        <v>12</v>
      </c>
    </row>
    <row r="24" spans="1:10">
      <c r="A24" s="126">
        <f t="shared" si="0"/>
        <v>13</v>
      </c>
      <c r="B24" s="122" t="s">
        <v>299</v>
      </c>
      <c r="E24" s="126" t="s">
        <v>300</v>
      </c>
      <c r="F24" s="111"/>
      <c r="G24" s="198">
        <v>0</v>
      </c>
      <c r="H24" s="499"/>
      <c r="I24" s="230"/>
      <c r="J24" s="126">
        <f t="shared" si="1"/>
        <v>13</v>
      </c>
    </row>
    <row r="25" spans="1:10">
      <c r="A25" s="126">
        <f t="shared" si="0"/>
        <v>14</v>
      </c>
      <c r="B25" s="122" t="s">
        <v>301</v>
      </c>
      <c r="E25" s="126" t="s">
        <v>302</v>
      </c>
      <c r="F25" s="111"/>
      <c r="G25" s="198">
        <v>0</v>
      </c>
      <c r="H25" s="499"/>
      <c r="I25" s="230"/>
      <c r="J25" s="126">
        <f t="shared" si="1"/>
        <v>14</v>
      </c>
    </row>
    <row r="26" spans="1:10">
      <c r="A26" s="126">
        <f t="shared" si="0"/>
        <v>15</v>
      </c>
      <c r="B26" s="122" t="s">
        <v>303</v>
      </c>
      <c r="G26" s="776">
        <f>SUM(G21:G25)</f>
        <v>206262.52082999999</v>
      </c>
      <c r="H26" s="199"/>
      <c r="I26" s="215" t="str">
        <f>"Sum Lines "&amp;A21&amp;" thru "&amp;A25</f>
        <v>Sum Lines 10 thru 14</v>
      </c>
      <c r="J26" s="126">
        <f t="shared" si="1"/>
        <v>15</v>
      </c>
    </row>
    <row r="27" spans="1:10">
      <c r="A27" s="126">
        <f t="shared" si="0"/>
        <v>16</v>
      </c>
      <c r="I27" s="215"/>
      <c r="J27" s="126">
        <f t="shared" si="1"/>
        <v>16</v>
      </c>
    </row>
    <row r="28" spans="1:10" ht="16" thickBot="1">
      <c r="A28" s="126">
        <f t="shared" si="0"/>
        <v>17</v>
      </c>
      <c r="B28" s="209" t="s">
        <v>304</v>
      </c>
      <c r="G28" s="584">
        <f>G26/G18</f>
        <v>4.329920188501632E-2</v>
      </c>
      <c r="H28" s="231"/>
      <c r="I28" s="215" t="str">
        <f>"Line "&amp;A26&amp;" / Line "&amp;A18</f>
        <v>Line 15 / Line 7</v>
      </c>
      <c r="J28" s="126">
        <f t="shared" si="1"/>
        <v>17</v>
      </c>
    </row>
    <row r="29" spans="1:10" ht="16" thickTop="1">
      <c r="A29" s="126">
        <f t="shared" si="0"/>
        <v>18</v>
      </c>
      <c r="I29" s="215"/>
      <c r="J29" s="126">
        <f t="shared" si="1"/>
        <v>18</v>
      </c>
    </row>
    <row r="30" spans="1:10">
      <c r="A30" s="126">
        <f t="shared" si="0"/>
        <v>19</v>
      </c>
      <c r="B30" s="209" t="s">
        <v>305</v>
      </c>
      <c r="I30" s="215"/>
      <c r="J30" s="126">
        <f t="shared" si="1"/>
        <v>19</v>
      </c>
    </row>
    <row r="31" spans="1:10">
      <c r="A31" s="126">
        <f t="shared" si="0"/>
        <v>20</v>
      </c>
      <c r="B31" s="122" t="s">
        <v>306</v>
      </c>
      <c r="E31" s="126" t="s">
        <v>307</v>
      </c>
      <c r="F31" s="111"/>
      <c r="G31" s="195">
        <v>0</v>
      </c>
      <c r="H31" s="499"/>
      <c r="I31" s="230"/>
      <c r="J31" s="126">
        <f t="shared" si="1"/>
        <v>20</v>
      </c>
    </row>
    <row r="32" spans="1:10">
      <c r="A32" s="126">
        <f t="shared" si="0"/>
        <v>21</v>
      </c>
      <c r="B32" s="122" t="s">
        <v>308</v>
      </c>
      <c r="E32" s="126" t="s">
        <v>309</v>
      </c>
      <c r="F32" s="111"/>
      <c r="G32" s="585">
        <v>0</v>
      </c>
      <c r="H32" s="499"/>
      <c r="I32" s="230"/>
      <c r="J32" s="126">
        <f t="shared" si="1"/>
        <v>21</v>
      </c>
    </row>
    <row r="33" spans="1:12" ht="16" thickBot="1">
      <c r="A33" s="126">
        <f t="shared" si="0"/>
        <v>22</v>
      </c>
      <c r="B33" s="122" t="s">
        <v>310</v>
      </c>
      <c r="G33" s="584">
        <f>IFERROR((G32/G31),0)</f>
        <v>0</v>
      </c>
      <c r="H33" s="231"/>
      <c r="I33" s="215" t="str">
        <f>"Line "&amp;A32&amp;" / Line "&amp;A31</f>
        <v>Line 21 / Line 20</v>
      </c>
      <c r="J33" s="126">
        <f t="shared" si="1"/>
        <v>22</v>
      </c>
    </row>
    <row r="34" spans="1:12" ht="16" thickTop="1">
      <c r="A34" s="126">
        <f t="shared" si="0"/>
        <v>23</v>
      </c>
      <c r="I34" s="215"/>
      <c r="J34" s="126">
        <f t="shared" si="1"/>
        <v>23</v>
      </c>
    </row>
    <row r="35" spans="1:12">
      <c r="A35" s="126">
        <f t="shared" si="0"/>
        <v>24</v>
      </c>
      <c r="B35" s="209" t="s">
        <v>311</v>
      </c>
      <c r="I35" s="215"/>
      <c r="J35" s="126">
        <f t="shared" si="1"/>
        <v>24</v>
      </c>
    </row>
    <row r="36" spans="1:12">
      <c r="A36" s="126">
        <f t="shared" si="0"/>
        <v>25</v>
      </c>
      <c r="B36" s="122" t="s">
        <v>312</v>
      </c>
      <c r="E36" s="126" t="s">
        <v>313</v>
      </c>
      <c r="F36" s="111"/>
      <c r="G36" s="195">
        <v>6011923.3266400006</v>
      </c>
      <c r="H36" s="499"/>
      <c r="I36" s="230"/>
      <c r="J36" s="126">
        <f t="shared" si="1"/>
        <v>25</v>
      </c>
      <c r="K36" s="189"/>
      <c r="L36" s="472"/>
    </row>
    <row r="37" spans="1:12">
      <c r="A37" s="126">
        <f t="shared" si="0"/>
        <v>26</v>
      </c>
      <c r="B37" s="122" t="s">
        <v>314</v>
      </c>
      <c r="E37" s="126" t="s">
        <v>307</v>
      </c>
      <c r="G37" s="232">
        <f>-G31</f>
        <v>0</v>
      </c>
      <c r="H37" s="232"/>
      <c r="I37" s="215" t="str">
        <f>"Negative of Line "&amp;A31&amp;" Above"</f>
        <v>Negative of Line 20 Above</v>
      </c>
      <c r="J37" s="126">
        <f t="shared" si="1"/>
        <v>26</v>
      </c>
    </row>
    <row r="38" spans="1:12">
      <c r="A38" s="126">
        <f t="shared" si="0"/>
        <v>27</v>
      </c>
      <c r="B38" s="122" t="s">
        <v>315</v>
      </c>
      <c r="E38" s="126" t="s">
        <v>316</v>
      </c>
      <c r="G38" s="198">
        <v>0</v>
      </c>
      <c r="H38" s="499"/>
      <c r="I38" s="230"/>
      <c r="J38" s="126">
        <f t="shared" si="1"/>
        <v>27</v>
      </c>
    </row>
    <row r="39" spans="1:12">
      <c r="A39" s="126">
        <f t="shared" si="0"/>
        <v>28</v>
      </c>
      <c r="B39" s="122" t="s">
        <v>317</v>
      </c>
      <c r="E39" s="126" t="s">
        <v>318</v>
      </c>
      <c r="G39" s="198">
        <v>9578.0788499999999</v>
      </c>
      <c r="H39" s="499"/>
      <c r="I39" s="230"/>
      <c r="J39" s="126">
        <f t="shared" si="1"/>
        <v>28</v>
      </c>
    </row>
    <row r="40" spans="1:12" ht="16" thickBot="1">
      <c r="A40" s="126">
        <f t="shared" si="0"/>
        <v>29</v>
      </c>
      <c r="B40" s="122" t="s">
        <v>319</v>
      </c>
      <c r="G40" s="777">
        <f>SUM(G36:G39)</f>
        <v>6021501.4054900007</v>
      </c>
      <c r="H40" s="233"/>
      <c r="I40" s="215" t="str">
        <f>"Sum Lines "&amp;A36&amp;" thru "&amp;A39</f>
        <v>Sum Lines 25 thru 28</v>
      </c>
      <c r="J40" s="126">
        <f t="shared" si="1"/>
        <v>29</v>
      </c>
    </row>
    <row r="41" spans="1:12" ht="16.5" thickTop="1" thickBot="1">
      <c r="A41" s="778">
        <f t="shared" si="0"/>
        <v>30</v>
      </c>
      <c r="B41" s="724"/>
      <c r="C41" s="724"/>
      <c r="D41" s="724"/>
      <c r="E41" s="724"/>
      <c r="F41" s="724"/>
      <c r="G41" s="724"/>
      <c r="H41" s="724"/>
      <c r="I41" s="779"/>
      <c r="J41" s="778">
        <f t="shared" si="1"/>
        <v>30</v>
      </c>
    </row>
    <row r="42" spans="1:12">
      <c r="A42" s="126">
        <f>A41+1</f>
        <v>31</v>
      </c>
      <c r="I42" s="215"/>
      <c r="J42" s="126">
        <f>J41+1</f>
        <v>31</v>
      </c>
    </row>
    <row r="43" spans="1:12" ht="18.5" thickBot="1">
      <c r="A43" s="126">
        <f>A42+1</f>
        <v>32</v>
      </c>
      <c r="B43" s="209" t="s">
        <v>320</v>
      </c>
      <c r="G43" s="586">
        <v>0.10050000000000001</v>
      </c>
      <c r="H43" s="499"/>
      <c r="I43" s="215" t="s">
        <v>321</v>
      </c>
      <c r="J43" s="126">
        <f>J42+1</f>
        <v>32</v>
      </c>
    </row>
    <row r="44" spans="1:12" ht="16" thickTop="1">
      <c r="A44" s="126">
        <f t="shared" si="0"/>
        <v>33</v>
      </c>
      <c r="C44" s="201" t="s">
        <v>7</v>
      </c>
      <c r="D44" s="201" t="s">
        <v>8</v>
      </c>
      <c r="E44" s="201" t="s">
        <v>9</v>
      </c>
      <c r="F44" s="201"/>
      <c r="G44" s="201" t="s">
        <v>322</v>
      </c>
      <c r="H44" s="201"/>
      <c r="I44" s="215"/>
      <c r="J44" s="126">
        <f t="shared" si="1"/>
        <v>33</v>
      </c>
    </row>
    <row r="45" spans="1:12">
      <c r="A45" s="126">
        <f t="shared" si="0"/>
        <v>34</v>
      </c>
      <c r="D45" s="126" t="s">
        <v>323</v>
      </c>
      <c r="E45" s="126" t="s">
        <v>324</v>
      </c>
      <c r="F45" s="126"/>
      <c r="G45" s="126" t="s">
        <v>325</v>
      </c>
      <c r="H45" s="126"/>
      <c r="I45" s="215"/>
      <c r="J45" s="126">
        <f t="shared" si="1"/>
        <v>34</v>
      </c>
    </row>
    <row r="46" spans="1:12" ht="18">
      <c r="A46" s="126">
        <f t="shared" si="0"/>
        <v>35</v>
      </c>
      <c r="B46" s="209" t="s">
        <v>326</v>
      </c>
      <c r="C46" s="559" t="s">
        <v>259</v>
      </c>
      <c r="D46" s="559" t="s">
        <v>327</v>
      </c>
      <c r="E46" s="559" t="s">
        <v>328</v>
      </c>
      <c r="F46" s="559"/>
      <c r="G46" s="559" t="s">
        <v>329</v>
      </c>
      <c r="H46" s="126"/>
      <c r="I46" s="215"/>
      <c r="J46" s="126">
        <f t="shared" si="1"/>
        <v>35</v>
      </c>
    </row>
    <row r="47" spans="1:12">
      <c r="A47" s="126">
        <f t="shared" si="0"/>
        <v>36</v>
      </c>
      <c r="I47" s="215"/>
      <c r="J47" s="126">
        <f t="shared" si="1"/>
        <v>36</v>
      </c>
    </row>
    <row r="48" spans="1:12">
      <c r="A48" s="126">
        <f t="shared" si="0"/>
        <v>37</v>
      </c>
      <c r="B48" s="122" t="s">
        <v>330</v>
      </c>
      <c r="C48" s="223">
        <f>G18</f>
        <v>4763656.4151400002</v>
      </c>
      <c r="D48" s="234">
        <f>C48/C$51</f>
        <v>0.4416862965164971</v>
      </c>
      <c r="E48" s="235">
        <f>G28</f>
        <v>4.329920188501632E-2</v>
      </c>
      <c r="G48" s="236">
        <f>D48*E48</f>
        <v>1.9124664122712989E-2</v>
      </c>
      <c r="H48" s="236"/>
      <c r="I48" s="215" t="str">
        <f>"Col. c = Line "&amp;A28&amp;" Above"</f>
        <v>Col. c = Line 17 Above</v>
      </c>
      <c r="J48" s="126">
        <f t="shared" si="1"/>
        <v>37</v>
      </c>
    </row>
    <row r="49" spans="1:10">
      <c r="A49" s="126">
        <f t="shared" si="0"/>
        <v>38</v>
      </c>
      <c r="B49" s="122" t="s">
        <v>331</v>
      </c>
      <c r="C49" s="237">
        <f>G31</f>
        <v>0</v>
      </c>
      <c r="D49" s="234">
        <f>C49/C$51</f>
        <v>0</v>
      </c>
      <c r="E49" s="235">
        <f>G33</f>
        <v>0</v>
      </c>
      <c r="G49" s="236">
        <f>D49*E49</f>
        <v>0</v>
      </c>
      <c r="H49" s="236"/>
      <c r="I49" s="215" t="str">
        <f>"Col. c = Line "&amp;A33&amp;" Above"</f>
        <v>Col. c = Line 22 Above</v>
      </c>
      <c r="J49" s="126">
        <f t="shared" si="1"/>
        <v>38</v>
      </c>
    </row>
    <row r="50" spans="1:10">
      <c r="A50" s="126">
        <f t="shared" si="0"/>
        <v>39</v>
      </c>
      <c r="B50" s="122" t="s">
        <v>332</v>
      </c>
      <c r="C50" s="237">
        <f>G40</f>
        <v>6021501.4054900007</v>
      </c>
      <c r="D50" s="587">
        <f>C50/C$51</f>
        <v>0.55831370348350295</v>
      </c>
      <c r="E50" s="238">
        <f>G43</f>
        <v>0.10050000000000001</v>
      </c>
      <c r="G50" s="588">
        <f>D50*E50</f>
        <v>5.6110527200092047E-2</v>
      </c>
      <c r="H50" s="231"/>
      <c r="I50" s="215" t="str">
        <f>"Col. c = Line "&amp;A43&amp;" Above"</f>
        <v>Col. c = Line 32 Above</v>
      </c>
      <c r="J50" s="126">
        <f t="shared" si="1"/>
        <v>39</v>
      </c>
    </row>
    <row r="51" spans="1:10" ht="16" thickBot="1">
      <c r="A51" s="126">
        <f t="shared" si="0"/>
        <v>40</v>
      </c>
      <c r="B51" s="122" t="s">
        <v>333</v>
      </c>
      <c r="C51" s="780">
        <f>SUM(C48:C50)</f>
        <v>10785157.820630001</v>
      </c>
      <c r="D51" s="589">
        <f>SUM(D48:D50)</f>
        <v>1</v>
      </c>
      <c r="G51" s="584">
        <f>SUM(G48:G50)</f>
        <v>7.523519132280504E-2</v>
      </c>
      <c r="H51" s="231"/>
      <c r="I51" s="215" t="str">
        <f>"Sum Lines "&amp;A48&amp;" thru "&amp;A50</f>
        <v>Sum Lines 37 thru 39</v>
      </c>
      <c r="J51" s="126">
        <f t="shared" si="1"/>
        <v>40</v>
      </c>
    </row>
    <row r="52" spans="1:10" ht="16" thickTop="1">
      <c r="A52" s="126">
        <f t="shared" si="0"/>
        <v>41</v>
      </c>
      <c r="I52" s="215"/>
      <c r="J52" s="126">
        <f t="shared" si="1"/>
        <v>41</v>
      </c>
    </row>
    <row r="53" spans="1:10" ht="16" thickBot="1">
      <c r="A53" s="126">
        <f t="shared" si="0"/>
        <v>42</v>
      </c>
      <c r="B53" s="209" t="s">
        <v>334</v>
      </c>
      <c r="G53" s="584">
        <f>G49+G50</f>
        <v>5.6110527200092047E-2</v>
      </c>
      <c r="H53" s="231"/>
      <c r="I53" s="215" t="str">
        <f>"Line "&amp;A49&amp;" + Line "&amp;A50&amp;"; Col. d"</f>
        <v>Line 38 + Line 39; Col. d</v>
      </c>
      <c r="J53" s="126">
        <f t="shared" si="1"/>
        <v>42</v>
      </c>
    </row>
    <row r="54" spans="1:10" ht="16.5" thickTop="1" thickBot="1">
      <c r="A54" s="778">
        <f>A53+1</f>
        <v>43</v>
      </c>
      <c r="B54" s="724"/>
      <c r="C54" s="724"/>
      <c r="D54" s="724"/>
      <c r="E54" s="724"/>
      <c r="F54" s="724"/>
      <c r="G54" s="724"/>
      <c r="H54" s="724"/>
      <c r="I54" s="779"/>
      <c r="J54" s="778">
        <f>J53+1</f>
        <v>43</v>
      </c>
    </row>
    <row r="55" spans="1:10">
      <c r="A55" s="126">
        <f>A54+1</f>
        <v>44</v>
      </c>
      <c r="I55" s="215"/>
      <c r="J55" s="126">
        <f>J54+1</f>
        <v>44</v>
      </c>
    </row>
    <row r="56" spans="1:10" ht="18.5" thickBot="1">
      <c r="A56" s="126">
        <f t="shared" ref="A56:A66" si="2">A55+1</f>
        <v>45</v>
      </c>
      <c r="B56" s="209" t="s">
        <v>335</v>
      </c>
      <c r="G56" s="586">
        <v>0</v>
      </c>
      <c r="H56" s="499"/>
      <c r="I56" s="228"/>
      <c r="J56" s="126">
        <f t="shared" ref="J56:J66" si="3">J55+1</f>
        <v>45</v>
      </c>
    </row>
    <row r="57" spans="1:10" ht="16" thickTop="1">
      <c r="A57" s="126">
        <f t="shared" si="2"/>
        <v>46</v>
      </c>
      <c r="C57" s="201" t="s">
        <v>7</v>
      </c>
      <c r="D57" s="201" t="s">
        <v>8</v>
      </c>
      <c r="E57" s="201" t="s">
        <v>9</v>
      </c>
      <c r="F57" s="201"/>
      <c r="G57" s="201" t="s">
        <v>322</v>
      </c>
      <c r="H57" s="201"/>
      <c r="I57" s="215"/>
      <c r="J57" s="126">
        <f t="shared" si="3"/>
        <v>46</v>
      </c>
    </row>
    <row r="58" spans="1:10">
      <c r="A58" s="126">
        <f t="shared" si="2"/>
        <v>47</v>
      </c>
      <c r="D58" s="126" t="s">
        <v>323</v>
      </c>
      <c r="E58" s="126" t="s">
        <v>324</v>
      </c>
      <c r="F58" s="126"/>
      <c r="G58" s="126" t="s">
        <v>325</v>
      </c>
      <c r="H58" s="126"/>
      <c r="I58" s="215"/>
      <c r="J58" s="126">
        <f t="shared" si="3"/>
        <v>47</v>
      </c>
    </row>
    <row r="59" spans="1:10" ht="18">
      <c r="A59" s="126">
        <f t="shared" si="2"/>
        <v>48</v>
      </c>
      <c r="B59" s="209" t="s">
        <v>336</v>
      </c>
      <c r="C59" s="559" t="s">
        <v>259</v>
      </c>
      <c r="D59" s="559" t="s">
        <v>327</v>
      </c>
      <c r="E59" s="559" t="s">
        <v>328</v>
      </c>
      <c r="F59" s="559"/>
      <c r="G59" s="559" t="s">
        <v>329</v>
      </c>
      <c r="H59" s="126"/>
      <c r="I59" s="215"/>
      <c r="J59" s="126">
        <f t="shared" si="3"/>
        <v>48</v>
      </c>
    </row>
    <row r="60" spans="1:10">
      <c r="A60" s="126">
        <f t="shared" si="2"/>
        <v>49</v>
      </c>
      <c r="I60" s="215"/>
      <c r="J60" s="126">
        <f t="shared" si="3"/>
        <v>49</v>
      </c>
    </row>
    <row r="61" spans="1:10">
      <c r="A61" s="126">
        <f t="shared" si="2"/>
        <v>50</v>
      </c>
      <c r="B61" s="122" t="s">
        <v>330</v>
      </c>
      <c r="C61" s="223">
        <f>G18</f>
        <v>4763656.4151400002</v>
      </c>
      <c r="D61" s="234">
        <f>C61/C$51</f>
        <v>0.4416862965164971</v>
      </c>
      <c r="E61" s="235">
        <f>G28</f>
        <v>4.329920188501632E-2</v>
      </c>
      <c r="G61" s="236">
        <f>D61*E61</f>
        <v>1.9124664122712989E-2</v>
      </c>
      <c r="H61" s="236"/>
      <c r="I61" s="215" t="str">
        <f>"Col. c = Line "&amp;A28&amp;" Above"</f>
        <v>Col. c = Line 17 Above</v>
      </c>
      <c r="J61" s="126">
        <f t="shared" si="3"/>
        <v>50</v>
      </c>
    </row>
    <row r="62" spans="1:10">
      <c r="A62" s="126">
        <f t="shared" si="2"/>
        <v>51</v>
      </c>
      <c r="B62" s="122" t="s">
        <v>331</v>
      </c>
      <c r="C62" s="237">
        <f>G31</f>
        <v>0</v>
      </c>
      <c r="D62" s="234">
        <f>C62/C$51</f>
        <v>0</v>
      </c>
      <c r="E62" s="235">
        <f>G33</f>
        <v>0</v>
      </c>
      <c r="G62" s="236">
        <f>D62*E62</f>
        <v>0</v>
      </c>
      <c r="H62" s="236"/>
      <c r="I62" s="215" t="str">
        <f>"Col. c = Line "&amp;A33&amp;" Above"</f>
        <v>Col. c = Line 22 Above</v>
      </c>
      <c r="J62" s="126">
        <f t="shared" si="3"/>
        <v>51</v>
      </c>
    </row>
    <row r="63" spans="1:10">
      <c r="A63" s="126">
        <f t="shared" si="2"/>
        <v>52</v>
      </c>
      <c r="B63" s="122" t="s">
        <v>332</v>
      </c>
      <c r="C63" s="237">
        <f>G40</f>
        <v>6021501.4054900007</v>
      </c>
      <c r="D63" s="587">
        <f>C63/C$51</f>
        <v>0.55831370348350295</v>
      </c>
      <c r="E63" s="238">
        <f>G56</f>
        <v>0</v>
      </c>
      <c r="G63" s="588">
        <f>D63*E63</f>
        <v>0</v>
      </c>
      <c r="H63" s="231"/>
      <c r="I63" s="215" t="str">
        <f>"Col. c = Line "&amp;A56&amp;" Above"</f>
        <v>Col. c = Line 45 Above</v>
      </c>
      <c r="J63" s="126">
        <f t="shared" si="3"/>
        <v>52</v>
      </c>
    </row>
    <row r="64" spans="1:10" ht="16" thickBot="1">
      <c r="A64" s="126">
        <f t="shared" si="2"/>
        <v>53</v>
      </c>
      <c r="B64" s="122" t="s">
        <v>333</v>
      </c>
      <c r="C64" s="780">
        <f>SUM(C61:C63)</f>
        <v>10785157.820630001</v>
      </c>
      <c r="D64" s="584">
        <f>SUM(D61:D63)</f>
        <v>1</v>
      </c>
      <c r="G64" s="584">
        <f>SUM(G61:G63)</f>
        <v>1.9124664122712989E-2</v>
      </c>
      <c r="H64" s="231"/>
      <c r="I64" s="215" t="str">
        <f>"Sum Lines "&amp;A61&amp;" thru "&amp;A63</f>
        <v>Sum Lines 50 thru 52</v>
      </c>
      <c r="J64" s="126">
        <f t="shared" si="3"/>
        <v>53</v>
      </c>
    </row>
    <row r="65" spans="1:10" ht="16" thickTop="1">
      <c r="A65" s="126">
        <f t="shared" si="2"/>
        <v>54</v>
      </c>
      <c r="I65" s="215"/>
      <c r="J65" s="126">
        <f t="shared" si="3"/>
        <v>54</v>
      </c>
    </row>
    <row r="66" spans="1:10" ht="16" thickBot="1">
      <c r="A66" s="126">
        <f t="shared" si="2"/>
        <v>55</v>
      </c>
      <c r="B66" s="209" t="s">
        <v>337</v>
      </c>
      <c r="G66" s="584">
        <f>G62+G63</f>
        <v>0</v>
      </c>
      <c r="H66" s="231"/>
      <c r="I66" s="215" t="str">
        <f>"Line "&amp;A62&amp;" + Line "&amp;A63&amp;"; Col. d"</f>
        <v>Line 51 + Line 52; Col. d</v>
      </c>
      <c r="J66" s="126">
        <f t="shared" si="3"/>
        <v>55</v>
      </c>
    </row>
    <row r="67" spans="1:10" ht="16" thickTop="1">
      <c r="B67" s="209"/>
      <c r="G67" s="231"/>
      <c r="H67" s="231"/>
      <c r="I67" s="215"/>
      <c r="J67" s="126"/>
    </row>
    <row r="68" spans="1:10">
      <c r="B68" s="209"/>
      <c r="G68" s="239"/>
      <c r="H68" s="239"/>
      <c r="I68" s="215"/>
      <c r="J68" s="126"/>
    </row>
    <row r="69" spans="1:10" ht="18">
      <c r="A69" s="226">
        <v>1</v>
      </c>
      <c r="B69" s="1" t="s">
        <v>338</v>
      </c>
      <c r="G69" s="197"/>
      <c r="H69" s="197"/>
      <c r="J69" s="126" t="s">
        <v>6</v>
      </c>
    </row>
    <row r="70" spans="1:10" ht="18">
      <c r="A70" s="226">
        <v>2</v>
      </c>
      <c r="B70" s="1" t="str">
        <f>"The Incentive Return on Common Equity will be tracked and shown separately for each project. As a result, lines "&amp;A56&amp;" through "&amp;A66&amp;" will be repeated for each project."</f>
        <v>The Incentive Return on Common Equity will be tracked and shown separately for each project. As a result, lines 45 through 55 will be repeated for each project.</v>
      </c>
      <c r="G70" s="197"/>
      <c r="H70" s="197"/>
      <c r="J70" s="126"/>
    </row>
    <row r="71" spans="1:10" ht="18">
      <c r="A71" s="226">
        <v>3</v>
      </c>
      <c r="B71" s="1" t="s">
        <v>339</v>
      </c>
      <c r="G71" s="197"/>
      <c r="H71" s="197"/>
      <c r="J71" s="126"/>
    </row>
    <row r="72" spans="1:10" ht="18">
      <c r="A72" s="226"/>
      <c r="B72" s="1"/>
      <c r="G72" s="197"/>
      <c r="H72" s="197"/>
      <c r="J72" s="126"/>
    </row>
    <row r="73" spans="1:10" ht="18">
      <c r="A73" s="226"/>
      <c r="D73" s="126"/>
      <c r="G73" s="197"/>
      <c r="H73" s="197"/>
      <c r="J73" s="126"/>
    </row>
    <row r="74" spans="1:10">
      <c r="B74" s="973" t="s">
        <v>277</v>
      </c>
      <c r="C74" s="973"/>
      <c r="D74" s="973"/>
      <c r="E74" s="973"/>
      <c r="F74" s="973"/>
      <c r="G74" s="973"/>
      <c r="H74" s="973"/>
      <c r="I74" s="973"/>
      <c r="J74" s="126"/>
    </row>
    <row r="75" spans="1:10">
      <c r="B75" s="973" t="s">
        <v>340</v>
      </c>
      <c r="C75" s="973"/>
      <c r="D75" s="973"/>
      <c r="E75" s="973"/>
      <c r="F75" s="973"/>
      <c r="G75" s="973"/>
      <c r="H75" s="973"/>
      <c r="I75" s="973"/>
      <c r="J75" s="126"/>
    </row>
    <row r="76" spans="1:10">
      <c r="B76" s="973" t="s">
        <v>279</v>
      </c>
      <c r="C76" s="973"/>
      <c r="D76" s="973"/>
      <c r="E76" s="973"/>
      <c r="F76" s="973"/>
      <c r="G76" s="973"/>
      <c r="H76" s="973"/>
      <c r="I76" s="973"/>
      <c r="J76" s="126"/>
    </row>
    <row r="77" spans="1:10">
      <c r="B77" s="974" t="str">
        <f>B6</f>
        <v>Base Period &amp; True-Up Period 12 - Months Ending December 31, 2018</v>
      </c>
      <c r="C77" s="974"/>
      <c r="D77" s="974"/>
      <c r="E77" s="974"/>
      <c r="F77" s="974"/>
      <c r="G77" s="974"/>
      <c r="H77" s="974"/>
      <c r="I77" s="974"/>
      <c r="J77" s="126"/>
    </row>
    <row r="78" spans="1:10">
      <c r="B78" s="975" t="s">
        <v>1</v>
      </c>
      <c r="C78" s="976"/>
      <c r="D78" s="976"/>
      <c r="E78" s="976"/>
      <c r="F78" s="976"/>
      <c r="G78" s="976"/>
      <c r="H78" s="976"/>
      <c r="I78" s="976"/>
      <c r="J78" s="126"/>
    </row>
    <row r="79" spans="1:10">
      <c r="B79" s="126"/>
      <c r="C79" s="126"/>
      <c r="D79" s="126"/>
      <c r="E79" s="126"/>
      <c r="F79" s="126"/>
      <c r="G79" s="126"/>
      <c r="H79" s="126"/>
      <c r="I79" s="215"/>
      <c r="J79" s="126"/>
    </row>
    <row r="80" spans="1:10">
      <c r="A80" s="126" t="s">
        <v>2</v>
      </c>
      <c r="B80" s="499"/>
      <c r="C80" s="499"/>
      <c r="D80" s="499"/>
      <c r="E80" s="499"/>
      <c r="F80" s="499"/>
      <c r="G80" s="499"/>
      <c r="H80" s="499"/>
      <c r="I80" s="215"/>
      <c r="J80" s="126" t="s">
        <v>2</v>
      </c>
    </row>
    <row r="81" spans="1:13">
      <c r="A81" s="126" t="s">
        <v>3</v>
      </c>
      <c r="B81" s="126"/>
      <c r="C81" s="126"/>
      <c r="D81" s="126"/>
      <c r="E81" s="126"/>
      <c r="F81" s="126"/>
      <c r="G81" s="559" t="s">
        <v>32</v>
      </c>
      <c r="H81" s="499"/>
      <c r="I81" s="583" t="s">
        <v>5</v>
      </c>
      <c r="J81" s="126" t="s">
        <v>3</v>
      </c>
    </row>
    <row r="82" spans="1:13">
      <c r="G82" s="126"/>
      <c r="H82" s="126"/>
      <c r="I82" s="215"/>
      <c r="J82" s="126"/>
    </row>
    <row r="83" spans="1:13" ht="17.5">
      <c r="A83" s="126">
        <v>1</v>
      </c>
      <c r="B83" s="209" t="s">
        <v>341</v>
      </c>
      <c r="E83" s="499"/>
      <c r="F83" s="499"/>
      <c r="G83" s="196"/>
      <c r="H83" s="196"/>
      <c r="I83" s="215"/>
      <c r="J83" s="126">
        <v>1</v>
      </c>
    </row>
    <row r="84" spans="1:13">
      <c r="A84" s="126">
        <f>A83+1</f>
        <v>2</v>
      </c>
      <c r="B84" s="240"/>
      <c r="E84" s="499"/>
      <c r="F84" s="499"/>
      <c r="G84" s="196"/>
      <c r="H84" s="196"/>
      <c r="I84" s="215"/>
      <c r="J84" s="126">
        <f>J83+1</f>
        <v>2</v>
      </c>
    </row>
    <row r="85" spans="1:13">
      <c r="A85" s="126">
        <f>A84+1</f>
        <v>3</v>
      </c>
      <c r="B85" s="209" t="s">
        <v>342</v>
      </c>
      <c r="E85" s="499"/>
      <c r="F85" s="499"/>
      <c r="G85" s="196"/>
      <c r="H85" s="196"/>
      <c r="I85" s="215"/>
      <c r="J85" s="126">
        <f>J84+1</f>
        <v>3</v>
      </c>
    </row>
    <row r="86" spans="1:13">
      <c r="A86" s="126">
        <f>A85+1</f>
        <v>4</v>
      </c>
      <c r="B86" s="499"/>
      <c r="C86" s="499"/>
      <c r="D86" s="499"/>
      <c r="E86" s="499"/>
      <c r="F86" s="499"/>
      <c r="G86" s="196"/>
      <c r="H86" s="196"/>
      <c r="I86" s="215"/>
      <c r="J86" s="126">
        <f>J85+1</f>
        <v>4</v>
      </c>
    </row>
    <row r="87" spans="1:13">
      <c r="A87" s="126">
        <f t="shared" ref="A87:A113" si="4">A86+1</f>
        <v>5</v>
      </c>
      <c r="B87" s="204" t="s">
        <v>343</v>
      </c>
      <c r="C87" s="499"/>
      <c r="D87" s="499"/>
      <c r="E87" s="499"/>
      <c r="F87" s="499"/>
      <c r="G87" s="196"/>
      <c r="H87" s="196"/>
      <c r="I87" s="241"/>
      <c r="J87" s="126">
        <f t="shared" ref="J87:J113" si="5">J86+1</f>
        <v>5</v>
      </c>
    </row>
    <row r="88" spans="1:13">
      <c r="A88" s="126">
        <f t="shared" si="4"/>
        <v>6</v>
      </c>
      <c r="B88" s="122" t="s">
        <v>344</v>
      </c>
      <c r="D88" s="499"/>
      <c r="E88" s="499"/>
      <c r="F88" s="499"/>
      <c r="G88" s="242">
        <f>G53</f>
        <v>5.6110527200092047E-2</v>
      </c>
      <c r="H88" s="499"/>
      <c r="I88" s="215" t="str">
        <f>"AV1; Line "&amp;A53</f>
        <v>AV1; Line 42</v>
      </c>
      <c r="J88" s="126">
        <f t="shared" si="5"/>
        <v>6</v>
      </c>
      <c r="L88" s="126"/>
    </row>
    <row r="89" spans="1:13">
      <c r="A89" s="126">
        <f t="shared" si="4"/>
        <v>7</v>
      </c>
      <c r="B89" s="122" t="s">
        <v>345</v>
      </c>
      <c r="D89" s="499"/>
      <c r="E89" s="499"/>
      <c r="F89" s="499"/>
      <c r="G89" s="243">
        <v>3056.4627012818864</v>
      </c>
      <c r="H89" s="499"/>
      <c r="I89" s="215" t="s">
        <v>523</v>
      </c>
      <c r="J89" s="126">
        <f t="shared" si="5"/>
        <v>7</v>
      </c>
      <c r="L89" s="126"/>
    </row>
    <row r="90" spans="1:13" ht="18">
      <c r="A90" s="126">
        <f t="shared" si="4"/>
        <v>8</v>
      </c>
      <c r="B90" s="122" t="s">
        <v>346</v>
      </c>
      <c r="D90" s="499"/>
      <c r="E90" s="499"/>
      <c r="F90" s="499"/>
      <c r="G90" s="244">
        <v>6529.0768399999997</v>
      </c>
      <c r="H90" s="499"/>
      <c r="I90" s="228" t="s">
        <v>524</v>
      </c>
      <c r="J90" s="126">
        <f t="shared" si="5"/>
        <v>8</v>
      </c>
      <c r="L90" s="499"/>
    </row>
    <row r="91" spans="1:13">
      <c r="A91" s="126">
        <f t="shared" si="4"/>
        <v>9</v>
      </c>
      <c r="B91" s="122" t="s">
        <v>347</v>
      </c>
      <c r="D91" s="499"/>
      <c r="E91" s="245"/>
      <c r="F91" s="499"/>
      <c r="G91" s="781">
        <v>3992783.1369654285</v>
      </c>
      <c r="H91" s="641" t="s">
        <v>439</v>
      </c>
      <c r="I91" s="228" t="s">
        <v>698</v>
      </c>
      <c r="J91" s="126">
        <f t="shared" si="5"/>
        <v>9</v>
      </c>
    </row>
    <row r="92" spans="1:13">
      <c r="A92" s="126">
        <f t="shared" si="4"/>
        <v>10</v>
      </c>
      <c r="B92" s="122" t="s">
        <v>348</v>
      </c>
      <c r="D92" s="246"/>
      <c r="E92" s="499"/>
      <c r="F92" s="499"/>
      <c r="G92" s="590">
        <v>0.21</v>
      </c>
      <c r="H92" s="499"/>
      <c r="I92" s="215" t="s">
        <v>349</v>
      </c>
      <c r="J92" s="126">
        <f t="shared" si="5"/>
        <v>10</v>
      </c>
      <c r="M92" s="247"/>
    </row>
    <row r="93" spans="1:13">
      <c r="A93" s="126">
        <f t="shared" si="4"/>
        <v>11</v>
      </c>
      <c r="G93" s="126"/>
      <c r="H93" s="126"/>
      <c r="J93" s="126">
        <f t="shared" si="5"/>
        <v>11</v>
      </c>
    </row>
    <row r="94" spans="1:13">
      <c r="A94" s="126">
        <f t="shared" si="4"/>
        <v>12</v>
      </c>
      <c r="B94" s="122" t="s">
        <v>350</v>
      </c>
      <c r="D94" s="499"/>
      <c r="E94" s="499"/>
      <c r="F94" s="499"/>
      <c r="G94" s="248">
        <f>(((G88)+(G90/G91))*G92-(G89/G91))/(1-G92)</f>
        <v>1.4381151911469176E-2</v>
      </c>
      <c r="H94" s="248"/>
      <c r="I94" s="215" t="s">
        <v>351</v>
      </c>
      <c r="J94" s="126">
        <f t="shared" si="5"/>
        <v>12</v>
      </c>
      <c r="M94" s="249"/>
    </row>
    <row r="95" spans="1:13">
      <c r="A95" s="126">
        <f t="shared" si="4"/>
        <v>13</v>
      </c>
      <c r="B95" s="250" t="s">
        <v>352</v>
      </c>
      <c r="G95" s="126"/>
      <c r="H95" s="126"/>
      <c r="J95" s="126">
        <f t="shared" si="5"/>
        <v>13</v>
      </c>
    </row>
    <row r="96" spans="1:13">
      <c r="A96" s="126">
        <f t="shared" si="4"/>
        <v>14</v>
      </c>
      <c r="G96" s="126"/>
      <c r="H96" s="126"/>
      <c r="J96" s="126">
        <f t="shared" si="5"/>
        <v>14</v>
      </c>
    </row>
    <row r="97" spans="1:12">
      <c r="A97" s="126">
        <f t="shared" si="4"/>
        <v>15</v>
      </c>
      <c r="B97" s="209" t="s">
        <v>353</v>
      </c>
      <c r="C97" s="499"/>
      <c r="D97" s="499"/>
      <c r="E97" s="499"/>
      <c r="F97" s="499"/>
      <c r="G97" s="251"/>
      <c r="H97" s="251"/>
      <c r="I97" s="252"/>
      <c r="J97" s="126">
        <f t="shared" si="5"/>
        <v>15</v>
      </c>
      <c r="L97" s="253"/>
    </row>
    <row r="98" spans="1:12">
      <c r="A98" s="126">
        <f t="shared" si="4"/>
        <v>16</v>
      </c>
      <c r="B98" s="216"/>
      <c r="C98" s="499"/>
      <c r="D98" s="499"/>
      <c r="E98" s="499"/>
      <c r="F98" s="499"/>
      <c r="G98" s="251"/>
      <c r="H98" s="251"/>
      <c r="I98" s="254"/>
      <c r="J98" s="126">
        <f t="shared" si="5"/>
        <v>16</v>
      </c>
      <c r="L98" s="499"/>
    </row>
    <row r="99" spans="1:12">
      <c r="A99" s="126">
        <f t="shared" si="4"/>
        <v>17</v>
      </c>
      <c r="B99" s="204" t="s">
        <v>343</v>
      </c>
      <c r="C99" s="499"/>
      <c r="D99" s="499"/>
      <c r="E99" s="499"/>
      <c r="F99" s="499"/>
      <c r="G99" s="251"/>
      <c r="H99" s="251"/>
      <c r="I99" s="254"/>
      <c r="J99" s="126">
        <f t="shared" si="5"/>
        <v>17</v>
      </c>
      <c r="L99" s="499"/>
    </row>
    <row r="100" spans="1:12">
      <c r="A100" s="126">
        <f t="shared" si="4"/>
        <v>18</v>
      </c>
      <c r="B100" s="122" t="s">
        <v>344</v>
      </c>
      <c r="D100" s="499"/>
      <c r="E100" s="499"/>
      <c r="F100" s="499"/>
      <c r="G100" s="234">
        <f>G88</f>
        <v>5.6110527200092047E-2</v>
      </c>
      <c r="H100" s="234"/>
      <c r="I100" s="215" t="str">
        <f>"Line "&amp;A88&amp;" Above"</f>
        <v>Line 6 Above</v>
      </c>
      <c r="J100" s="126">
        <f t="shared" si="5"/>
        <v>18</v>
      </c>
      <c r="L100" s="126"/>
    </row>
    <row r="101" spans="1:12">
      <c r="A101" s="126">
        <f t="shared" si="4"/>
        <v>19</v>
      </c>
      <c r="B101" s="122" t="s">
        <v>354</v>
      </c>
      <c r="D101" s="499"/>
      <c r="E101" s="499"/>
      <c r="F101" s="499"/>
      <c r="G101" s="170">
        <f>G90</f>
        <v>6529.0768399999997</v>
      </c>
      <c r="H101" s="170"/>
      <c r="I101" s="215" t="str">
        <f>"Line "&amp;A90&amp;" Above"</f>
        <v>Line 8 Above</v>
      </c>
      <c r="J101" s="126">
        <f t="shared" si="5"/>
        <v>19</v>
      </c>
      <c r="L101" s="126"/>
    </row>
    <row r="102" spans="1:12">
      <c r="A102" s="126">
        <f t="shared" si="4"/>
        <v>20</v>
      </c>
      <c r="B102" s="122" t="s">
        <v>355</v>
      </c>
      <c r="D102" s="499"/>
      <c r="E102" s="499"/>
      <c r="F102" s="499"/>
      <c r="G102" s="782">
        <f>G91</f>
        <v>3992783.1369654285</v>
      </c>
      <c r="H102" s="641" t="s">
        <v>439</v>
      </c>
      <c r="I102" s="215" t="str">
        <f>"Line "&amp;A91&amp;" Above"</f>
        <v>Line 9 Above</v>
      </c>
      <c r="J102" s="126">
        <f t="shared" si="5"/>
        <v>20</v>
      </c>
      <c r="L102" s="126"/>
    </row>
    <row r="103" spans="1:12">
      <c r="A103" s="126">
        <f t="shared" si="4"/>
        <v>21</v>
      </c>
      <c r="B103" s="122" t="s">
        <v>356</v>
      </c>
      <c r="D103" s="499"/>
      <c r="E103" s="499"/>
      <c r="F103" s="499"/>
      <c r="G103" s="255">
        <f>G94</f>
        <v>1.4381151911469176E-2</v>
      </c>
      <c r="H103" s="255"/>
      <c r="I103" s="215" t="str">
        <f>"Line "&amp;A94&amp;" Above"</f>
        <v>Line 12 Above</v>
      </c>
      <c r="J103" s="126">
        <f t="shared" si="5"/>
        <v>21</v>
      </c>
    </row>
    <row r="104" spans="1:12">
      <c r="A104" s="126">
        <f t="shared" si="4"/>
        <v>22</v>
      </c>
      <c r="B104" s="122" t="s">
        <v>357</v>
      </c>
      <c r="D104" s="499"/>
      <c r="E104" s="499"/>
      <c r="F104" s="499"/>
      <c r="G104" s="591" t="s">
        <v>358</v>
      </c>
      <c r="H104" s="499"/>
      <c r="I104" s="215" t="s">
        <v>359</v>
      </c>
      <c r="J104" s="126">
        <f t="shared" si="5"/>
        <v>22</v>
      </c>
    </row>
    <row r="105" spans="1:12">
      <c r="A105" s="126">
        <f t="shared" si="4"/>
        <v>23</v>
      </c>
      <c r="B105" s="125"/>
      <c r="D105" s="499"/>
      <c r="E105" s="499"/>
      <c r="F105" s="499"/>
      <c r="G105" s="256"/>
      <c r="H105" s="256"/>
      <c r="I105" s="254"/>
      <c r="J105" s="126">
        <f t="shared" si="5"/>
        <v>23</v>
      </c>
    </row>
    <row r="106" spans="1:12">
      <c r="A106" s="126">
        <f t="shared" si="4"/>
        <v>24</v>
      </c>
      <c r="B106" s="122" t="s">
        <v>360</v>
      </c>
      <c r="C106" s="126"/>
      <c r="D106" s="126"/>
      <c r="E106" s="499"/>
      <c r="F106" s="499"/>
      <c r="G106" s="592">
        <f>((G100)+(G101/G102)+G94)*G104/(1-G104)</f>
        <v>6.9943153106131212E-3</v>
      </c>
      <c r="H106" s="257"/>
      <c r="I106" s="215" t="s">
        <v>361</v>
      </c>
      <c r="J106" s="126">
        <f t="shared" si="5"/>
        <v>24</v>
      </c>
    </row>
    <row r="107" spans="1:12">
      <c r="A107" s="126">
        <f t="shared" si="4"/>
        <v>25</v>
      </c>
      <c r="B107" s="250" t="s">
        <v>362</v>
      </c>
      <c r="G107" s="126"/>
      <c r="H107" s="126"/>
      <c r="I107" s="215"/>
      <c r="J107" s="126">
        <f t="shared" si="5"/>
        <v>25</v>
      </c>
      <c r="L107" s="126"/>
    </row>
    <row r="108" spans="1:12">
      <c r="A108" s="126">
        <f t="shared" si="4"/>
        <v>26</v>
      </c>
      <c r="G108" s="126"/>
      <c r="H108" s="126"/>
      <c r="I108" s="215"/>
      <c r="J108" s="126">
        <f t="shared" si="5"/>
        <v>26</v>
      </c>
      <c r="L108" s="126"/>
    </row>
    <row r="109" spans="1:12">
      <c r="A109" s="126">
        <f t="shared" si="4"/>
        <v>27</v>
      </c>
      <c r="B109" s="209" t="s">
        <v>363</v>
      </c>
      <c r="G109" s="893">
        <f>G106+G94</f>
        <v>2.1375467222082299E-2</v>
      </c>
      <c r="H109" s="641" t="s">
        <v>439</v>
      </c>
      <c r="I109" s="215" t="str">
        <f>"Line "&amp;A94&amp;" + Line "&amp;A106</f>
        <v>Line 12 + Line 24</v>
      </c>
      <c r="J109" s="126">
        <f t="shared" si="5"/>
        <v>27</v>
      </c>
      <c r="L109" s="126"/>
    </row>
    <row r="110" spans="1:12">
      <c r="A110" s="126">
        <f t="shared" si="4"/>
        <v>28</v>
      </c>
      <c r="G110" s="126"/>
      <c r="H110" s="126"/>
      <c r="I110" s="215"/>
      <c r="J110" s="126">
        <f t="shared" si="5"/>
        <v>28</v>
      </c>
      <c r="L110" s="126"/>
    </row>
    <row r="111" spans="1:12">
      <c r="A111" s="126">
        <f t="shared" si="4"/>
        <v>29</v>
      </c>
      <c r="B111" s="209" t="s">
        <v>364</v>
      </c>
      <c r="G111" s="593">
        <f>G51</f>
        <v>7.523519132280504E-2</v>
      </c>
      <c r="H111" s="499"/>
      <c r="I111" s="215" t="str">
        <f>"AV1; Line "&amp;A51</f>
        <v>AV1; Line 40</v>
      </c>
      <c r="J111" s="126">
        <f t="shared" si="5"/>
        <v>29</v>
      </c>
      <c r="L111" s="126"/>
    </row>
    <row r="112" spans="1:12">
      <c r="A112" s="126">
        <f t="shared" si="4"/>
        <v>30</v>
      </c>
      <c r="G112" s="234"/>
      <c r="H112" s="234"/>
      <c r="I112" s="215"/>
      <c r="J112" s="126">
        <f t="shared" si="5"/>
        <v>30</v>
      </c>
      <c r="L112" s="126"/>
    </row>
    <row r="113" spans="1:13" ht="18" thickBot="1">
      <c r="A113" s="126">
        <f t="shared" si="4"/>
        <v>31</v>
      </c>
      <c r="B113" s="209" t="s">
        <v>365</v>
      </c>
      <c r="G113" s="594">
        <f>G109+G111</f>
        <v>9.6610658544887346E-2</v>
      </c>
      <c r="H113" s="257"/>
      <c r="I113" s="215" t="str">
        <f>"Line "&amp;A109&amp;" + Line "&amp;A111</f>
        <v>Line 27 + Line 29</v>
      </c>
      <c r="J113" s="126">
        <f t="shared" si="5"/>
        <v>31</v>
      </c>
      <c r="L113" s="258"/>
      <c r="M113" s="249"/>
    </row>
    <row r="114" spans="1:13" ht="16" thickTop="1">
      <c r="B114" s="209"/>
      <c r="G114" s="259"/>
      <c r="H114" s="259"/>
      <c r="I114" s="215"/>
      <c r="J114" s="126"/>
      <c r="L114" s="258"/>
      <c r="M114" s="249"/>
    </row>
    <row r="115" spans="1:13">
      <c r="B115" s="209"/>
      <c r="G115" s="259"/>
      <c r="H115" s="259"/>
      <c r="I115" s="215"/>
      <c r="J115" s="126"/>
      <c r="L115" s="258"/>
      <c r="M115" s="249"/>
    </row>
    <row r="116" spans="1:13">
      <c r="A116" s="641" t="s">
        <v>439</v>
      </c>
      <c r="B116" s="5" t="str">
        <f>'Pg10.1 As Filed Stmt AL FERC'!B33</f>
        <v>Items in bold have changed due to various FERC Audit adj. compared to Appendix X Cycle 8 filing per ER19-2017 and cost adj. incl. in Appendix X Cycle 10 per ER22-139.</v>
      </c>
      <c r="G116" s="259"/>
      <c r="H116" s="259"/>
      <c r="I116" s="215"/>
      <c r="J116" s="126"/>
      <c r="L116" s="258"/>
      <c r="M116" s="249"/>
    </row>
    <row r="117" spans="1:13" ht="18.5">
      <c r="A117" s="200">
        <v>1</v>
      </c>
      <c r="B117" s="1" t="s">
        <v>366</v>
      </c>
      <c r="G117" s="259"/>
      <c r="H117" s="259"/>
      <c r="I117" s="215"/>
      <c r="J117" s="126"/>
      <c r="L117" s="258"/>
      <c r="M117" s="249"/>
    </row>
    <row r="118" spans="1:13" ht="18.5">
      <c r="A118" s="200"/>
      <c r="B118" s="1"/>
      <c r="G118" s="259"/>
      <c r="H118" s="259"/>
      <c r="I118" s="215"/>
      <c r="J118" s="126"/>
      <c r="L118" s="258"/>
      <c r="M118" s="249"/>
    </row>
    <row r="119" spans="1:13">
      <c r="A119" s="260"/>
      <c r="B119" s="125"/>
      <c r="C119" s="261"/>
      <c r="D119" s="261"/>
      <c r="E119" s="261"/>
      <c r="F119" s="261"/>
      <c r="G119" s="262"/>
      <c r="H119" s="262"/>
      <c r="I119" s="263"/>
      <c r="J119" s="126"/>
    </row>
    <row r="120" spans="1:13">
      <c r="B120" s="973" t="s">
        <v>0</v>
      </c>
      <c r="C120" s="973"/>
      <c r="D120" s="973"/>
      <c r="E120" s="973"/>
      <c r="F120" s="973"/>
      <c r="G120" s="973"/>
      <c r="H120" s="973"/>
      <c r="I120" s="973"/>
      <c r="J120" s="126"/>
    </row>
    <row r="121" spans="1:13">
      <c r="B121" s="973" t="s">
        <v>340</v>
      </c>
      <c r="C121" s="973"/>
      <c r="D121" s="973"/>
      <c r="E121" s="973"/>
      <c r="F121" s="973"/>
      <c r="G121" s="973"/>
      <c r="H121" s="973"/>
      <c r="I121" s="973"/>
      <c r="J121" s="126"/>
    </row>
    <row r="122" spans="1:13">
      <c r="B122" s="973" t="s">
        <v>279</v>
      </c>
      <c r="C122" s="973"/>
      <c r="D122" s="973"/>
      <c r="E122" s="973"/>
      <c r="F122" s="973"/>
      <c r="G122" s="973"/>
      <c r="H122" s="973"/>
      <c r="I122" s="973"/>
      <c r="J122" s="126"/>
    </row>
    <row r="123" spans="1:13">
      <c r="B123" s="974" t="str">
        <f>B6</f>
        <v>Base Period &amp; True-Up Period 12 - Months Ending December 31, 2018</v>
      </c>
      <c r="C123" s="974"/>
      <c r="D123" s="974"/>
      <c r="E123" s="974"/>
      <c r="F123" s="974"/>
      <c r="G123" s="974"/>
      <c r="H123" s="974"/>
      <c r="I123" s="974"/>
      <c r="J123" s="126"/>
    </row>
    <row r="124" spans="1:13">
      <c r="B124" s="975" t="s">
        <v>1</v>
      </c>
      <c r="C124" s="976"/>
      <c r="D124" s="976"/>
      <c r="E124" s="976"/>
      <c r="F124" s="976"/>
      <c r="G124" s="976"/>
      <c r="H124" s="976"/>
      <c r="I124" s="976"/>
      <c r="J124" s="126"/>
    </row>
    <row r="125" spans="1:13">
      <c r="B125" s="126"/>
      <c r="C125" s="126"/>
      <c r="D125" s="126"/>
      <c r="E125" s="126"/>
      <c r="F125" s="126"/>
      <c r="G125" s="499"/>
      <c r="H125" s="499"/>
      <c r="I125" s="215"/>
      <c r="J125" s="126"/>
    </row>
    <row r="126" spans="1:13">
      <c r="A126" s="126" t="s">
        <v>2</v>
      </c>
      <c r="B126" s="499"/>
      <c r="C126" s="499"/>
      <c r="D126" s="499"/>
      <c r="E126" s="499"/>
      <c r="F126" s="499"/>
      <c r="G126" s="499"/>
      <c r="H126" s="499"/>
      <c r="I126" s="215"/>
      <c r="J126" s="126" t="s">
        <v>2</v>
      </c>
    </row>
    <row r="127" spans="1:13">
      <c r="A127" s="126" t="s">
        <v>3</v>
      </c>
      <c r="B127" s="126"/>
      <c r="C127" s="126"/>
      <c r="D127" s="126"/>
      <c r="E127" s="126"/>
      <c r="F127" s="126"/>
      <c r="G127" s="559" t="s">
        <v>32</v>
      </c>
      <c r="H127" s="499"/>
      <c r="I127" s="583" t="s">
        <v>5</v>
      </c>
      <c r="J127" s="126" t="s">
        <v>3</v>
      </c>
    </row>
    <row r="128" spans="1:13">
      <c r="G128" s="126"/>
      <c r="H128" s="126"/>
      <c r="I128" s="215"/>
      <c r="J128" s="126"/>
    </row>
    <row r="129" spans="1:10" ht="18">
      <c r="A129" s="126">
        <v>1</v>
      </c>
      <c r="B129" s="209" t="s">
        <v>367</v>
      </c>
      <c r="E129" s="499"/>
      <c r="F129" s="499"/>
      <c r="G129" s="196"/>
      <c r="H129" s="196"/>
      <c r="I129" s="215"/>
      <c r="J129" s="126">
        <v>1</v>
      </c>
    </row>
    <row r="130" spans="1:10">
      <c r="A130" s="126">
        <f>A129+1</f>
        <v>2</v>
      </c>
      <c r="B130" s="240"/>
      <c r="E130" s="499"/>
      <c r="F130" s="499"/>
      <c r="G130" s="196"/>
      <c r="H130" s="196"/>
      <c r="I130" s="215"/>
      <c r="J130" s="126">
        <f>J129+1</f>
        <v>2</v>
      </c>
    </row>
    <row r="131" spans="1:10">
      <c r="A131" s="126">
        <f>A130+1</f>
        <v>3</v>
      </c>
      <c r="B131" s="209" t="s">
        <v>342</v>
      </c>
      <c r="E131" s="499"/>
      <c r="F131" s="499"/>
      <c r="G131" s="196"/>
      <c r="H131" s="196"/>
      <c r="I131" s="215"/>
      <c r="J131" s="126">
        <f>J130+1</f>
        <v>3</v>
      </c>
    </row>
    <row r="132" spans="1:10">
      <c r="A132" s="126">
        <f>A131+1</f>
        <v>4</v>
      </c>
      <c r="B132" s="499"/>
      <c r="C132" s="499"/>
      <c r="D132" s="499"/>
      <c r="E132" s="499"/>
      <c r="F132" s="499"/>
      <c r="G132" s="196"/>
      <c r="H132" s="196"/>
      <c r="I132" s="215"/>
      <c r="J132" s="126">
        <f>J131+1</f>
        <v>4</v>
      </c>
    </row>
    <row r="133" spans="1:10">
      <c r="A133" s="126">
        <f t="shared" ref="A133:A159" si="6">A132+1</f>
        <v>5</v>
      </c>
      <c r="B133" s="204" t="s">
        <v>343</v>
      </c>
      <c r="C133" s="499"/>
      <c r="D133" s="499"/>
      <c r="E133" s="499"/>
      <c r="F133" s="499"/>
      <c r="G133" s="196"/>
      <c r="H133" s="196"/>
      <c r="I133" s="241"/>
      <c r="J133" s="126">
        <f t="shared" ref="J133:J159" si="7">J132+1</f>
        <v>5</v>
      </c>
    </row>
    <row r="134" spans="1:10">
      <c r="A134" s="126">
        <f t="shared" si="6"/>
        <v>6</v>
      </c>
      <c r="B134" s="122" t="str">
        <f>B88</f>
        <v xml:space="preserve">     A = Sum of Preferred Stock and Return on Equity Component</v>
      </c>
      <c r="D134" s="499"/>
      <c r="E134" s="499"/>
      <c r="F134" s="499"/>
      <c r="G134" s="242">
        <f>G66</f>
        <v>0</v>
      </c>
      <c r="H134" s="499"/>
      <c r="I134" s="215" t="str">
        <f>"AV1; Line "&amp;A66</f>
        <v>AV1; Line 55</v>
      </c>
      <c r="J134" s="126">
        <f t="shared" si="7"/>
        <v>6</v>
      </c>
    </row>
    <row r="135" spans="1:10">
      <c r="A135" s="126">
        <f t="shared" si="6"/>
        <v>7</v>
      </c>
      <c r="B135" s="122" t="str">
        <f>B89</f>
        <v xml:space="preserve">     B = Transmission Total Federal Tax Adjustments</v>
      </c>
      <c r="D135" s="499"/>
      <c r="E135" s="499"/>
      <c r="F135" s="499"/>
      <c r="G135" s="264">
        <v>0</v>
      </c>
      <c r="H135" s="499"/>
      <c r="I135" s="215" t="s">
        <v>368</v>
      </c>
      <c r="J135" s="126">
        <f t="shared" si="7"/>
        <v>7</v>
      </c>
    </row>
    <row r="136" spans="1:10" ht="18">
      <c r="A136" s="126">
        <f t="shared" si="6"/>
        <v>8</v>
      </c>
      <c r="B136" s="122" t="s">
        <v>346</v>
      </c>
      <c r="D136" s="499"/>
      <c r="E136" s="499"/>
      <c r="F136" s="499"/>
      <c r="G136" s="244">
        <v>0</v>
      </c>
      <c r="H136" s="499"/>
      <c r="I136" s="228"/>
      <c r="J136" s="126">
        <f t="shared" si="7"/>
        <v>8</v>
      </c>
    </row>
    <row r="137" spans="1:10">
      <c r="A137" s="126">
        <f t="shared" si="6"/>
        <v>9</v>
      </c>
      <c r="B137" s="122" t="s">
        <v>369</v>
      </c>
      <c r="D137" s="499"/>
      <c r="E137" s="499"/>
      <c r="F137" s="499"/>
      <c r="G137" s="243">
        <v>0</v>
      </c>
      <c r="H137" s="499"/>
      <c r="I137" s="215" t="str">
        <f>"AV-4; Page 1; Line "&amp;A47</f>
        <v>AV-4; Page 1; Line 36</v>
      </c>
      <c r="J137" s="126">
        <f t="shared" si="7"/>
        <v>9</v>
      </c>
    </row>
    <row r="138" spans="1:10">
      <c r="A138" s="126">
        <f t="shared" si="6"/>
        <v>10</v>
      </c>
      <c r="B138" s="122" t="str">
        <f>B92</f>
        <v xml:space="preserve">     FT = Federal Income Tax Rate for Rate Effective Period</v>
      </c>
      <c r="D138" s="499"/>
      <c r="E138" s="499"/>
      <c r="F138" s="499"/>
      <c r="G138" s="595">
        <f>G92</f>
        <v>0.21</v>
      </c>
      <c r="H138" s="499"/>
      <c r="I138" s="215" t="str">
        <f>"AV2; Line "&amp;A92</f>
        <v>AV2; Line 10</v>
      </c>
      <c r="J138" s="126">
        <f t="shared" si="7"/>
        <v>10</v>
      </c>
    </row>
    <row r="139" spans="1:10">
      <c r="A139" s="126">
        <f t="shared" si="6"/>
        <v>11</v>
      </c>
      <c r="G139" s="126"/>
      <c r="H139" s="126"/>
      <c r="J139" s="126">
        <f t="shared" si="7"/>
        <v>11</v>
      </c>
    </row>
    <row r="140" spans="1:10">
      <c r="A140" s="126">
        <f t="shared" si="6"/>
        <v>12</v>
      </c>
      <c r="B140" s="122" t="s">
        <v>370</v>
      </c>
      <c r="D140" s="499"/>
      <c r="E140" s="499"/>
      <c r="F140" s="499"/>
      <c r="G140" s="248">
        <f>IFERROR((((G134)+(G136/G137))*G138-(G135/G137))/(1-G138),0)</f>
        <v>0</v>
      </c>
      <c r="H140" s="248"/>
      <c r="I140" s="215" t="s">
        <v>371</v>
      </c>
      <c r="J140" s="126">
        <f t="shared" si="7"/>
        <v>12</v>
      </c>
    </row>
    <row r="141" spans="1:10">
      <c r="A141" s="126">
        <f t="shared" si="6"/>
        <v>13</v>
      </c>
      <c r="B141" s="250" t="s">
        <v>352</v>
      </c>
      <c r="D141" s="250"/>
      <c r="G141" s="265"/>
      <c r="H141" s="265"/>
      <c r="J141" s="126">
        <f t="shared" si="7"/>
        <v>13</v>
      </c>
    </row>
    <row r="142" spans="1:10">
      <c r="A142" s="126">
        <f t="shared" si="6"/>
        <v>14</v>
      </c>
      <c r="G142" s="126"/>
      <c r="H142" s="126"/>
      <c r="J142" s="126">
        <f t="shared" si="7"/>
        <v>14</v>
      </c>
    </row>
    <row r="143" spans="1:10">
      <c r="A143" s="126">
        <f t="shared" si="6"/>
        <v>15</v>
      </c>
      <c r="B143" s="209" t="s">
        <v>353</v>
      </c>
      <c r="C143" s="499"/>
      <c r="D143" s="499"/>
      <c r="E143" s="499"/>
      <c r="F143" s="499"/>
      <c r="G143" s="251"/>
      <c r="H143" s="251"/>
      <c r="I143" s="252"/>
      <c r="J143" s="126">
        <f t="shared" si="7"/>
        <v>15</v>
      </c>
    </row>
    <row r="144" spans="1:10">
      <c r="A144" s="126">
        <f t="shared" si="6"/>
        <v>16</v>
      </c>
      <c r="B144" s="216"/>
      <c r="C144" s="499"/>
      <c r="D144" s="499"/>
      <c r="E144" s="499"/>
      <c r="F144" s="499"/>
      <c r="G144" s="251"/>
      <c r="H144" s="251"/>
      <c r="I144" s="241"/>
      <c r="J144" s="126">
        <f t="shared" si="7"/>
        <v>16</v>
      </c>
    </row>
    <row r="145" spans="1:10">
      <c r="A145" s="126">
        <f t="shared" si="6"/>
        <v>17</v>
      </c>
      <c r="B145" s="204" t="s">
        <v>343</v>
      </c>
      <c r="C145" s="499"/>
      <c r="D145" s="499"/>
      <c r="E145" s="499"/>
      <c r="F145" s="499"/>
      <c r="G145" s="251"/>
      <c r="H145" s="251"/>
      <c r="I145" s="241"/>
      <c r="J145" s="126">
        <f t="shared" si="7"/>
        <v>17</v>
      </c>
    </row>
    <row r="146" spans="1:10">
      <c r="A146" s="126">
        <f t="shared" si="6"/>
        <v>18</v>
      </c>
      <c r="B146" s="122" t="str">
        <f>B100</f>
        <v xml:space="preserve">     A = Sum of Preferred Stock and Return on Equity Component</v>
      </c>
      <c r="D146" s="499"/>
      <c r="E146" s="499"/>
      <c r="F146" s="499"/>
      <c r="G146" s="234">
        <f>G134</f>
        <v>0</v>
      </c>
      <c r="H146" s="234"/>
      <c r="I146" s="215" t="str">
        <f>"Line "&amp;A134&amp;" Above"</f>
        <v>Line 6 Above</v>
      </c>
      <c r="J146" s="126">
        <f t="shared" si="7"/>
        <v>18</v>
      </c>
    </row>
    <row r="147" spans="1:10">
      <c r="A147" s="126">
        <f t="shared" si="6"/>
        <v>19</v>
      </c>
      <c r="B147" s="122" t="str">
        <f>B101</f>
        <v xml:space="preserve">     B = Equity AFUDC Component of Transmission Depreciation Expense</v>
      </c>
      <c r="D147" s="499"/>
      <c r="E147" s="499"/>
      <c r="F147" s="499"/>
      <c r="G147" s="170">
        <f>G136</f>
        <v>0</v>
      </c>
      <c r="H147" s="170"/>
      <c r="I147" s="215" t="str">
        <f>"Line "&amp;A136&amp;" Above"</f>
        <v>Line 8 Above</v>
      </c>
      <c r="J147" s="126">
        <f t="shared" si="7"/>
        <v>19</v>
      </c>
    </row>
    <row r="148" spans="1:10">
      <c r="A148" s="126">
        <f t="shared" si="6"/>
        <v>20</v>
      </c>
      <c r="B148" s="122" t="s">
        <v>372</v>
      </c>
      <c r="D148" s="499"/>
      <c r="E148" s="499"/>
      <c r="F148" s="499"/>
      <c r="G148" s="170">
        <f>G137</f>
        <v>0</v>
      </c>
      <c r="H148" s="170"/>
      <c r="I148" s="215" t="str">
        <f>"Line "&amp;A137&amp;" Above"</f>
        <v>Line 9 Above</v>
      </c>
      <c r="J148" s="126">
        <f t="shared" si="7"/>
        <v>20</v>
      </c>
    </row>
    <row r="149" spans="1:10">
      <c r="A149" s="126">
        <f t="shared" si="6"/>
        <v>21</v>
      </c>
      <c r="B149" s="122" t="str">
        <f>B103</f>
        <v xml:space="preserve">     FT = Federal Income Tax Expense</v>
      </c>
      <c r="D149" s="499"/>
      <c r="E149" s="499"/>
      <c r="F149" s="499"/>
      <c r="G149" s="255">
        <f>G140</f>
        <v>0</v>
      </c>
      <c r="H149" s="255"/>
      <c r="I149" s="215" t="str">
        <f>"Line "&amp;A140&amp;" Above"</f>
        <v>Line 12 Above</v>
      </c>
      <c r="J149" s="126">
        <f t="shared" si="7"/>
        <v>21</v>
      </c>
    </row>
    <row r="150" spans="1:10">
      <c r="A150" s="126">
        <f t="shared" si="6"/>
        <v>22</v>
      </c>
      <c r="B150" s="122" t="str">
        <f>B104</f>
        <v xml:space="preserve">     ST = State Income Tax Rate for Rate Effective Period</v>
      </c>
      <c r="D150" s="499"/>
      <c r="E150" s="499"/>
      <c r="F150" s="499"/>
      <c r="G150" s="596" t="str">
        <f>G104</f>
        <v>8.84%</v>
      </c>
      <c r="H150" s="499"/>
      <c r="I150" s="215" t="str">
        <f>"AV2; Line "&amp;A104</f>
        <v>AV2; Line 22</v>
      </c>
      <c r="J150" s="126">
        <f t="shared" si="7"/>
        <v>22</v>
      </c>
    </row>
    <row r="151" spans="1:10">
      <c r="A151" s="126">
        <f t="shared" si="6"/>
        <v>23</v>
      </c>
      <c r="B151" s="125"/>
      <c r="D151" s="499"/>
      <c r="E151" s="499"/>
      <c r="F151" s="499"/>
      <c r="G151" s="256"/>
      <c r="H151" s="256"/>
      <c r="I151" s="254"/>
      <c r="J151" s="126">
        <f t="shared" si="7"/>
        <v>23</v>
      </c>
    </row>
    <row r="152" spans="1:10">
      <c r="A152" s="126">
        <f t="shared" si="6"/>
        <v>24</v>
      </c>
      <c r="B152" s="122" t="s">
        <v>360</v>
      </c>
      <c r="C152" s="126"/>
      <c r="D152" s="126"/>
      <c r="E152" s="499"/>
      <c r="F152" s="499"/>
      <c r="G152" s="592">
        <f>IFERROR(((G146)+(G147/G148)+G140)*G150/(1-G150),0)</f>
        <v>0</v>
      </c>
      <c r="H152" s="257"/>
      <c r="I152" s="215" t="s">
        <v>361</v>
      </c>
      <c r="J152" s="126">
        <f t="shared" si="7"/>
        <v>24</v>
      </c>
    </row>
    <row r="153" spans="1:10">
      <c r="A153" s="126">
        <f t="shared" si="6"/>
        <v>25</v>
      </c>
      <c r="B153" s="250" t="s">
        <v>362</v>
      </c>
      <c r="D153" s="250"/>
      <c r="G153" s="126"/>
      <c r="H153" s="126"/>
      <c r="I153" s="215"/>
      <c r="J153" s="126">
        <f t="shared" si="7"/>
        <v>25</v>
      </c>
    </row>
    <row r="154" spans="1:10">
      <c r="A154" s="126">
        <f t="shared" si="6"/>
        <v>26</v>
      </c>
      <c r="G154" s="126"/>
      <c r="H154" s="126"/>
      <c r="I154" s="215"/>
      <c r="J154" s="126">
        <f t="shared" si="7"/>
        <v>26</v>
      </c>
    </row>
    <row r="155" spans="1:10">
      <c r="A155" s="126">
        <f t="shared" si="6"/>
        <v>27</v>
      </c>
      <c r="B155" s="209" t="s">
        <v>363</v>
      </c>
      <c r="G155" s="248">
        <f>G152+G140</f>
        <v>0</v>
      </c>
      <c r="H155" s="248"/>
      <c r="I155" s="215" t="str">
        <f>"Line "&amp;A140&amp;" + Line "&amp;A152</f>
        <v>Line 12 + Line 24</v>
      </c>
      <c r="J155" s="126">
        <f t="shared" si="7"/>
        <v>27</v>
      </c>
    </row>
    <row r="156" spans="1:10">
      <c r="A156" s="126">
        <f t="shared" si="6"/>
        <v>28</v>
      </c>
      <c r="G156" s="126"/>
      <c r="H156" s="126"/>
      <c r="I156" s="215"/>
      <c r="J156" s="126">
        <f t="shared" si="7"/>
        <v>28</v>
      </c>
    </row>
    <row r="157" spans="1:10">
      <c r="A157" s="126">
        <f t="shared" si="6"/>
        <v>29</v>
      </c>
      <c r="B157" s="209" t="s">
        <v>373</v>
      </c>
      <c r="G157" s="597">
        <f>G64</f>
        <v>1.9124664122712989E-2</v>
      </c>
      <c r="H157" s="499"/>
      <c r="I157" s="215" t="str">
        <f>"AV1; Line "&amp;A64</f>
        <v>AV1; Line 53</v>
      </c>
      <c r="J157" s="126">
        <f t="shared" si="7"/>
        <v>29</v>
      </c>
    </row>
    <row r="158" spans="1:10">
      <c r="A158" s="126">
        <f t="shared" si="6"/>
        <v>30</v>
      </c>
      <c r="G158" s="126"/>
      <c r="H158" s="126"/>
      <c r="I158" s="215"/>
      <c r="J158" s="126">
        <f t="shared" si="7"/>
        <v>30</v>
      </c>
    </row>
    <row r="159" spans="1:10" ht="18" thickBot="1">
      <c r="A159" s="126">
        <f t="shared" si="6"/>
        <v>31</v>
      </c>
      <c r="B159" s="209" t="s">
        <v>374</v>
      </c>
      <c r="G159" s="598">
        <f>G155+G157</f>
        <v>1.9124664122712989E-2</v>
      </c>
      <c r="H159" s="266"/>
      <c r="I159" s="215" t="str">
        <f>"Line "&amp;A155&amp;" + Line "&amp;A157</f>
        <v>Line 27 + Line 29</v>
      </c>
      <c r="J159" s="126">
        <f t="shared" si="7"/>
        <v>31</v>
      </c>
    </row>
    <row r="160" spans="1:10" ht="16" thickTop="1">
      <c r="B160" s="209"/>
      <c r="G160" s="266"/>
      <c r="H160" s="266"/>
      <c r="I160" s="215"/>
      <c r="J160" s="126"/>
    </row>
    <row r="162" spans="1:2" ht="18">
      <c r="A162" s="226">
        <v>1</v>
      </c>
      <c r="B162" s="1" t="str">
        <f>"The Incentive Cost of Capital Rate Calculation will be tracked and shown separately for each project. As a result, lines "&amp;A129&amp;" through "&amp;A159&amp;" will be repeated for each project."</f>
        <v>The Incentive Cost of Capital Rate Calculation will be tracked and shown separately for each project. As a result, lines 1 through 31 will be repeated for each project.</v>
      </c>
    </row>
    <row r="163" spans="1:2" ht="18">
      <c r="A163" s="226"/>
      <c r="B163" s="1"/>
    </row>
  </sheetData>
  <mergeCells count="15">
    <mergeCell ref="B122:I122"/>
    <mergeCell ref="B123:I123"/>
    <mergeCell ref="B124:I124"/>
    <mergeCell ref="B75:I75"/>
    <mergeCell ref="B76:I76"/>
    <mergeCell ref="B77:I77"/>
    <mergeCell ref="B78:I78"/>
    <mergeCell ref="B120:I120"/>
    <mergeCell ref="B121:I121"/>
    <mergeCell ref="B74:I74"/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49" orientation="portrait" r:id="rId1"/>
  <headerFooter scaleWithDoc="0" alignWithMargins="0">
    <oddHeader>&amp;C&amp;"Times New Roman,Bold"&amp;7AS FILED STMT AV WITH COST ADJ INCL IN APPENDIX X CYCLE 12 (ER24-176)</oddHeader>
    <oddFooter>&amp;L&amp;F&amp;CPage 12.&amp;P&amp;R&amp;A</oddFooter>
  </headerFooter>
  <rowBreaks count="2" manualBreakCount="2">
    <brk id="72" max="16383" man="1"/>
    <brk id="118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D5A6-C2CC-4695-AE7A-F22FEE7B1071}">
  <dimension ref="A1:H94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91.1796875" style="6" customWidth="1"/>
    <col min="3" max="3" width="21.90625" style="6" customWidth="1"/>
    <col min="4" max="4" width="1.6328125" style="6" customWidth="1"/>
    <col min="5" max="5" width="46.453125" style="6" customWidth="1"/>
    <col min="6" max="6" width="5.08984375" style="102" customWidth="1"/>
    <col min="7" max="16384" width="8.81640625" style="6"/>
  </cols>
  <sheetData>
    <row r="1" spans="1:6">
      <c r="A1" s="108"/>
      <c r="B1" s="79"/>
      <c r="C1" s="81"/>
      <c r="D1" s="81"/>
      <c r="E1" s="783"/>
      <c r="F1" s="108"/>
    </row>
    <row r="2" spans="1:6">
      <c r="A2" s="108"/>
      <c r="B2" s="958" t="s">
        <v>0</v>
      </c>
      <c r="C2" s="986"/>
      <c r="D2" s="986"/>
      <c r="E2" s="986"/>
      <c r="F2" s="108"/>
    </row>
    <row r="3" spans="1:6">
      <c r="A3" s="108" t="s">
        <v>6</v>
      </c>
      <c r="B3" s="958" t="s">
        <v>375</v>
      </c>
      <c r="C3" s="986"/>
      <c r="D3" s="986"/>
      <c r="E3" s="986"/>
      <c r="F3" s="108" t="s">
        <v>6</v>
      </c>
    </row>
    <row r="4" spans="1:6">
      <c r="A4" s="108"/>
      <c r="B4" s="983" t="s">
        <v>464</v>
      </c>
      <c r="C4" s="984"/>
      <c r="D4" s="984"/>
      <c r="E4" s="984"/>
      <c r="F4" s="108"/>
    </row>
    <row r="5" spans="1:6">
      <c r="A5" s="108"/>
      <c r="B5" s="985" t="s">
        <v>1</v>
      </c>
      <c r="C5" s="986"/>
      <c r="D5" s="986"/>
      <c r="E5" s="986"/>
      <c r="F5" s="108"/>
    </row>
    <row r="6" spans="1:6">
      <c r="A6" s="108"/>
      <c r="B6" s="500"/>
      <c r="C6" s="79"/>
      <c r="D6" s="79"/>
      <c r="E6" s="79"/>
      <c r="F6" s="108"/>
    </row>
    <row r="7" spans="1:6">
      <c r="A7" s="108" t="s">
        <v>2</v>
      </c>
      <c r="B7" s="79"/>
      <c r="C7" s="82"/>
      <c r="D7" s="82"/>
      <c r="E7" s="90"/>
      <c r="F7" s="108" t="s">
        <v>2</v>
      </c>
    </row>
    <row r="8" spans="1:6">
      <c r="A8" s="108" t="s">
        <v>3</v>
      </c>
      <c r="B8" s="79" t="s">
        <v>6</v>
      </c>
      <c r="C8" s="599" t="s">
        <v>32</v>
      </c>
      <c r="D8" s="82"/>
      <c r="E8" s="600" t="s">
        <v>5</v>
      </c>
      <c r="F8" s="108" t="s">
        <v>3</v>
      </c>
    </row>
    <row r="9" spans="1:6">
      <c r="A9" s="108"/>
      <c r="B9" s="10" t="s">
        <v>376</v>
      </c>
      <c r="C9" s="85"/>
      <c r="D9" s="82"/>
      <c r="E9" s="90"/>
      <c r="F9" s="108"/>
    </row>
    <row r="10" spans="1:6">
      <c r="A10" s="108"/>
      <c r="B10" s="84"/>
      <c r="C10" s="85"/>
      <c r="D10" s="85"/>
      <c r="E10" s="90"/>
      <c r="F10" s="108"/>
    </row>
    <row r="11" spans="1:6">
      <c r="A11" s="108">
        <v>1</v>
      </c>
      <c r="B11" s="10" t="s">
        <v>377</v>
      </c>
      <c r="C11" s="85"/>
      <c r="D11" s="85"/>
      <c r="E11" s="90"/>
      <c r="F11" s="108">
        <f>A11</f>
        <v>1</v>
      </c>
    </row>
    <row r="12" spans="1:6">
      <c r="A12" s="108">
        <f>A11+1</f>
        <v>2</v>
      </c>
      <c r="B12" s="7" t="s">
        <v>378</v>
      </c>
      <c r="C12" s="449">
        <f>C80</f>
        <v>4624472.6528596152</v>
      </c>
      <c r="D12" s="641"/>
      <c r="E12" s="83" t="s">
        <v>525</v>
      </c>
      <c r="F12" s="108">
        <f>F11+1</f>
        <v>2</v>
      </c>
    </row>
    <row r="13" spans="1:6">
      <c r="A13" s="108">
        <f t="shared" ref="A13:A48" si="0">A12+1</f>
        <v>3</v>
      </c>
      <c r="B13" s="7" t="s">
        <v>154</v>
      </c>
      <c r="C13" s="186">
        <f>C81</f>
        <v>6025.6819046533346</v>
      </c>
      <c r="D13" s="641"/>
      <c r="E13" s="83" t="s">
        <v>526</v>
      </c>
      <c r="F13" s="108">
        <f t="shared" ref="F13:F48" si="1">F12+1</f>
        <v>3</v>
      </c>
    </row>
    <row r="14" spans="1:6">
      <c r="A14" s="108">
        <f t="shared" si="0"/>
        <v>4</v>
      </c>
      <c r="B14" s="7" t="s">
        <v>155</v>
      </c>
      <c r="C14" s="186">
        <f>C82</f>
        <v>24362.98521124445</v>
      </c>
      <c r="D14" s="641"/>
      <c r="E14" s="83" t="s">
        <v>527</v>
      </c>
      <c r="F14" s="108">
        <f t="shared" si="1"/>
        <v>4</v>
      </c>
    </row>
    <row r="15" spans="1:6">
      <c r="A15" s="108">
        <f t="shared" si="0"/>
        <v>5</v>
      </c>
      <c r="B15" s="7" t="s">
        <v>379</v>
      </c>
      <c r="C15" s="601">
        <f>C83</f>
        <v>49217.172821047265</v>
      </c>
      <c r="D15" s="641"/>
      <c r="E15" s="83" t="s">
        <v>528</v>
      </c>
      <c r="F15" s="108">
        <f t="shared" si="1"/>
        <v>5</v>
      </c>
    </row>
    <row r="16" spans="1:6">
      <c r="A16" s="108">
        <f t="shared" si="0"/>
        <v>6</v>
      </c>
      <c r="B16" s="7" t="s">
        <v>380</v>
      </c>
      <c r="C16" s="784">
        <f>SUM(C12:C15)</f>
        <v>4704078.4927965607</v>
      </c>
      <c r="D16" s="641"/>
      <c r="E16" s="83" t="s">
        <v>529</v>
      </c>
      <c r="F16" s="108">
        <f t="shared" si="1"/>
        <v>6</v>
      </c>
    </row>
    <row r="17" spans="1:6">
      <c r="A17" s="108">
        <f t="shared" si="0"/>
        <v>7</v>
      </c>
      <c r="B17" s="80"/>
      <c r="C17" s="454"/>
      <c r="D17" s="86"/>
      <c r="E17" s="90"/>
      <c r="F17" s="108">
        <f t="shared" si="1"/>
        <v>7</v>
      </c>
    </row>
    <row r="18" spans="1:6">
      <c r="A18" s="108">
        <f t="shared" si="0"/>
        <v>8</v>
      </c>
      <c r="B18" s="10" t="s">
        <v>381</v>
      </c>
      <c r="C18" s="454"/>
      <c r="D18" s="86"/>
      <c r="E18" s="90"/>
      <c r="F18" s="108">
        <f t="shared" si="1"/>
        <v>8</v>
      </c>
    </row>
    <row r="19" spans="1:6">
      <c r="A19" s="108">
        <f t="shared" si="0"/>
        <v>9</v>
      </c>
      <c r="B19" s="7" t="s">
        <v>382</v>
      </c>
      <c r="C19" s="455">
        <v>950.34505384615397</v>
      </c>
      <c r="D19" s="82"/>
      <c r="E19" s="83" t="s">
        <v>530</v>
      </c>
      <c r="F19" s="108">
        <f t="shared" si="1"/>
        <v>9</v>
      </c>
    </row>
    <row r="20" spans="1:6">
      <c r="A20" s="108">
        <f t="shared" si="0"/>
        <v>10</v>
      </c>
      <c r="B20" s="7" t="s">
        <v>383</v>
      </c>
      <c r="C20" s="456">
        <v>0</v>
      </c>
      <c r="D20" s="82"/>
      <c r="E20" s="83" t="s">
        <v>161</v>
      </c>
      <c r="F20" s="108">
        <f t="shared" si="1"/>
        <v>10</v>
      </c>
    </row>
    <row r="21" spans="1:6">
      <c r="A21" s="108">
        <f t="shared" si="0"/>
        <v>11</v>
      </c>
      <c r="B21" s="7" t="s">
        <v>384</v>
      </c>
      <c r="C21" s="785">
        <f>C19+C20</f>
        <v>950.34505384615397</v>
      </c>
      <c r="D21" s="309"/>
      <c r="E21" s="83" t="s">
        <v>531</v>
      </c>
      <c r="F21" s="108">
        <f t="shared" si="1"/>
        <v>11</v>
      </c>
    </row>
    <row r="22" spans="1:6">
      <c r="A22" s="108">
        <f t="shared" si="0"/>
        <v>12</v>
      </c>
      <c r="B22" s="7"/>
      <c r="C22" s="457"/>
      <c r="D22" s="81"/>
      <c r="E22" s="90"/>
      <c r="F22" s="108">
        <f t="shared" si="1"/>
        <v>12</v>
      </c>
    </row>
    <row r="23" spans="1:6">
      <c r="A23" s="108">
        <f t="shared" si="0"/>
        <v>13</v>
      </c>
      <c r="B23" s="10" t="s">
        <v>385</v>
      </c>
      <c r="C23" s="454"/>
      <c r="D23" s="86"/>
      <c r="E23" s="90"/>
      <c r="F23" s="108">
        <f t="shared" si="1"/>
        <v>13</v>
      </c>
    </row>
    <row r="24" spans="1:6">
      <c r="A24" s="108">
        <f t="shared" si="0"/>
        <v>14</v>
      </c>
      <c r="B24" s="80" t="s">
        <v>386</v>
      </c>
      <c r="C24" s="458">
        <v>-793996.88725127722</v>
      </c>
      <c r="D24" s="641"/>
      <c r="E24" s="83" t="s">
        <v>699</v>
      </c>
      <c r="F24" s="108">
        <f t="shared" si="1"/>
        <v>14</v>
      </c>
    </row>
    <row r="25" spans="1:6">
      <c r="A25" s="108">
        <f t="shared" si="0"/>
        <v>15</v>
      </c>
      <c r="B25" s="80" t="s">
        <v>387</v>
      </c>
      <c r="C25" s="459">
        <v>0</v>
      </c>
      <c r="D25" s="82"/>
      <c r="E25" s="83" t="s">
        <v>532</v>
      </c>
      <c r="F25" s="108">
        <f t="shared" si="1"/>
        <v>15</v>
      </c>
    </row>
    <row r="26" spans="1:6">
      <c r="A26" s="108">
        <f t="shared" si="0"/>
        <v>16</v>
      </c>
      <c r="B26" s="7" t="s">
        <v>388</v>
      </c>
      <c r="C26" s="784">
        <f>SUM(C24:C25)</f>
        <v>-793996.88725127722</v>
      </c>
      <c r="D26" s="89"/>
      <c r="E26" s="83" t="s">
        <v>533</v>
      </c>
      <c r="F26" s="108">
        <f t="shared" si="1"/>
        <v>16</v>
      </c>
    </row>
    <row r="27" spans="1:6">
      <c r="A27" s="108">
        <f t="shared" si="0"/>
        <v>17</v>
      </c>
      <c r="B27" s="79"/>
      <c r="C27" s="469"/>
      <c r="D27" s="87"/>
      <c r="E27" s="90"/>
      <c r="F27" s="108">
        <f t="shared" si="1"/>
        <v>17</v>
      </c>
    </row>
    <row r="28" spans="1:6">
      <c r="A28" s="108">
        <f t="shared" si="0"/>
        <v>18</v>
      </c>
      <c r="B28" s="10" t="s">
        <v>389</v>
      </c>
      <c r="C28" s="469"/>
      <c r="D28" s="87"/>
      <c r="E28" s="90"/>
      <c r="F28" s="108">
        <f t="shared" si="1"/>
        <v>18</v>
      </c>
    </row>
    <row r="29" spans="1:6">
      <c r="A29" s="108">
        <f t="shared" si="0"/>
        <v>19</v>
      </c>
      <c r="B29" s="7" t="s">
        <v>390</v>
      </c>
      <c r="C29" s="449">
        <v>52608.351266362319</v>
      </c>
      <c r="D29" s="641"/>
      <c r="E29" s="83" t="s">
        <v>731</v>
      </c>
      <c r="F29" s="108">
        <f t="shared" si="1"/>
        <v>19</v>
      </c>
    </row>
    <row r="30" spans="1:6">
      <c r="A30" s="108">
        <f t="shared" si="0"/>
        <v>20</v>
      </c>
      <c r="B30" s="7" t="s">
        <v>391</v>
      </c>
      <c r="C30" s="186">
        <v>19882.453617015279</v>
      </c>
      <c r="D30" s="641"/>
      <c r="E30" s="83" t="s">
        <v>732</v>
      </c>
      <c r="F30" s="108">
        <f t="shared" si="1"/>
        <v>20</v>
      </c>
    </row>
    <row r="31" spans="1:6">
      <c r="A31" s="108">
        <f t="shared" si="0"/>
        <v>21</v>
      </c>
      <c r="B31" s="7" t="s">
        <v>392</v>
      </c>
      <c r="C31" s="786">
        <f>'Pg10 Rev Stmt AL'!E29</f>
        <v>9265.0421429664602</v>
      </c>
      <c r="D31" s="641" t="s">
        <v>439</v>
      </c>
      <c r="E31" s="83" t="s">
        <v>730</v>
      </c>
      <c r="F31" s="108">
        <f t="shared" si="1"/>
        <v>21</v>
      </c>
    </row>
    <row r="32" spans="1:6">
      <c r="A32" s="108">
        <f t="shared" si="0"/>
        <v>22</v>
      </c>
      <c r="B32" s="7" t="s">
        <v>393</v>
      </c>
      <c r="C32" s="787">
        <f>SUM(C29:C31)</f>
        <v>81755.847026344054</v>
      </c>
      <c r="D32" s="641" t="s">
        <v>439</v>
      </c>
      <c r="E32" s="83" t="s">
        <v>534</v>
      </c>
      <c r="F32" s="108">
        <f t="shared" si="1"/>
        <v>22</v>
      </c>
    </row>
    <row r="33" spans="1:6">
      <c r="A33" s="108">
        <f t="shared" si="0"/>
        <v>23</v>
      </c>
      <c r="B33" s="64"/>
      <c r="C33" s="461"/>
      <c r="D33" s="88"/>
      <c r="E33" s="90"/>
      <c r="F33" s="108">
        <f t="shared" si="1"/>
        <v>23</v>
      </c>
    </row>
    <row r="34" spans="1:6">
      <c r="A34" s="108">
        <f t="shared" si="0"/>
        <v>24</v>
      </c>
      <c r="B34" s="7" t="s">
        <v>394</v>
      </c>
      <c r="C34" s="602">
        <v>0</v>
      </c>
      <c r="D34" s="82"/>
      <c r="E34" s="83" t="s">
        <v>161</v>
      </c>
      <c r="F34" s="108">
        <f t="shared" si="1"/>
        <v>24</v>
      </c>
    </row>
    <row r="35" spans="1:6">
      <c r="A35" s="108">
        <f t="shared" si="0"/>
        <v>25</v>
      </c>
      <c r="B35" s="7"/>
      <c r="C35" s="461"/>
      <c r="D35" s="88"/>
      <c r="E35" s="90"/>
      <c r="F35" s="108">
        <f t="shared" si="1"/>
        <v>25</v>
      </c>
    </row>
    <row r="36" spans="1:6" ht="16" thickBot="1">
      <c r="A36" s="108">
        <f t="shared" si="0"/>
        <v>26</v>
      </c>
      <c r="B36" s="7" t="s">
        <v>395</v>
      </c>
      <c r="C36" s="788">
        <f>C16+C21+C26+C32+C34</f>
        <v>3992787.7976254732</v>
      </c>
      <c r="D36" s="641" t="s">
        <v>439</v>
      </c>
      <c r="E36" s="83" t="s">
        <v>535</v>
      </c>
      <c r="F36" s="108">
        <f t="shared" si="1"/>
        <v>26</v>
      </c>
    </row>
    <row r="37" spans="1:6" ht="16" thickTop="1">
      <c r="A37" s="108">
        <f t="shared" si="0"/>
        <v>27</v>
      </c>
      <c r="B37" s="64"/>
      <c r="C37" s="462"/>
      <c r="D37" s="89"/>
      <c r="E37" s="90"/>
      <c r="F37" s="108">
        <f t="shared" si="1"/>
        <v>27</v>
      </c>
    </row>
    <row r="38" spans="1:6" ht="18.5">
      <c r="A38" s="108">
        <f t="shared" si="0"/>
        <v>28</v>
      </c>
      <c r="B38" s="10" t="s">
        <v>396</v>
      </c>
      <c r="C38" s="462"/>
      <c r="D38" s="89"/>
      <c r="E38" s="90"/>
      <c r="F38" s="108">
        <f t="shared" si="1"/>
        <v>28</v>
      </c>
    </row>
    <row r="39" spans="1:6">
      <c r="A39" s="108">
        <f t="shared" si="0"/>
        <v>29</v>
      </c>
      <c r="B39" s="7" t="s">
        <v>397</v>
      </c>
      <c r="C39" s="458">
        <f>C89</f>
        <v>0</v>
      </c>
      <c r="D39" s="301"/>
      <c r="E39" s="83" t="s">
        <v>536</v>
      </c>
      <c r="F39" s="108">
        <f t="shared" si="1"/>
        <v>29</v>
      </c>
    </row>
    <row r="40" spans="1:6">
      <c r="A40" s="108">
        <f t="shared" si="0"/>
        <v>30</v>
      </c>
      <c r="B40" s="7" t="s">
        <v>398</v>
      </c>
      <c r="C40" s="463">
        <v>0</v>
      </c>
      <c r="D40" s="82"/>
      <c r="E40" s="83" t="s">
        <v>537</v>
      </c>
      <c r="F40" s="108">
        <f t="shared" si="1"/>
        <v>30</v>
      </c>
    </row>
    <row r="41" spans="1:6">
      <c r="A41" s="108">
        <f t="shared" si="0"/>
        <v>31</v>
      </c>
      <c r="B41" s="80" t="s">
        <v>399</v>
      </c>
      <c r="C41" s="787">
        <f>C39+C40</f>
        <v>0</v>
      </c>
      <c r="D41" s="89"/>
      <c r="E41" s="83" t="s">
        <v>538</v>
      </c>
      <c r="F41" s="108">
        <f t="shared" si="1"/>
        <v>31</v>
      </c>
    </row>
    <row r="42" spans="1:6">
      <c r="A42" s="108">
        <f t="shared" si="0"/>
        <v>32</v>
      </c>
      <c r="B42" s="64"/>
      <c r="C42" s="462"/>
      <c r="D42" s="89"/>
      <c r="E42" s="90"/>
      <c r="F42" s="108">
        <f t="shared" si="1"/>
        <v>32</v>
      </c>
    </row>
    <row r="43" spans="1:6" ht="18.5">
      <c r="A43" s="108">
        <f t="shared" si="0"/>
        <v>33</v>
      </c>
      <c r="B43" s="10" t="s">
        <v>400</v>
      </c>
      <c r="C43" s="462"/>
      <c r="D43" s="89"/>
      <c r="E43" s="90"/>
      <c r="F43" s="108">
        <f t="shared" si="1"/>
        <v>33</v>
      </c>
    </row>
    <row r="44" spans="1:6">
      <c r="A44" s="108">
        <f t="shared" si="0"/>
        <v>34</v>
      </c>
      <c r="B44" s="7" t="s">
        <v>401</v>
      </c>
      <c r="C44" s="464">
        <v>0</v>
      </c>
      <c r="D44" s="82"/>
      <c r="E44" s="83" t="s">
        <v>161</v>
      </c>
      <c r="F44" s="108">
        <f t="shared" si="1"/>
        <v>34</v>
      </c>
    </row>
    <row r="45" spans="1:6">
      <c r="A45" s="108">
        <f t="shared" si="0"/>
        <v>35</v>
      </c>
      <c r="B45" s="80" t="s">
        <v>402</v>
      </c>
      <c r="C45" s="604">
        <v>0</v>
      </c>
      <c r="D45" s="82"/>
      <c r="E45" s="83" t="s">
        <v>539</v>
      </c>
      <c r="F45" s="108">
        <f t="shared" si="1"/>
        <v>35</v>
      </c>
    </row>
    <row r="46" spans="1:6">
      <c r="A46" s="108">
        <f t="shared" si="0"/>
        <v>36</v>
      </c>
      <c r="B46" s="80" t="s">
        <v>403</v>
      </c>
      <c r="C46" s="787">
        <f>C44+C45</f>
        <v>0</v>
      </c>
      <c r="D46" s="89"/>
      <c r="E46" s="83" t="s">
        <v>492</v>
      </c>
      <c r="F46" s="108">
        <f t="shared" si="1"/>
        <v>36</v>
      </c>
    </row>
    <row r="47" spans="1:6">
      <c r="A47" s="108">
        <f t="shared" si="0"/>
        <v>37</v>
      </c>
      <c r="B47" s="64"/>
      <c r="C47" s="462"/>
      <c r="D47" s="89"/>
      <c r="E47" s="90"/>
      <c r="F47" s="108">
        <f t="shared" si="1"/>
        <v>37</v>
      </c>
    </row>
    <row r="48" spans="1:6" ht="19" thickBot="1">
      <c r="A48" s="108">
        <f t="shared" si="0"/>
        <v>38</v>
      </c>
      <c r="B48" s="10" t="s">
        <v>404</v>
      </c>
      <c r="C48" s="605">
        <v>0</v>
      </c>
      <c r="D48" s="82"/>
      <c r="E48" s="83" t="s">
        <v>161</v>
      </c>
      <c r="F48" s="108">
        <f t="shared" si="1"/>
        <v>38</v>
      </c>
    </row>
    <row r="49" spans="1:6" ht="16" thickTop="1">
      <c r="A49" s="108"/>
      <c r="B49" s="64"/>
      <c r="C49" s="89"/>
      <c r="D49" s="89"/>
      <c r="E49" s="90"/>
      <c r="F49" s="108"/>
    </row>
    <row r="50" spans="1:6">
      <c r="A50" s="108"/>
      <c r="B50" s="64"/>
      <c r="C50" s="89"/>
      <c r="D50" s="89"/>
      <c r="E50" s="90"/>
      <c r="F50" s="108"/>
    </row>
    <row r="51" spans="1:6">
      <c r="A51" s="641" t="s">
        <v>439</v>
      </c>
      <c r="B51" s="954" t="str">
        <f>'Pg11 Rev Stmt AV'!B115</f>
        <v>Items in BOLD have changed to correct the over-allocation of "Duplicate Charges (Company Energy Use)" Credit in FERC Account no. 929.</v>
      </c>
      <c r="C51" s="89"/>
      <c r="D51" s="89"/>
      <c r="E51" s="90"/>
      <c r="F51" s="108"/>
    </row>
    <row r="52" spans="1:6" ht="18">
      <c r="A52" s="334">
        <v>1</v>
      </c>
      <c r="B52" s="191" t="s">
        <v>405</v>
      </c>
      <c r="C52" s="89"/>
      <c r="D52" s="89"/>
      <c r="E52" s="90"/>
      <c r="F52" s="108"/>
    </row>
    <row r="53" spans="1:6" ht="18">
      <c r="A53" s="334"/>
      <c r="B53" s="80" t="s">
        <v>406</v>
      </c>
      <c r="C53" s="89"/>
      <c r="D53" s="89"/>
      <c r="E53" s="90"/>
      <c r="F53" s="108"/>
    </row>
    <row r="54" spans="1:6">
      <c r="A54" s="108"/>
      <c r="B54" s="64"/>
      <c r="C54" s="89"/>
      <c r="D54" s="89"/>
      <c r="E54" s="90"/>
      <c r="F54" s="108"/>
    </row>
    <row r="55" spans="1:6">
      <c r="A55" s="108"/>
      <c r="B55" s="79"/>
      <c r="C55" s="89"/>
      <c r="D55" s="89"/>
      <c r="E55" s="90"/>
      <c r="F55" s="108"/>
    </row>
    <row r="56" spans="1:6">
      <c r="A56" s="108"/>
      <c r="B56" s="958" t="s">
        <v>56</v>
      </c>
      <c r="C56" s="986"/>
      <c r="D56" s="986"/>
      <c r="E56" s="986"/>
      <c r="F56" s="108"/>
    </row>
    <row r="57" spans="1:6">
      <c r="A57" s="108"/>
      <c r="B57" s="958" t="s">
        <v>375</v>
      </c>
      <c r="C57" s="986"/>
      <c r="D57" s="986"/>
      <c r="E57" s="986"/>
      <c r="F57" s="108"/>
    </row>
    <row r="58" spans="1:6">
      <c r="A58" s="108"/>
      <c r="B58" s="983" t="str">
        <f>B4</f>
        <v>Base Period &amp; True-Up Period 12 - Months Ending December 31, 2018</v>
      </c>
      <c r="C58" s="984"/>
      <c r="D58" s="984"/>
      <c r="E58" s="984"/>
      <c r="F58" s="108"/>
    </row>
    <row r="59" spans="1:6">
      <c r="A59" s="108"/>
      <c r="B59" s="985" t="s">
        <v>1</v>
      </c>
      <c r="C59" s="986"/>
      <c r="D59" s="986"/>
      <c r="E59" s="986"/>
      <c r="F59" s="108"/>
    </row>
    <row r="60" spans="1:6">
      <c r="A60" s="108"/>
      <c r="B60" s="500"/>
      <c r="C60" s="79"/>
      <c r="D60" s="79"/>
      <c r="E60" s="79"/>
      <c r="F60" s="108"/>
    </row>
    <row r="61" spans="1:6">
      <c r="A61" s="108" t="s">
        <v>2</v>
      </c>
      <c r="B61" s="79"/>
      <c r="C61" s="82"/>
      <c r="D61" s="82"/>
      <c r="E61" s="90"/>
      <c r="F61" s="108" t="s">
        <v>2</v>
      </c>
    </row>
    <row r="62" spans="1:6">
      <c r="A62" s="108" t="s">
        <v>3</v>
      </c>
      <c r="B62" s="79" t="s">
        <v>6</v>
      </c>
      <c r="C62" s="599" t="s">
        <v>32</v>
      </c>
      <c r="D62" s="599"/>
      <c r="E62" s="600" t="s">
        <v>5</v>
      </c>
      <c r="F62" s="108" t="s">
        <v>3</v>
      </c>
    </row>
    <row r="63" spans="1:6">
      <c r="A63" s="108"/>
      <c r="B63" s="10" t="s">
        <v>407</v>
      </c>
      <c r="C63" s="82"/>
      <c r="D63" s="82"/>
      <c r="E63" s="90"/>
      <c r="F63" s="108"/>
    </row>
    <row r="64" spans="1:6">
      <c r="A64" s="108"/>
      <c r="B64" s="10"/>
      <c r="C64" s="82"/>
      <c r="D64" s="82"/>
      <c r="E64" s="90"/>
      <c r="F64" s="108"/>
    </row>
    <row r="65" spans="1:8">
      <c r="A65" s="108">
        <v>1</v>
      </c>
      <c r="B65" s="10" t="s">
        <v>408</v>
      </c>
      <c r="C65" s="82"/>
      <c r="D65" s="82"/>
      <c r="E65" s="90"/>
      <c r="F65" s="108">
        <f>A65</f>
        <v>1</v>
      </c>
    </row>
    <row r="66" spans="1:8">
      <c r="A66" s="108">
        <f>A65+1</f>
        <v>2</v>
      </c>
      <c r="B66" s="7" t="s">
        <v>378</v>
      </c>
      <c r="C66" s="465">
        <v>5762981.7698807688</v>
      </c>
      <c r="D66" s="641"/>
      <c r="E66" s="83" t="s">
        <v>673</v>
      </c>
      <c r="F66" s="108">
        <f>F65+1</f>
        <v>2</v>
      </c>
      <c r="G66" s="103"/>
      <c r="H66" s="104"/>
    </row>
    <row r="67" spans="1:8">
      <c r="A67" s="108">
        <f t="shared" ref="A67:A89" si="2">A66+1</f>
        <v>3</v>
      </c>
      <c r="B67" s="7" t="s">
        <v>409</v>
      </c>
      <c r="C67" s="466">
        <v>18364.681904653335</v>
      </c>
      <c r="D67" s="641"/>
      <c r="E67" s="83" t="s">
        <v>700</v>
      </c>
      <c r="F67" s="108">
        <f t="shared" ref="F67:F89" si="3">F66+1</f>
        <v>3</v>
      </c>
      <c r="G67" s="103"/>
      <c r="H67" s="104"/>
    </row>
    <row r="68" spans="1:8">
      <c r="A68" s="108">
        <f t="shared" si="2"/>
        <v>4</v>
      </c>
      <c r="B68" s="7" t="s">
        <v>155</v>
      </c>
      <c r="C68" s="466">
        <v>40640.98521124445</v>
      </c>
      <c r="D68" s="641"/>
      <c r="E68" s="83" t="s">
        <v>691</v>
      </c>
      <c r="F68" s="108">
        <f t="shared" si="3"/>
        <v>4</v>
      </c>
      <c r="G68" s="103"/>
      <c r="H68" s="105"/>
    </row>
    <row r="69" spans="1:8">
      <c r="A69" s="108">
        <f t="shared" si="2"/>
        <v>5</v>
      </c>
      <c r="B69" s="7" t="s">
        <v>379</v>
      </c>
      <c r="C69" s="604">
        <v>94758.172821047265</v>
      </c>
      <c r="D69" s="641"/>
      <c r="E69" s="83" t="s">
        <v>692</v>
      </c>
      <c r="F69" s="108">
        <f t="shared" si="3"/>
        <v>5</v>
      </c>
      <c r="G69" s="104"/>
      <c r="H69" s="104"/>
    </row>
    <row r="70" spans="1:8">
      <c r="A70" s="108">
        <f t="shared" si="2"/>
        <v>6</v>
      </c>
      <c r="B70" s="7" t="s">
        <v>410</v>
      </c>
      <c r="C70" s="784">
        <f>SUM(C66:C69)</f>
        <v>5916745.6098177144</v>
      </c>
      <c r="D70" s="641"/>
      <c r="E70" s="83" t="s">
        <v>529</v>
      </c>
      <c r="F70" s="108">
        <f t="shared" si="3"/>
        <v>6</v>
      </c>
      <c r="G70" s="103"/>
      <c r="H70" s="104"/>
    </row>
    <row r="71" spans="1:8">
      <c r="A71" s="108">
        <f t="shared" si="2"/>
        <v>7</v>
      </c>
      <c r="B71" s="80"/>
      <c r="C71" s="895"/>
      <c r="D71" s="82"/>
      <c r="E71" s="90"/>
      <c r="F71" s="108">
        <f t="shared" si="3"/>
        <v>7</v>
      </c>
      <c r="G71" s="104"/>
      <c r="H71" s="104"/>
    </row>
    <row r="72" spans="1:8">
      <c r="A72" s="108">
        <f t="shared" si="2"/>
        <v>8</v>
      </c>
      <c r="B72" s="9" t="s">
        <v>411</v>
      </c>
      <c r="C72" s="895"/>
      <c r="D72" s="82"/>
      <c r="E72" s="90"/>
      <c r="F72" s="108">
        <f t="shared" si="3"/>
        <v>8</v>
      </c>
      <c r="G72" s="104"/>
      <c r="H72" s="104"/>
    </row>
    <row r="73" spans="1:8">
      <c r="A73" s="108">
        <f t="shared" si="2"/>
        <v>9</v>
      </c>
      <c r="B73" s="80" t="s">
        <v>412</v>
      </c>
      <c r="C73" s="465">
        <v>1138509.1170211539</v>
      </c>
      <c r="D73" s="641"/>
      <c r="E73" s="83" t="s">
        <v>701</v>
      </c>
      <c r="F73" s="108">
        <f t="shared" si="3"/>
        <v>9</v>
      </c>
      <c r="G73" s="104"/>
      <c r="H73" s="104"/>
    </row>
    <row r="74" spans="1:8">
      <c r="A74" s="108">
        <f t="shared" si="2"/>
        <v>10</v>
      </c>
      <c r="B74" s="80" t="s">
        <v>158</v>
      </c>
      <c r="C74" s="466">
        <v>12339</v>
      </c>
      <c r="D74" s="641"/>
      <c r="E74" s="83" t="s">
        <v>702</v>
      </c>
      <c r="F74" s="108">
        <f t="shared" si="3"/>
        <v>10</v>
      </c>
      <c r="G74" s="104"/>
      <c r="H74" s="104"/>
    </row>
    <row r="75" spans="1:8">
      <c r="A75" s="108">
        <f t="shared" si="2"/>
        <v>11</v>
      </c>
      <c r="B75" s="80" t="s">
        <v>413</v>
      </c>
      <c r="C75" s="466">
        <v>16278</v>
      </c>
      <c r="D75" s="641"/>
      <c r="E75" s="83" t="s">
        <v>703</v>
      </c>
      <c r="F75" s="108">
        <f t="shared" si="3"/>
        <v>11</v>
      </c>
      <c r="G75" s="104"/>
      <c r="H75" s="104"/>
    </row>
    <row r="76" spans="1:8">
      <c r="A76" s="108">
        <f t="shared" si="2"/>
        <v>12</v>
      </c>
      <c r="B76" s="80" t="s">
        <v>414</v>
      </c>
      <c r="C76" s="604">
        <v>45541</v>
      </c>
      <c r="D76" s="641"/>
      <c r="E76" s="83" t="s">
        <v>704</v>
      </c>
      <c r="F76" s="108">
        <f t="shared" si="3"/>
        <v>12</v>
      </c>
      <c r="G76" s="104"/>
      <c r="H76" s="104"/>
    </row>
    <row r="77" spans="1:8">
      <c r="A77" s="108">
        <f t="shared" si="2"/>
        <v>13</v>
      </c>
      <c r="B77" s="310" t="s">
        <v>159</v>
      </c>
      <c r="C77" s="784">
        <f>SUM(C73:C76)</f>
        <v>1212667.1170211539</v>
      </c>
      <c r="D77" s="641"/>
      <c r="E77" s="83" t="s">
        <v>540</v>
      </c>
      <c r="F77" s="108">
        <f t="shared" si="3"/>
        <v>13</v>
      </c>
      <c r="G77" s="104"/>
      <c r="H77" s="104"/>
    </row>
    <row r="78" spans="1:8">
      <c r="A78" s="108">
        <f t="shared" si="2"/>
        <v>14</v>
      </c>
      <c r="B78" s="310"/>
      <c r="C78" s="469"/>
      <c r="D78" s="87"/>
      <c r="E78" s="90"/>
      <c r="F78" s="108">
        <f t="shared" si="3"/>
        <v>14</v>
      </c>
      <c r="G78" s="104"/>
      <c r="H78" s="104"/>
    </row>
    <row r="79" spans="1:8">
      <c r="A79" s="108">
        <f t="shared" si="2"/>
        <v>15</v>
      </c>
      <c r="B79" s="10" t="s">
        <v>377</v>
      </c>
      <c r="C79" s="469"/>
      <c r="D79" s="87"/>
      <c r="E79" s="90"/>
      <c r="F79" s="108">
        <f t="shared" si="3"/>
        <v>15</v>
      </c>
      <c r="G79" s="104"/>
      <c r="H79" s="104"/>
    </row>
    <row r="80" spans="1:8">
      <c r="A80" s="108">
        <f t="shared" si="2"/>
        <v>16</v>
      </c>
      <c r="B80" s="7" t="s">
        <v>378</v>
      </c>
      <c r="C80" s="468">
        <f>C66-C73</f>
        <v>4624472.6528596152</v>
      </c>
      <c r="D80" s="641"/>
      <c r="E80" s="83" t="s">
        <v>541</v>
      </c>
      <c r="F80" s="108">
        <f t="shared" si="3"/>
        <v>16</v>
      </c>
      <c r="G80" s="104"/>
      <c r="H80" s="104"/>
    </row>
    <row r="81" spans="1:8">
      <c r="A81" s="108">
        <f t="shared" si="2"/>
        <v>17</v>
      </c>
      <c r="B81" s="7" t="s">
        <v>154</v>
      </c>
      <c r="C81" s="469">
        <f>C67-C74</f>
        <v>6025.6819046533346</v>
      </c>
      <c r="D81" s="641"/>
      <c r="E81" s="83" t="s">
        <v>542</v>
      </c>
      <c r="F81" s="108">
        <f t="shared" si="3"/>
        <v>17</v>
      </c>
      <c r="G81" s="104"/>
      <c r="H81" s="104"/>
    </row>
    <row r="82" spans="1:8">
      <c r="A82" s="108">
        <f t="shared" si="2"/>
        <v>18</v>
      </c>
      <c r="B82" s="7" t="s">
        <v>155</v>
      </c>
      <c r="C82" s="469">
        <f>C68-C75</f>
        <v>24362.98521124445</v>
      </c>
      <c r="D82" s="641"/>
      <c r="E82" s="83" t="s">
        <v>543</v>
      </c>
      <c r="F82" s="108">
        <f t="shared" si="3"/>
        <v>18</v>
      </c>
    </row>
    <row r="83" spans="1:8">
      <c r="A83" s="108">
        <f t="shared" si="2"/>
        <v>19</v>
      </c>
      <c r="B83" s="7" t="s">
        <v>379</v>
      </c>
      <c r="C83" s="606">
        <f>C69-C76</f>
        <v>49217.172821047265</v>
      </c>
      <c r="D83" s="641"/>
      <c r="E83" s="83" t="s">
        <v>544</v>
      </c>
      <c r="F83" s="108">
        <f t="shared" si="3"/>
        <v>19</v>
      </c>
    </row>
    <row r="84" spans="1:8" ht="16" thickBot="1">
      <c r="A84" s="108">
        <f t="shared" si="2"/>
        <v>20</v>
      </c>
      <c r="B84" s="80" t="s">
        <v>380</v>
      </c>
      <c r="C84" s="789">
        <f>SUM(C80:C83)</f>
        <v>4704078.4927965607</v>
      </c>
      <c r="D84" s="641"/>
      <c r="E84" s="83" t="s">
        <v>545</v>
      </c>
      <c r="F84" s="108">
        <f t="shared" si="3"/>
        <v>20</v>
      </c>
    </row>
    <row r="85" spans="1:8" ht="16" thickTop="1">
      <c r="A85" s="108">
        <f t="shared" si="2"/>
        <v>21</v>
      </c>
      <c r="B85" s="80"/>
      <c r="C85" s="462"/>
      <c r="D85" s="89"/>
      <c r="E85" s="90"/>
      <c r="F85" s="108">
        <f t="shared" si="3"/>
        <v>21</v>
      </c>
    </row>
    <row r="86" spans="1:8" ht="18.5">
      <c r="A86" s="108">
        <f t="shared" si="2"/>
        <v>22</v>
      </c>
      <c r="B86" s="10" t="s">
        <v>415</v>
      </c>
      <c r="C86" s="462"/>
      <c r="D86" s="89"/>
      <c r="E86" s="90"/>
      <c r="F86" s="108">
        <f t="shared" si="3"/>
        <v>22</v>
      </c>
    </row>
    <row r="87" spans="1:8">
      <c r="A87" s="108">
        <f t="shared" si="2"/>
        <v>23</v>
      </c>
      <c r="B87" s="7" t="s">
        <v>416</v>
      </c>
      <c r="C87" s="458">
        <v>0</v>
      </c>
      <c r="D87" s="82"/>
      <c r="E87" s="83" t="s">
        <v>546</v>
      </c>
      <c r="F87" s="108">
        <f t="shared" si="3"/>
        <v>23</v>
      </c>
    </row>
    <row r="88" spans="1:8">
      <c r="A88" s="108">
        <f t="shared" si="2"/>
        <v>24</v>
      </c>
      <c r="B88" s="80" t="s">
        <v>417</v>
      </c>
      <c r="C88" s="604">
        <v>0</v>
      </c>
      <c r="D88" s="82"/>
      <c r="E88" s="83" t="s">
        <v>547</v>
      </c>
      <c r="F88" s="108">
        <f t="shared" si="3"/>
        <v>24</v>
      </c>
    </row>
    <row r="89" spans="1:8" ht="16" thickBot="1">
      <c r="A89" s="108">
        <f t="shared" si="2"/>
        <v>25</v>
      </c>
      <c r="B89" s="7" t="s">
        <v>418</v>
      </c>
      <c r="C89" s="603">
        <f>C87-C88</f>
        <v>0</v>
      </c>
      <c r="D89" s="89"/>
      <c r="E89" s="83" t="s">
        <v>548</v>
      </c>
      <c r="F89" s="108">
        <f t="shared" si="3"/>
        <v>25</v>
      </c>
    </row>
    <row r="90" spans="1:8" ht="16" thickTop="1">
      <c r="A90" s="108"/>
      <c r="B90" s="64"/>
      <c r="C90" s="89"/>
      <c r="D90" s="89"/>
      <c r="E90" s="90"/>
      <c r="F90" s="108"/>
    </row>
    <row r="91" spans="1:8">
      <c r="A91" s="108"/>
      <c r="B91" s="64"/>
      <c r="C91" s="89"/>
      <c r="D91" s="89"/>
      <c r="E91" s="90"/>
      <c r="F91" s="108"/>
    </row>
    <row r="92" spans="1:8" ht="18">
      <c r="A92" s="109">
        <v>1</v>
      </c>
      <c r="B92" s="191" t="s">
        <v>405</v>
      </c>
      <c r="C92" s="89"/>
      <c r="D92" s="89"/>
      <c r="E92" s="90"/>
      <c r="F92" s="108"/>
    </row>
    <row r="93" spans="1:8">
      <c r="A93" s="335"/>
      <c r="B93" s="80" t="s">
        <v>406</v>
      </c>
      <c r="C93" s="89"/>
      <c r="D93" s="89"/>
      <c r="E93" s="90"/>
      <c r="F93" s="108"/>
    </row>
    <row r="94" spans="1:8">
      <c r="A94" s="108"/>
      <c r="B94" s="79"/>
      <c r="C94" s="89"/>
      <c r="D94" s="89"/>
      <c r="E94" s="90"/>
      <c r="F94" s="108"/>
    </row>
  </sheetData>
  <mergeCells count="8">
    <mergeCell ref="B58:E58"/>
    <mergeCell ref="B59:E59"/>
    <mergeCell ref="B2:E2"/>
    <mergeCell ref="B3:E3"/>
    <mergeCell ref="B4:E4"/>
    <mergeCell ref="B5:E5"/>
    <mergeCell ref="B56:E56"/>
    <mergeCell ref="B57:E5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13.&amp;P&amp;R&amp;A</oddFooter>
  </headerFooter>
  <rowBreaks count="1" manualBreakCount="1">
    <brk id="5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2205-1A35-4D93-B6F2-5370AB893D8B}">
  <dimension ref="A1:H96"/>
  <sheetViews>
    <sheetView zoomScale="80" zoomScaleNormal="80" workbookViewId="0"/>
  </sheetViews>
  <sheetFormatPr defaultColWidth="8.81640625" defaultRowHeight="15.5"/>
  <cols>
    <col min="1" max="1" width="5.08984375" style="102" customWidth="1"/>
    <col min="2" max="2" width="91.1796875" style="6" customWidth="1"/>
    <col min="3" max="3" width="21.90625" style="6" customWidth="1"/>
    <col min="4" max="4" width="1.6328125" style="6" customWidth="1"/>
    <col min="5" max="5" width="46.453125" style="6" customWidth="1"/>
    <col min="6" max="6" width="5.08984375" style="102" customWidth="1"/>
    <col min="7" max="16384" width="8.81640625" style="6"/>
  </cols>
  <sheetData>
    <row r="1" spans="1:6">
      <c r="A1" s="926" t="s">
        <v>743</v>
      </c>
    </row>
    <row r="2" spans="1:6">
      <c r="A2" s="108"/>
      <c r="B2" s="79"/>
      <c r="C2" s="81"/>
      <c r="D2" s="81"/>
      <c r="E2" s="783"/>
      <c r="F2" s="108"/>
    </row>
    <row r="3" spans="1:6">
      <c r="A3" s="108"/>
      <c r="B3" s="958" t="s">
        <v>0</v>
      </c>
      <c r="C3" s="986"/>
      <c r="D3" s="986"/>
      <c r="E3" s="986"/>
      <c r="F3" s="108"/>
    </row>
    <row r="4" spans="1:6">
      <c r="A4" s="108" t="s">
        <v>6</v>
      </c>
      <c r="B4" s="958" t="s">
        <v>375</v>
      </c>
      <c r="C4" s="986"/>
      <c r="D4" s="986"/>
      <c r="E4" s="986"/>
      <c r="F4" s="108" t="s">
        <v>6</v>
      </c>
    </row>
    <row r="5" spans="1:6">
      <c r="A5" s="108"/>
      <c r="B5" s="983" t="s">
        <v>464</v>
      </c>
      <c r="C5" s="984"/>
      <c r="D5" s="984"/>
      <c r="E5" s="984"/>
      <c r="F5" s="108"/>
    </row>
    <row r="6" spans="1:6">
      <c r="A6" s="108"/>
      <c r="B6" s="985" t="s">
        <v>1</v>
      </c>
      <c r="C6" s="986"/>
      <c r="D6" s="986"/>
      <c r="E6" s="986"/>
      <c r="F6" s="108"/>
    </row>
    <row r="7" spans="1:6">
      <c r="A7" s="108"/>
      <c r="B7" s="500"/>
      <c r="C7" s="79"/>
      <c r="D7" s="79"/>
      <c r="E7" s="79"/>
      <c r="F7" s="108"/>
    </row>
    <row r="8" spans="1:6">
      <c r="A8" s="108" t="s">
        <v>2</v>
      </c>
      <c r="B8" s="79"/>
      <c r="C8" s="82"/>
      <c r="D8" s="82"/>
      <c r="E8" s="90"/>
      <c r="F8" s="108" t="s">
        <v>2</v>
      </c>
    </row>
    <row r="9" spans="1:6">
      <c r="A9" s="108" t="s">
        <v>3</v>
      </c>
      <c r="B9" s="79" t="s">
        <v>6</v>
      </c>
      <c r="C9" s="599" t="s">
        <v>32</v>
      </c>
      <c r="D9" s="82"/>
      <c r="E9" s="600" t="s">
        <v>5</v>
      </c>
      <c r="F9" s="108" t="s">
        <v>3</v>
      </c>
    </row>
    <row r="10" spans="1:6">
      <c r="A10" s="108"/>
      <c r="B10" s="10" t="s">
        <v>376</v>
      </c>
      <c r="C10" s="85"/>
      <c r="D10" s="82"/>
      <c r="E10" s="90"/>
      <c r="F10" s="108"/>
    </row>
    <row r="11" spans="1:6">
      <c r="A11" s="108"/>
      <c r="B11" s="84"/>
      <c r="C11" s="85"/>
      <c r="D11" s="85"/>
      <c r="E11" s="90"/>
      <c r="F11" s="108"/>
    </row>
    <row r="12" spans="1:6">
      <c r="A12" s="108">
        <v>1</v>
      </c>
      <c r="B12" s="10" t="s">
        <v>377</v>
      </c>
      <c r="C12" s="85"/>
      <c r="D12" s="85"/>
      <c r="E12" s="90"/>
      <c r="F12" s="108">
        <f>A12</f>
        <v>1</v>
      </c>
    </row>
    <row r="13" spans="1:6">
      <c r="A13" s="108">
        <f>A12+1</f>
        <v>2</v>
      </c>
      <c r="B13" s="7" t="s">
        <v>378</v>
      </c>
      <c r="C13" s="827">
        <f>C81</f>
        <v>4624472.6528596152</v>
      </c>
      <c r="D13" s="641" t="s">
        <v>439</v>
      </c>
      <c r="E13" s="83" t="s">
        <v>525</v>
      </c>
      <c r="F13" s="108">
        <f>F12+1</f>
        <v>2</v>
      </c>
    </row>
    <row r="14" spans="1:6">
      <c r="A14" s="108">
        <f t="shared" ref="A14:A49" si="0">A13+1</f>
        <v>3</v>
      </c>
      <c r="B14" s="7" t="s">
        <v>154</v>
      </c>
      <c r="C14" s="774">
        <f>C82</f>
        <v>6025.6819046533346</v>
      </c>
      <c r="D14" s="641" t="s">
        <v>439</v>
      </c>
      <c r="E14" s="83" t="s">
        <v>526</v>
      </c>
      <c r="F14" s="108">
        <f t="shared" ref="F14:F49" si="1">F13+1</f>
        <v>3</v>
      </c>
    </row>
    <row r="15" spans="1:6">
      <c r="A15" s="108">
        <f t="shared" si="0"/>
        <v>4</v>
      </c>
      <c r="B15" s="7" t="s">
        <v>155</v>
      </c>
      <c r="C15" s="774">
        <f>C83</f>
        <v>24362.98521124445</v>
      </c>
      <c r="D15" s="641" t="s">
        <v>439</v>
      </c>
      <c r="E15" s="83" t="s">
        <v>527</v>
      </c>
      <c r="F15" s="108">
        <f t="shared" si="1"/>
        <v>4</v>
      </c>
    </row>
    <row r="16" spans="1:6">
      <c r="A16" s="108">
        <f t="shared" si="0"/>
        <v>5</v>
      </c>
      <c r="B16" s="7" t="s">
        <v>379</v>
      </c>
      <c r="C16" s="786">
        <f>C84</f>
        <v>49217.172821047265</v>
      </c>
      <c r="D16" s="641" t="s">
        <v>439</v>
      </c>
      <c r="E16" s="83" t="s">
        <v>528</v>
      </c>
      <c r="F16" s="108">
        <f t="shared" si="1"/>
        <v>5</v>
      </c>
    </row>
    <row r="17" spans="1:6">
      <c r="A17" s="108">
        <f t="shared" si="0"/>
        <v>6</v>
      </c>
      <c r="B17" s="7" t="s">
        <v>380</v>
      </c>
      <c r="C17" s="787">
        <f>SUM(C13:C16)</f>
        <v>4704078.4927965607</v>
      </c>
      <c r="D17" s="641" t="s">
        <v>439</v>
      </c>
      <c r="E17" s="83" t="s">
        <v>529</v>
      </c>
      <c r="F17" s="108">
        <f t="shared" si="1"/>
        <v>6</v>
      </c>
    </row>
    <row r="18" spans="1:6">
      <c r="A18" s="108">
        <f t="shared" si="0"/>
        <v>7</v>
      </c>
      <c r="B18" s="80"/>
      <c r="C18" s="454"/>
      <c r="D18" s="86"/>
      <c r="E18" s="90"/>
      <c r="F18" s="108">
        <f t="shared" si="1"/>
        <v>7</v>
      </c>
    </row>
    <row r="19" spans="1:6">
      <c r="A19" s="108">
        <f t="shared" si="0"/>
        <v>8</v>
      </c>
      <c r="B19" s="10" t="s">
        <v>381</v>
      </c>
      <c r="C19" s="454"/>
      <c r="D19" s="86"/>
      <c r="E19" s="90"/>
      <c r="F19" s="108">
        <f t="shared" si="1"/>
        <v>8</v>
      </c>
    </row>
    <row r="20" spans="1:6">
      <c r="A20" s="108">
        <f t="shared" si="0"/>
        <v>9</v>
      </c>
      <c r="B20" s="7" t="s">
        <v>382</v>
      </c>
      <c r="C20" s="455">
        <v>950.34505384615397</v>
      </c>
      <c r="D20" s="82"/>
      <c r="E20" s="83" t="s">
        <v>530</v>
      </c>
      <c r="F20" s="108">
        <f t="shared" si="1"/>
        <v>9</v>
      </c>
    </row>
    <row r="21" spans="1:6">
      <c r="A21" s="108">
        <f t="shared" si="0"/>
        <v>10</v>
      </c>
      <c r="B21" s="7" t="s">
        <v>383</v>
      </c>
      <c r="C21" s="456">
        <v>0</v>
      </c>
      <c r="D21" s="82"/>
      <c r="E21" s="83" t="s">
        <v>161</v>
      </c>
      <c r="F21" s="108">
        <f t="shared" si="1"/>
        <v>10</v>
      </c>
    </row>
    <row r="22" spans="1:6">
      <c r="A22" s="108">
        <f t="shared" si="0"/>
        <v>11</v>
      </c>
      <c r="B22" s="7" t="s">
        <v>384</v>
      </c>
      <c r="C22" s="785">
        <f>C20+C21</f>
        <v>950.34505384615397</v>
      </c>
      <c r="D22" s="309"/>
      <c r="E22" s="83" t="s">
        <v>531</v>
      </c>
      <c r="F22" s="108">
        <f t="shared" si="1"/>
        <v>11</v>
      </c>
    </row>
    <row r="23" spans="1:6">
      <c r="A23" s="108">
        <f t="shared" si="0"/>
        <v>12</v>
      </c>
      <c r="B23" s="7"/>
      <c r="C23" s="457"/>
      <c r="D23" s="81"/>
      <c r="E23" s="90"/>
      <c r="F23" s="108">
        <f t="shared" si="1"/>
        <v>12</v>
      </c>
    </row>
    <row r="24" spans="1:6">
      <c r="A24" s="108">
        <f t="shared" si="0"/>
        <v>13</v>
      </c>
      <c r="B24" s="10" t="s">
        <v>385</v>
      </c>
      <c r="C24" s="454"/>
      <c r="D24" s="86"/>
      <c r="E24" s="90"/>
      <c r="F24" s="108">
        <f t="shared" si="1"/>
        <v>13</v>
      </c>
    </row>
    <row r="25" spans="1:6">
      <c r="A25" s="108">
        <f t="shared" si="0"/>
        <v>14</v>
      </c>
      <c r="B25" s="80" t="s">
        <v>386</v>
      </c>
      <c r="C25" s="875">
        <v>-793996.88725127722</v>
      </c>
      <c r="D25" s="641" t="s">
        <v>439</v>
      </c>
      <c r="E25" s="83" t="s">
        <v>699</v>
      </c>
      <c r="F25" s="108">
        <f t="shared" si="1"/>
        <v>14</v>
      </c>
    </row>
    <row r="26" spans="1:6">
      <c r="A26" s="108">
        <f t="shared" si="0"/>
        <v>15</v>
      </c>
      <c r="B26" s="80" t="s">
        <v>387</v>
      </c>
      <c r="C26" s="459">
        <v>0</v>
      </c>
      <c r="D26" s="82"/>
      <c r="E26" s="83" t="s">
        <v>532</v>
      </c>
      <c r="F26" s="108">
        <f t="shared" si="1"/>
        <v>15</v>
      </c>
    </row>
    <row r="27" spans="1:6">
      <c r="A27" s="108">
        <f t="shared" si="0"/>
        <v>16</v>
      </c>
      <c r="B27" s="7" t="s">
        <v>388</v>
      </c>
      <c r="C27" s="787">
        <f>SUM(C25:C26)</f>
        <v>-793996.88725127722</v>
      </c>
      <c r="D27" s="89"/>
      <c r="E27" s="83" t="s">
        <v>533</v>
      </c>
      <c r="F27" s="108">
        <f t="shared" si="1"/>
        <v>16</v>
      </c>
    </row>
    <row r="28" spans="1:6">
      <c r="A28" s="108">
        <f t="shared" si="0"/>
        <v>17</v>
      </c>
      <c r="B28" s="79"/>
      <c r="C28" s="460"/>
      <c r="D28" s="87"/>
      <c r="E28" s="90"/>
      <c r="F28" s="108">
        <f t="shared" si="1"/>
        <v>17</v>
      </c>
    </row>
    <row r="29" spans="1:6">
      <c r="A29" s="108">
        <f t="shared" si="0"/>
        <v>18</v>
      </c>
      <c r="B29" s="10" t="s">
        <v>389</v>
      </c>
      <c r="C29" s="460"/>
      <c r="D29" s="87"/>
      <c r="E29" s="90"/>
      <c r="F29" s="108">
        <f t="shared" si="1"/>
        <v>18</v>
      </c>
    </row>
    <row r="30" spans="1:6">
      <c r="A30" s="108">
        <f t="shared" si="0"/>
        <v>19</v>
      </c>
      <c r="B30" s="7" t="s">
        <v>390</v>
      </c>
      <c r="C30" s="827">
        <v>52608.351266362319</v>
      </c>
      <c r="D30" s="641" t="s">
        <v>439</v>
      </c>
      <c r="E30" s="83" t="s">
        <v>678</v>
      </c>
      <c r="F30" s="108">
        <f t="shared" si="1"/>
        <v>19</v>
      </c>
    </row>
    <row r="31" spans="1:6">
      <c r="A31" s="108">
        <f t="shared" si="0"/>
        <v>20</v>
      </c>
      <c r="B31" s="7" t="s">
        <v>391</v>
      </c>
      <c r="C31" s="774">
        <v>19882.453617015279</v>
      </c>
      <c r="D31" s="641" t="s">
        <v>439</v>
      </c>
      <c r="E31" s="83" t="s">
        <v>679</v>
      </c>
      <c r="F31" s="108">
        <f t="shared" si="1"/>
        <v>20</v>
      </c>
    </row>
    <row r="32" spans="1:6">
      <c r="A32" s="108">
        <f t="shared" si="0"/>
        <v>21</v>
      </c>
      <c r="B32" s="7" t="s">
        <v>392</v>
      </c>
      <c r="C32" s="786">
        <v>9260.3814829215862</v>
      </c>
      <c r="D32" s="641" t="s">
        <v>439</v>
      </c>
      <c r="E32" s="83" t="s">
        <v>680</v>
      </c>
      <c r="F32" s="108">
        <f t="shared" si="1"/>
        <v>21</v>
      </c>
    </row>
    <row r="33" spans="1:6">
      <c r="A33" s="108">
        <f t="shared" si="0"/>
        <v>22</v>
      </c>
      <c r="B33" s="7" t="s">
        <v>393</v>
      </c>
      <c r="C33" s="787">
        <f>SUM(C30:C32)</f>
        <v>81751.186366299182</v>
      </c>
      <c r="D33" s="641" t="s">
        <v>439</v>
      </c>
      <c r="E33" s="83" t="s">
        <v>534</v>
      </c>
      <c r="F33" s="108">
        <f t="shared" si="1"/>
        <v>22</v>
      </c>
    </row>
    <row r="34" spans="1:6">
      <c r="A34" s="108">
        <f t="shared" si="0"/>
        <v>23</v>
      </c>
      <c r="B34" s="64"/>
      <c r="C34" s="461"/>
      <c r="D34" s="88"/>
      <c r="E34" s="90"/>
      <c r="F34" s="108">
        <f t="shared" si="1"/>
        <v>23</v>
      </c>
    </row>
    <row r="35" spans="1:6">
      <c r="A35" s="108">
        <f t="shared" si="0"/>
        <v>24</v>
      </c>
      <c r="B35" s="7" t="s">
        <v>394</v>
      </c>
      <c r="C35" s="602">
        <v>0</v>
      </c>
      <c r="D35" s="82"/>
      <c r="E35" s="83" t="s">
        <v>161</v>
      </c>
      <c r="F35" s="108">
        <f t="shared" si="1"/>
        <v>24</v>
      </c>
    </row>
    <row r="36" spans="1:6">
      <c r="A36" s="108">
        <f t="shared" si="0"/>
        <v>25</v>
      </c>
      <c r="B36" s="7"/>
      <c r="C36" s="461"/>
      <c r="D36" s="88"/>
      <c r="E36" s="90"/>
      <c r="F36" s="108">
        <f t="shared" si="1"/>
        <v>25</v>
      </c>
    </row>
    <row r="37" spans="1:6" ht="16" thickBot="1">
      <c r="A37" s="108">
        <f t="shared" si="0"/>
        <v>26</v>
      </c>
      <c r="B37" s="7" t="s">
        <v>395</v>
      </c>
      <c r="C37" s="788">
        <f>C17+C22+C27+C33+C35</f>
        <v>3992783.1369654285</v>
      </c>
      <c r="D37" s="641" t="s">
        <v>439</v>
      </c>
      <c r="E37" s="83" t="s">
        <v>535</v>
      </c>
      <c r="F37" s="108">
        <f t="shared" si="1"/>
        <v>26</v>
      </c>
    </row>
    <row r="38" spans="1:6" ht="16" thickTop="1">
      <c r="A38" s="108">
        <f t="shared" si="0"/>
        <v>27</v>
      </c>
      <c r="B38" s="64"/>
      <c r="C38" s="462"/>
      <c r="D38" s="89"/>
      <c r="E38" s="90"/>
      <c r="F38" s="108">
        <f t="shared" si="1"/>
        <v>27</v>
      </c>
    </row>
    <row r="39" spans="1:6" ht="18.5">
      <c r="A39" s="108">
        <f t="shared" si="0"/>
        <v>28</v>
      </c>
      <c r="B39" s="10" t="s">
        <v>396</v>
      </c>
      <c r="C39" s="462"/>
      <c r="D39" s="89"/>
      <c r="E39" s="90"/>
      <c r="F39" s="108">
        <f t="shared" si="1"/>
        <v>28</v>
      </c>
    </row>
    <row r="40" spans="1:6">
      <c r="A40" s="108">
        <f t="shared" si="0"/>
        <v>29</v>
      </c>
      <c r="B40" s="7" t="s">
        <v>397</v>
      </c>
      <c r="C40" s="458">
        <f>C90</f>
        <v>0</v>
      </c>
      <c r="D40" s="301"/>
      <c r="E40" s="83" t="s">
        <v>536</v>
      </c>
      <c r="F40" s="108">
        <f t="shared" si="1"/>
        <v>29</v>
      </c>
    </row>
    <row r="41" spans="1:6">
      <c r="A41" s="108">
        <f t="shared" si="0"/>
        <v>30</v>
      </c>
      <c r="B41" s="7" t="s">
        <v>398</v>
      </c>
      <c r="C41" s="463">
        <v>0</v>
      </c>
      <c r="D41" s="82"/>
      <c r="E41" s="83" t="s">
        <v>537</v>
      </c>
      <c r="F41" s="108">
        <f t="shared" si="1"/>
        <v>30</v>
      </c>
    </row>
    <row r="42" spans="1:6">
      <c r="A42" s="108">
        <f t="shared" si="0"/>
        <v>31</v>
      </c>
      <c r="B42" s="80" t="s">
        <v>399</v>
      </c>
      <c r="C42" s="787">
        <f>C40+C41</f>
        <v>0</v>
      </c>
      <c r="D42" s="89"/>
      <c r="E42" s="83" t="s">
        <v>538</v>
      </c>
      <c r="F42" s="108">
        <f t="shared" si="1"/>
        <v>31</v>
      </c>
    </row>
    <row r="43" spans="1:6">
      <c r="A43" s="108">
        <f t="shared" si="0"/>
        <v>32</v>
      </c>
      <c r="B43" s="64"/>
      <c r="C43" s="462"/>
      <c r="D43" s="89"/>
      <c r="E43" s="90"/>
      <c r="F43" s="108">
        <f t="shared" si="1"/>
        <v>32</v>
      </c>
    </row>
    <row r="44" spans="1:6" ht="18.5">
      <c r="A44" s="108">
        <f t="shared" si="0"/>
        <v>33</v>
      </c>
      <c r="B44" s="10" t="s">
        <v>400</v>
      </c>
      <c r="C44" s="462"/>
      <c r="D44" s="89"/>
      <c r="E44" s="90"/>
      <c r="F44" s="108">
        <f t="shared" si="1"/>
        <v>33</v>
      </c>
    </row>
    <row r="45" spans="1:6">
      <c r="A45" s="108">
        <f t="shared" si="0"/>
        <v>34</v>
      </c>
      <c r="B45" s="7" t="s">
        <v>401</v>
      </c>
      <c r="C45" s="464">
        <v>0</v>
      </c>
      <c r="D45" s="82"/>
      <c r="E45" s="83" t="s">
        <v>161</v>
      </c>
      <c r="F45" s="108">
        <f t="shared" si="1"/>
        <v>34</v>
      </c>
    </row>
    <row r="46" spans="1:6">
      <c r="A46" s="108">
        <f t="shared" si="0"/>
        <v>35</v>
      </c>
      <c r="B46" s="80" t="s">
        <v>402</v>
      </c>
      <c r="C46" s="604">
        <v>0</v>
      </c>
      <c r="D46" s="82"/>
      <c r="E46" s="83" t="s">
        <v>539</v>
      </c>
      <c r="F46" s="108">
        <f t="shared" si="1"/>
        <v>35</v>
      </c>
    </row>
    <row r="47" spans="1:6">
      <c r="A47" s="108">
        <f t="shared" si="0"/>
        <v>36</v>
      </c>
      <c r="B47" s="80" t="s">
        <v>403</v>
      </c>
      <c r="C47" s="787">
        <f>C45+C46</f>
        <v>0</v>
      </c>
      <c r="D47" s="89"/>
      <c r="E47" s="83" t="s">
        <v>492</v>
      </c>
      <c r="F47" s="108">
        <f t="shared" si="1"/>
        <v>36</v>
      </c>
    </row>
    <row r="48" spans="1:6">
      <c r="A48" s="108">
        <f t="shared" si="0"/>
        <v>37</v>
      </c>
      <c r="B48" s="64"/>
      <c r="C48" s="462"/>
      <c r="D48" s="89"/>
      <c r="E48" s="90"/>
      <c r="F48" s="108">
        <f t="shared" si="1"/>
        <v>37</v>
      </c>
    </row>
    <row r="49" spans="1:6" ht="19" thickBot="1">
      <c r="A49" s="108">
        <f t="shared" si="0"/>
        <v>38</v>
      </c>
      <c r="B49" s="10" t="s">
        <v>404</v>
      </c>
      <c r="C49" s="605">
        <v>0</v>
      </c>
      <c r="D49" s="82"/>
      <c r="E49" s="83" t="s">
        <v>161</v>
      </c>
      <c r="F49" s="108">
        <f t="shared" si="1"/>
        <v>38</v>
      </c>
    </row>
    <row r="50" spans="1:6" ht="16" thickTop="1">
      <c r="A50" s="108"/>
      <c r="B50" s="64"/>
      <c r="C50" s="89"/>
      <c r="D50" s="89"/>
      <c r="E50" s="90"/>
      <c r="F50" s="108"/>
    </row>
    <row r="51" spans="1:6">
      <c r="A51" s="108"/>
      <c r="B51" s="64"/>
      <c r="C51" s="89"/>
      <c r="D51" s="89"/>
      <c r="E51" s="90"/>
      <c r="F51" s="108"/>
    </row>
    <row r="52" spans="1:6">
      <c r="A52" s="641" t="s">
        <v>439</v>
      </c>
      <c r="B52" s="5" t="str">
        <f>'Pg10.1 As Filed Stmt AL FERC'!B33</f>
        <v>Items in bold have changed due to various FERC Audit adj. compared to Appendix X Cycle 8 filing per ER19-2017 and cost adj. incl. in Appendix X Cycle 10 per ER22-139.</v>
      </c>
      <c r="C52" s="89"/>
      <c r="D52" s="89"/>
      <c r="E52" s="90"/>
      <c r="F52" s="108"/>
    </row>
    <row r="53" spans="1:6" ht="18">
      <c r="A53" s="334">
        <v>1</v>
      </c>
      <c r="B53" s="191" t="s">
        <v>405</v>
      </c>
      <c r="C53" s="89"/>
      <c r="D53" s="89"/>
      <c r="E53" s="90"/>
      <c r="F53" s="108"/>
    </row>
    <row r="54" spans="1:6" ht="18">
      <c r="A54" s="334"/>
      <c r="B54" s="80" t="s">
        <v>406</v>
      </c>
      <c r="C54" s="89"/>
      <c r="D54" s="89"/>
      <c r="E54" s="90"/>
      <c r="F54" s="108"/>
    </row>
    <row r="55" spans="1:6">
      <c r="A55" s="108"/>
      <c r="B55" s="64"/>
      <c r="C55" s="89"/>
      <c r="D55" s="89"/>
      <c r="E55" s="90"/>
      <c r="F55" s="108"/>
    </row>
    <row r="56" spans="1:6">
      <c r="A56" s="108"/>
      <c r="B56" s="79"/>
      <c r="C56" s="89"/>
      <c r="D56" s="89"/>
      <c r="E56" s="90"/>
      <c r="F56" s="108"/>
    </row>
    <row r="57" spans="1:6">
      <c r="A57" s="108"/>
      <c r="B57" s="958" t="s">
        <v>56</v>
      </c>
      <c r="C57" s="986"/>
      <c r="D57" s="986"/>
      <c r="E57" s="986"/>
      <c r="F57" s="108"/>
    </row>
    <row r="58" spans="1:6">
      <c r="A58" s="108"/>
      <c r="B58" s="958" t="s">
        <v>375</v>
      </c>
      <c r="C58" s="986"/>
      <c r="D58" s="986"/>
      <c r="E58" s="986"/>
      <c r="F58" s="108"/>
    </row>
    <row r="59" spans="1:6">
      <c r="A59" s="108"/>
      <c r="B59" s="983" t="str">
        <f>B5</f>
        <v>Base Period &amp; True-Up Period 12 - Months Ending December 31, 2018</v>
      </c>
      <c r="C59" s="984"/>
      <c r="D59" s="984"/>
      <c r="E59" s="984"/>
      <c r="F59" s="108"/>
    </row>
    <row r="60" spans="1:6">
      <c r="A60" s="108"/>
      <c r="B60" s="985" t="s">
        <v>1</v>
      </c>
      <c r="C60" s="986"/>
      <c r="D60" s="986"/>
      <c r="E60" s="986"/>
      <c r="F60" s="108"/>
    </row>
    <row r="61" spans="1:6">
      <c r="A61" s="108"/>
      <c r="B61" s="500"/>
      <c r="C61" s="79"/>
      <c r="D61" s="79"/>
      <c r="E61" s="79"/>
      <c r="F61" s="108"/>
    </row>
    <row r="62" spans="1:6">
      <c r="A62" s="108" t="s">
        <v>2</v>
      </c>
      <c r="B62" s="79"/>
      <c r="C62" s="82"/>
      <c r="D62" s="82"/>
      <c r="E62" s="90"/>
      <c r="F62" s="108" t="s">
        <v>2</v>
      </c>
    </row>
    <row r="63" spans="1:6">
      <c r="A63" s="108" t="s">
        <v>3</v>
      </c>
      <c r="B63" s="79" t="s">
        <v>6</v>
      </c>
      <c r="C63" s="599" t="s">
        <v>32</v>
      </c>
      <c r="D63" s="599"/>
      <c r="E63" s="600" t="s">
        <v>5</v>
      </c>
      <c r="F63" s="108" t="s">
        <v>3</v>
      </c>
    </row>
    <row r="64" spans="1:6">
      <c r="A64" s="108"/>
      <c r="B64" s="10" t="s">
        <v>407</v>
      </c>
      <c r="C64" s="82"/>
      <c r="D64" s="82"/>
      <c r="E64" s="90"/>
      <c r="F64" s="108"/>
    </row>
    <row r="65" spans="1:8">
      <c r="A65" s="108"/>
      <c r="B65" s="10"/>
      <c r="C65" s="82"/>
      <c r="D65" s="82"/>
      <c r="E65" s="90"/>
      <c r="F65" s="108"/>
    </row>
    <row r="66" spans="1:8">
      <c r="A66" s="108">
        <v>1</v>
      </c>
      <c r="B66" s="10" t="s">
        <v>408</v>
      </c>
      <c r="C66" s="82"/>
      <c r="D66" s="82"/>
      <c r="E66" s="90"/>
      <c r="F66" s="108">
        <f>A66</f>
        <v>1</v>
      </c>
    </row>
    <row r="67" spans="1:8">
      <c r="A67" s="108">
        <f>A66+1</f>
        <v>2</v>
      </c>
      <c r="B67" s="7" t="s">
        <v>378</v>
      </c>
      <c r="C67" s="821">
        <v>5762981.7698807688</v>
      </c>
      <c r="D67" s="641" t="s">
        <v>439</v>
      </c>
      <c r="E67" s="83" t="s">
        <v>673</v>
      </c>
      <c r="F67" s="108">
        <f>F66+1</f>
        <v>2</v>
      </c>
      <c r="G67" s="103"/>
      <c r="H67" s="104"/>
    </row>
    <row r="68" spans="1:8">
      <c r="A68" s="108">
        <f t="shared" ref="A68:A90" si="2">A67+1</f>
        <v>3</v>
      </c>
      <c r="B68" s="7" t="s">
        <v>409</v>
      </c>
      <c r="C68" s="822">
        <v>18364.681904653335</v>
      </c>
      <c r="D68" s="641" t="s">
        <v>439</v>
      </c>
      <c r="E68" s="83" t="s">
        <v>700</v>
      </c>
      <c r="F68" s="108">
        <f t="shared" ref="F68:F90" si="3">F67+1</f>
        <v>3</v>
      </c>
      <c r="G68" s="103"/>
      <c r="H68" s="104"/>
    </row>
    <row r="69" spans="1:8">
      <c r="A69" s="108">
        <f t="shared" si="2"/>
        <v>4</v>
      </c>
      <c r="B69" s="7" t="s">
        <v>155</v>
      </c>
      <c r="C69" s="822">
        <v>40640.98521124445</v>
      </c>
      <c r="D69" s="641" t="s">
        <v>439</v>
      </c>
      <c r="E69" s="83" t="s">
        <v>691</v>
      </c>
      <c r="F69" s="108">
        <f t="shared" si="3"/>
        <v>4</v>
      </c>
      <c r="G69" s="103"/>
      <c r="H69" s="105"/>
    </row>
    <row r="70" spans="1:8">
      <c r="A70" s="108">
        <f t="shared" si="2"/>
        <v>5</v>
      </c>
      <c r="B70" s="7" t="s">
        <v>379</v>
      </c>
      <c r="C70" s="823">
        <v>94758.172821047265</v>
      </c>
      <c r="D70" s="641" t="s">
        <v>439</v>
      </c>
      <c r="E70" s="83" t="s">
        <v>692</v>
      </c>
      <c r="F70" s="108">
        <f t="shared" si="3"/>
        <v>5</v>
      </c>
      <c r="G70" s="104"/>
      <c r="H70" s="104"/>
    </row>
    <row r="71" spans="1:8">
      <c r="A71" s="108">
        <f t="shared" si="2"/>
        <v>6</v>
      </c>
      <c r="B71" s="7" t="s">
        <v>410</v>
      </c>
      <c r="C71" s="787">
        <f>SUM(C67:C70)</f>
        <v>5916745.6098177144</v>
      </c>
      <c r="D71" s="641" t="s">
        <v>439</v>
      </c>
      <c r="E71" s="83" t="s">
        <v>529</v>
      </c>
      <c r="F71" s="108">
        <f t="shared" si="3"/>
        <v>6</v>
      </c>
      <c r="G71" s="103"/>
      <c r="H71" s="104"/>
    </row>
    <row r="72" spans="1:8">
      <c r="A72" s="108">
        <f t="shared" si="2"/>
        <v>7</v>
      </c>
      <c r="B72" s="80"/>
      <c r="C72" s="467"/>
      <c r="D72" s="82"/>
      <c r="E72" s="90"/>
      <c r="F72" s="108">
        <f t="shared" si="3"/>
        <v>7</v>
      </c>
      <c r="G72" s="104"/>
      <c r="H72" s="104"/>
    </row>
    <row r="73" spans="1:8">
      <c r="A73" s="108">
        <f t="shared" si="2"/>
        <v>8</v>
      </c>
      <c r="B73" s="9" t="s">
        <v>411</v>
      </c>
      <c r="C73" s="467"/>
      <c r="D73" s="82"/>
      <c r="E73" s="90"/>
      <c r="F73" s="108">
        <f t="shared" si="3"/>
        <v>8</v>
      </c>
      <c r="G73" s="104"/>
      <c r="H73" s="104"/>
    </row>
    <row r="74" spans="1:8">
      <c r="A74" s="108">
        <f t="shared" si="2"/>
        <v>9</v>
      </c>
      <c r="B74" s="80" t="s">
        <v>412</v>
      </c>
      <c r="C74" s="821">
        <v>1138509.1170211539</v>
      </c>
      <c r="D74" s="641" t="s">
        <v>439</v>
      </c>
      <c r="E74" s="83" t="s">
        <v>701</v>
      </c>
      <c r="F74" s="108">
        <f t="shared" si="3"/>
        <v>9</v>
      </c>
      <c r="G74" s="104"/>
      <c r="H74" s="104"/>
    </row>
    <row r="75" spans="1:8">
      <c r="A75" s="108">
        <f t="shared" si="2"/>
        <v>10</v>
      </c>
      <c r="B75" s="80" t="s">
        <v>158</v>
      </c>
      <c r="C75" s="822">
        <v>12339</v>
      </c>
      <c r="D75" s="641" t="s">
        <v>439</v>
      </c>
      <c r="E75" s="83" t="s">
        <v>702</v>
      </c>
      <c r="F75" s="108">
        <f t="shared" si="3"/>
        <v>10</v>
      </c>
      <c r="G75" s="104"/>
      <c r="H75" s="104"/>
    </row>
    <row r="76" spans="1:8">
      <c r="A76" s="108">
        <f t="shared" si="2"/>
        <v>11</v>
      </c>
      <c r="B76" s="80" t="s">
        <v>413</v>
      </c>
      <c r="C76" s="822">
        <v>16278</v>
      </c>
      <c r="D76" s="641" t="s">
        <v>439</v>
      </c>
      <c r="E76" s="83" t="s">
        <v>703</v>
      </c>
      <c r="F76" s="108">
        <f t="shared" si="3"/>
        <v>11</v>
      </c>
      <c r="G76" s="104"/>
      <c r="H76" s="104"/>
    </row>
    <row r="77" spans="1:8">
      <c r="A77" s="108">
        <f t="shared" si="2"/>
        <v>12</v>
      </c>
      <c r="B77" s="80" t="s">
        <v>414</v>
      </c>
      <c r="C77" s="823">
        <v>45541</v>
      </c>
      <c r="D77" s="641" t="s">
        <v>439</v>
      </c>
      <c r="E77" s="83" t="s">
        <v>704</v>
      </c>
      <c r="F77" s="108">
        <f t="shared" si="3"/>
        <v>12</v>
      </c>
      <c r="G77" s="104"/>
      <c r="H77" s="104"/>
    </row>
    <row r="78" spans="1:8">
      <c r="A78" s="108">
        <f t="shared" si="2"/>
        <v>13</v>
      </c>
      <c r="B78" s="310" t="s">
        <v>159</v>
      </c>
      <c r="C78" s="787">
        <f>SUM(C74:C77)</f>
        <v>1212667.1170211539</v>
      </c>
      <c r="D78" s="641" t="s">
        <v>439</v>
      </c>
      <c r="E78" s="83" t="s">
        <v>540</v>
      </c>
      <c r="F78" s="108">
        <f t="shared" si="3"/>
        <v>13</v>
      </c>
      <c r="G78" s="104"/>
      <c r="H78" s="104"/>
    </row>
    <row r="79" spans="1:8">
      <c r="A79" s="108">
        <f t="shared" si="2"/>
        <v>14</v>
      </c>
      <c r="B79" s="310"/>
      <c r="C79" s="460"/>
      <c r="D79" s="87"/>
      <c r="E79" s="90"/>
      <c r="F79" s="108">
        <f t="shared" si="3"/>
        <v>14</v>
      </c>
      <c r="G79" s="104"/>
      <c r="H79" s="104"/>
    </row>
    <row r="80" spans="1:8">
      <c r="A80" s="108">
        <f t="shared" si="2"/>
        <v>15</v>
      </c>
      <c r="B80" s="10" t="s">
        <v>377</v>
      </c>
      <c r="C80" s="460"/>
      <c r="D80" s="87"/>
      <c r="E80" s="90"/>
      <c r="F80" s="108">
        <f t="shared" si="3"/>
        <v>15</v>
      </c>
      <c r="G80" s="104"/>
      <c r="H80" s="104"/>
    </row>
    <row r="81" spans="1:8">
      <c r="A81" s="108">
        <f t="shared" si="2"/>
        <v>16</v>
      </c>
      <c r="B81" s="7" t="s">
        <v>378</v>
      </c>
      <c r="C81" s="824">
        <f>C67-C74</f>
        <v>4624472.6528596152</v>
      </c>
      <c r="D81" s="641" t="s">
        <v>439</v>
      </c>
      <c r="E81" s="83" t="s">
        <v>541</v>
      </c>
      <c r="F81" s="108">
        <f t="shared" si="3"/>
        <v>16</v>
      </c>
      <c r="G81" s="104"/>
      <c r="H81" s="104"/>
    </row>
    <row r="82" spans="1:8">
      <c r="A82" s="108">
        <f t="shared" si="2"/>
        <v>17</v>
      </c>
      <c r="B82" s="7" t="s">
        <v>154</v>
      </c>
      <c r="C82" s="460">
        <f>C68-C75</f>
        <v>6025.6819046533346</v>
      </c>
      <c r="D82" s="641" t="s">
        <v>439</v>
      </c>
      <c r="E82" s="83" t="s">
        <v>542</v>
      </c>
      <c r="F82" s="108">
        <f t="shared" si="3"/>
        <v>17</v>
      </c>
      <c r="G82" s="104"/>
      <c r="H82" s="104"/>
    </row>
    <row r="83" spans="1:8">
      <c r="A83" s="108">
        <f t="shared" si="2"/>
        <v>18</v>
      </c>
      <c r="B83" s="7" t="s">
        <v>155</v>
      </c>
      <c r="C83" s="460">
        <f>C69-C76</f>
        <v>24362.98521124445</v>
      </c>
      <c r="D83" s="641" t="s">
        <v>439</v>
      </c>
      <c r="E83" s="83" t="s">
        <v>543</v>
      </c>
      <c r="F83" s="108">
        <f t="shared" si="3"/>
        <v>18</v>
      </c>
    </row>
    <row r="84" spans="1:8">
      <c r="A84" s="108">
        <f t="shared" si="2"/>
        <v>19</v>
      </c>
      <c r="B84" s="7" t="s">
        <v>379</v>
      </c>
      <c r="C84" s="825">
        <f>C70-C77</f>
        <v>49217.172821047265</v>
      </c>
      <c r="D84" s="641" t="s">
        <v>439</v>
      </c>
      <c r="E84" s="83" t="s">
        <v>544</v>
      </c>
      <c r="F84" s="108">
        <f t="shared" si="3"/>
        <v>19</v>
      </c>
    </row>
    <row r="85" spans="1:8" ht="16" thickBot="1">
      <c r="A85" s="108">
        <f t="shared" si="2"/>
        <v>20</v>
      </c>
      <c r="B85" s="80" t="s">
        <v>380</v>
      </c>
      <c r="C85" s="826">
        <f>SUM(C81:C84)</f>
        <v>4704078.4927965607</v>
      </c>
      <c r="D85" s="641" t="s">
        <v>439</v>
      </c>
      <c r="E85" s="83" t="s">
        <v>545</v>
      </c>
      <c r="F85" s="108">
        <f t="shared" si="3"/>
        <v>20</v>
      </c>
    </row>
    <row r="86" spans="1:8" ht="16" thickTop="1">
      <c r="A86" s="108">
        <f t="shared" si="2"/>
        <v>21</v>
      </c>
      <c r="B86" s="80"/>
      <c r="C86" s="462"/>
      <c r="D86" s="89"/>
      <c r="E86" s="90"/>
      <c r="F86" s="108">
        <f t="shared" si="3"/>
        <v>21</v>
      </c>
    </row>
    <row r="87" spans="1:8" ht="18.5">
      <c r="A87" s="108">
        <f t="shared" si="2"/>
        <v>22</v>
      </c>
      <c r="B87" s="10" t="s">
        <v>415</v>
      </c>
      <c r="C87" s="462"/>
      <c r="D87" s="89"/>
      <c r="E87" s="90"/>
      <c r="F87" s="108">
        <f t="shared" si="3"/>
        <v>22</v>
      </c>
    </row>
    <row r="88" spans="1:8">
      <c r="A88" s="108">
        <f t="shared" si="2"/>
        <v>23</v>
      </c>
      <c r="B88" s="7" t="s">
        <v>416</v>
      </c>
      <c r="C88" s="458">
        <v>0</v>
      </c>
      <c r="D88" s="82"/>
      <c r="E88" s="83" t="s">
        <v>546</v>
      </c>
      <c r="F88" s="108">
        <f t="shared" si="3"/>
        <v>23</v>
      </c>
    </row>
    <row r="89" spans="1:8">
      <c r="A89" s="108">
        <f t="shared" si="2"/>
        <v>24</v>
      </c>
      <c r="B89" s="80" t="s">
        <v>417</v>
      </c>
      <c r="C89" s="604">
        <v>0</v>
      </c>
      <c r="D89" s="82"/>
      <c r="E89" s="83" t="s">
        <v>547</v>
      </c>
      <c r="F89" s="108">
        <f t="shared" si="3"/>
        <v>24</v>
      </c>
    </row>
    <row r="90" spans="1:8" ht="16" thickBot="1">
      <c r="A90" s="108">
        <f t="shared" si="2"/>
        <v>25</v>
      </c>
      <c r="B90" s="7" t="s">
        <v>418</v>
      </c>
      <c r="C90" s="603">
        <f>C88-C89</f>
        <v>0</v>
      </c>
      <c r="D90" s="89"/>
      <c r="E90" s="83" t="s">
        <v>548</v>
      </c>
      <c r="F90" s="108">
        <f t="shared" si="3"/>
        <v>25</v>
      </c>
    </row>
    <row r="91" spans="1:8" ht="16" thickTop="1">
      <c r="A91" s="108"/>
      <c r="B91" s="64"/>
      <c r="C91" s="89"/>
      <c r="D91" s="89"/>
      <c r="E91" s="90"/>
      <c r="F91" s="108"/>
    </row>
    <row r="92" spans="1:8">
      <c r="A92" s="108"/>
      <c r="B92" s="64"/>
      <c r="C92" s="89"/>
      <c r="D92" s="89"/>
      <c r="E92" s="90"/>
      <c r="F92" s="108"/>
    </row>
    <row r="93" spans="1:8">
      <c r="A93" s="641" t="s">
        <v>439</v>
      </c>
      <c r="B93" s="5" t="s">
        <v>709</v>
      </c>
      <c r="C93" s="89"/>
      <c r="D93" s="89"/>
      <c r="E93" s="90"/>
      <c r="F93" s="108"/>
    </row>
    <row r="94" spans="1:8" ht="18">
      <c r="A94" s="109">
        <v>1</v>
      </c>
      <c r="B94" s="191" t="s">
        <v>405</v>
      </c>
      <c r="C94" s="89"/>
      <c r="D94" s="89"/>
      <c r="E94" s="90"/>
      <c r="F94" s="108"/>
    </row>
    <row r="95" spans="1:8">
      <c r="A95" s="335"/>
      <c r="B95" s="80" t="s">
        <v>406</v>
      </c>
      <c r="C95" s="89"/>
      <c r="D95" s="89"/>
      <c r="E95" s="90"/>
      <c r="F95" s="108"/>
    </row>
    <row r="96" spans="1:8">
      <c r="A96" s="108"/>
      <c r="B96" s="79"/>
      <c r="C96" s="89"/>
      <c r="D96" s="89"/>
      <c r="E96" s="90"/>
      <c r="F96" s="108"/>
    </row>
  </sheetData>
  <mergeCells count="8">
    <mergeCell ref="B59:E59"/>
    <mergeCell ref="B60:E60"/>
    <mergeCell ref="B3:E3"/>
    <mergeCell ref="B4:E4"/>
    <mergeCell ref="B5:E5"/>
    <mergeCell ref="B6:E6"/>
    <mergeCell ref="B57:E57"/>
    <mergeCell ref="B58:E58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 AV-4 WITH COST ADJ INCL IN APPENDIX X CYCLE 12 (ER24-176)</oddHeader>
    <oddFooter>&amp;L&amp;F&amp;CPage 14.&amp;P&amp;R&amp;A</oddFooter>
  </headerFooter>
  <rowBreaks count="1" manualBreakCount="1">
    <brk id="5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63AD-0B81-4EDD-8927-1D9884FA944E}">
  <dimension ref="A2:L110"/>
  <sheetViews>
    <sheetView zoomScale="80" zoomScaleNormal="80" workbookViewId="0"/>
  </sheetViews>
  <sheetFormatPr defaultColWidth="9.08984375" defaultRowHeight="15.5"/>
  <cols>
    <col min="1" max="1" width="5.08984375" style="102" customWidth="1"/>
    <col min="2" max="2" width="12.6328125" style="111" customWidth="1"/>
    <col min="3" max="3" width="20" style="111" customWidth="1"/>
    <col min="4" max="4" width="23.1796875" style="111" bestFit="1" customWidth="1"/>
    <col min="5" max="8" width="21.6328125" style="111" customWidth="1"/>
    <col min="9" max="9" width="5.08984375" style="102" customWidth="1"/>
    <col min="10" max="10" width="13.6328125" style="111" customWidth="1"/>
    <col min="11" max="11" width="12.6328125" style="111" customWidth="1"/>
    <col min="12" max="16384" width="9.08984375" style="111"/>
  </cols>
  <sheetData>
    <row r="2" spans="1:9">
      <c r="B2" s="987" t="s">
        <v>0</v>
      </c>
      <c r="C2" s="987"/>
      <c r="D2" s="987"/>
      <c r="E2" s="987"/>
      <c r="F2" s="987"/>
      <c r="G2" s="987"/>
      <c r="H2" s="987"/>
    </row>
    <row r="3" spans="1:9">
      <c r="B3" s="987" t="s">
        <v>429</v>
      </c>
      <c r="C3" s="987"/>
      <c r="D3" s="987"/>
      <c r="E3" s="987"/>
      <c r="F3" s="987"/>
      <c r="G3" s="987"/>
      <c r="H3" s="987"/>
      <c r="I3" s="267"/>
    </row>
    <row r="4" spans="1:9">
      <c r="B4" s="988" t="s">
        <v>714</v>
      </c>
      <c r="C4" s="988"/>
      <c r="D4" s="988"/>
      <c r="E4" s="988"/>
      <c r="F4" s="988"/>
      <c r="G4" s="988"/>
      <c r="H4" s="988"/>
      <c r="I4" s="267"/>
    </row>
    <row r="5" spans="1:9">
      <c r="B5" s="988" t="s">
        <v>549</v>
      </c>
      <c r="C5" s="988"/>
      <c r="D5" s="988"/>
      <c r="E5" s="988"/>
      <c r="F5" s="988"/>
      <c r="G5" s="988"/>
      <c r="H5" s="988"/>
      <c r="I5" s="267"/>
    </row>
    <row r="6" spans="1:9">
      <c r="B6" s="989" t="s">
        <v>1</v>
      </c>
      <c r="C6" s="989"/>
      <c r="D6" s="989"/>
      <c r="E6" s="989"/>
      <c r="F6" s="989"/>
      <c r="G6" s="989"/>
      <c r="H6" s="989"/>
      <c r="I6" s="267"/>
    </row>
    <row r="7" spans="1:9">
      <c r="A7" s="267"/>
      <c r="B7" s="267"/>
      <c r="C7" s="267"/>
      <c r="D7" s="267"/>
      <c r="E7" s="267"/>
      <c r="F7" s="267"/>
      <c r="G7" s="267"/>
      <c r="H7" s="267"/>
      <c r="I7" s="267"/>
    </row>
    <row r="8" spans="1:9">
      <c r="A8" s="126" t="s">
        <v>2</v>
      </c>
      <c r="B8" s="216"/>
      <c r="I8" s="126" t="s">
        <v>2</v>
      </c>
    </row>
    <row r="9" spans="1:9">
      <c r="A9" s="559" t="s">
        <v>3</v>
      </c>
      <c r="B9" s="216"/>
      <c r="I9" s="559" t="s">
        <v>3</v>
      </c>
    </row>
    <row r="10" spans="1:9">
      <c r="A10" s="126">
        <v>1</v>
      </c>
      <c r="C10" s="790" t="s">
        <v>550</v>
      </c>
      <c r="D10" s="790" t="s">
        <v>551</v>
      </c>
      <c r="E10" s="790" t="s">
        <v>552</v>
      </c>
      <c r="F10" s="790" t="s">
        <v>553</v>
      </c>
      <c r="G10" s="790" t="s">
        <v>554</v>
      </c>
      <c r="H10" s="790" t="s">
        <v>555</v>
      </c>
      <c r="I10" s="126">
        <v>1</v>
      </c>
    </row>
    <row r="11" spans="1:9">
      <c r="A11" s="126">
        <f t="shared" ref="A11:A74" si="0">A10+1</f>
        <v>2</v>
      </c>
      <c r="B11" s="114" t="s">
        <v>556</v>
      </c>
      <c r="C11" s="126"/>
      <c r="D11" s="201" t="s">
        <v>557</v>
      </c>
      <c r="E11" s="126"/>
      <c r="F11" s="126" t="s">
        <v>126</v>
      </c>
      <c r="G11" s="126" t="s">
        <v>148</v>
      </c>
      <c r="H11" s="201" t="s">
        <v>558</v>
      </c>
      <c r="I11" s="126">
        <f t="shared" ref="I11:I74" si="1">I10+1</f>
        <v>2</v>
      </c>
    </row>
    <row r="12" spans="1:9">
      <c r="A12" s="126">
        <f t="shared" si="0"/>
        <v>3</v>
      </c>
      <c r="B12" s="114"/>
      <c r="C12" s="126"/>
      <c r="D12" s="201"/>
      <c r="E12" s="126"/>
      <c r="F12" s="126"/>
      <c r="G12" s="126"/>
      <c r="H12" s="201"/>
      <c r="I12" s="126">
        <f t="shared" si="1"/>
        <v>3</v>
      </c>
    </row>
    <row r="13" spans="1:9">
      <c r="A13" s="126">
        <f t="shared" si="0"/>
        <v>4</v>
      </c>
      <c r="C13" s="790"/>
      <c r="F13" s="499" t="s">
        <v>559</v>
      </c>
      <c r="H13" s="499" t="s">
        <v>559</v>
      </c>
      <c r="I13" s="126">
        <f t="shared" si="1"/>
        <v>4</v>
      </c>
    </row>
    <row r="14" spans="1:9">
      <c r="A14" s="126">
        <f t="shared" si="0"/>
        <v>5</v>
      </c>
      <c r="C14" s="790"/>
      <c r="D14" s="499" t="s">
        <v>560</v>
      </c>
      <c r="E14" s="499"/>
      <c r="F14" s="499" t="s">
        <v>561</v>
      </c>
      <c r="H14" s="499" t="s">
        <v>561</v>
      </c>
      <c r="I14" s="126">
        <f t="shared" si="1"/>
        <v>5</v>
      </c>
    </row>
    <row r="15" spans="1:9">
      <c r="A15" s="126">
        <f t="shared" si="0"/>
        <v>6</v>
      </c>
      <c r="C15" s="499"/>
      <c r="D15" s="499" t="s">
        <v>561</v>
      </c>
      <c r="E15" s="499" t="s">
        <v>560</v>
      </c>
      <c r="F15" s="499" t="s">
        <v>562</v>
      </c>
      <c r="H15" s="499" t="s">
        <v>562</v>
      </c>
      <c r="I15" s="126">
        <f t="shared" si="1"/>
        <v>6</v>
      </c>
    </row>
    <row r="16" spans="1:9">
      <c r="A16" s="126">
        <f t="shared" si="0"/>
        <v>7</v>
      </c>
      <c r="C16" s="499"/>
      <c r="D16" s="499" t="s">
        <v>562</v>
      </c>
      <c r="E16" s="499" t="s">
        <v>563</v>
      </c>
      <c r="F16" s="499" t="s">
        <v>564</v>
      </c>
      <c r="G16" s="499"/>
      <c r="H16" s="499" t="s">
        <v>564</v>
      </c>
      <c r="I16" s="126">
        <f t="shared" si="1"/>
        <v>7</v>
      </c>
    </row>
    <row r="17" spans="1:12" ht="18">
      <c r="A17" s="126">
        <f t="shared" si="0"/>
        <v>8</v>
      </c>
      <c r="B17" s="562" t="s">
        <v>157</v>
      </c>
      <c r="C17" s="562" t="s">
        <v>565</v>
      </c>
      <c r="D17" s="567" t="s">
        <v>564</v>
      </c>
      <c r="E17" s="567" t="s">
        <v>566</v>
      </c>
      <c r="F17" s="567" t="s">
        <v>567</v>
      </c>
      <c r="G17" s="791" t="s">
        <v>563</v>
      </c>
      <c r="H17" s="567" t="s">
        <v>568</v>
      </c>
      <c r="I17" s="126">
        <f t="shared" si="1"/>
        <v>8</v>
      </c>
    </row>
    <row r="18" spans="1:12">
      <c r="A18" s="126">
        <f t="shared" si="0"/>
        <v>9</v>
      </c>
      <c r="B18" s="8" t="s">
        <v>569</v>
      </c>
      <c r="C18" s="792">
        <v>2018</v>
      </c>
      <c r="D18" s="923">
        <f>'Pg2 App X C8 Comparison'!G27/12</f>
        <v>0.17839566017035699</v>
      </c>
      <c r="E18" s="793">
        <v>3.5999999999999999E-3</v>
      </c>
      <c r="F18" s="939">
        <f>D18</f>
        <v>0.17839566017035699</v>
      </c>
      <c r="G18" s="940">
        <f>(D18/2)*E18</f>
        <v>3.2111218830664255E-4</v>
      </c>
      <c r="H18" s="940">
        <f t="shared" ref="H18:H81" si="2">F18+G18</f>
        <v>0.17871677235866362</v>
      </c>
      <c r="I18" s="126">
        <f t="shared" si="1"/>
        <v>9</v>
      </c>
      <c r="J18" s="794"/>
    </row>
    <row r="19" spans="1:12">
      <c r="A19" s="126">
        <f t="shared" si="0"/>
        <v>10</v>
      </c>
      <c r="B19" s="8" t="s">
        <v>570</v>
      </c>
      <c r="C19" s="792">
        <f>C18</f>
        <v>2018</v>
      </c>
      <c r="D19" s="924">
        <f>D18</f>
        <v>0.17839566017035699</v>
      </c>
      <c r="E19" s="793">
        <v>3.3E-3</v>
      </c>
      <c r="F19" s="941">
        <f>H18+D19</f>
        <v>0.35711243252902058</v>
      </c>
      <c r="G19" s="942">
        <f t="shared" ref="G19:G82" si="3">(H18+F19)/2*E19</f>
        <v>8.8411818806467899E-4</v>
      </c>
      <c r="H19" s="942">
        <f t="shared" si="2"/>
        <v>0.35799655071708525</v>
      </c>
      <c r="I19" s="126">
        <f t="shared" si="1"/>
        <v>10</v>
      </c>
      <c r="J19" s="795"/>
    </row>
    <row r="20" spans="1:12">
      <c r="A20" s="126">
        <f t="shared" si="0"/>
        <v>11</v>
      </c>
      <c r="B20" s="8" t="s">
        <v>571</v>
      </c>
      <c r="C20" s="792">
        <f>C18</f>
        <v>2018</v>
      </c>
      <c r="D20" s="924">
        <f>D19</f>
        <v>0.17839566017035699</v>
      </c>
      <c r="E20" s="793">
        <v>3.5999999999999999E-3</v>
      </c>
      <c r="F20" s="941">
        <f>H19+D20</f>
        <v>0.53639221088744227</v>
      </c>
      <c r="G20" s="942">
        <f>(H19+F20)/2*E20</f>
        <v>1.6098997708881495E-3</v>
      </c>
      <c r="H20" s="942">
        <f t="shared" si="2"/>
        <v>0.53800211065833037</v>
      </c>
      <c r="I20" s="126">
        <f t="shared" si="1"/>
        <v>11</v>
      </c>
      <c r="J20" s="795"/>
    </row>
    <row r="21" spans="1:12">
      <c r="A21" s="126">
        <f t="shared" si="0"/>
        <v>12</v>
      </c>
      <c r="B21" s="8" t="s">
        <v>572</v>
      </c>
      <c r="C21" s="792">
        <f>C18</f>
        <v>2018</v>
      </c>
      <c r="D21" s="924">
        <f t="shared" ref="D21:D29" si="4">D20</f>
        <v>0.17839566017035699</v>
      </c>
      <c r="E21" s="793">
        <v>3.7000000000000002E-3</v>
      </c>
      <c r="F21" s="941">
        <f>H20+D21</f>
        <v>0.71639777082868739</v>
      </c>
      <c r="G21" s="942">
        <f>(H20+F21)/2*E21</f>
        <v>2.3206397807509832E-3</v>
      </c>
      <c r="H21" s="942">
        <f t="shared" si="2"/>
        <v>0.71871841060943842</v>
      </c>
      <c r="I21" s="126">
        <f t="shared" si="1"/>
        <v>12</v>
      </c>
      <c r="J21" s="795"/>
      <c r="L21" s="796"/>
    </row>
    <row r="22" spans="1:12">
      <c r="A22" s="126">
        <f t="shared" si="0"/>
        <v>13</v>
      </c>
      <c r="B22" s="8" t="s">
        <v>573</v>
      </c>
      <c r="C22" s="792">
        <f>C18</f>
        <v>2018</v>
      </c>
      <c r="D22" s="924">
        <f t="shared" si="4"/>
        <v>0.17839566017035699</v>
      </c>
      <c r="E22" s="793">
        <v>3.8E-3</v>
      </c>
      <c r="F22" s="941">
        <f t="shared" ref="F22:F82" si="5">H21+D22</f>
        <v>0.89711407077979544</v>
      </c>
      <c r="G22" s="942">
        <f t="shared" si="3"/>
        <v>3.0700817146395447E-3</v>
      </c>
      <c r="H22" s="942">
        <f t="shared" si="2"/>
        <v>0.90018415249443495</v>
      </c>
      <c r="I22" s="126">
        <f t="shared" si="1"/>
        <v>13</v>
      </c>
      <c r="J22" s="795"/>
    </row>
    <row r="23" spans="1:12">
      <c r="A23" s="126">
        <f t="shared" si="0"/>
        <v>14</v>
      </c>
      <c r="B23" s="8" t="s">
        <v>574</v>
      </c>
      <c r="C23" s="792">
        <f>C18</f>
        <v>2018</v>
      </c>
      <c r="D23" s="924">
        <f t="shared" si="4"/>
        <v>0.17839566017035699</v>
      </c>
      <c r="E23" s="793">
        <v>3.7000000000000002E-3</v>
      </c>
      <c r="F23" s="941">
        <f t="shared" si="5"/>
        <v>1.0785798126647919</v>
      </c>
      <c r="G23" s="942">
        <f>(H22+F23)/2*E23</f>
        <v>3.6607133355445699E-3</v>
      </c>
      <c r="H23" s="942">
        <f t="shared" si="2"/>
        <v>1.0822405260003365</v>
      </c>
      <c r="I23" s="126">
        <f t="shared" si="1"/>
        <v>14</v>
      </c>
      <c r="J23" s="795"/>
    </row>
    <row r="24" spans="1:12">
      <c r="A24" s="126">
        <f t="shared" si="0"/>
        <v>15</v>
      </c>
      <c r="B24" s="8" t="s">
        <v>575</v>
      </c>
      <c r="C24" s="792">
        <f>C18</f>
        <v>2018</v>
      </c>
      <c r="D24" s="924">
        <f t="shared" si="4"/>
        <v>0.17839566017035699</v>
      </c>
      <c r="E24" s="793">
        <v>4.0000000000000001E-3</v>
      </c>
      <c r="F24" s="941">
        <f t="shared" si="5"/>
        <v>1.2606361861706934</v>
      </c>
      <c r="G24" s="942">
        <f t="shared" si="3"/>
        <v>4.6857534243420606E-3</v>
      </c>
      <c r="H24" s="942">
        <f t="shared" si="2"/>
        <v>1.2653219395950355</v>
      </c>
      <c r="I24" s="126">
        <f t="shared" si="1"/>
        <v>15</v>
      </c>
      <c r="J24" s="795"/>
    </row>
    <row r="25" spans="1:12">
      <c r="A25" s="126">
        <f t="shared" si="0"/>
        <v>16</v>
      </c>
      <c r="B25" s="8" t="s">
        <v>576</v>
      </c>
      <c r="C25" s="792">
        <f>C18</f>
        <v>2018</v>
      </c>
      <c r="D25" s="924">
        <f t="shared" si="4"/>
        <v>0.17839566017035699</v>
      </c>
      <c r="E25" s="793">
        <v>4.0000000000000001E-3</v>
      </c>
      <c r="F25" s="941">
        <f t="shared" si="5"/>
        <v>1.4437175997653924</v>
      </c>
      <c r="G25" s="942">
        <f t="shared" si="3"/>
        <v>5.4180790787208563E-3</v>
      </c>
      <c r="H25" s="942">
        <f t="shared" si="2"/>
        <v>1.4491356788441132</v>
      </c>
      <c r="I25" s="126">
        <f t="shared" si="1"/>
        <v>16</v>
      </c>
      <c r="J25" s="795"/>
    </row>
    <row r="26" spans="1:12">
      <c r="A26" s="126">
        <f t="shared" si="0"/>
        <v>17</v>
      </c>
      <c r="B26" s="8" t="s">
        <v>577</v>
      </c>
      <c r="C26" s="792">
        <f>C18</f>
        <v>2018</v>
      </c>
      <c r="D26" s="924">
        <f t="shared" si="4"/>
        <v>0.17839566017035699</v>
      </c>
      <c r="E26" s="793">
        <v>3.8999999999999998E-3</v>
      </c>
      <c r="F26" s="941">
        <f t="shared" si="5"/>
        <v>1.6275313390144701</v>
      </c>
      <c r="G26" s="942">
        <f t="shared" si="3"/>
        <v>5.9995006848242377E-3</v>
      </c>
      <c r="H26" s="942">
        <f t="shared" si="2"/>
        <v>1.6335308396992942</v>
      </c>
      <c r="I26" s="126">
        <f t="shared" si="1"/>
        <v>17</v>
      </c>
      <c r="J26" s="795"/>
    </row>
    <row r="27" spans="1:12">
      <c r="A27" s="126">
        <f t="shared" si="0"/>
        <v>18</v>
      </c>
      <c r="B27" s="8" t="s">
        <v>578</v>
      </c>
      <c r="C27" s="792">
        <f>C18</f>
        <v>2018</v>
      </c>
      <c r="D27" s="924">
        <f t="shared" si="4"/>
        <v>0.17839566017035699</v>
      </c>
      <c r="E27" s="793">
        <v>4.1999999999999997E-3</v>
      </c>
      <c r="F27" s="941">
        <f t="shared" si="5"/>
        <v>1.8119264998696512</v>
      </c>
      <c r="G27" s="942">
        <f t="shared" si="3"/>
        <v>7.2354604130947849E-3</v>
      </c>
      <c r="H27" s="942">
        <f t="shared" si="2"/>
        <v>1.819161960282746</v>
      </c>
      <c r="I27" s="126">
        <f t="shared" si="1"/>
        <v>18</v>
      </c>
      <c r="J27" s="795"/>
    </row>
    <row r="28" spans="1:12">
      <c r="A28" s="126">
        <f t="shared" si="0"/>
        <v>19</v>
      </c>
      <c r="B28" s="8" t="s">
        <v>579</v>
      </c>
      <c r="C28" s="792">
        <f>C18</f>
        <v>2018</v>
      </c>
      <c r="D28" s="924">
        <f t="shared" si="4"/>
        <v>0.17839566017035699</v>
      </c>
      <c r="E28" s="793">
        <v>4.1000000000000003E-3</v>
      </c>
      <c r="F28" s="941">
        <f t="shared" si="5"/>
        <v>1.9975576204531029</v>
      </c>
      <c r="G28" s="943">
        <f t="shared" si="3"/>
        <v>7.8242751405084906E-3</v>
      </c>
      <c r="H28" s="943">
        <f t="shared" si="2"/>
        <v>2.0053818955936116</v>
      </c>
      <c r="I28" s="126">
        <f t="shared" si="1"/>
        <v>19</v>
      </c>
      <c r="J28" s="795"/>
    </row>
    <row r="29" spans="1:12">
      <c r="A29" s="126">
        <f t="shared" si="0"/>
        <v>20</v>
      </c>
      <c r="B29" s="797" t="s">
        <v>580</v>
      </c>
      <c r="C29" s="798">
        <f>C18</f>
        <v>2018</v>
      </c>
      <c r="D29" s="925">
        <f t="shared" si="4"/>
        <v>0.17839566017035699</v>
      </c>
      <c r="E29" s="799">
        <v>4.1999999999999997E-3</v>
      </c>
      <c r="F29" s="944">
        <f t="shared" si="5"/>
        <v>2.1837775557639687</v>
      </c>
      <c r="G29" s="945">
        <f t="shared" si="3"/>
        <v>8.7972348478509189E-3</v>
      </c>
      <c r="H29" s="945">
        <f t="shared" si="2"/>
        <v>2.1925747906118196</v>
      </c>
      <c r="I29" s="126">
        <f t="shared" si="1"/>
        <v>20</v>
      </c>
      <c r="J29" s="795"/>
    </row>
    <row r="30" spans="1:12">
      <c r="A30" s="126">
        <f t="shared" si="0"/>
        <v>21</v>
      </c>
      <c r="B30" s="8" t="s">
        <v>569</v>
      </c>
      <c r="C30" s="792">
        <f>C29+1</f>
        <v>2019</v>
      </c>
      <c r="D30" s="452"/>
      <c r="E30" s="793">
        <v>4.4000000000000003E-3</v>
      </c>
      <c r="F30" s="946">
        <f t="shared" si="5"/>
        <v>2.1925747906118196</v>
      </c>
      <c r="G30" s="947">
        <f t="shared" si="3"/>
        <v>9.6473290786920074E-3</v>
      </c>
      <c r="H30" s="947">
        <f t="shared" si="2"/>
        <v>2.2022221196905116</v>
      </c>
      <c r="I30" s="126">
        <f t="shared" si="1"/>
        <v>21</v>
      </c>
      <c r="J30" s="795"/>
    </row>
    <row r="31" spans="1:12">
      <c r="A31" s="126">
        <f t="shared" si="0"/>
        <v>22</v>
      </c>
      <c r="B31" s="8" t="s">
        <v>570</v>
      </c>
      <c r="C31" s="792">
        <f>C30</f>
        <v>2019</v>
      </c>
      <c r="D31" s="452"/>
      <c r="E31" s="793">
        <v>4.0000000000000001E-3</v>
      </c>
      <c r="F31" s="946">
        <f t="shared" si="5"/>
        <v>2.2022221196905116</v>
      </c>
      <c r="G31" s="947">
        <f t="shared" si="3"/>
        <v>8.8088884787620465E-3</v>
      </c>
      <c r="H31" s="947">
        <f t="shared" si="2"/>
        <v>2.2110310081692739</v>
      </c>
      <c r="I31" s="126">
        <f t="shared" si="1"/>
        <v>22</v>
      </c>
      <c r="J31" s="795"/>
    </row>
    <row r="32" spans="1:12">
      <c r="A32" s="126">
        <f t="shared" si="0"/>
        <v>23</v>
      </c>
      <c r="B32" s="8" t="s">
        <v>571</v>
      </c>
      <c r="C32" s="792">
        <f t="shared" ref="C32:C40" si="6">C31</f>
        <v>2019</v>
      </c>
      <c r="D32" s="452"/>
      <c r="E32" s="793">
        <v>4.4000000000000003E-3</v>
      </c>
      <c r="F32" s="946">
        <f t="shared" si="5"/>
        <v>2.2110310081692739</v>
      </c>
      <c r="G32" s="947">
        <f t="shared" si="3"/>
        <v>9.7285364359448057E-3</v>
      </c>
      <c r="H32" s="947">
        <f t="shared" si="2"/>
        <v>2.2207595446052188</v>
      </c>
      <c r="I32" s="126">
        <f t="shared" si="1"/>
        <v>23</v>
      </c>
      <c r="J32" s="795"/>
    </row>
    <row r="33" spans="1:10">
      <c r="A33" s="126">
        <f t="shared" si="0"/>
        <v>24</v>
      </c>
      <c r="B33" s="8" t="s">
        <v>572</v>
      </c>
      <c r="C33" s="792">
        <f t="shared" si="6"/>
        <v>2019</v>
      </c>
      <c r="D33" s="452"/>
      <c r="E33" s="793">
        <v>4.4999999999999997E-3</v>
      </c>
      <c r="F33" s="946">
        <f t="shared" si="5"/>
        <v>2.2207595446052188</v>
      </c>
      <c r="G33" s="947">
        <f t="shared" si="3"/>
        <v>9.9934179507234835E-3</v>
      </c>
      <c r="H33" s="947">
        <f t="shared" si="2"/>
        <v>2.2307529625559424</v>
      </c>
      <c r="I33" s="126">
        <f t="shared" si="1"/>
        <v>24</v>
      </c>
      <c r="J33" s="795"/>
    </row>
    <row r="34" spans="1:10">
      <c r="A34" s="126">
        <f t="shared" si="0"/>
        <v>25</v>
      </c>
      <c r="B34" s="8" t="s">
        <v>573</v>
      </c>
      <c r="C34" s="792">
        <f t="shared" si="6"/>
        <v>2019</v>
      </c>
      <c r="D34" s="452"/>
      <c r="E34" s="793">
        <v>4.5999999999999999E-3</v>
      </c>
      <c r="F34" s="946">
        <f t="shared" si="5"/>
        <v>2.2307529625559424</v>
      </c>
      <c r="G34" s="947">
        <f t="shared" si="3"/>
        <v>1.0261463627757334E-2</v>
      </c>
      <c r="H34" s="947">
        <f t="shared" si="2"/>
        <v>2.2410144261836997</v>
      </c>
      <c r="I34" s="126">
        <f t="shared" si="1"/>
        <v>25</v>
      </c>
      <c r="J34" s="795"/>
    </row>
    <row r="35" spans="1:10">
      <c r="A35" s="126">
        <f t="shared" si="0"/>
        <v>26</v>
      </c>
      <c r="B35" s="8" t="s">
        <v>574</v>
      </c>
      <c r="C35" s="792">
        <f t="shared" si="6"/>
        <v>2019</v>
      </c>
      <c r="D35" s="452"/>
      <c r="E35" s="793">
        <v>4.4999999999999997E-3</v>
      </c>
      <c r="F35" s="946">
        <f t="shared" si="5"/>
        <v>2.2410144261836997</v>
      </c>
      <c r="G35" s="947">
        <f t="shared" si="3"/>
        <v>1.0084564917826649E-2</v>
      </c>
      <c r="H35" s="947">
        <f t="shared" si="2"/>
        <v>2.2510989911015264</v>
      </c>
      <c r="I35" s="126">
        <f t="shared" si="1"/>
        <v>26</v>
      </c>
      <c r="J35" s="795"/>
    </row>
    <row r="36" spans="1:10">
      <c r="A36" s="126">
        <f t="shared" si="0"/>
        <v>27</v>
      </c>
      <c r="B36" s="8" t="s">
        <v>575</v>
      </c>
      <c r="C36" s="792">
        <f t="shared" si="6"/>
        <v>2019</v>
      </c>
      <c r="D36" s="452"/>
      <c r="E36" s="793">
        <v>4.7000000000000002E-3</v>
      </c>
      <c r="F36" s="946">
        <f t="shared" si="5"/>
        <v>2.2510989911015264</v>
      </c>
      <c r="G36" s="947">
        <f t="shared" si="3"/>
        <v>1.0580165258177175E-2</v>
      </c>
      <c r="H36" s="947">
        <f t="shared" si="2"/>
        <v>2.2616791563597034</v>
      </c>
      <c r="I36" s="126">
        <f t="shared" si="1"/>
        <v>27</v>
      </c>
      <c r="J36" s="795"/>
    </row>
    <row r="37" spans="1:10">
      <c r="A37" s="126">
        <f t="shared" si="0"/>
        <v>28</v>
      </c>
      <c r="B37" s="8" t="s">
        <v>576</v>
      </c>
      <c r="C37" s="792">
        <f t="shared" si="6"/>
        <v>2019</v>
      </c>
      <c r="D37" s="452"/>
      <c r="E37" s="793">
        <v>4.7000000000000002E-3</v>
      </c>
      <c r="F37" s="946">
        <f t="shared" si="5"/>
        <v>2.2616791563597034</v>
      </c>
      <c r="G37" s="947">
        <f t="shared" si="3"/>
        <v>1.0629892034890606E-2</v>
      </c>
      <c r="H37" s="947">
        <f t="shared" si="2"/>
        <v>2.272309048394594</v>
      </c>
      <c r="I37" s="126">
        <f t="shared" si="1"/>
        <v>28</v>
      </c>
      <c r="J37" s="795"/>
    </row>
    <row r="38" spans="1:10">
      <c r="A38" s="126">
        <f t="shared" si="0"/>
        <v>29</v>
      </c>
      <c r="B38" s="8" t="s">
        <v>577</v>
      </c>
      <c r="C38" s="792">
        <f t="shared" si="6"/>
        <v>2019</v>
      </c>
      <c r="D38" s="452"/>
      <c r="E38" s="793">
        <v>4.4999999999999997E-3</v>
      </c>
      <c r="F38" s="946">
        <f t="shared" si="5"/>
        <v>2.272309048394594</v>
      </c>
      <c r="G38" s="947">
        <f t="shared" si="3"/>
        <v>1.0225390717775673E-2</v>
      </c>
      <c r="H38" s="947">
        <f t="shared" si="2"/>
        <v>2.2825344391123696</v>
      </c>
      <c r="I38" s="126">
        <f t="shared" si="1"/>
        <v>29</v>
      </c>
      <c r="J38" s="795"/>
    </row>
    <row r="39" spans="1:10">
      <c r="A39" s="126">
        <f t="shared" si="0"/>
        <v>30</v>
      </c>
      <c r="B39" s="8" t="s">
        <v>578</v>
      </c>
      <c r="C39" s="792">
        <f t="shared" si="6"/>
        <v>2019</v>
      </c>
      <c r="D39" s="452"/>
      <c r="E39" s="793">
        <v>4.5999999999999999E-3</v>
      </c>
      <c r="F39" s="946">
        <f t="shared" si="5"/>
        <v>2.2825344391123696</v>
      </c>
      <c r="G39" s="947">
        <f t="shared" si="3"/>
        <v>1.04996584199169E-2</v>
      </c>
      <c r="H39" s="947">
        <f t="shared" si="2"/>
        <v>2.2930340975322867</v>
      </c>
      <c r="I39" s="126">
        <f t="shared" si="1"/>
        <v>30</v>
      </c>
      <c r="J39" s="795"/>
    </row>
    <row r="40" spans="1:10">
      <c r="A40" s="126">
        <f t="shared" si="0"/>
        <v>31</v>
      </c>
      <c r="B40" s="8" t="s">
        <v>579</v>
      </c>
      <c r="C40" s="792">
        <f t="shared" si="6"/>
        <v>2019</v>
      </c>
      <c r="D40" s="452"/>
      <c r="E40" s="793">
        <v>4.4999999999999997E-3</v>
      </c>
      <c r="F40" s="946">
        <f t="shared" si="5"/>
        <v>2.2930340975322867</v>
      </c>
      <c r="G40" s="947">
        <f t="shared" si="3"/>
        <v>1.0318653438895289E-2</v>
      </c>
      <c r="H40" s="947">
        <f t="shared" si="2"/>
        <v>2.303352750971182</v>
      </c>
      <c r="I40" s="126">
        <f t="shared" si="1"/>
        <v>31</v>
      </c>
      <c r="J40" s="795"/>
    </row>
    <row r="41" spans="1:10">
      <c r="A41" s="126">
        <f t="shared" si="0"/>
        <v>32</v>
      </c>
      <c r="B41" s="797" t="s">
        <v>580</v>
      </c>
      <c r="C41" s="798">
        <f>C40</f>
        <v>2019</v>
      </c>
      <c r="D41" s="553"/>
      <c r="E41" s="799">
        <v>4.5999999999999999E-3</v>
      </c>
      <c r="F41" s="944">
        <f t="shared" si="5"/>
        <v>2.303352750971182</v>
      </c>
      <c r="G41" s="945">
        <f t="shared" si="3"/>
        <v>1.0595422654467437E-2</v>
      </c>
      <c r="H41" s="945">
        <f t="shared" si="2"/>
        <v>2.3139481736256493</v>
      </c>
      <c r="I41" s="126">
        <f t="shared" si="1"/>
        <v>32</v>
      </c>
      <c r="J41" s="795"/>
    </row>
    <row r="42" spans="1:10">
      <c r="A42" s="126">
        <f t="shared" si="0"/>
        <v>33</v>
      </c>
      <c r="B42" s="8" t="s">
        <v>569</v>
      </c>
      <c r="C42" s="792">
        <f>C41+1</f>
        <v>2020</v>
      </c>
      <c r="D42" s="452"/>
      <c r="E42" s="793">
        <v>4.1999999999999997E-3</v>
      </c>
      <c r="F42" s="946">
        <f t="shared" si="5"/>
        <v>2.3139481736256493</v>
      </c>
      <c r="G42" s="947">
        <f t="shared" si="3"/>
        <v>9.7185823292277266E-3</v>
      </c>
      <c r="H42" s="947">
        <f t="shared" si="2"/>
        <v>2.3236667559548772</v>
      </c>
      <c r="I42" s="126">
        <f t="shared" si="1"/>
        <v>33</v>
      </c>
      <c r="J42" s="795"/>
    </row>
    <row r="43" spans="1:10">
      <c r="A43" s="126">
        <f t="shared" si="0"/>
        <v>34</v>
      </c>
      <c r="B43" s="8" t="s">
        <v>570</v>
      </c>
      <c r="C43" s="792">
        <f>C42</f>
        <v>2020</v>
      </c>
      <c r="D43" s="452"/>
      <c r="E43" s="793">
        <v>3.8999999999999998E-3</v>
      </c>
      <c r="F43" s="946">
        <f t="shared" si="5"/>
        <v>2.3236667559548772</v>
      </c>
      <c r="G43" s="947">
        <f t="shared" si="3"/>
        <v>9.0623003482240196E-3</v>
      </c>
      <c r="H43" s="947">
        <f t="shared" si="2"/>
        <v>2.3327290563031013</v>
      </c>
      <c r="I43" s="126">
        <f t="shared" si="1"/>
        <v>34</v>
      </c>
      <c r="J43" s="795"/>
    </row>
    <row r="44" spans="1:10">
      <c r="A44" s="126">
        <f t="shared" si="0"/>
        <v>35</v>
      </c>
      <c r="B44" s="8" t="s">
        <v>571</v>
      </c>
      <c r="C44" s="792">
        <f t="shared" ref="C44:C52" si="7">C43</f>
        <v>2020</v>
      </c>
      <c r="D44" s="452"/>
      <c r="E44" s="793">
        <v>4.1999999999999997E-3</v>
      </c>
      <c r="F44" s="946">
        <f t="shared" si="5"/>
        <v>2.3327290563031013</v>
      </c>
      <c r="G44" s="947">
        <f t="shared" si="3"/>
        <v>9.7974620364730258E-3</v>
      </c>
      <c r="H44" s="947">
        <f t="shared" si="2"/>
        <v>2.3425265183395743</v>
      </c>
      <c r="I44" s="126">
        <f t="shared" si="1"/>
        <v>35</v>
      </c>
      <c r="J44" s="795"/>
    </row>
    <row r="45" spans="1:10">
      <c r="A45" s="126">
        <f t="shared" si="0"/>
        <v>36</v>
      </c>
      <c r="B45" s="8" t="s">
        <v>572</v>
      </c>
      <c r="C45" s="792">
        <f t="shared" si="7"/>
        <v>2020</v>
      </c>
      <c r="D45" s="452"/>
      <c r="E45" s="793">
        <v>3.8999999999999998E-3</v>
      </c>
      <c r="F45" s="946">
        <f t="shared" si="5"/>
        <v>2.3425265183395743</v>
      </c>
      <c r="G45" s="947">
        <f t="shared" si="3"/>
        <v>9.1358534215243391E-3</v>
      </c>
      <c r="H45" s="947">
        <f t="shared" si="2"/>
        <v>2.3516623717610985</v>
      </c>
      <c r="I45" s="126">
        <f t="shared" si="1"/>
        <v>36</v>
      </c>
      <c r="J45" s="795"/>
    </row>
    <row r="46" spans="1:10">
      <c r="A46" s="126">
        <f t="shared" si="0"/>
        <v>37</v>
      </c>
      <c r="B46" s="8" t="s">
        <v>573</v>
      </c>
      <c r="C46" s="792">
        <f t="shared" si="7"/>
        <v>2020</v>
      </c>
      <c r="D46" s="452"/>
      <c r="E46" s="793">
        <v>4.0000000000000001E-3</v>
      </c>
      <c r="F46" s="946">
        <f t="shared" si="5"/>
        <v>2.3516623717610985</v>
      </c>
      <c r="G46" s="947">
        <f t="shared" si="3"/>
        <v>9.406649487044394E-3</v>
      </c>
      <c r="H46" s="947">
        <f t="shared" si="2"/>
        <v>2.3610690212481429</v>
      </c>
      <c r="I46" s="126">
        <f t="shared" si="1"/>
        <v>37</v>
      </c>
      <c r="J46" s="795"/>
    </row>
    <row r="47" spans="1:10">
      <c r="A47" s="126">
        <f t="shared" si="0"/>
        <v>38</v>
      </c>
      <c r="B47" s="8" t="s">
        <v>574</v>
      </c>
      <c r="C47" s="792">
        <f t="shared" si="7"/>
        <v>2020</v>
      </c>
      <c r="D47" s="452"/>
      <c r="E47" s="793">
        <v>3.8999999999999998E-3</v>
      </c>
      <c r="F47" s="946">
        <f t="shared" si="5"/>
        <v>2.3610690212481429</v>
      </c>
      <c r="G47" s="947">
        <f t="shared" si="3"/>
        <v>9.2081691828677561E-3</v>
      </c>
      <c r="H47" s="947">
        <f t="shared" si="2"/>
        <v>2.3702771904310107</v>
      </c>
      <c r="I47" s="126">
        <f t="shared" si="1"/>
        <v>38</v>
      </c>
      <c r="J47" s="795"/>
    </row>
    <row r="48" spans="1:10">
      <c r="A48" s="126">
        <f t="shared" si="0"/>
        <v>39</v>
      </c>
      <c r="B48" s="8" t="s">
        <v>575</v>
      </c>
      <c r="C48" s="792">
        <f t="shared" si="7"/>
        <v>2020</v>
      </c>
      <c r="D48" s="452"/>
      <c r="E48" s="793">
        <v>2.8999999999999998E-3</v>
      </c>
      <c r="F48" s="946">
        <f t="shared" si="5"/>
        <v>2.3702771904310107</v>
      </c>
      <c r="G48" s="947">
        <f t="shared" si="3"/>
        <v>6.8738038522499307E-3</v>
      </c>
      <c r="H48" s="947">
        <f t="shared" si="2"/>
        <v>2.3771509942832605</v>
      </c>
      <c r="I48" s="126">
        <f t="shared" si="1"/>
        <v>39</v>
      </c>
      <c r="J48" s="795"/>
    </row>
    <row r="49" spans="1:10">
      <c r="A49" s="126">
        <f t="shared" si="0"/>
        <v>40</v>
      </c>
      <c r="B49" s="8" t="s">
        <v>576</v>
      </c>
      <c r="C49" s="792">
        <f t="shared" si="7"/>
        <v>2020</v>
      </c>
      <c r="D49" s="452"/>
      <c r="E49" s="793">
        <v>2.8999999999999998E-3</v>
      </c>
      <c r="F49" s="946">
        <f t="shared" si="5"/>
        <v>2.3771509942832605</v>
      </c>
      <c r="G49" s="947">
        <f t="shared" si="3"/>
        <v>6.8937378834214545E-3</v>
      </c>
      <c r="H49" s="947">
        <f t="shared" si="2"/>
        <v>2.3840447321666818</v>
      </c>
      <c r="I49" s="126">
        <f t="shared" si="1"/>
        <v>40</v>
      </c>
      <c r="J49" s="795"/>
    </row>
    <row r="50" spans="1:10">
      <c r="A50" s="126">
        <f t="shared" si="0"/>
        <v>41</v>
      </c>
      <c r="B50" s="8" t="s">
        <v>577</v>
      </c>
      <c r="C50" s="792">
        <f t="shared" si="7"/>
        <v>2020</v>
      </c>
      <c r="D50" s="452"/>
      <c r="E50" s="793">
        <v>2.8E-3</v>
      </c>
      <c r="F50" s="946">
        <f t="shared" si="5"/>
        <v>2.3840447321666818</v>
      </c>
      <c r="G50" s="947">
        <f t="shared" si="3"/>
        <v>6.6753252500667088E-3</v>
      </c>
      <c r="H50" s="947">
        <f t="shared" si="2"/>
        <v>2.3907200574167486</v>
      </c>
      <c r="I50" s="126">
        <f t="shared" si="1"/>
        <v>41</v>
      </c>
      <c r="J50" s="795"/>
    </row>
    <row r="51" spans="1:10">
      <c r="A51" s="126">
        <f t="shared" si="0"/>
        <v>42</v>
      </c>
      <c r="B51" s="8" t="s">
        <v>578</v>
      </c>
      <c r="C51" s="792">
        <f t="shared" si="7"/>
        <v>2020</v>
      </c>
      <c r="D51" s="452"/>
      <c r="E51" s="793">
        <v>2.8E-3</v>
      </c>
      <c r="F51" s="946">
        <f t="shared" si="5"/>
        <v>2.3907200574167486</v>
      </c>
      <c r="G51" s="947">
        <f t="shared" si="3"/>
        <v>6.694016160766896E-3</v>
      </c>
      <c r="H51" s="947">
        <f t="shared" si="2"/>
        <v>2.3974140735775156</v>
      </c>
      <c r="I51" s="126">
        <f t="shared" si="1"/>
        <v>42</v>
      </c>
      <c r="J51" s="795"/>
    </row>
    <row r="52" spans="1:10">
      <c r="A52" s="126">
        <f t="shared" si="0"/>
        <v>43</v>
      </c>
      <c r="B52" s="8" t="s">
        <v>579</v>
      </c>
      <c r="C52" s="792">
        <f t="shared" si="7"/>
        <v>2020</v>
      </c>
      <c r="D52" s="452"/>
      <c r="E52" s="793">
        <v>2.7000000000000001E-3</v>
      </c>
      <c r="F52" s="946">
        <f t="shared" si="5"/>
        <v>2.3974140735775156</v>
      </c>
      <c r="G52" s="947">
        <f t="shared" si="3"/>
        <v>6.4730179986592926E-3</v>
      </c>
      <c r="H52" s="947">
        <f t="shared" si="2"/>
        <v>2.4038870915761748</v>
      </c>
      <c r="I52" s="126">
        <f t="shared" si="1"/>
        <v>43</v>
      </c>
      <c r="J52" s="795"/>
    </row>
    <row r="53" spans="1:10">
      <c r="A53" s="126">
        <f t="shared" si="0"/>
        <v>44</v>
      </c>
      <c r="B53" s="797" t="s">
        <v>580</v>
      </c>
      <c r="C53" s="798">
        <f>C52</f>
        <v>2020</v>
      </c>
      <c r="D53" s="553"/>
      <c r="E53" s="799">
        <v>2.8E-3</v>
      </c>
      <c r="F53" s="944">
        <f t="shared" si="5"/>
        <v>2.4038870915761748</v>
      </c>
      <c r="G53" s="945">
        <f t="shared" si="3"/>
        <v>6.7308838564132892E-3</v>
      </c>
      <c r="H53" s="945">
        <f t="shared" si="2"/>
        <v>2.4106179754325878</v>
      </c>
      <c r="I53" s="126">
        <f t="shared" si="1"/>
        <v>44</v>
      </c>
      <c r="J53" s="795"/>
    </row>
    <row r="54" spans="1:10">
      <c r="A54" s="126">
        <f t="shared" si="0"/>
        <v>45</v>
      </c>
      <c r="B54" s="8" t="s">
        <v>569</v>
      </c>
      <c r="C54" s="792">
        <f>C53+1</f>
        <v>2021</v>
      </c>
      <c r="D54" s="452"/>
      <c r="E54" s="793">
        <v>2.8E-3</v>
      </c>
      <c r="F54" s="946">
        <f t="shared" si="5"/>
        <v>2.4106179754325878</v>
      </c>
      <c r="G54" s="947">
        <f t="shared" si="3"/>
        <v>6.7497303312112457E-3</v>
      </c>
      <c r="H54" s="947">
        <f t="shared" si="2"/>
        <v>2.417367705763799</v>
      </c>
      <c r="I54" s="126">
        <f t="shared" si="1"/>
        <v>45</v>
      </c>
      <c r="J54" s="795"/>
    </row>
    <row r="55" spans="1:10">
      <c r="A55" s="126">
        <f t="shared" si="0"/>
        <v>46</v>
      </c>
      <c r="B55" s="8" t="s">
        <v>570</v>
      </c>
      <c r="C55" s="792">
        <f>C54</f>
        <v>2021</v>
      </c>
      <c r="D55" s="452"/>
      <c r="E55" s="793">
        <v>2.5000000000000001E-3</v>
      </c>
      <c r="F55" s="946">
        <f t="shared" si="5"/>
        <v>2.417367705763799</v>
      </c>
      <c r="G55" s="947">
        <f t="shared" si="3"/>
        <v>6.0434192644094973E-3</v>
      </c>
      <c r="H55" s="947">
        <f t="shared" si="2"/>
        <v>2.4234111250282084</v>
      </c>
      <c r="I55" s="126">
        <f t="shared" si="1"/>
        <v>46</v>
      </c>
      <c r="J55" s="795"/>
    </row>
    <row r="56" spans="1:10">
      <c r="A56" s="126">
        <f t="shared" si="0"/>
        <v>47</v>
      </c>
      <c r="B56" s="8" t="s">
        <v>571</v>
      </c>
      <c r="C56" s="792">
        <f t="shared" ref="C56:C64" si="8">C55</f>
        <v>2021</v>
      </c>
      <c r="D56" s="452"/>
      <c r="E56" s="793">
        <v>2.8E-3</v>
      </c>
      <c r="F56" s="946">
        <f t="shared" si="5"/>
        <v>2.4234111250282084</v>
      </c>
      <c r="G56" s="947">
        <f t="shared" si="3"/>
        <v>6.7855511500789839E-3</v>
      </c>
      <c r="H56" s="947">
        <f t="shared" si="2"/>
        <v>2.4301966761782876</v>
      </c>
      <c r="I56" s="126">
        <f t="shared" si="1"/>
        <v>47</v>
      </c>
      <c r="J56" s="795"/>
    </row>
    <row r="57" spans="1:10">
      <c r="A57" s="126">
        <f t="shared" si="0"/>
        <v>48</v>
      </c>
      <c r="B57" s="8" t="s">
        <v>572</v>
      </c>
      <c r="C57" s="792">
        <f t="shared" si="8"/>
        <v>2021</v>
      </c>
      <c r="D57" s="452"/>
      <c r="E57" s="793">
        <v>2.7000000000000001E-3</v>
      </c>
      <c r="F57" s="946">
        <f t="shared" si="5"/>
        <v>2.4301966761782876</v>
      </c>
      <c r="G57" s="947">
        <f t="shared" si="3"/>
        <v>6.561531025681377E-3</v>
      </c>
      <c r="H57" s="947">
        <f t="shared" si="2"/>
        <v>2.4367582072039689</v>
      </c>
      <c r="I57" s="126">
        <f t="shared" si="1"/>
        <v>48</v>
      </c>
      <c r="J57" s="795"/>
    </row>
    <row r="58" spans="1:10">
      <c r="A58" s="126">
        <f t="shared" si="0"/>
        <v>49</v>
      </c>
      <c r="B58" s="8" t="s">
        <v>573</v>
      </c>
      <c r="C58" s="792">
        <f t="shared" si="8"/>
        <v>2021</v>
      </c>
      <c r="D58" s="452"/>
      <c r="E58" s="793">
        <v>2.8E-3</v>
      </c>
      <c r="F58" s="946">
        <f t="shared" si="5"/>
        <v>2.4367582072039689</v>
      </c>
      <c r="G58" s="947">
        <f t="shared" si="3"/>
        <v>6.822922980171113E-3</v>
      </c>
      <c r="H58" s="947">
        <f t="shared" si="2"/>
        <v>2.4435811301841399</v>
      </c>
      <c r="I58" s="126">
        <f t="shared" si="1"/>
        <v>49</v>
      </c>
      <c r="J58" s="795"/>
    </row>
    <row r="59" spans="1:10">
      <c r="A59" s="126">
        <f t="shared" si="0"/>
        <v>50</v>
      </c>
      <c r="B59" s="8" t="s">
        <v>574</v>
      </c>
      <c r="C59" s="792">
        <f t="shared" si="8"/>
        <v>2021</v>
      </c>
      <c r="D59" s="452"/>
      <c r="E59" s="793">
        <v>2.7000000000000001E-3</v>
      </c>
      <c r="F59" s="946">
        <f t="shared" si="5"/>
        <v>2.4435811301841399</v>
      </c>
      <c r="G59" s="947">
        <f t="shared" si="3"/>
        <v>6.5976690514971785E-3</v>
      </c>
      <c r="H59" s="947">
        <f t="shared" si="2"/>
        <v>2.450178799235637</v>
      </c>
      <c r="I59" s="126">
        <f t="shared" si="1"/>
        <v>50</v>
      </c>
      <c r="J59" s="795"/>
    </row>
    <row r="60" spans="1:10">
      <c r="A60" s="126">
        <f t="shared" si="0"/>
        <v>51</v>
      </c>
      <c r="B60" s="8" t="s">
        <v>575</v>
      </c>
      <c r="C60" s="792">
        <f t="shared" si="8"/>
        <v>2021</v>
      </c>
      <c r="D60" s="452"/>
      <c r="E60" s="800">
        <v>2.8E-3</v>
      </c>
      <c r="F60" s="946">
        <f t="shared" si="5"/>
        <v>2.450178799235637</v>
      </c>
      <c r="G60" s="947">
        <f t="shared" si="3"/>
        <v>6.8605006378597835E-3</v>
      </c>
      <c r="H60" s="947">
        <f t="shared" si="2"/>
        <v>2.4570392998734967</v>
      </c>
      <c r="I60" s="126">
        <f t="shared" si="1"/>
        <v>51</v>
      </c>
      <c r="J60" s="795"/>
    </row>
    <row r="61" spans="1:10">
      <c r="A61" s="126">
        <f t="shared" si="0"/>
        <v>52</v>
      </c>
      <c r="B61" s="8" t="s">
        <v>576</v>
      </c>
      <c r="C61" s="792">
        <f t="shared" si="8"/>
        <v>2021</v>
      </c>
      <c r="D61" s="452"/>
      <c r="E61" s="800">
        <v>2.8E-3</v>
      </c>
      <c r="F61" s="946">
        <f t="shared" si="5"/>
        <v>2.4570392998734967</v>
      </c>
      <c r="G61" s="947">
        <f t="shared" si="3"/>
        <v>6.8797100396457908E-3</v>
      </c>
      <c r="H61" s="947">
        <f t="shared" si="2"/>
        <v>2.4639190099131425</v>
      </c>
      <c r="I61" s="126">
        <f t="shared" si="1"/>
        <v>52</v>
      </c>
      <c r="J61" s="795"/>
    </row>
    <row r="62" spans="1:10">
      <c r="A62" s="126">
        <f t="shared" si="0"/>
        <v>53</v>
      </c>
      <c r="B62" s="8" t="s">
        <v>577</v>
      </c>
      <c r="C62" s="792">
        <f t="shared" si="8"/>
        <v>2021</v>
      </c>
      <c r="D62" s="452"/>
      <c r="E62" s="800">
        <v>2.7000000000000001E-3</v>
      </c>
      <c r="F62" s="946">
        <f t="shared" si="5"/>
        <v>2.4639190099131425</v>
      </c>
      <c r="G62" s="947">
        <f t="shared" si="3"/>
        <v>6.6525813267654848E-3</v>
      </c>
      <c r="H62" s="947">
        <f t="shared" si="2"/>
        <v>2.4705715912399078</v>
      </c>
      <c r="I62" s="126">
        <f t="shared" si="1"/>
        <v>53</v>
      </c>
      <c r="J62" s="795"/>
    </row>
    <row r="63" spans="1:10">
      <c r="A63" s="126">
        <f t="shared" si="0"/>
        <v>54</v>
      </c>
      <c r="B63" s="8" t="s">
        <v>578</v>
      </c>
      <c r="C63" s="792">
        <f t="shared" si="8"/>
        <v>2021</v>
      </c>
      <c r="D63" s="452"/>
      <c r="E63" s="793">
        <v>2.8E-3</v>
      </c>
      <c r="F63" s="946">
        <f t="shared" si="5"/>
        <v>2.4705715912399078</v>
      </c>
      <c r="G63" s="947">
        <f t="shared" si="3"/>
        <v>6.9176004554717414E-3</v>
      </c>
      <c r="H63" s="947">
        <f t="shared" si="2"/>
        <v>2.4774891916953794</v>
      </c>
      <c r="I63" s="126">
        <f t="shared" si="1"/>
        <v>54</v>
      </c>
      <c r="J63" s="795"/>
    </row>
    <row r="64" spans="1:10">
      <c r="A64" s="126">
        <f t="shared" si="0"/>
        <v>55</v>
      </c>
      <c r="B64" s="8" t="s">
        <v>579</v>
      </c>
      <c r="C64" s="792">
        <f t="shared" si="8"/>
        <v>2021</v>
      </c>
      <c r="D64" s="452"/>
      <c r="E64" s="793">
        <v>2.7000000000000001E-3</v>
      </c>
      <c r="F64" s="946">
        <f t="shared" si="5"/>
        <v>2.4774891916953794</v>
      </c>
      <c r="G64" s="947">
        <f t="shared" si="3"/>
        <v>6.6892208175775248E-3</v>
      </c>
      <c r="H64" s="947">
        <f t="shared" si="2"/>
        <v>2.4841784125129571</v>
      </c>
      <c r="I64" s="126">
        <f t="shared" si="1"/>
        <v>55</v>
      </c>
      <c r="J64" s="795"/>
    </row>
    <row r="65" spans="1:10">
      <c r="A65" s="126">
        <f t="shared" si="0"/>
        <v>56</v>
      </c>
      <c r="B65" s="797" t="s">
        <v>580</v>
      </c>
      <c r="C65" s="798">
        <f>C64</f>
        <v>2021</v>
      </c>
      <c r="D65" s="553"/>
      <c r="E65" s="799">
        <v>2.8E-3</v>
      </c>
      <c r="F65" s="944">
        <f t="shared" si="5"/>
        <v>2.4841784125129571</v>
      </c>
      <c r="G65" s="945">
        <f t="shared" si="3"/>
        <v>6.95569955503628E-3</v>
      </c>
      <c r="H65" s="945">
        <f t="shared" si="2"/>
        <v>2.4911341120679933</v>
      </c>
      <c r="I65" s="126">
        <f t="shared" si="1"/>
        <v>56</v>
      </c>
      <c r="J65" s="795"/>
    </row>
    <row r="66" spans="1:10">
      <c r="A66" s="126">
        <f t="shared" si="0"/>
        <v>57</v>
      </c>
      <c r="B66" s="8" t="s">
        <v>569</v>
      </c>
      <c r="C66" s="792">
        <v>2022</v>
      </c>
      <c r="D66" s="452"/>
      <c r="E66" s="793">
        <v>2.8E-3</v>
      </c>
      <c r="F66" s="946">
        <f t="shared" si="5"/>
        <v>2.4911341120679933</v>
      </c>
      <c r="G66" s="948">
        <f t="shared" si="3"/>
        <v>6.975175513790381E-3</v>
      </c>
      <c r="H66" s="947">
        <f t="shared" si="2"/>
        <v>2.4981092875817836</v>
      </c>
      <c r="I66" s="126">
        <f t="shared" si="1"/>
        <v>57</v>
      </c>
      <c r="J66" s="795"/>
    </row>
    <row r="67" spans="1:10">
      <c r="A67" s="126">
        <f t="shared" si="0"/>
        <v>58</v>
      </c>
      <c r="B67" s="8" t="s">
        <v>570</v>
      </c>
      <c r="C67" s="792">
        <v>2022</v>
      </c>
      <c r="D67" s="452"/>
      <c r="E67" s="793">
        <v>2.5000000000000001E-3</v>
      </c>
      <c r="F67" s="946">
        <f t="shared" si="5"/>
        <v>2.4981092875817836</v>
      </c>
      <c r="G67" s="948">
        <f t="shared" si="3"/>
        <v>6.2452732189544596E-3</v>
      </c>
      <c r="H67" s="947">
        <f t="shared" si="2"/>
        <v>2.504354560800738</v>
      </c>
      <c r="I67" s="126">
        <f t="shared" si="1"/>
        <v>58</v>
      </c>
      <c r="J67" s="795"/>
    </row>
    <row r="68" spans="1:10">
      <c r="A68" s="126">
        <f t="shared" si="0"/>
        <v>59</v>
      </c>
      <c r="B68" s="8" t="s">
        <v>571</v>
      </c>
      <c r="C68" s="792">
        <v>2022</v>
      </c>
      <c r="D68" s="452"/>
      <c r="E68" s="793">
        <v>2.8E-3</v>
      </c>
      <c r="F68" s="946">
        <f t="shared" si="5"/>
        <v>2.504354560800738</v>
      </c>
      <c r="G68" s="948">
        <f t="shared" si="3"/>
        <v>7.0121927702420667E-3</v>
      </c>
      <c r="H68" s="947">
        <f t="shared" si="2"/>
        <v>2.51136675357098</v>
      </c>
      <c r="I68" s="126">
        <f t="shared" si="1"/>
        <v>59</v>
      </c>
      <c r="J68" s="795"/>
    </row>
    <row r="69" spans="1:10">
      <c r="A69" s="126">
        <f t="shared" si="0"/>
        <v>60</v>
      </c>
      <c r="B69" s="8" t="s">
        <v>572</v>
      </c>
      <c r="C69" s="792">
        <v>2022</v>
      </c>
      <c r="D69" s="452"/>
      <c r="E69" s="793">
        <v>2.7000000000000001E-3</v>
      </c>
      <c r="F69" s="946">
        <f t="shared" si="5"/>
        <v>2.51136675357098</v>
      </c>
      <c r="G69" s="948">
        <f t="shared" si="3"/>
        <v>6.7806902346416462E-3</v>
      </c>
      <c r="H69" s="947">
        <f t="shared" si="2"/>
        <v>2.5181474438056215</v>
      </c>
      <c r="I69" s="126">
        <f t="shared" si="1"/>
        <v>60</v>
      </c>
      <c r="J69" s="795"/>
    </row>
    <row r="70" spans="1:10">
      <c r="A70" s="126">
        <f t="shared" si="0"/>
        <v>61</v>
      </c>
      <c r="B70" s="8" t="s">
        <v>573</v>
      </c>
      <c r="C70" s="792">
        <v>2022</v>
      </c>
      <c r="D70" s="452"/>
      <c r="E70" s="793">
        <v>2.8E-3</v>
      </c>
      <c r="F70" s="946">
        <f t="shared" si="5"/>
        <v>2.5181474438056215</v>
      </c>
      <c r="G70" s="948">
        <f t="shared" si="3"/>
        <v>7.0508128426557404E-3</v>
      </c>
      <c r="H70" s="947">
        <f t="shared" si="2"/>
        <v>2.5251982566482774</v>
      </c>
      <c r="I70" s="126">
        <f t="shared" si="1"/>
        <v>61</v>
      </c>
      <c r="J70" s="795"/>
    </row>
    <row r="71" spans="1:10">
      <c r="A71" s="126">
        <f t="shared" si="0"/>
        <v>62</v>
      </c>
      <c r="B71" s="8" t="s">
        <v>574</v>
      </c>
      <c r="C71" s="792">
        <v>2022</v>
      </c>
      <c r="D71" s="452"/>
      <c r="E71" s="793">
        <v>2.7000000000000001E-3</v>
      </c>
      <c r="F71" s="946">
        <f t="shared" si="5"/>
        <v>2.5251982566482774</v>
      </c>
      <c r="G71" s="948">
        <f t="shared" si="3"/>
        <v>6.8180352929503489E-3</v>
      </c>
      <c r="H71" s="947">
        <f t="shared" si="2"/>
        <v>2.5320162919412277</v>
      </c>
      <c r="I71" s="126">
        <f t="shared" si="1"/>
        <v>62</v>
      </c>
      <c r="J71" s="795"/>
    </row>
    <row r="72" spans="1:10">
      <c r="A72" s="126">
        <f t="shared" si="0"/>
        <v>63</v>
      </c>
      <c r="B72" s="8" t="s">
        <v>575</v>
      </c>
      <c r="C72" s="792">
        <v>2022</v>
      </c>
      <c r="D72" s="452"/>
      <c r="E72" s="793">
        <v>3.0999999999999999E-3</v>
      </c>
      <c r="F72" s="946">
        <f t="shared" si="5"/>
        <v>2.5320162919412277</v>
      </c>
      <c r="G72" s="948">
        <f t="shared" si="3"/>
        <v>7.8492505050178057E-3</v>
      </c>
      <c r="H72" s="947">
        <f t="shared" si="2"/>
        <v>2.5398655424462455</v>
      </c>
      <c r="I72" s="126">
        <f t="shared" si="1"/>
        <v>63</v>
      </c>
      <c r="J72" s="795"/>
    </row>
    <row r="73" spans="1:10">
      <c r="A73" s="126">
        <f t="shared" si="0"/>
        <v>64</v>
      </c>
      <c r="B73" s="8" t="s">
        <v>576</v>
      </c>
      <c r="C73" s="792">
        <v>2022</v>
      </c>
      <c r="D73" s="452"/>
      <c r="E73" s="793">
        <v>3.0999999999999999E-3</v>
      </c>
      <c r="F73" s="946">
        <f t="shared" si="5"/>
        <v>2.5398655424462455</v>
      </c>
      <c r="G73" s="948">
        <f t="shared" si="3"/>
        <v>7.8735831815833612E-3</v>
      </c>
      <c r="H73" s="947">
        <f t="shared" si="2"/>
        <v>2.547739125627829</v>
      </c>
      <c r="I73" s="126">
        <f t="shared" si="1"/>
        <v>64</v>
      </c>
      <c r="J73" s="795"/>
    </row>
    <row r="74" spans="1:10">
      <c r="A74" s="126">
        <f t="shared" si="0"/>
        <v>65</v>
      </c>
      <c r="B74" s="8" t="s">
        <v>577</v>
      </c>
      <c r="C74" s="792">
        <v>2022</v>
      </c>
      <c r="D74" s="452"/>
      <c r="E74" s="793">
        <v>3.0000000000000001E-3</v>
      </c>
      <c r="F74" s="946">
        <f t="shared" si="5"/>
        <v>2.547739125627829</v>
      </c>
      <c r="G74" s="948">
        <f t="shared" si="3"/>
        <v>7.643217376883487E-3</v>
      </c>
      <c r="H74" s="947">
        <f t="shared" si="2"/>
        <v>2.5553823430047125</v>
      </c>
      <c r="I74" s="126">
        <f t="shared" si="1"/>
        <v>65</v>
      </c>
      <c r="J74" s="795"/>
    </row>
    <row r="75" spans="1:10">
      <c r="A75" s="126">
        <f t="shared" ref="A75:A102" si="9">A74+1</f>
        <v>66</v>
      </c>
      <c r="B75" s="8" t="s">
        <v>578</v>
      </c>
      <c r="C75" s="792">
        <v>2022</v>
      </c>
      <c r="D75" s="452"/>
      <c r="E75" s="793">
        <v>4.1999999999999997E-3</v>
      </c>
      <c r="F75" s="946">
        <f t="shared" si="5"/>
        <v>2.5553823430047125</v>
      </c>
      <c r="G75" s="948">
        <f t="shared" si="3"/>
        <v>1.0732605840619792E-2</v>
      </c>
      <c r="H75" s="947">
        <f t="shared" si="2"/>
        <v>2.5661149488453323</v>
      </c>
      <c r="I75" s="126">
        <f t="shared" ref="I75:I102" si="10">I74+1</f>
        <v>66</v>
      </c>
      <c r="J75" s="795"/>
    </row>
    <row r="76" spans="1:10">
      <c r="A76" s="126">
        <f t="shared" si="9"/>
        <v>67</v>
      </c>
      <c r="B76" s="8" t="s">
        <v>579</v>
      </c>
      <c r="C76" s="792">
        <v>2022</v>
      </c>
      <c r="D76" s="452"/>
      <c r="E76" s="793">
        <v>4.0000000000000001E-3</v>
      </c>
      <c r="F76" s="946">
        <f t="shared" si="5"/>
        <v>2.5661149488453323</v>
      </c>
      <c r="G76" s="948">
        <f t="shared" si="3"/>
        <v>1.0264459795381329E-2</v>
      </c>
      <c r="H76" s="947">
        <f t="shared" si="2"/>
        <v>2.5763794086407135</v>
      </c>
      <c r="I76" s="126">
        <f t="shared" si="10"/>
        <v>67</v>
      </c>
      <c r="J76" s="795"/>
    </row>
    <row r="77" spans="1:10">
      <c r="A77" s="126">
        <f t="shared" si="9"/>
        <v>68</v>
      </c>
      <c r="B77" s="797" t="s">
        <v>580</v>
      </c>
      <c r="C77" s="798">
        <v>2022</v>
      </c>
      <c r="D77" s="553"/>
      <c r="E77" s="799">
        <v>4.1999999999999997E-3</v>
      </c>
      <c r="F77" s="944">
        <f t="shared" si="5"/>
        <v>2.5763794086407135</v>
      </c>
      <c r="G77" s="949">
        <f t="shared" si="3"/>
        <v>1.0820793516290996E-2</v>
      </c>
      <c r="H77" s="945">
        <f t="shared" si="2"/>
        <v>2.5872002021570046</v>
      </c>
      <c r="I77" s="126">
        <f t="shared" si="10"/>
        <v>68</v>
      </c>
      <c r="J77" s="795"/>
    </row>
    <row r="78" spans="1:10">
      <c r="A78" s="126">
        <f t="shared" si="9"/>
        <v>69</v>
      </c>
      <c r="B78" s="8" t="s">
        <v>569</v>
      </c>
      <c r="C78" s="792">
        <v>2023</v>
      </c>
      <c r="D78" s="452"/>
      <c r="E78" s="793">
        <v>5.4000000000000003E-3</v>
      </c>
      <c r="F78" s="946">
        <f t="shared" si="5"/>
        <v>2.5872002021570046</v>
      </c>
      <c r="G78" s="948">
        <f t="shared" si="3"/>
        <v>1.3970881091647826E-2</v>
      </c>
      <c r="H78" s="947">
        <f t="shared" si="2"/>
        <v>2.6011710832486523</v>
      </c>
      <c r="I78" s="126">
        <f t="shared" si="10"/>
        <v>69</v>
      </c>
      <c r="J78" s="795"/>
    </row>
    <row r="79" spans="1:10">
      <c r="A79" s="126">
        <f t="shared" si="9"/>
        <v>70</v>
      </c>
      <c r="B79" s="8" t="s">
        <v>570</v>
      </c>
      <c r="C79" s="792">
        <v>2023</v>
      </c>
      <c r="D79" s="452"/>
      <c r="E79" s="793">
        <v>4.7999999999999996E-3</v>
      </c>
      <c r="F79" s="946">
        <f t="shared" si="5"/>
        <v>2.6011710832486523</v>
      </c>
      <c r="G79" s="948">
        <f t="shared" si="3"/>
        <v>1.248562119959353E-2</v>
      </c>
      <c r="H79" s="947">
        <f t="shared" si="2"/>
        <v>2.6136567044482457</v>
      </c>
      <c r="I79" s="126">
        <f t="shared" si="10"/>
        <v>70</v>
      </c>
      <c r="J79" s="795"/>
    </row>
    <row r="80" spans="1:10">
      <c r="A80" s="126">
        <f t="shared" si="9"/>
        <v>71</v>
      </c>
      <c r="B80" s="8" t="s">
        <v>571</v>
      </c>
      <c r="C80" s="792">
        <v>2023</v>
      </c>
      <c r="D80" s="452"/>
      <c r="E80" s="793">
        <v>5.4000000000000003E-3</v>
      </c>
      <c r="F80" s="946">
        <f t="shared" si="5"/>
        <v>2.6136567044482457</v>
      </c>
      <c r="G80" s="948">
        <f t="shared" si="3"/>
        <v>1.4113746204020528E-2</v>
      </c>
      <c r="H80" s="947">
        <f t="shared" si="2"/>
        <v>2.6277704506522661</v>
      </c>
      <c r="I80" s="126">
        <f t="shared" si="10"/>
        <v>71</v>
      </c>
      <c r="J80" s="795"/>
    </row>
    <row r="81" spans="1:10">
      <c r="A81" s="126">
        <f t="shared" si="9"/>
        <v>72</v>
      </c>
      <c r="B81" s="8" t="s">
        <v>572</v>
      </c>
      <c r="C81" s="792">
        <v>2023</v>
      </c>
      <c r="D81" s="452"/>
      <c r="E81" s="793">
        <v>6.1999999999999998E-3</v>
      </c>
      <c r="F81" s="946">
        <f t="shared" si="5"/>
        <v>2.6277704506522661</v>
      </c>
      <c r="G81" s="948">
        <f t="shared" si="3"/>
        <v>1.6292176794044048E-2</v>
      </c>
      <c r="H81" s="947">
        <f t="shared" si="2"/>
        <v>2.6440626274463104</v>
      </c>
      <c r="I81" s="126">
        <f t="shared" si="10"/>
        <v>72</v>
      </c>
      <c r="J81" s="795"/>
    </row>
    <row r="82" spans="1:10">
      <c r="A82" s="126">
        <f t="shared" si="9"/>
        <v>73</v>
      </c>
      <c r="B82" s="8" t="s">
        <v>573</v>
      </c>
      <c r="C82" s="792">
        <v>2023</v>
      </c>
      <c r="D82" s="452"/>
      <c r="E82" s="793">
        <v>6.4000000000000003E-3</v>
      </c>
      <c r="F82" s="946">
        <f t="shared" si="5"/>
        <v>2.6440626274463104</v>
      </c>
      <c r="G82" s="948">
        <f t="shared" si="3"/>
        <v>1.6922000815656386E-2</v>
      </c>
      <c r="H82" s="947">
        <f t="shared" ref="H82" si="11">F82+G82</f>
        <v>2.6609846282619669</v>
      </c>
      <c r="I82" s="126">
        <f t="shared" si="10"/>
        <v>73</v>
      </c>
      <c r="J82" s="795"/>
    </row>
    <row r="83" spans="1:10">
      <c r="A83" s="126">
        <f t="shared" si="9"/>
        <v>74</v>
      </c>
      <c r="B83" s="8" t="s">
        <v>574</v>
      </c>
      <c r="C83" s="792">
        <v>2023</v>
      </c>
      <c r="D83" s="452"/>
      <c r="E83" s="793">
        <v>6.1999999999999998E-3</v>
      </c>
      <c r="F83" s="946">
        <f>H82+D83</f>
        <v>2.6609846282619669</v>
      </c>
      <c r="G83" s="948">
        <f>(H82+F83)/2*E83</f>
        <v>1.6498104695224194E-2</v>
      </c>
      <c r="H83" s="947">
        <f>F83+G83</f>
        <v>2.6774827329571913</v>
      </c>
      <c r="I83" s="126">
        <f t="shared" si="10"/>
        <v>74</v>
      </c>
      <c r="J83" s="795"/>
    </row>
    <row r="84" spans="1:10">
      <c r="A84" s="126">
        <f t="shared" si="9"/>
        <v>75</v>
      </c>
      <c r="B84" s="8" t="s">
        <v>575</v>
      </c>
      <c r="C84" s="792">
        <v>2023</v>
      </c>
      <c r="D84" s="452"/>
      <c r="E84" s="793">
        <v>6.7999999999999996E-3</v>
      </c>
      <c r="F84" s="946">
        <f t="shared" ref="F84:F94" si="12">H83+D84</f>
        <v>2.6774827329571913</v>
      </c>
      <c r="G84" s="948">
        <f t="shared" ref="G84:G94" si="13">(H83+F84)/2*E84</f>
        <v>1.8206882584108901E-2</v>
      </c>
      <c r="H84" s="947">
        <f t="shared" ref="H84:H101" si="14">F84+G84</f>
        <v>2.6956896155413004</v>
      </c>
      <c r="I84" s="126">
        <f t="shared" si="10"/>
        <v>75</v>
      </c>
      <c r="J84" s="795"/>
    </row>
    <row r="85" spans="1:10">
      <c r="A85" s="126">
        <f t="shared" si="9"/>
        <v>76</v>
      </c>
      <c r="B85" s="8" t="s">
        <v>576</v>
      </c>
      <c r="C85" s="792">
        <v>2023</v>
      </c>
      <c r="D85" s="452"/>
      <c r="E85" s="793">
        <v>6.7999999999999996E-3</v>
      </c>
      <c r="F85" s="946">
        <f t="shared" si="12"/>
        <v>2.6956896155413004</v>
      </c>
      <c r="G85" s="948">
        <f t="shared" si="13"/>
        <v>1.8330689385680842E-2</v>
      </c>
      <c r="H85" s="947">
        <f t="shared" si="14"/>
        <v>2.7140203049269811</v>
      </c>
      <c r="I85" s="126">
        <f t="shared" si="10"/>
        <v>76</v>
      </c>
      <c r="J85" s="795"/>
    </row>
    <row r="86" spans="1:10">
      <c r="A86" s="126">
        <f t="shared" si="9"/>
        <v>77</v>
      </c>
      <c r="B86" s="8" t="s">
        <v>577</v>
      </c>
      <c r="C86" s="792">
        <v>2023</v>
      </c>
      <c r="D86" s="452"/>
      <c r="E86" s="793">
        <v>6.6E-3</v>
      </c>
      <c r="F86" s="946">
        <f t="shared" si="12"/>
        <v>2.7140203049269811</v>
      </c>
      <c r="G86" s="948">
        <f t="shared" si="13"/>
        <v>1.7912534012518074E-2</v>
      </c>
      <c r="H86" s="947">
        <f t="shared" si="14"/>
        <v>2.7319328389394992</v>
      </c>
      <c r="I86" s="126">
        <f t="shared" si="10"/>
        <v>77</v>
      </c>
      <c r="J86" s="795"/>
    </row>
    <row r="87" spans="1:10">
      <c r="A87" s="126">
        <f t="shared" si="9"/>
        <v>78</v>
      </c>
      <c r="B87" s="8" t="s">
        <v>578</v>
      </c>
      <c r="C87" s="792">
        <v>2023</v>
      </c>
      <c r="D87" s="452"/>
      <c r="E87" s="793">
        <v>7.1000000000000004E-3</v>
      </c>
      <c r="F87" s="946">
        <f t="shared" si="12"/>
        <v>2.7319328389394992</v>
      </c>
      <c r="G87" s="948">
        <f t="shared" si="13"/>
        <v>1.9396723156470445E-2</v>
      </c>
      <c r="H87" s="947">
        <f t="shared" si="14"/>
        <v>2.7513295620959695</v>
      </c>
      <c r="I87" s="126">
        <f t="shared" si="10"/>
        <v>78</v>
      </c>
      <c r="J87" s="795"/>
    </row>
    <row r="88" spans="1:10">
      <c r="A88" s="126">
        <f t="shared" si="9"/>
        <v>79</v>
      </c>
      <c r="B88" s="8" t="s">
        <v>579</v>
      </c>
      <c r="C88" s="792">
        <v>2023</v>
      </c>
      <c r="D88" s="452"/>
      <c r="E88" s="793">
        <v>6.8999999999999999E-3</v>
      </c>
      <c r="F88" s="946">
        <f t="shared" si="12"/>
        <v>2.7513295620959695</v>
      </c>
      <c r="G88" s="948">
        <f t="shared" si="13"/>
        <v>1.898417397846219E-2</v>
      </c>
      <c r="H88" s="947">
        <f t="shared" si="14"/>
        <v>2.7703137360744314</v>
      </c>
      <c r="I88" s="126">
        <f t="shared" si="10"/>
        <v>79</v>
      </c>
      <c r="J88" s="795"/>
    </row>
    <row r="89" spans="1:10">
      <c r="A89" s="126">
        <f t="shared" si="9"/>
        <v>80</v>
      </c>
      <c r="B89" s="797" t="s">
        <v>580</v>
      </c>
      <c r="C89" s="798">
        <v>2023</v>
      </c>
      <c r="D89" s="553"/>
      <c r="E89" s="799">
        <v>7.1000000000000004E-3</v>
      </c>
      <c r="F89" s="944">
        <f t="shared" si="12"/>
        <v>2.7703137360744314</v>
      </c>
      <c r="G89" s="949">
        <f t="shared" si="13"/>
        <v>1.9669227526128465E-2</v>
      </c>
      <c r="H89" s="945">
        <f t="shared" si="14"/>
        <v>2.78998296360056</v>
      </c>
      <c r="I89" s="126">
        <f t="shared" si="10"/>
        <v>80</v>
      </c>
      <c r="J89" s="795"/>
    </row>
    <row r="90" spans="1:10">
      <c r="A90" s="126">
        <f t="shared" si="9"/>
        <v>81</v>
      </c>
      <c r="B90" s="914" t="s">
        <v>569</v>
      </c>
      <c r="C90" s="915">
        <v>2024</v>
      </c>
      <c r="D90" s="916"/>
      <c r="E90" s="793">
        <v>7.1999999999999998E-3</v>
      </c>
      <c r="F90" s="946">
        <f t="shared" si="12"/>
        <v>2.78998296360056</v>
      </c>
      <c r="G90" s="942">
        <f t="shared" si="13"/>
        <v>2.008787733792403E-2</v>
      </c>
      <c r="H90" s="947">
        <f t="shared" si="14"/>
        <v>2.8100708409384838</v>
      </c>
      <c r="I90" s="126">
        <f t="shared" si="10"/>
        <v>81</v>
      </c>
      <c r="J90" s="795"/>
    </row>
    <row r="91" spans="1:10">
      <c r="A91" s="126">
        <f t="shared" si="9"/>
        <v>82</v>
      </c>
      <c r="B91" s="914" t="s">
        <v>570</v>
      </c>
      <c r="C91" s="915">
        <v>2024</v>
      </c>
      <c r="D91" s="916"/>
      <c r="E91" s="793">
        <v>6.7999999999999996E-3</v>
      </c>
      <c r="F91" s="946">
        <f t="shared" si="12"/>
        <v>2.8100708409384838</v>
      </c>
      <c r="G91" s="942">
        <f t="shared" si="13"/>
        <v>1.9108481718381688E-2</v>
      </c>
      <c r="H91" s="947">
        <f t="shared" si="14"/>
        <v>2.8291793226568656</v>
      </c>
      <c r="I91" s="126">
        <f t="shared" si="10"/>
        <v>82</v>
      </c>
      <c r="J91" s="795"/>
    </row>
    <row r="92" spans="1:10">
      <c r="A92" s="126">
        <f t="shared" si="9"/>
        <v>83</v>
      </c>
      <c r="B92" s="914" t="s">
        <v>571</v>
      </c>
      <c r="C92" s="915">
        <v>2024</v>
      </c>
      <c r="D92" s="916"/>
      <c r="E92" s="793">
        <v>7.1999999999999998E-3</v>
      </c>
      <c r="F92" s="946">
        <f t="shared" si="12"/>
        <v>2.8291793226568656</v>
      </c>
      <c r="G92" s="942">
        <f t="shared" si="13"/>
        <v>2.037009112312943E-2</v>
      </c>
      <c r="H92" s="947">
        <f t="shared" si="14"/>
        <v>2.8495494137799948</v>
      </c>
      <c r="I92" s="126">
        <f t="shared" si="10"/>
        <v>83</v>
      </c>
      <c r="J92" s="795"/>
    </row>
    <row r="93" spans="1:10">
      <c r="A93" s="126">
        <f t="shared" si="9"/>
        <v>84</v>
      </c>
      <c r="B93" s="914" t="s">
        <v>572</v>
      </c>
      <c r="C93" s="915">
        <v>2024</v>
      </c>
      <c r="D93" s="916"/>
      <c r="E93" s="793">
        <v>7.0000000000000001E-3</v>
      </c>
      <c r="F93" s="946">
        <f t="shared" si="12"/>
        <v>2.8495494137799948</v>
      </c>
      <c r="G93" s="942">
        <f t="shared" si="13"/>
        <v>1.9946845896459963E-2</v>
      </c>
      <c r="H93" s="947">
        <f t="shared" si="14"/>
        <v>2.8694962596764548</v>
      </c>
      <c r="I93" s="126">
        <f t="shared" si="10"/>
        <v>84</v>
      </c>
      <c r="J93" s="795"/>
    </row>
    <row r="94" spans="1:10">
      <c r="A94" s="126">
        <f t="shared" si="9"/>
        <v>85</v>
      </c>
      <c r="B94" s="914" t="s">
        <v>573</v>
      </c>
      <c r="C94" s="915">
        <v>2024</v>
      </c>
      <c r="D94" s="916"/>
      <c r="E94" s="793">
        <v>7.1999999999999998E-3</v>
      </c>
      <c r="F94" s="946">
        <f t="shared" si="12"/>
        <v>2.8694962596764548</v>
      </c>
      <c r="G94" s="942">
        <f t="shared" si="13"/>
        <v>2.0660373069670473E-2</v>
      </c>
      <c r="H94" s="947">
        <f t="shared" si="14"/>
        <v>2.8901566327461254</v>
      </c>
      <c r="I94" s="126">
        <f t="shared" si="10"/>
        <v>85</v>
      </c>
      <c r="J94" s="795"/>
    </row>
    <row r="95" spans="1:10">
      <c r="A95" s="126">
        <f t="shared" si="9"/>
        <v>86</v>
      </c>
      <c r="B95" s="914" t="s">
        <v>574</v>
      </c>
      <c r="C95" s="915">
        <v>2024</v>
      </c>
      <c r="D95" s="917"/>
      <c r="E95" s="793">
        <v>7.0000000000000001E-3</v>
      </c>
      <c r="F95" s="946">
        <f>H94+D95</f>
        <v>2.8901566327461254</v>
      </c>
      <c r="G95" s="948">
        <f>(H94+F95)/2*E95</f>
        <v>2.023109642922288E-2</v>
      </c>
      <c r="H95" s="947">
        <f t="shared" si="14"/>
        <v>2.9103877291753482</v>
      </c>
      <c r="I95" s="126">
        <f t="shared" si="10"/>
        <v>86</v>
      </c>
      <c r="J95" s="795"/>
    </row>
    <row r="96" spans="1:10">
      <c r="A96" s="126">
        <f t="shared" si="9"/>
        <v>87</v>
      </c>
      <c r="B96" s="914" t="s">
        <v>575</v>
      </c>
      <c r="C96" s="915">
        <v>2024</v>
      </c>
      <c r="D96" s="916"/>
      <c r="E96" s="793">
        <v>7.1999999999999998E-3</v>
      </c>
      <c r="F96" s="946">
        <f t="shared" ref="F96:F101" si="15">H95+D96</f>
        <v>2.9103877291753482</v>
      </c>
      <c r="G96" s="948">
        <f t="shared" ref="G96:G101" si="16">(H95+F96)/2*E96</f>
        <v>2.0954791650062508E-2</v>
      </c>
      <c r="H96" s="947">
        <f t="shared" si="14"/>
        <v>2.9313425208254107</v>
      </c>
      <c r="I96" s="126">
        <f t="shared" si="10"/>
        <v>87</v>
      </c>
      <c r="J96" s="795"/>
    </row>
    <row r="97" spans="1:10">
      <c r="A97" s="126">
        <f t="shared" si="9"/>
        <v>88</v>
      </c>
      <c r="B97" s="914" t="s">
        <v>576</v>
      </c>
      <c r="C97" s="915">
        <v>2024</v>
      </c>
      <c r="D97" s="916"/>
      <c r="E97" s="793">
        <v>7.1999999999999998E-3</v>
      </c>
      <c r="F97" s="946">
        <f t="shared" si="15"/>
        <v>2.9313425208254107</v>
      </c>
      <c r="G97" s="948">
        <f t="shared" si="16"/>
        <v>2.1105666149942956E-2</v>
      </c>
      <c r="H97" s="947">
        <f t="shared" si="14"/>
        <v>2.9524481869753538</v>
      </c>
      <c r="I97" s="126">
        <f t="shared" si="10"/>
        <v>88</v>
      </c>
      <c r="J97" s="795"/>
    </row>
    <row r="98" spans="1:10">
      <c r="A98" s="126">
        <f t="shared" si="9"/>
        <v>89</v>
      </c>
      <c r="B98" s="914" t="s">
        <v>577</v>
      </c>
      <c r="C98" s="915">
        <v>2024</v>
      </c>
      <c r="D98" s="916"/>
      <c r="E98" s="793">
        <v>7.0000000000000001E-3</v>
      </c>
      <c r="F98" s="946">
        <f t="shared" si="15"/>
        <v>2.9524481869753538</v>
      </c>
      <c r="G98" s="948">
        <f t="shared" si="16"/>
        <v>2.0667137308827476E-2</v>
      </c>
      <c r="H98" s="947">
        <f t="shared" si="14"/>
        <v>2.9731153242841812</v>
      </c>
      <c r="I98" s="126">
        <f t="shared" si="10"/>
        <v>89</v>
      </c>
      <c r="J98" s="795"/>
    </row>
    <row r="99" spans="1:10">
      <c r="A99" s="126">
        <f t="shared" si="9"/>
        <v>90</v>
      </c>
      <c r="B99" s="914" t="s">
        <v>578</v>
      </c>
      <c r="C99" s="915">
        <v>2024</v>
      </c>
      <c r="D99" s="916"/>
      <c r="E99" s="918">
        <v>7.0000000000000001E-3</v>
      </c>
      <c r="F99" s="946">
        <f t="shared" si="15"/>
        <v>2.9731153242841812</v>
      </c>
      <c r="G99" s="948">
        <f t="shared" si="16"/>
        <v>2.0811807269989269E-2</v>
      </c>
      <c r="H99" s="947">
        <f t="shared" si="14"/>
        <v>2.9939271315541705</v>
      </c>
      <c r="I99" s="126">
        <f t="shared" si="10"/>
        <v>90</v>
      </c>
      <c r="J99" s="795"/>
    </row>
    <row r="100" spans="1:10">
      <c r="A100" s="126">
        <f t="shared" si="9"/>
        <v>91</v>
      </c>
      <c r="B100" s="914" t="s">
        <v>579</v>
      </c>
      <c r="C100" s="915">
        <v>2024</v>
      </c>
      <c r="D100" s="916"/>
      <c r="E100" s="918">
        <v>7.0000000000000001E-3</v>
      </c>
      <c r="F100" s="946">
        <f t="shared" si="15"/>
        <v>2.9939271315541705</v>
      </c>
      <c r="G100" s="948">
        <f t="shared" si="16"/>
        <v>2.0957489920879195E-2</v>
      </c>
      <c r="H100" s="947">
        <f t="shared" si="14"/>
        <v>3.0148846214750495</v>
      </c>
      <c r="I100" s="126">
        <f t="shared" si="10"/>
        <v>91</v>
      </c>
      <c r="J100" s="795"/>
    </row>
    <row r="101" spans="1:10">
      <c r="A101" s="126">
        <f t="shared" si="9"/>
        <v>92</v>
      </c>
      <c r="B101" s="919" t="s">
        <v>580</v>
      </c>
      <c r="C101" s="920">
        <v>2024</v>
      </c>
      <c r="D101" s="921"/>
      <c r="E101" s="922">
        <v>7.0000000000000001E-3</v>
      </c>
      <c r="F101" s="944">
        <f t="shared" si="15"/>
        <v>3.0148846214750495</v>
      </c>
      <c r="G101" s="949">
        <f t="shared" si="16"/>
        <v>2.1104192350325346E-2</v>
      </c>
      <c r="H101" s="950">
        <f t="shared" si="14"/>
        <v>3.0359888138253748</v>
      </c>
      <c r="I101" s="126">
        <f t="shared" si="10"/>
        <v>92</v>
      </c>
      <c r="J101" s="795"/>
    </row>
    <row r="102" spans="1:10" ht="16" thickBot="1">
      <c r="A102" s="126">
        <f t="shared" si="9"/>
        <v>93</v>
      </c>
      <c r="D102" s="937">
        <f>SUM(D18:D101)</f>
        <v>2.1407479220442833</v>
      </c>
      <c r="E102" s="894"/>
      <c r="F102" s="801"/>
      <c r="G102" s="938">
        <f>SUM(G18:G101)</f>
        <v>0.89524089178109212</v>
      </c>
      <c r="H102" s="802"/>
      <c r="I102" s="126">
        <f t="shared" si="10"/>
        <v>93</v>
      </c>
    </row>
    <row r="103" spans="1:10" ht="16" thickTop="1">
      <c r="D103" s="803"/>
      <c r="E103" s="803"/>
      <c r="F103" s="803"/>
      <c r="G103" s="804"/>
      <c r="H103" s="804"/>
    </row>
    <row r="104" spans="1:10">
      <c r="B104" s="123"/>
    </row>
    <row r="105" spans="1:10" ht="18">
      <c r="A105" s="805">
        <v>1</v>
      </c>
      <c r="B105" s="111" t="s">
        <v>581</v>
      </c>
      <c r="C105" s="113"/>
    </row>
    <row r="106" spans="1:10" ht="18">
      <c r="A106" s="805">
        <v>2</v>
      </c>
      <c r="B106" s="111" t="s">
        <v>582</v>
      </c>
    </row>
    <row r="107" spans="1:10" ht="18">
      <c r="A107" s="805">
        <v>3</v>
      </c>
      <c r="B107" s="111" t="s">
        <v>583</v>
      </c>
    </row>
    <row r="108" spans="1:10">
      <c r="B108" s="111" t="s">
        <v>584</v>
      </c>
    </row>
    <row r="109" spans="1:10">
      <c r="A109" s="806"/>
      <c r="B109" s="807" t="s">
        <v>585</v>
      </c>
      <c r="C109" s="807"/>
    </row>
    <row r="110" spans="1:10">
      <c r="A110" s="929"/>
      <c r="B110" s="930" t="s">
        <v>744</v>
      </c>
      <c r="C110" s="930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35" footer="0.25"/>
  <pageSetup scale="62" fitToWidth="2" fitToHeight="2" orientation="portrait" r:id="rId1"/>
  <headerFooter scaleWithDoc="0" alignWithMargins="0">
    <oddFooter>&amp;L&amp;F&amp;CPage 15.&amp;P&amp;R&amp;A</oddFooter>
  </headerFooter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3ADED-4F4A-4B67-B45C-048451DBF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0E63E6-4488-4CD6-9BF4-E52BA78A7629}">
  <ds:schemaRefs>
    <ds:schemaRef ds:uri="http://purl.org/dc/elements/1.1/"/>
    <ds:schemaRef ds:uri="http://schemas.openxmlformats.org/package/2006/metadata/core-properties"/>
    <ds:schemaRef ds:uri="6fc4548d-ff52-42f9-a254-3bffe5157158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d3533485-01ac-4c85-a144-d07c02817ce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CDBF22-A9D7-4F8A-B3EB-11BF79688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Pg1 App X C8 Cost Adj</vt:lpstr>
      <vt:lpstr>Pg2 App X C8 Comparison</vt:lpstr>
      <vt:lpstr>Pg3 Rev App X C8 Summary</vt:lpstr>
      <vt:lpstr>Pg4 As Filed App X C8 FERC Adj </vt:lpstr>
      <vt:lpstr>Pg5 Rev Sec 2 Non-Dir Exp</vt:lpstr>
      <vt:lpstr>Pg6 As Filed Sec 2 Non Dir Exp </vt:lpstr>
      <vt:lpstr>Pg7 Rev Sec 4a-TU</vt:lpstr>
      <vt:lpstr>Pg7.1 As Filed Sec 4a-TU FERC</vt:lpstr>
      <vt:lpstr>Pg8 Rev Sec 4b-TU COS</vt:lpstr>
      <vt:lpstr>Pg8.1 As Filed Sec 4b-TU FERC</vt:lpstr>
      <vt:lpstr>Pg9 Rev Stmt AH</vt:lpstr>
      <vt:lpstr>Pg9.1 As Filed Stmt AH FERC Adj</vt:lpstr>
      <vt:lpstr>Pg9.2 Rev AH-3</vt:lpstr>
      <vt:lpstr>Pg9.3 As Filed AH-3 FERC Adj</vt:lpstr>
      <vt:lpstr>Pg10 Rev Stmt AL</vt:lpstr>
      <vt:lpstr>Pg10.1 As Filed Stmt AL FERC</vt:lpstr>
      <vt:lpstr>Pg11 Rev Stmt AV</vt:lpstr>
      <vt:lpstr>Pg12 As Filed Stmt AV FERC Adj</vt:lpstr>
      <vt:lpstr>Pg13 Rev AV-4</vt:lpstr>
      <vt:lpstr>Pg14 As Filed AV-4 FERC Adj</vt:lpstr>
      <vt:lpstr>Pg15 App X C8 Int Calc</vt:lpstr>
      <vt:lpstr>'Pg10.1 As Filed Stmt AL FERC'!Print_Area</vt:lpstr>
      <vt:lpstr>'Pg12 As Filed Stmt AV FERC Adj'!Print_Area</vt:lpstr>
      <vt:lpstr>'Pg14 As Filed AV-4 FERC Adj'!Print_Area</vt:lpstr>
      <vt:lpstr>'Pg4 As Filed App X C8 FERC Adj '!Print_Area</vt:lpstr>
      <vt:lpstr>'Pg6 As Filed Sec 2 Non Dir Exp '!Print_Area</vt:lpstr>
      <vt:lpstr>'Pg7.1 As Filed Sec 4a-TU FERC'!Print_Area</vt:lpstr>
      <vt:lpstr>'Pg8.1 As Filed Sec 4b-TU FERC'!Print_Area</vt:lpstr>
      <vt:lpstr>'Pg9.1 As Filed Stmt AH FERC Adj'!Print_Area</vt:lpstr>
      <vt:lpstr>'Pg9.3 As Filed AH-3 FERC Adj'!Print_Area</vt:lpstr>
      <vt:lpstr>'Pg15 App X C8 Int Calc'!Print_Titles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cp:lastPrinted>2024-06-06T18:10:55Z</cp:lastPrinted>
  <dcterms:created xsi:type="dcterms:W3CDTF">2016-08-29T13:22:03Z</dcterms:created>
  <dcterms:modified xsi:type="dcterms:W3CDTF">2024-07-02T21:52:07Z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01B7-C5EB-2297-0074</vt:lpwstr>
  </property>
  <property fmtid="{D5CDD505-2E9C-101B-9397-08002B2CF9AE}" pid="3" name="LINKTEK-ID-LINK=1">
    <vt:lpwstr>0199-919D-8C7B-EB83|/2018/Citizens/Sunrise/Appendix X Cycle 7 Filing/App X C7 Annual Filing - Model.xlsx</vt:lpwstr>
  </property>
  <property fmtid="{D5CDD505-2E9C-101B-9397-08002B2CF9AE}" pid="4" name="ContentTypeId">
    <vt:lpwstr>0x01010020AF033832634A47ACBF5D0BC7D2D682</vt:lpwstr>
  </property>
  <property fmtid="{D5CDD505-2E9C-101B-9397-08002B2CF9AE}" pid="5" name="Order">
    <vt:r8>79600</vt:r8>
  </property>
  <property fmtid="{D5CDD505-2E9C-101B-9397-08002B2CF9AE}" pid="6" name="MediaServiceImageTags">
    <vt:lpwstr/>
  </property>
</Properties>
</file>